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1FCE7422-E7D1-4480-AD11-84BFC27DCB41}"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V4038" i="22" s="1"/>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H3749" i="22" s="1"/>
  <c r="J3748" i="22"/>
  <c r="I3748" i="22"/>
  <c r="G3749" i="22" s="1"/>
  <c r="H3748" i="22"/>
  <c r="G3748" i="22"/>
  <c r="F3749" i="22" s="1"/>
  <c r="F3748" i="22"/>
  <c r="C3748" i="22"/>
  <c r="B72" i="22" s="1"/>
  <c r="B3748" i="22"/>
  <c r="D3748" i="22" s="1"/>
  <c r="B3697" i="22"/>
  <c r="D3695" i="22"/>
  <c r="C3695" i="22"/>
  <c r="O3694" i="22"/>
  <c r="M3694" i="22"/>
  <c r="N3694" i="22" s="1"/>
  <c r="L3694" i="22"/>
  <c r="K3694" i="22"/>
  <c r="H3695" i="22" s="1"/>
  <c r="K3695" i="22" s="1"/>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H2723" i="22" s="1"/>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CI50" i="22" s="1"/>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1588" i="22"/>
  <c r="D1588" i="22" s="1"/>
  <c r="B1537" i="22"/>
  <c r="D1535" i="22"/>
  <c r="C1535" i="22"/>
  <c r="O1534" i="22"/>
  <c r="M1534" i="22"/>
  <c r="N1534" i="22" s="1"/>
  <c r="L1534" i="22"/>
  <c r="K1534" i="22"/>
  <c r="J1534" i="22"/>
  <c r="I1534" i="22"/>
  <c r="G1535" i="22" s="1"/>
  <c r="H1534" i="22"/>
  <c r="G1534" i="22"/>
  <c r="F1535" i="22" s="1"/>
  <c r="F1534" i="22"/>
  <c r="C1534" i="22"/>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CI25" i="22" s="1"/>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CI21" i="22" s="1"/>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CI15" i="22" s="1"/>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H239" i="22" s="1"/>
  <c r="K239" i="22" s="1"/>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T126" i="22"/>
  <c r="S126" i="22"/>
  <c r="T125" i="22"/>
  <c r="S125" i="22"/>
  <c r="T124" i="22"/>
  <c r="S124" i="22"/>
  <c r="T123" i="22"/>
  <c r="S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CI67" i="22"/>
  <c r="AL67" i="22"/>
  <c r="AK67" i="22"/>
  <c r="V67" i="22"/>
  <c r="U67" i="22"/>
  <c r="T67" i="22"/>
  <c r="S67" i="22"/>
  <c r="AG67" i="22" s="1"/>
  <c r="R67" i="22"/>
  <c r="CN67" i="22" s="1"/>
  <c r="M67" i="22"/>
  <c r="L67" i="22"/>
  <c r="AI67" i="22" s="1"/>
  <c r="K67" i="22"/>
  <c r="AD67" i="22" s="1"/>
  <c r="B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V50" i="22"/>
  <c r="U50" i="22"/>
  <c r="T50" i="22"/>
  <c r="S50" i="22"/>
  <c r="AG50" i="22" s="1"/>
  <c r="R50" i="22"/>
  <c r="CN50" i="22" s="1"/>
  <c r="M50" i="22"/>
  <c r="V49" i="22"/>
  <c r="U49" i="22"/>
  <c r="T49" i="22"/>
  <c r="S49" i="22"/>
  <c r="AG49" i="22" s="1"/>
  <c r="R49" i="22"/>
  <c r="CN49" i="22" s="1"/>
  <c r="M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CI44" i="22"/>
  <c r="AL44" i="22"/>
  <c r="AK44" i="22"/>
  <c r="V44" i="22"/>
  <c r="U44" i="22"/>
  <c r="T44" i="22"/>
  <c r="S44" i="22"/>
  <c r="AG44" i="22" s="1"/>
  <c r="R44" i="22"/>
  <c r="CN44" i="22" s="1"/>
  <c r="M44" i="22"/>
  <c r="B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CI33" i="22"/>
  <c r="AL33" i="22"/>
  <c r="AK33" i="22"/>
  <c r="V33" i="22"/>
  <c r="U33" i="22"/>
  <c r="T33" i="22"/>
  <c r="S33" i="22"/>
  <c r="AG33" i="22" s="1"/>
  <c r="R33" i="22"/>
  <c r="CN33" i="22" s="1"/>
  <c r="M33" i="22"/>
  <c r="B33" i="22"/>
  <c r="CI32" i="22"/>
  <c r="AL32" i="22"/>
  <c r="AK32" i="22"/>
  <c r="V32" i="22"/>
  <c r="U32" i="22"/>
  <c r="T32" i="22"/>
  <c r="S32" i="22"/>
  <c r="AG32" i="22" s="1"/>
  <c r="R32" i="22"/>
  <c r="CN32" i="22" s="1"/>
  <c r="M32" i="22"/>
  <c r="B32" i="22"/>
  <c r="CI31" i="22"/>
  <c r="AL31" i="22"/>
  <c r="AK31" i="22"/>
  <c r="V31" i="22"/>
  <c r="U31" i="22"/>
  <c r="T31" i="22"/>
  <c r="S31" i="22"/>
  <c r="AG31" i="22" s="1"/>
  <c r="R31" i="22"/>
  <c r="CN31" i="22" s="1"/>
  <c r="M31" i="22"/>
  <c r="B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CI27" i="22"/>
  <c r="AL27" i="22"/>
  <c r="AK27" i="22"/>
  <c r="V27" i="22"/>
  <c r="U27" i="22"/>
  <c r="T27" i="22"/>
  <c r="S27" i="22"/>
  <c r="AG27" i="22" s="1"/>
  <c r="R27" i="22"/>
  <c r="CN27" i="22" s="1"/>
  <c r="M27" i="22"/>
  <c r="B27" i="22"/>
  <c r="CI26" i="22"/>
  <c r="AL26" i="22"/>
  <c r="AK26"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CI4" i="22"/>
  <c r="AL4" i="22"/>
  <c r="AK4" i="22"/>
  <c r="V4" i="22"/>
  <c r="U4" i="22"/>
  <c r="T4" i="22"/>
  <c r="S4" i="22"/>
  <c r="AG4" i="22" s="1"/>
  <c r="R4" i="22"/>
  <c r="CN4" i="22" s="1"/>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P4" i="21" s="1"/>
  <c r="M4" i="21"/>
  <c r="N4" i="21" s="1"/>
  <c r="O3" i="21"/>
  <c r="P3" i="21" s="1"/>
  <c r="M3" i="21"/>
  <c r="N3" i="21" s="1"/>
  <c r="P1" i="21"/>
  <c r="E51" i="19" s="1"/>
  <c r="G51" i="19" s="1"/>
  <c r="N1" i="2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B34"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B34"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I11" i="6"/>
  <c r="H11" i="6"/>
  <c r="G11" i="6"/>
  <c r="F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A3694" i="22" s="1"/>
  <c r="T78" i="3"/>
  <c r="A3640" i="22" s="1"/>
  <c r="T77" i="3"/>
  <c r="A3586" i="22" s="1"/>
  <c r="T76" i="3"/>
  <c r="A3532" i="22" s="1"/>
  <c r="T75" i="3"/>
  <c r="T74" i="3"/>
  <c r="T73" i="3"/>
  <c r="T72" i="3"/>
  <c r="A3316" i="22" s="1"/>
  <c r="T71" i="3"/>
  <c r="A3262" i="22" s="1"/>
  <c r="T70" i="3"/>
  <c r="A3208" i="22" s="1"/>
  <c r="T69" i="3"/>
  <c r="T68" i="3"/>
  <c r="T67" i="3"/>
  <c r="T66" i="3"/>
  <c r="A2992" i="22" s="1"/>
  <c r="T65" i="3"/>
  <c r="A2938" i="22" s="1"/>
  <c r="T64" i="3"/>
  <c r="T63" i="3"/>
  <c r="T62" i="3"/>
  <c r="A2776" i="22" s="1"/>
  <c r="T61" i="3"/>
  <c r="A2722" i="22" s="1"/>
  <c r="T60" i="3"/>
  <c r="A2668" i="22" s="1"/>
  <c r="T59" i="3"/>
  <c r="A2614" i="22" s="1"/>
  <c r="T58" i="3"/>
  <c r="T57" i="3"/>
  <c r="A2506" i="22" s="1"/>
  <c r="T56" i="3"/>
  <c r="A2452" i="22" s="1"/>
  <c r="T55" i="3"/>
  <c r="A2398" i="22" s="1"/>
  <c r="T54" i="3"/>
  <c r="A2344" i="22" s="1"/>
  <c r="T53" i="3"/>
  <c r="A2290" i="22" s="1"/>
  <c r="T52" i="3"/>
  <c r="T51" i="3"/>
  <c r="T50" i="3"/>
  <c r="A2128" i="22" s="1"/>
  <c r="T49" i="3"/>
  <c r="A2074" i="22" s="1"/>
  <c r="T48" i="3"/>
  <c r="A2020" i="22" s="1"/>
  <c r="T47" i="3"/>
  <c r="A1966" i="22" s="1"/>
  <c r="T46" i="3"/>
  <c r="T45" i="3"/>
  <c r="T44" i="3"/>
  <c r="T43" i="3"/>
  <c r="A1750" i="22" s="1"/>
  <c r="T42" i="3"/>
  <c r="A1696" i="22" s="1"/>
  <c r="T41" i="3"/>
  <c r="T40" i="3"/>
  <c r="T39" i="3"/>
  <c r="A1534" i="22" s="1"/>
  <c r="A31" i="22" s="1"/>
  <c r="T38" i="3"/>
  <c r="A1480" i="22" s="1"/>
  <c r="T37" i="3"/>
  <c r="A1426" i="22" s="1"/>
  <c r="T36" i="3"/>
  <c r="A1372" i="22" s="1"/>
  <c r="T35" i="3"/>
  <c r="T34" i="3"/>
  <c r="T33" i="3"/>
  <c r="T32" i="3"/>
  <c r="T31" i="3"/>
  <c r="A1102" i="22" s="1"/>
  <c r="T30" i="3"/>
  <c r="A1048" i="22" s="1"/>
  <c r="T29" i="3"/>
  <c r="T28" i="3"/>
  <c r="T27" i="3"/>
  <c r="T26" i="3"/>
  <c r="T25" i="3"/>
  <c r="A778" i="22" s="1"/>
  <c r="T24" i="3"/>
  <c r="A724" i="22" s="1"/>
  <c r="T23" i="3"/>
  <c r="T22" i="3"/>
  <c r="A616" i="22" s="1"/>
  <c r="T21" i="3"/>
  <c r="A562" i="22" s="1"/>
  <c r="T20" i="3"/>
  <c r="A508" i="22" s="1"/>
  <c r="T19" i="3"/>
  <c r="A454" i="22" s="1"/>
  <c r="T18" i="3"/>
  <c r="T17" i="3"/>
  <c r="T16" i="3"/>
  <c r="A292" i="22" s="1"/>
  <c r="T15" i="3"/>
  <c r="A238" i="22" s="1"/>
  <c r="T14" i="3"/>
  <c r="A184" i="22" s="1"/>
  <c r="T13" i="3"/>
  <c r="A130" i="22" s="1"/>
  <c r="T12" i="3"/>
  <c r="M3" i="3"/>
  <c r="K3" i="3"/>
  <c r="I3" i="3"/>
  <c r="G3" i="3"/>
  <c r="E3" i="3"/>
  <c r="C3" i="3"/>
  <c r="F34" i="2"/>
  <c r="F33" i="2"/>
  <c r="C33" i="2"/>
  <c r="F28" i="2"/>
  <c r="I24" i="2"/>
  <c r="I25" i="2" s="1"/>
  <c r="D23" i="2"/>
  <c r="C23" i="2"/>
  <c r="N18" i="2"/>
  <c r="L18" i="2"/>
  <c r="J18" i="2"/>
  <c r="H18" i="2"/>
  <c r="F18" i="2"/>
  <c r="D18" i="2"/>
  <c r="B18" i="2"/>
  <c r="B10" i="2"/>
  <c r="F8" i="2"/>
  <c r="F6" i="2"/>
  <c r="B3" i="18" s="1"/>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641" i="22" l="1"/>
  <c r="H3587" i="22"/>
  <c r="H3533" i="22"/>
  <c r="H3479" i="22"/>
  <c r="H3425" i="22"/>
  <c r="H3371" i="22"/>
  <c r="H3317" i="22"/>
  <c r="H3263" i="22"/>
  <c r="H3209" i="22"/>
  <c r="H3155" i="22"/>
  <c r="H3101" i="22"/>
  <c r="H3047" i="22"/>
  <c r="H2993" i="22"/>
  <c r="H2939" i="22"/>
  <c r="H2885" i="22"/>
  <c r="H2831" i="22"/>
  <c r="H2777" i="22"/>
  <c r="H1913" i="22"/>
  <c r="H1751" i="22"/>
  <c r="N24" i="21"/>
  <c r="P20" i="21"/>
  <c r="P17" i="21"/>
  <c r="P12" i="21"/>
  <c r="P9" i="21"/>
  <c r="P6" i="21"/>
  <c r="H2669" i="22"/>
  <c r="H2615" i="22"/>
  <c r="H2561" i="22"/>
  <c r="H2507" i="22"/>
  <c r="H2453" i="22"/>
  <c r="H2399" i="22"/>
  <c r="K2399" i="22" s="1"/>
  <c r="H2345" i="22"/>
  <c r="H2291" i="22"/>
  <c r="H2237" i="22"/>
  <c r="H2183" i="22"/>
  <c r="H2129" i="22"/>
  <c r="K2129" i="22" s="1"/>
  <c r="H2075" i="22"/>
  <c r="K2075" i="22" s="1"/>
  <c r="H2021" i="22"/>
  <c r="K2021" i="22" s="1"/>
  <c r="H1967" i="22"/>
  <c r="K1967" i="22" s="1"/>
  <c r="H1859" i="22"/>
  <c r="H1805" i="22"/>
  <c r="K1805" i="22" s="1"/>
  <c r="P22" i="21"/>
  <c r="P15" i="21"/>
  <c r="P11" i="21"/>
  <c r="H1697" i="22"/>
  <c r="H1643" i="22"/>
  <c r="H1589" i="22"/>
  <c r="H1535" i="22"/>
  <c r="H1481" i="22"/>
  <c r="K1481" i="22" s="1"/>
  <c r="H1427" i="22"/>
  <c r="K1427" i="22" s="1"/>
  <c r="H1373" i="22"/>
  <c r="K1373" i="22" s="1"/>
  <c r="H1319" i="22"/>
  <c r="K1319" i="22" s="1"/>
  <c r="H1265" i="22"/>
  <c r="K1265" i="22" s="1"/>
  <c r="H1211" i="22"/>
  <c r="K1211" i="22" s="1"/>
  <c r="H1157" i="22"/>
  <c r="K1157" i="22" s="1"/>
  <c r="H1103" i="22"/>
  <c r="K1103" i="22" s="1"/>
  <c r="H1049" i="22"/>
  <c r="H995" i="22"/>
  <c r="H131" i="22"/>
  <c r="P23" i="21"/>
  <c r="P14" i="21"/>
  <c r="P10" i="21"/>
  <c r="H941" i="22"/>
  <c r="H887" i="22"/>
  <c r="H833" i="22"/>
  <c r="H779" i="22"/>
  <c r="H725" i="22"/>
  <c r="H671" i="22"/>
  <c r="H617" i="22"/>
  <c r="H563" i="22"/>
  <c r="H509" i="22"/>
  <c r="H455" i="22"/>
  <c r="H401" i="22"/>
  <c r="K347" i="22"/>
  <c r="H293" i="22"/>
  <c r="K293" i="22" s="1"/>
  <c r="H185" i="22"/>
  <c r="P18" i="21"/>
  <c r="P8" i="21"/>
  <c r="P5" i="21"/>
  <c r="H77" i="22"/>
  <c r="K77" i="22" s="1"/>
  <c r="P13" i="21"/>
  <c r="N45" i="21"/>
  <c r="P21" i="21"/>
  <c r="P19" i="21"/>
  <c r="P16" i="21"/>
  <c r="P7" i="21"/>
  <c r="G50" i="19"/>
  <c r="G41" i="19"/>
  <c r="G39" i="19"/>
  <c r="G38" i="19"/>
  <c r="G37" i="19"/>
  <c r="T3521" i="22"/>
  <c r="S3525" i="22"/>
  <c r="T3520" i="22"/>
  <c r="S3520" i="22"/>
  <c r="T3519" i="22"/>
  <c r="S3519" i="22"/>
  <c r="T3518" i="22"/>
  <c r="S3518" i="22"/>
  <c r="T3517" i="22"/>
  <c r="S3517" i="22"/>
  <c r="T3524" i="22"/>
  <c r="T3516" i="22"/>
  <c r="S3516" i="22"/>
  <c r="T3515" i="22"/>
  <c r="S3515" i="22"/>
  <c r="S3524" i="22"/>
  <c r="T3523" i="22"/>
  <c r="S3523" i="22"/>
  <c r="T3522" i="22"/>
  <c r="S3522" i="22"/>
  <c r="T3528" i="22"/>
  <c r="S3528" i="22"/>
  <c r="S3521" i="22"/>
  <c r="T3527" i="22"/>
  <c r="S3527" i="22"/>
  <c r="T3526" i="22"/>
  <c r="S3526" i="22"/>
  <c r="T3525" i="22"/>
  <c r="S3204" i="22"/>
  <c r="T3204" i="22"/>
  <c r="AL61" i="22"/>
  <c r="AK61" i="22"/>
  <c r="AL60" i="22"/>
  <c r="AK60" i="22"/>
  <c r="T2921" i="22"/>
  <c r="S2921" i="22"/>
  <c r="T2920" i="22"/>
  <c r="S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S290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S2896" i="22"/>
  <c r="T2907" i="22"/>
  <c r="AK56" i="22"/>
  <c r="AL56" i="22"/>
  <c r="T2934" i="22"/>
  <c r="S2934" i="22"/>
  <c r="T2933" i="22"/>
  <c r="S2933" i="22"/>
  <c r="T2932" i="22"/>
  <c r="S2932" i="22"/>
  <c r="T2931" i="22"/>
  <c r="S2931" i="22"/>
  <c r="T2930" i="22"/>
  <c r="S2930" i="22"/>
  <c r="T2929" i="22"/>
  <c r="S2929" i="22"/>
  <c r="T2928" i="22"/>
  <c r="S2928" i="22"/>
  <c r="T2927" i="22"/>
  <c r="S2927" i="22"/>
  <c r="T2926" i="22"/>
  <c r="S2926" i="22"/>
  <c r="T2925" i="22"/>
  <c r="S2925" i="22"/>
  <c r="T2924" i="22"/>
  <c r="S2924" i="22"/>
  <c r="T2923" i="22"/>
  <c r="S2923" i="22"/>
  <c r="T2922" i="22"/>
  <c r="S2922" i="22"/>
  <c r="T2591" i="22"/>
  <c r="S2591" i="22"/>
  <c r="T2590" i="22"/>
  <c r="S2590" i="22"/>
  <c r="T2589" i="22"/>
  <c r="S2589" i="22"/>
  <c r="T2588" i="22"/>
  <c r="S2588" i="22"/>
  <c r="T2587" i="22"/>
  <c r="S2587" i="22"/>
  <c r="T2586" i="22"/>
  <c r="S2586" i="22"/>
  <c r="T2585" i="22"/>
  <c r="S2585" i="22"/>
  <c r="T2584" i="22"/>
  <c r="S2584" i="22"/>
  <c r="T2607" i="22"/>
  <c r="S2607" i="22"/>
  <c r="T2606" i="22"/>
  <c r="S2606" i="22"/>
  <c r="T2605" i="22"/>
  <c r="S2605" i="22"/>
  <c r="T2604" i="22"/>
  <c r="S2604" i="22"/>
  <c r="T2603" i="22"/>
  <c r="S2603" i="22"/>
  <c r="T2602" i="22"/>
  <c r="S2602" i="22"/>
  <c r="T2601" i="22"/>
  <c r="S2601" i="22"/>
  <c r="T2600" i="22"/>
  <c r="S2600" i="22"/>
  <c r="T2599" i="22"/>
  <c r="S2599" i="22"/>
  <c r="T2598" i="22"/>
  <c r="T2597" i="22"/>
  <c r="S2597" i="22"/>
  <c r="T2610" i="22"/>
  <c r="T2596" i="22"/>
  <c r="S2596" i="22"/>
  <c r="T2595" i="22"/>
  <c r="S2595" i="22"/>
  <c r="T2594" i="22"/>
  <c r="S2594" i="22"/>
  <c r="T2593" i="22"/>
  <c r="S2593" i="22"/>
  <c r="T2592" i="22"/>
  <c r="S2592" i="22"/>
  <c r="S2598" i="22"/>
  <c r="S2610" i="22"/>
  <c r="T2609" i="22"/>
  <c r="S2609" i="22"/>
  <c r="T2608" i="22"/>
  <c r="S2608" i="22"/>
  <c r="T2286" i="22"/>
  <c r="S2286" i="22"/>
  <c r="T2285" i="22"/>
  <c r="S2285" i="22"/>
  <c r="T2284" i="22"/>
  <c r="T2283" i="22"/>
  <c r="S2283" i="22"/>
  <c r="T2282" i="22"/>
  <c r="S2282" i="22"/>
  <c r="T2281" i="22"/>
  <c r="S2281" i="22"/>
  <c r="T2280" i="22"/>
  <c r="S2280" i="22"/>
  <c r="T2279" i="22"/>
  <c r="S2279" i="22"/>
  <c r="T2278" i="22"/>
  <c r="S2278" i="22"/>
  <c r="T2277" i="22"/>
  <c r="S2277" i="22"/>
  <c r="T2276" i="22"/>
  <c r="S2276" i="22"/>
  <c r="S2275" i="22"/>
  <c r="T2274" i="22"/>
  <c r="S2274" i="22"/>
  <c r="T2273" i="22"/>
  <c r="S2273" i="22"/>
  <c r="S2284" i="22"/>
  <c r="T2275" i="22"/>
  <c r="T1961" i="22"/>
  <c r="T1962" i="22"/>
  <c r="S1962" i="22"/>
  <c r="S1961" i="22"/>
  <c r="AL38" i="22"/>
  <c r="AK38" i="22"/>
  <c r="AL37" i="22"/>
  <c r="AK37" i="22"/>
  <c r="AK36" i="22"/>
  <c r="AL36" i="22"/>
  <c r="T1681" i="22"/>
  <c r="S1681"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92" i="22"/>
  <c r="S1692" i="22"/>
  <c r="T1691" i="22"/>
  <c r="S1691" i="22"/>
  <c r="T1690" i="22"/>
  <c r="S1690" i="22"/>
  <c r="T1689" i="22"/>
  <c r="S1689" i="22"/>
  <c r="T1688" i="22"/>
  <c r="S1688" i="22"/>
  <c r="T1687" i="22"/>
  <c r="S1687" i="22"/>
  <c r="T1686" i="22"/>
  <c r="S1686" i="22"/>
  <c r="T1685" i="22"/>
  <c r="S1685" i="22"/>
  <c r="T1684" i="22"/>
  <c r="S1684" i="22"/>
  <c r="T1683" i="22"/>
  <c r="S1683" i="22"/>
  <c r="T1682" i="22"/>
  <c r="S1682" i="22"/>
  <c r="S1363" i="22"/>
  <c r="S1356" i="22"/>
  <c r="T1342" i="22"/>
  <c r="T1368" i="22"/>
  <c r="S1368" i="22"/>
  <c r="T1367" i="22"/>
  <c r="S1367" i="22"/>
  <c r="T1366" i="22"/>
  <c r="S1366" i="22"/>
  <c r="T1365" i="22"/>
  <c r="S1365" i="22"/>
  <c r="T1364" i="22"/>
  <c r="S1364" i="22"/>
  <c r="T1363" i="22"/>
  <c r="S1342" i="22"/>
  <c r="T1362" i="22"/>
  <c r="S1362" i="22"/>
  <c r="T1361" i="22"/>
  <c r="S1361" i="22"/>
  <c r="T1360" i="22"/>
  <c r="T1355" i="22"/>
  <c r="S1360" i="22"/>
  <c r="T1359" i="22"/>
  <c r="S1359" i="22"/>
  <c r="T1358" i="22"/>
  <c r="S1358" i="22"/>
  <c r="T1357" i="22"/>
  <c r="S1357" i="22"/>
  <c r="T1356"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037" i="22"/>
  <c r="S1039" i="22"/>
  <c r="T1038" i="22"/>
  <c r="S1038" i="22"/>
  <c r="T1044" i="22"/>
  <c r="S1044" i="22"/>
  <c r="T1043" i="22"/>
  <c r="S1043" i="22"/>
  <c r="T1042" i="22"/>
  <c r="S1042" i="22"/>
  <c r="T1041" i="22"/>
  <c r="S1041" i="22"/>
  <c r="T1040" i="22"/>
  <c r="S1040" i="22"/>
  <c r="T1039" i="22"/>
  <c r="S1037" i="22"/>
  <c r="T1036" i="22"/>
  <c r="S1036" i="22"/>
  <c r="T1035" i="22"/>
  <c r="S1035" i="22"/>
  <c r="T1034" i="22"/>
  <c r="S1034" i="22"/>
  <c r="T1033" i="22"/>
  <c r="S1033" i="22"/>
  <c r="T1032" i="22"/>
  <c r="S1032" i="22"/>
  <c r="T1031" i="22"/>
  <c r="S1031" i="22"/>
  <c r="T1030" i="22"/>
  <c r="S1030" i="22"/>
  <c r="S720" i="22"/>
  <c r="T720" i="22"/>
  <c r="S719" i="22"/>
  <c r="T719" i="22"/>
  <c r="S424" i="22"/>
  <c r="T424" i="22"/>
  <c r="S425" i="22"/>
  <c r="T425" i="22"/>
  <c r="S426" i="22"/>
  <c r="T426" i="22"/>
  <c r="S427" i="22"/>
  <c r="T427" i="22"/>
  <c r="S428" i="22"/>
  <c r="T428" i="22"/>
  <c r="S429" i="22"/>
  <c r="T429" i="22"/>
  <c r="S430" i="22"/>
  <c r="T430" i="22"/>
  <c r="S431" i="22"/>
  <c r="T431" i="22"/>
  <c r="T432" i="22"/>
  <c r="S433" i="22"/>
  <c r="T433" i="22"/>
  <c r="S434" i="22"/>
  <c r="T434" i="22"/>
  <c r="S435" i="22"/>
  <c r="T435" i="22"/>
  <c r="S436" i="22"/>
  <c r="T436" i="22"/>
  <c r="S437" i="22"/>
  <c r="T437" i="22"/>
  <c r="S438" i="22"/>
  <c r="T438" i="22"/>
  <c r="S439" i="22"/>
  <c r="S440" i="22"/>
  <c r="T439" i="22"/>
  <c r="T440" i="22"/>
  <c r="S441" i="22"/>
  <c r="T441" i="22"/>
  <c r="S442" i="22"/>
  <c r="T442" i="22"/>
  <c r="S443" i="22"/>
  <c r="T443" i="22"/>
  <c r="S444" i="22"/>
  <c r="T444" i="22"/>
  <c r="S445" i="22"/>
  <c r="T445" i="22"/>
  <c r="S446" i="22"/>
  <c r="T446" i="22"/>
  <c r="S447" i="22"/>
  <c r="T447" i="22"/>
  <c r="S448" i="22"/>
  <c r="T448" i="22"/>
  <c r="S449" i="22"/>
  <c r="T449" i="22"/>
  <c r="S450" i="22"/>
  <c r="T450" i="22"/>
  <c r="S43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T422" i="22"/>
  <c r="S423" i="22"/>
  <c r="T423" i="22"/>
  <c r="AL10" i="22"/>
  <c r="AK10" i="22"/>
  <c r="T101" i="22"/>
  <c r="S101" i="22"/>
  <c r="T100" i="22"/>
  <c r="S100" i="22"/>
  <c r="S99" i="22"/>
  <c r="T99" i="22"/>
  <c r="S104" i="22"/>
  <c r="T103" i="22"/>
  <c r="S103" i="22"/>
  <c r="T102" i="22"/>
  <c r="S102" i="22"/>
  <c r="L7" i="4"/>
  <c r="E33" i="19"/>
  <c r="G33" i="19" s="1"/>
  <c r="E35" i="19"/>
  <c r="G35" i="19" s="1"/>
  <c r="E44" i="19"/>
  <c r="G44" i="19" s="1"/>
  <c r="A4268" i="22"/>
  <c r="A74" i="5"/>
  <c r="C74" i="5"/>
  <c r="B74" i="5"/>
  <c r="E34" i="19"/>
  <c r="G34" i="19" s="1"/>
  <c r="E46" i="19"/>
  <c r="G46" i="19" s="1"/>
  <c r="E45" i="19"/>
  <c r="G45" i="19" s="1"/>
  <c r="E42" i="19"/>
  <c r="G42" i="19" s="1"/>
  <c r="B1595" i="23"/>
  <c r="E1594" i="23"/>
  <c r="C1594" i="23"/>
  <c r="D1594" i="23" s="1"/>
  <c r="F1594" i="23"/>
  <c r="G1594" i="23"/>
  <c r="C1591" i="23"/>
  <c r="K1594"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E1482" i="23"/>
  <c r="B1483" i="23"/>
  <c r="G1482" i="23"/>
  <c r="C1482" i="23"/>
  <c r="G1426" i="23"/>
  <c r="B1427" i="23"/>
  <c r="C1426" i="23"/>
  <c r="E1426" i="23"/>
  <c r="G1370" i="23"/>
  <c r="E1370" i="23"/>
  <c r="C1370" i="23"/>
  <c r="D1370" i="23" s="1"/>
  <c r="F1370" i="23"/>
  <c r="B1371" i="23"/>
  <c r="C1314" i="23"/>
  <c r="D1314" i="23" s="1"/>
  <c r="E1314" i="23"/>
  <c r="B1315" i="23"/>
  <c r="G1314" i="23"/>
  <c r="F1314" i="23"/>
  <c r="B1259" i="23"/>
  <c r="C1258" i="23"/>
  <c r="D1258" i="23" s="1"/>
  <c r="E1258" i="23"/>
  <c r="F1258" i="23"/>
  <c r="G1258" i="23"/>
  <c r="B1203" i="23"/>
  <c r="C1202" i="23"/>
  <c r="D1202" i="23" s="1"/>
  <c r="E1202" i="23"/>
  <c r="F1202" i="23"/>
  <c r="G1202" i="23"/>
  <c r="E1146" i="23"/>
  <c r="C1146" i="23"/>
  <c r="G1146" i="23"/>
  <c r="B1147" i="23"/>
  <c r="E1090" i="23"/>
  <c r="B1091" i="23"/>
  <c r="G1090" i="23"/>
  <c r="P1090" i="23" s="1"/>
  <c r="C1090" i="23"/>
  <c r="E1034" i="23"/>
  <c r="C1034" i="23"/>
  <c r="D1034" i="23" s="1"/>
  <c r="B1035" i="23"/>
  <c r="G1034" i="23"/>
  <c r="F1034" i="23"/>
  <c r="B979" i="23"/>
  <c r="G978" i="23"/>
  <c r="E978" i="23"/>
  <c r="C978" i="23"/>
  <c r="G922" i="23"/>
  <c r="B923" i="23"/>
  <c r="E922" i="23"/>
  <c r="C922" i="23"/>
  <c r="E866" i="23"/>
  <c r="G866" i="23"/>
  <c r="B867" i="23"/>
  <c r="C866" i="23"/>
  <c r="D866" i="23" s="1"/>
  <c r="F866" i="23"/>
  <c r="C810" i="23"/>
  <c r="D810" i="23" s="1"/>
  <c r="B811" i="23"/>
  <c r="G810" i="23"/>
  <c r="R810" i="23" s="1"/>
  <c r="F810" i="23"/>
  <c r="E810" i="23"/>
  <c r="G754" i="23"/>
  <c r="R754" i="23" s="1"/>
  <c r="E754" i="23"/>
  <c r="B755" i="23"/>
  <c r="C754" i="23"/>
  <c r="D754" i="23" s="1"/>
  <c r="F754" i="23"/>
  <c r="C698" i="23"/>
  <c r="D698" i="23" s="1"/>
  <c r="E698" i="23"/>
  <c r="F698" i="23"/>
  <c r="B699" i="23"/>
  <c r="G698" i="23"/>
  <c r="B643" i="23"/>
  <c r="E642" i="23"/>
  <c r="C642" i="23"/>
  <c r="D642" i="23" s="1"/>
  <c r="F642" i="23"/>
  <c r="G642" i="23"/>
  <c r="C586" i="23"/>
  <c r="D586" i="23" s="1"/>
  <c r="G586" i="23"/>
  <c r="F586" i="23"/>
  <c r="B587" i="23"/>
  <c r="E586" i="23"/>
  <c r="G530" i="23"/>
  <c r="B531" i="23"/>
  <c r="C530" i="23"/>
  <c r="E530" i="23"/>
  <c r="C474" i="23"/>
  <c r="D474" i="23" s="1"/>
  <c r="E474" i="23"/>
  <c r="F474" i="23"/>
  <c r="G474" i="23"/>
  <c r="B475" i="23"/>
  <c r="C418" i="23"/>
  <c r="D418" i="23" s="1"/>
  <c r="E418" i="23"/>
  <c r="F418" i="23"/>
  <c r="G418" i="23"/>
  <c r="P418" i="23" s="1"/>
  <c r="B419" i="23"/>
  <c r="C362" i="23"/>
  <c r="D362" i="23" s="1"/>
  <c r="B363" i="23"/>
  <c r="G362" i="23"/>
  <c r="P362" i="23" s="1"/>
  <c r="F362" i="23"/>
  <c r="E362" i="23"/>
  <c r="B307" i="23"/>
  <c r="G306" i="23"/>
  <c r="P306" i="23" s="1"/>
  <c r="C306" i="23"/>
  <c r="E306" i="23"/>
  <c r="G250" i="23"/>
  <c r="P250" i="23" s="1"/>
  <c r="B251" i="23"/>
  <c r="E250" i="23"/>
  <c r="C250" i="23"/>
  <c r="D250" i="23" s="1"/>
  <c r="F250" i="23"/>
  <c r="C243" i="23"/>
  <c r="E243" i="23"/>
  <c r="F243" i="23"/>
  <c r="G243" i="23"/>
  <c r="H243" i="23"/>
  <c r="D243" i="23"/>
  <c r="B243" i="23"/>
  <c r="C242" i="23"/>
  <c r="F242" i="23"/>
  <c r="H242" i="23"/>
  <c r="D242" i="23"/>
  <c r="E242" i="23"/>
  <c r="B242" i="23"/>
  <c r="G242" i="23"/>
  <c r="B241" i="23"/>
  <c r="H241" i="23"/>
  <c r="G241" i="23"/>
  <c r="D241" i="23"/>
  <c r="F241" i="23"/>
  <c r="E241" i="23"/>
  <c r="C241" i="23"/>
  <c r="D240" i="23"/>
  <c r="E240" i="23"/>
  <c r="F240" i="23"/>
  <c r="H240" i="23"/>
  <c r="C240" i="23"/>
  <c r="G240" i="23"/>
  <c r="B240" i="23"/>
  <c r="E239" i="23"/>
  <c r="D239" i="23"/>
  <c r="C239" i="23"/>
  <c r="B239" i="23"/>
  <c r="F239" i="23"/>
  <c r="G239" i="23"/>
  <c r="H239" i="23"/>
  <c r="F238" i="23"/>
  <c r="G238" i="23"/>
  <c r="H238" i="23"/>
  <c r="D238" i="23"/>
  <c r="B238" i="23"/>
  <c r="C238" i="23"/>
  <c r="E238" i="23"/>
  <c r="E237" i="23"/>
  <c r="F237" i="23"/>
  <c r="G237" i="23"/>
  <c r="H237" i="23"/>
  <c r="B237" i="23"/>
  <c r="C237" i="23"/>
  <c r="D237" i="23"/>
  <c r="G236" i="23"/>
  <c r="E236" i="23"/>
  <c r="H236" i="23"/>
  <c r="C236" i="23"/>
  <c r="F236" i="23"/>
  <c r="D236" i="23"/>
  <c r="B236" i="23"/>
  <c r="E235" i="23"/>
  <c r="C235" i="23"/>
  <c r="B235" i="23"/>
  <c r="D235" i="23"/>
  <c r="H235" i="23"/>
  <c r="G235" i="23"/>
  <c r="F235" i="23"/>
  <c r="F234" i="23"/>
  <c r="H234" i="23"/>
  <c r="G234" i="23"/>
  <c r="E234" i="23"/>
  <c r="D234" i="23"/>
  <c r="C234" i="23"/>
  <c r="B234" i="23"/>
  <c r="E233" i="23"/>
  <c r="H233" i="23"/>
  <c r="G233" i="23"/>
  <c r="F233" i="23"/>
  <c r="D233" i="23"/>
  <c r="C233" i="23"/>
  <c r="B233" i="23"/>
  <c r="B232" i="23"/>
  <c r="C232" i="23"/>
  <c r="D232" i="23"/>
  <c r="E232" i="23"/>
  <c r="F232" i="23"/>
  <c r="G232" i="23"/>
  <c r="H232" i="23"/>
  <c r="C231" i="23"/>
  <c r="H231" i="23"/>
  <c r="B231" i="23"/>
  <c r="D231" i="23"/>
  <c r="F231" i="23"/>
  <c r="G231" i="23"/>
  <c r="E231" i="23"/>
  <c r="H230" i="23"/>
  <c r="F230" i="23"/>
  <c r="E230" i="23"/>
  <c r="B230" i="23"/>
  <c r="G230" i="23"/>
  <c r="D230" i="23"/>
  <c r="C230" i="23"/>
  <c r="B229" i="23"/>
  <c r="C229" i="23"/>
  <c r="D229" i="23"/>
  <c r="E229" i="23"/>
  <c r="G229" i="23"/>
  <c r="H229" i="23"/>
  <c r="F229" i="23"/>
  <c r="C228" i="23"/>
  <c r="D228" i="23"/>
  <c r="E228" i="23"/>
  <c r="F228" i="23"/>
  <c r="G228" i="23"/>
  <c r="H228" i="23"/>
  <c r="B228" i="23"/>
  <c r="E227" i="23"/>
  <c r="B227" i="23"/>
  <c r="C227" i="23"/>
  <c r="H227" i="23"/>
  <c r="D227" i="23"/>
  <c r="F227" i="23"/>
  <c r="G227" i="23"/>
  <c r="G226" i="23"/>
  <c r="H226" i="23"/>
  <c r="B226" i="23"/>
  <c r="C226" i="23"/>
  <c r="D226" i="23"/>
  <c r="F226" i="23"/>
  <c r="E226" i="23"/>
  <c r="E225" i="23"/>
  <c r="F225" i="23"/>
  <c r="G225" i="23"/>
  <c r="H225" i="23"/>
  <c r="B225" i="23"/>
  <c r="C225" i="23"/>
  <c r="D225" i="23"/>
  <c r="C224" i="23"/>
  <c r="F224" i="23"/>
  <c r="E224" i="23"/>
  <c r="D224" i="23"/>
  <c r="G224" i="23"/>
  <c r="H224" i="23"/>
  <c r="B224" i="23"/>
  <c r="F223" i="23"/>
  <c r="D223" i="23"/>
  <c r="B223" i="23"/>
  <c r="C223" i="23"/>
  <c r="H223" i="23"/>
  <c r="G223" i="23"/>
  <c r="E223" i="23"/>
  <c r="E222" i="23"/>
  <c r="H222" i="23"/>
  <c r="G222" i="23"/>
  <c r="D222" i="23"/>
  <c r="C222" i="23"/>
  <c r="B222" i="23"/>
  <c r="F222" i="23"/>
  <c r="H221" i="23"/>
  <c r="G221" i="23"/>
  <c r="E221" i="23"/>
  <c r="D221" i="23"/>
  <c r="C221" i="23"/>
  <c r="B221" i="23"/>
  <c r="F221" i="23"/>
  <c r="B220" i="23"/>
  <c r="F220" i="23"/>
  <c r="E220" i="23"/>
  <c r="D220" i="23"/>
  <c r="C220" i="23"/>
  <c r="G220" i="23"/>
  <c r="H220" i="23"/>
  <c r="F219" i="23"/>
  <c r="B219" i="23"/>
  <c r="C219" i="23"/>
  <c r="D219" i="23"/>
  <c r="E219" i="23"/>
  <c r="G219" i="23"/>
  <c r="H219" i="23"/>
  <c r="H218" i="23"/>
  <c r="G218" i="23"/>
  <c r="F218" i="23"/>
  <c r="E218" i="23"/>
  <c r="D218" i="23"/>
  <c r="C218" i="23"/>
  <c r="B218" i="23"/>
  <c r="H217" i="23"/>
  <c r="C217" i="23"/>
  <c r="B217" i="23"/>
  <c r="G217" i="23"/>
  <c r="F217" i="23"/>
  <c r="E217" i="23"/>
  <c r="D217" i="23"/>
  <c r="G216" i="23"/>
  <c r="F216" i="23"/>
  <c r="E216" i="23"/>
  <c r="D216" i="23"/>
  <c r="C216" i="23"/>
  <c r="B216" i="23"/>
  <c r="H216" i="23"/>
  <c r="H215" i="23"/>
  <c r="G215" i="23"/>
  <c r="D215" i="23"/>
  <c r="F215" i="23"/>
  <c r="C215" i="23"/>
  <c r="E215" i="23"/>
  <c r="B215" i="23"/>
  <c r="B214" i="23"/>
  <c r="H214" i="23"/>
  <c r="G214" i="23"/>
  <c r="F214" i="23"/>
  <c r="E214" i="23"/>
  <c r="D214" i="23"/>
  <c r="C214" i="23"/>
  <c r="D213" i="23"/>
  <c r="H213" i="23"/>
  <c r="G213" i="23"/>
  <c r="F213" i="23"/>
  <c r="E213" i="23"/>
  <c r="C213" i="23"/>
  <c r="B213" i="23"/>
  <c r="C212" i="23"/>
  <c r="G212" i="23"/>
  <c r="F212" i="23"/>
  <c r="E212" i="23"/>
  <c r="D212" i="23"/>
  <c r="B212" i="23"/>
  <c r="H212" i="23"/>
  <c r="H211" i="23"/>
  <c r="C211" i="23"/>
  <c r="E211" i="23"/>
  <c r="F211" i="23"/>
  <c r="B211" i="23"/>
  <c r="D211" i="23"/>
  <c r="G211" i="23"/>
  <c r="H210" i="23"/>
  <c r="G210" i="23"/>
  <c r="F210" i="23"/>
  <c r="E210" i="23"/>
  <c r="D210" i="23"/>
  <c r="C210" i="23"/>
  <c r="B210" i="23"/>
  <c r="C209" i="23"/>
  <c r="B209" i="23"/>
  <c r="H209" i="23"/>
  <c r="G209" i="23"/>
  <c r="F209" i="23"/>
  <c r="E209" i="23"/>
  <c r="D209" i="23"/>
  <c r="F208" i="23"/>
  <c r="E208" i="23"/>
  <c r="D208" i="23"/>
  <c r="C208" i="23"/>
  <c r="B208" i="23"/>
  <c r="H208" i="23"/>
  <c r="G208" i="23"/>
  <c r="H207" i="23"/>
  <c r="G207" i="23"/>
  <c r="D207" i="23"/>
  <c r="F207" i="23"/>
  <c r="E207" i="23"/>
  <c r="C207" i="23"/>
  <c r="B207" i="23"/>
  <c r="C206" i="23"/>
  <c r="B206" i="23"/>
  <c r="H206" i="23"/>
  <c r="G206" i="23"/>
  <c r="F206" i="23"/>
  <c r="D206" i="23"/>
  <c r="E206" i="23"/>
  <c r="E205" i="23"/>
  <c r="D205" i="23"/>
  <c r="C205" i="23"/>
  <c r="B205" i="23"/>
  <c r="H205" i="23"/>
  <c r="G205" i="23"/>
  <c r="F205" i="23"/>
  <c r="D204" i="23"/>
  <c r="E204" i="23"/>
  <c r="B204" i="23"/>
  <c r="H204" i="23"/>
  <c r="C204" i="23"/>
  <c r="G204" i="23"/>
  <c r="F204" i="23"/>
  <c r="C203" i="23"/>
  <c r="B203" i="23"/>
  <c r="H203" i="23"/>
  <c r="G203" i="23"/>
  <c r="F203" i="23"/>
  <c r="E203" i="23"/>
  <c r="D203" i="23"/>
  <c r="H202" i="23"/>
  <c r="G202" i="23"/>
  <c r="F202" i="23"/>
  <c r="B202" i="23"/>
  <c r="C202" i="23"/>
  <c r="D202" i="23"/>
  <c r="E202" i="23"/>
  <c r="B201" i="23"/>
  <c r="C201" i="23"/>
  <c r="D201" i="23"/>
  <c r="E201" i="23"/>
  <c r="F201" i="23"/>
  <c r="G201" i="23"/>
  <c r="H201" i="23"/>
  <c r="D200" i="23"/>
  <c r="E200" i="23"/>
  <c r="F200" i="23"/>
  <c r="G200" i="23"/>
  <c r="H200" i="23"/>
  <c r="B200" i="23"/>
  <c r="C200" i="23"/>
  <c r="H199" i="23"/>
  <c r="G199" i="23"/>
  <c r="F199" i="23"/>
  <c r="E199" i="23"/>
  <c r="D199" i="23"/>
  <c r="B199" i="23"/>
  <c r="C199" i="23"/>
  <c r="F198" i="23"/>
  <c r="C198" i="23"/>
  <c r="G198" i="23"/>
  <c r="H198" i="23"/>
  <c r="D198" i="23"/>
  <c r="B198" i="23"/>
  <c r="E198" i="23"/>
  <c r="D197" i="23"/>
  <c r="H197" i="23"/>
  <c r="G197" i="23"/>
  <c r="F197" i="23"/>
  <c r="E197" i="23"/>
  <c r="C197" i="23"/>
  <c r="B197" i="23"/>
  <c r="E196" i="23"/>
  <c r="D196" i="23"/>
  <c r="H196" i="23"/>
  <c r="B196" i="23"/>
  <c r="G196" i="23"/>
  <c r="F196" i="23"/>
  <c r="C196" i="23"/>
  <c r="D195" i="23"/>
  <c r="C195" i="23"/>
  <c r="E195" i="23"/>
  <c r="F195" i="23"/>
  <c r="G195" i="23"/>
  <c r="H195" i="23"/>
  <c r="B195" i="23"/>
  <c r="E194" i="23"/>
  <c r="C194" i="23"/>
  <c r="B194" i="23"/>
  <c r="D194" i="23"/>
  <c r="F194" i="23"/>
  <c r="G194" i="23"/>
  <c r="H194" i="23"/>
  <c r="F193" i="23"/>
  <c r="H193" i="23"/>
  <c r="G193" i="23"/>
  <c r="B193" i="23"/>
  <c r="C193" i="23"/>
  <c r="D193" i="23"/>
  <c r="E193" i="23"/>
  <c r="E192" i="23"/>
  <c r="F192" i="23"/>
  <c r="H192" i="23"/>
  <c r="G192" i="23"/>
  <c r="C192" i="23"/>
  <c r="D192" i="23"/>
  <c r="B192" i="23"/>
  <c r="B191" i="23"/>
  <c r="H191" i="23"/>
  <c r="G191" i="23"/>
  <c r="F191" i="23"/>
  <c r="E191" i="23"/>
  <c r="D191" i="23"/>
  <c r="C191" i="23"/>
  <c r="B190" i="23"/>
  <c r="H190" i="23"/>
  <c r="G190" i="23"/>
  <c r="F190" i="23"/>
  <c r="E190" i="23"/>
  <c r="D190" i="23"/>
  <c r="C190" i="23"/>
  <c r="E189" i="23"/>
  <c r="B189" i="23"/>
  <c r="C189" i="23"/>
  <c r="D189" i="23"/>
  <c r="F189" i="23"/>
  <c r="G189" i="23"/>
  <c r="H189" i="23"/>
  <c r="B188" i="23"/>
  <c r="C188" i="23"/>
  <c r="E188" i="23"/>
  <c r="H188" i="23"/>
  <c r="G188" i="23"/>
  <c r="F188" i="23"/>
  <c r="D188" i="23"/>
  <c r="C187" i="23"/>
  <c r="H187" i="23"/>
  <c r="G187" i="23"/>
  <c r="F187" i="23"/>
  <c r="E187" i="23"/>
  <c r="B187" i="23"/>
  <c r="D187" i="23"/>
  <c r="G186" i="23"/>
  <c r="H186" i="23"/>
  <c r="D186" i="23"/>
  <c r="C186" i="23"/>
  <c r="B186" i="23"/>
  <c r="F186" i="23"/>
  <c r="E186" i="23"/>
  <c r="H185" i="23"/>
  <c r="G185" i="23"/>
  <c r="F185" i="23"/>
  <c r="E185" i="23"/>
  <c r="D185" i="23"/>
  <c r="C185" i="23"/>
  <c r="B185" i="23"/>
  <c r="H184" i="23"/>
  <c r="G184" i="23"/>
  <c r="F184" i="23"/>
  <c r="E184" i="23"/>
  <c r="D184" i="23"/>
  <c r="C184" i="23"/>
  <c r="B184" i="23"/>
  <c r="D183" i="23"/>
  <c r="C183" i="23"/>
  <c r="B183" i="23"/>
  <c r="H183" i="23"/>
  <c r="G183" i="23"/>
  <c r="F183" i="23"/>
  <c r="E183" i="23"/>
  <c r="H182" i="23"/>
  <c r="F182" i="23"/>
  <c r="G182" i="23"/>
  <c r="E182" i="23"/>
  <c r="D182" i="23"/>
  <c r="B182" i="23"/>
  <c r="C182" i="23"/>
  <c r="D181" i="23"/>
  <c r="C181" i="23"/>
  <c r="B181" i="23"/>
  <c r="H181" i="23"/>
  <c r="G181" i="23"/>
  <c r="F181" i="23"/>
  <c r="E181" i="23"/>
  <c r="B180" i="23"/>
  <c r="D180" i="23"/>
  <c r="C180" i="23"/>
  <c r="F180" i="23"/>
  <c r="H180" i="23"/>
  <c r="G180" i="23"/>
  <c r="E180" i="23"/>
  <c r="C179" i="23"/>
  <c r="H179" i="23"/>
  <c r="B179" i="23"/>
  <c r="G179" i="23"/>
  <c r="F179" i="23"/>
  <c r="E179" i="23"/>
  <c r="D179" i="23"/>
  <c r="D178" i="23"/>
  <c r="C178" i="23"/>
  <c r="B178" i="23"/>
  <c r="H178" i="23"/>
  <c r="G178" i="23"/>
  <c r="F178" i="23"/>
  <c r="E178" i="23"/>
  <c r="D177" i="23"/>
  <c r="B177" i="23"/>
  <c r="C177" i="23"/>
  <c r="H177" i="23"/>
  <c r="G177" i="23"/>
  <c r="F177" i="23"/>
  <c r="E177" i="23"/>
  <c r="B176" i="23"/>
  <c r="C176" i="23"/>
  <c r="D176" i="23"/>
  <c r="E176" i="23"/>
  <c r="F176" i="23"/>
  <c r="H176" i="23"/>
  <c r="G176" i="23"/>
  <c r="H175" i="23"/>
  <c r="G175" i="23"/>
  <c r="F175" i="23"/>
  <c r="E175" i="23"/>
  <c r="D175" i="23"/>
  <c r="C175" i="23"/>
  <c r="B175" i="23"/>
  <c r="H174" i="23"/>
  <c r="G174" i="23"/>
  <c r="F174" i="23"/>
  <c r="E174" i="23"/>
  <c r="D174" i="23"/>
  <c r="C174" i="23"/>
  <c r="B174" i="23"/>
  <c r="F173" i="23"/>
  <c r="H173" i="23"/>
  <c r="G173" i="23"/>
  <c r="E173" i="23"/>
  <c r="D173" i="23"/>
  <c r="C173" i="23"/>
  <c r="B173" i="23"/>
  <c r="D172" i="23"/>
  <c r="B172" i="23"/>
  <c r="C172" i="23"/>
  <c r="H172" i="23"/>
  <c r="G172" i="23"/>
  <c r="F172" i="23"/>
  <c r="E172" i="23"/>
  <c r="C171" i="23"/>
  <c r="B171" i="23"/>
  <c r="F171" i="23"/>
  <c r="G171" i="23"/>
  <c r="H171" i="23"/>
  <c r="D171" i="23"/>
  <c r="E171" i="23"/>
  <c r="F170" i="23"/>
  <c r="G170" i="23"/>
  <c r="H170" i="23"/>
  <c r="B170" i="23"/>
  <c r="C170" i="23"/>
  <c r="D170" i="23"/>
  <c r="E170" i="23"/>
  <c r="H169" i="23"/>
  <c r="G169" i="23"/>
  <c r="F169" i="23"/>
  <c r="E169" i="23"/>
  <c r="D169" i="23"/>
  <c r="C169" i="23"/>
  <c r="B169" i="23"/>
  <c r="E168" i="23"/>
  <c r="H168" i="23"/>
  <c r="G168" i="23"/>
  <c r="F168" i="23"/>
  <c r="D168" i="23"/>
  <c r="C168" i="23"/>
  <c r="B168" i="23"/>
  <c r="D167" i="23"/>
  <c r="C167" i="23"/>
  <c r="B167" i="23"/>
  <c r="H167" i="23"/>
  <c r="G167" i="23"/>
  <c r="F167" i="23"/>
  <c r="E167" i="23"/>
  <c r="B166" i="23"/>
  <c r="G166" i="23"/>
  <c r="F166" i="23"/>
  <c r="E166" i="23"/>
  <c r="D166" i="23"/>
  <c r="C166" i="23"/>
  <c r="H166" i="23"/>
  <c r="D165" i="23"/>
  <c r="C165" i="23"/>
  <c r="B165" i="23"/>
  <c r="H165" i="23"/>
  <c r="G165" i="23"/>
  <c r="F165" i="23"/>
  <c r="E165" i="23"/>
  <c r="F164" i="23"/>
  <c r="H164" i="23"/>
  <c r="G164" i="23"/>
  <c r="E164" i="23"/>
  <c r="D164" i="23"/>
  <c r="C164" i="23"/>
  <c r="B164" i="23"/>
  <c r="H163" i="23"/>
  <c r="G163" i="23"/>
  <c r="F163" i="23"/>
  <c r="E163" i="23"/>
  <c r="D163" i="23"/>
  <c r="C163" i="23"/>
  <c r="B163" i="23"/>
  <c r="B162" i="23"/>
  <c r="C162" i="23"/>
  <c r="H162" i="23"/>
  <c r="F162" i="23"/>
  <c r="E162" i="23"/>
  <c r="D162" i="23"/>
  <c r="G162" i="23"/>
  <c r="G161" i="23"/>
  <c r="H161" i="23"/>
  <c r="B161" i="23"/>
  <c r="F161" i="23"/>
  <c r="E161" i="23"/>
  <c r="D161" i="23"/>
  <c r="C161" i="23"/>
  <c r="C160" i="23"/>
  <c r="H160" i="23"/>
  <c r="G160" i="23"/>
  <c r="F160" i="23"/>
  <c r="E160" i="23"/>
  <c r="D160" i="23"/>
  <c r="B160" i="23"/>
  <c r="B159" i="23"/>
  <c r="C159" i="23"/>
  <c r="H159" i="23"/>
  <c r="G159" i="23"/>
  <c r="F159" i="23"/>
  <c r="E159" i="23"/>
  <c r="D159" i="23"/>
  <c r="C158" i="23"/>
  <c r="E158" i="23"/>
  <c r="F158" i="23"/>
  <c r="G158" i="23"/>
  <c r="H158" i="23"/>
  <c r="D158" i="23"/>
  <c r="B158" i="23"/>
  <c r="C157" i="23"/>
  <c r="B157" i="23"/>
  <c r="F157" i="23"/>
  <c r="H157" i="23"/>
  <c r="G157" i="23"/>
  <c r="E157" i="23"/>
  <c r="D157" i="23"/>
  <c r="D156" i="23"/>
  <c r="H156" i="23"/>
  <c r="G156" i="23"/>
  <c r="F156" i="23"/>
  <c r="E156" i="23"/>
  <c r="C156" i="23"/>
  <c r="B156" i="23"/>
  <c r="D155" i="23"/>
  <c r="C155" i="23"/>
  <c r="B155" i="23"/>
  <c r="E155" i="23"/>
  <c r="H155" i="23"/>
  <c r="G155" i="23"/>
  <c r="F155" i="23"/>
  <c r="H154" i="23"/>
  <c r="G154" i="23"/>
  <c r="F154" i="23"/>
  <c r="E154" i="23"/>
  <c r="D154" i="23"/>
  <c r="C154" i="23"/>
  <c r="B154" i="23"/>
  <c r="C153" i="23"/>
  <c r="B153" i="23"/>
  <c r="E153" i="23"/>
  <c r="G153" i="23"/>
  <c r="H153" i="23"/>
  <c r="F153" i="23"/>
  <c r="D153" i="23"/>
  <c r="G152" i="23"/>
  <c r="E152" i="23"/>
  <c r="F152" i="23"/>
  <c r="H152" i="23"/>
  <c r="C152" i="23"/>
  <c r="B152" i="23"/>
  <c r="D152" i="23"/>
  <c r="B151" i="23"/>
  <c r="C151" i="23"/>
  <c r="D151" i="23"/>
  <c r="E151" i="23"/>
  <c r="F151" i="23"/>
  <c r="G151" i="23"/>
  <c r="H151" i="23"/>
  <c r="C150" i="23"/>
  <c r="B150" i="23"/>
  <c r="E150" i="23"/>
  <c r="D150" i="23"/>
  <c r="H150" i="23"/>
  <c r="G150" i="23"/>
  <c r="F150" i="23"/>
  <c r="H149" i="23"/>
  <c r="E149" i="23"/>
  <c r="C149" i="23"/>
  <c r="D149" i="23"/>
  <c r="F149" i="23"/>
  <c r="G149" i="23"/>
  <c r="B149" i="23"/>
  <c r="C148" i="23"/>
  <c r="F148" i="23"/>
  <c r="H148" i="23"/>
  <c r="G148" i="23"/>
  <c r="D148" i="23"/>
  <c r="E148" i="23"/>
  <c r="B148" i="23"/>
  <c r="D147" i="23"/>
  <c r="C147" i="23"/>
  <c r="B147" i="23"/>
  <c r="H147" i="23"/>
  <c r="G147" i="23"/>
  <c r="F147" i="23"/>
  <c r="E147" i="23"/>
  <c r="C146" i="23"/>
  <c r="H146" i="23"/>
  <c r="G146" i="23"/>
  <c r="F146" i="23"/>
  <c r="E146" i="23"/>
  <c r="D146" i="23"/>
  <c r="B146" i="23"/>
  <c r="B145" i="23"/>
  <c r="G145" i="23"/>
  <c r="F145" i="23"/>
  <c r="E145" i="23"/>
  <c r="D145" i="23"/>
  <c r="H145" i="23"/>
  <c r="C145" i="23"/>
  <c r="E144" i="23"/>
  <c r="D144" i="23"/>
  <c r="B144" i="23"/>
  <c r="H144" i="23"/>
  <c r="G144" i="23"/>
  <c r="C144" i="23"/>
  <c r="F144" i="23"/>
  <c r="D143" i="23"/>
  <c r="C143" i="23"/>
  <c r="B143" i="23"/>
  <c r="E143" i="23"/>
  <c r="F143" i="23"/>
  <c r="H143" i="23"/>
  <c r="G143" i="23"/>
  <c r="H142" i="23"/>
  <c r="G142" i="23"/>
  <c r="F142" i="23"/>
  <c r="D142" i="23"/>
  <c r="E142" i="23"/>
  <c r="B142" i="23"/>
  <c r="C142" i="23"/>
  <c r="C141" i="23"/>
  <c r="B141" i="23"/>
  <c r="D141" i="23"/>
  <c r="F141" i="23"/>
  <c r="E141" i="23"/>
  <c r="G141" i="23"/>
  <c r="H141" i="23"/>
  <c r="H140" i="23"/>
  <c r="F140" i="23"/>
  <c r="E140" i="23"/>
  <c r="D140" i="23"/>
  <c r="C140" i="23"/>
  <c r="B140" i="23"/>
  <c r="G140" i="23"/>
  <c r="E139" i="23"/>
  <c r="G139" i="23"/>
  <c r="H139" i="23"/>
  <c r="D139" i="23"/>
  <c r="F139" i="23"/>
  <c r="B139" i="23"/>
  <c r="C139" i="23"/>
  <c r="G138" i="23"/>
  <c r="B138" i="23"/>
  <c r="C138" i="23"/>
  <c r="H138" i="23"/>
  <c r="D138" i="23"/>
  <c r="E138" i="23"/>
  <c r="F138" i="23"/>
  <c r="D137" i="23"/>
  <c r="B137" i="23"/>
  <c r="F137" i="23"/>
  <c r="G137" i="23"/>
  <c r="C137" i="23"/>
  <c r="H137" i="23"/>
  <c r="E137" i="23"/>
  <c r="B136" i="23"/>
  <c r="H136" i="23"/>
  <c r="E136" i="23"/>
  <c r="G136" i="23"/>
  <c r="F136" i="23"/>
  <c r="C136" i="23"/>
  <c r="D136" i="23"/>
  <c r="H135" i="23"/>
  <c r="G135" i="23"/>
  <c r="F135" i="23"/>
  <c r="E135" i="23"/>
  <c r="D135" i="23"/>
  <c r="B135" i="23"/>
  <c r="C135" i="23"/>
  <c r="G134" i="23"/>
  <c r="F134" i="23"/>
  <c r="E134" i="23"/>
  <c r="D134" i="23"/>
  <c r="C134" i="23"/>
  <c r="B134" i="23"/>
  <c r="H134" i="23"/>
  <c r="B133" i="23"/>
  <c r="H133" i="23"/>
  <c r="G133" i="23"/>
  <c r="F133" i="23"/>
  <c r="E133" i="23"/>
  <c r="D133" i="23"/>
  <c r="C133" i="23"/>
  <c r="B132" i="23"/>
  <c r="C132" i="23"/>
  <c r="D132" i="23"/>
  <c r="G132" i="23"/>
  <c r="H132" i="23"/>
  <c r="F132" i="23"/>
  <c r="E132" i="23"/>
  <c r="B131" i="23"/>
  <c r="C131" i="23"/>
  <c r="G131" i="23"/>
  <c r="D131" i="23"/>
  <c r="E131" i="23"/>
  <c r="F131" i="23"/>
  <c r="H131" i="23"/>
  <c r="B130" i="23"/>
  <c r="E130" i="23"/>
  <c r="G130" i="23"/>
  <c r="H130" i="23"/>
  <c r="F130" i="23"/>
  <c r="C130" i="23"/>
  <c r="D130" i="23"/>
  <c r="B129" i="23"/>
  <c r="F129" i="23"/>
  <c r="C129" i="23"/>
  <c r="D129" i="23"/>
  <c r="E129" i="23"/>
  <c r="H129" i="23"/>
  <c r="G129" i="23"/>
  <c r="D128" i="23"/>
  <c r="E128" i="23"/>
  <c r="F128" i="23"/>
  <c r="G128" i="23"/>
  <c r="H128" i="23"/>
  <c r="C128" i="23"/>
  <c r="B128" i="23"/>
  <c r="G127" i="23"/>
  <c r="B127" i="23"/>
  <c r="C127" i="23"/>
  <c r="D127" i="23"/>
  <c r="E127" i="23"/>
  <c r="F127" i="23"/>
  <c r="H127" i="23"/>
  <c r="B126" i="23"/>
  <c r="C126" i="23"/>
  <c r="D126" i="23"/>
  <c r="F126" i="23"/>
  <c r="G126" i="23"/>
  <c r="H126" i="23"/>
  <c r="E126" i="23"/>
  <c r="F125" i="23"/>
  <c r="G125" i="23"/>
  <c r="H125" i="23"/>
  <c r="D125" i="23"/>
  <c r="B125" i="23"/>
  <c r="C125" i="23"/>
  <c r="E125" i="23"/>
  <c r="F124" i="23"/>
  <c r="C124" i="23"/>
  <c r="E124" i="23"/>
  <c r="D124" i="23"/>
  <c r="B124" i="23"/>
  <c r="H124" i="23"/>
  <c r="G124" i="23"/>
  <c r="G123" i="23"/>
  <c r="E123" i="23"/>
  <c r="D123" i="23"/>
  <c r="C123" i="23"/>
  <c r="F123" i="23"/>
  <c r="B123" i="23"/>
  <c r="H123" i="23"/>
  <c r="H122" i="23"/>
  <c r="G122" i="23"/>
  <c r="F122" i="23"/>
  <c r="E122" i="23"/>
  <c r="D122" i="23"/>
  <c r="C122" i="23"/>
  <c r="B122" i="23"/>
  <c r="E121" i="23"/>
  <c r="F121" i="23"/>
  <c r="G121" i="23"/>
  <c r="D121" i="23"/>
  <c r="B121" i="23"/>
  <c r="C121" i="23"/>
  <c r="H121" i="23"/>
  <c r="H120" i="23"/>
  <c r="G120" i="23"/>
  <c r="F120" i="23"/>
  <c r="E120" i="23"/>
  <c r="D120" i="23"/>
  <c r="C120" i="23"/>
  <c r="B120" i="23"/>
  <c r="D119" i="23"/>
  <c r="C119" i="23"/>
  <c r="B119" i="23"/>
  <c r="G119" i="23"/>
  <c r="E119" i="23"/>
  <c r="F119" i="23"/>
  <c r="H119" i="23"/>
  <c r="E118" i="23"/>
  <c r="D118" i="23"/>
  <c r="C118" i="23"/>
  <c r="B118" i="23"/>
  <c r="H118" i="23"/>
  <c r="G118" i="23"/>
  <c r="F118" i="23"/>
  <c r="H117" i="23"/>
  <c r="G117" i="23"/>
  <c r="E117" i="23"/>
  <c r="D117" i="23"/>
  <c r="C117" i="23"/>
  <c r="B117" i="23"/>
  <c r="F117" i="23"/>
  <c r="H116" i="23"/>
  <c r="G116" i="23"/>
  <c r="E116" i="23"/>
  <c r="D116" i="23"/>
  <c r="C116" i="23"/>
  <c r="B116" i="23"/>
  <c r="F116" i="23"/>
  <c r="B115" i="23"/>
  <c r="C115" i="23"/>
  <c r="D115" i="23"/>
  <c r="E115" i="23"/>
  <c r="F115" i="23"/>
  <c r="H115" i="23"/>
  <c r="G115" i="23"/>
  <c r="H114" i="23"/>
  <c r="F114" i="23"/>
  <c r="B114" i="23"/>
  <c r="C114" i="23"/>
  <c r="D114" i="23"/>
  <c r="E114" i="23"/>
  <c r="G114" i="23"/>
  <c r="F113" i="23"/>
  <c r="E113" i="23"/>
  <c r="D113" i="23"/>
  <c r="C113" i="23"/>
  <c r="B113" i="23"/>
  <c r="G113" i="23"/>
  <c r="H113" i="23"/>
  <c r="H112" i="23"/>
  <c r="F112" i="23"/>
  <c r="E112" i="23"/>
  <c r="D112" i="23"/>
  <c r="C112" i="23"/>
  <c r="B112" i="23"/>
  <c r="G112" i="23"/>
  <c r="H111" i="23"/>
  <c r="G111" i="23"/>
  <c r="F111" i="23"/>
  <c r="E111" i="23"/>
  <c r="B111" i="23"/>
  <c r="C111" i="23"/>
  <c r="D111" i="23"/>
  <c r="C110" i="23"/>
  <c r="B110" i="23"/>
  <c r="E110" i="23"/>
  <c r="D110" i="23"/>
  <c r="F110" i="23"/>
  <c r="G110" i="23"/>
  <c r="H110" i="23"/>
  <c r="H109" i="23"/>
  <c r="G109" i="23"/>
  <c r="F109" i="23"/>
  <c r="E109" i="23"/>
  <c r="D109" i="23"/>
  <c r="C109" i="23"/>
  <c r="B109" i="23"/>
  <c r="H108" i="23"/>
  <c r="G108" i="23"/>
  <c r="F108" i="23"/>
  <c r="D108" i="23"/>
  <c r="C108" i="23"/>
  <c r="B108" i="23"/>
  <c r="E108" i="23"/>
  <c r="E107" i="23"/>
  <c r="F107" i="23"/>
  <c r="G107" i="23"/>
  <c r="H107" i="23"/>
  <c r="B107" i="23"/>
  <c r="C107" i="23"/>
  <c r="D107" i="23"/>
  <c r="D106" i="23"/>
  <c r="B106" i="23"/>
  <c r="C106" i="23"/>
  <c r="E106" i="23"/>
  <c r="F106" i="23"/>
  <c r="G106" i="23"/>
  <c r="H106" i="23"/>
  <c r="B105" i="23"/>
  <c r="C105" i="23"/>
  <c r="D105" i="23"/>
  <c r="E105" i="23"/>
  <c r="F105" i="23"/>
  <c r="G105" i="23"/>
  <c r="H105" i="23"/>
  <c r="F104" i="23"/>
  <c r="E104" i="23"/>
  <c r="B104" i="23"/>
  <c r="C104" i="23"/>
  <c r="D104" i="23"/>
  <c r="G104" i="23"/>
  <c r="H104" i="23"/>
  <c r="B103" i="23"/>
  <c r="D103" i="23"/>
  <c r="C103" i="23"/>
  <c r="H103" i="23"/>
  <c r="G103" i="23"/>
  <c r="F103" i="23"/>
  <c r="E103" i="23"/>
  <c r="E102" i="23"/>
  <c r="D102" i="23"/>
  <c r="C102" i="23"/>
  <c r="B102" i="23"/>
  <c r="F102" i="23"/>
  <c r="H102" i="23"/>
  <c r="G102" i="23"/>
  <c r="B101" i="23"/>
  <c r="H101" i="23"/>
  <c r="E101" i="23"/>
  <c r="G101" i="23"/>
  <c r="F101" i="23"/>
  <c r="C101" i="23"/>
  <c r="D101" i="23"/>
  <c r="D100" i="23"/>
  <c r="H100" i="23"/>
  <c r="G100" i="23"/>
  <c r="F100" i="23"/>
  <c r="E100" i="23"/>
  <c r="B100" i="23"/>
  <c r="C100" i="23"/>
  <c r="F99" i="23"/>
  <c r="C99" i="23"/>
  <c r="H99" i="23"/>
  <c r="G99" i="23"/>
  <c r="D99" i="23"/>
  <c r="E99" i="23"/>
  <c r="B99" i="23"/>
  <c r="B98" i="23"/>
  <c r="C98" i="23"/>
  <c r="G98" i="23"/>
  <c r="E98" i="23"/>
  <c r="F98" i="23"/>
  <c r="H98" i="23"/>
  <c r="D98" i="23"/>
  <c r="D97" i="23"/>
  <c r="E97" i="23"/>
  <c r="F97" i="23"/>
  <c r="G97" i="23"/>
  <c r="H97" i="23"/>
  <c r="C97" i="23"/>
  <c r="B97" i="23"/>
  <c r="G96" i="23"/>
  <c r="F96" i="23"/>
  <c r="E96" i="23"/>
  <c r="D96" i="23"/>
  <c r="C96" i="23"/>
  <c r="B96" i="23"/>
  <c r="H96" i="23"/>
  <c r="H95" i="23"/>
  <c r="C95" i="23"/>
  <c r="E95" i="23"/>
  <c r="F95" i="23"/>
  <c r="G95" i="23"/>
  <c r="D95" i="23"/>
  <c r="B95" i="23"/>
  <c r="B94" i="23"/>
  <c r="C94" i="23"/>
  <c r="D94" i="23"/>
  <c r="E94" i="23"/>
  <c r="F94" i="23"/>
  <c r="G94" i="23"/>
  <c r="H94" i="23"/>
  <c r="C93" i="23"/>
  <c r="B93" i="23"/>
  <c r="D93" i="23"/>
  <c r="E93" i="23"/>
  <c r="F93" i="23"/>
  <c r="G93" i="23"/>
  <c r="H93" i="23"/>
  <c r="H92" i="23"/>
  <c r="G92" i="23"/>
  <c r="E92" i="23"/>
  <c r="D92" i="23"/>
  <c r="C92" i="23"/>
  <c r="B92" i="23"/>
  <c r="F92" i="23"/>
  <c r="G91" i="23"/>
  <c r="F91" i="23"/>
  <c r="E91" i="23"/>
  <c r="D91" i="23"/>
  <c r="B91" i="23"/>
  <c r="C91" i="23"/>
  <c r="H91" i="23"/>
  <c r="H90" i="23"/>
  <c r="C90" i="23"/>
  <c r="G90" i="23"/>
  <c r="B90" i="23"/>
  <c r="D90" i="23"/>
  <c r="E90" i="23"/>
  <c r="F90" i="23"/>
  <c r="B89" i="23"/>
  <c r="C89" i="23"/>
  <c r="D89" i="23"/>
  <c r="E89" i="23"/>
  <c r="F89" i="23"/>
  <c r="G89" i="23"/>
  <c r="H89" i="23"/>
  <c r="F88" i="23"/>
  <c r="B88" i="23"/>
  <c r="C88" i="23"/>
  <c r="D88" i="23"/>
  <c r="E88" i="23"/>
  <c r="G88" i="23"/>
  <c r="H88" i="23"/>
  <c r="E87" i="23"/>
  <c r="D87" i="23"/>
  <c r="B87" i="23"/>
  <c r="C87" i="23"/>
  <c r="H87" i="23"/>
  <c r="G87" i="23"/>
  <c r="F87" i="23"/>
  <c r="F86" i="23"/>
  <c r="H86" i="23"/>
  <c r="G86" i="23"/>
  <c r="E86" i="23"/>
  <c r="D86" i="23"/>
  <c r="C86" i="23"/>
  <c r="B86" i="23"/>
  <c r="G85" i="23"/>
  <c r="B85" i="23"/>
  <c r="C85" i="23"/>
  <c r="D85" i="23"/>
  <c r="E85" i="23"/>
  <c r="F85" i="23"/>
  <c r="H85" i="23"/>
  <c r="B84" i="23"/>
  <c r="C84" i="23"/>
  <c r="D84" i="23"/>
  <c r="E84" i="23"/>
  <c r="F84" i="23"/>
  <c r="G84" i="23"/>
  <c r="H84" i="23"/>
  <c r="B83" i="23"/>
  <c r="C83" i="23"/>
  <c r="D83" i="23"/>
  <c r="E83" i="23"/>
  <c r="F83" i="23"/>
  <c r="G83" i="23"/>
  <c r="H83" i="23"/>
  <c r="H82" i="23"/>
  <c r="G82" i="23"/>
  <c r="F82" i="23"/>
  <c r="E82" i="23"/>
  <c r="D82" i="23"/>
  <c r="C82" i="23"/>
  <c r="B82" i="23"/>
  <c r="C81" i="23"/>
  <c r="D81" i="23"/>
  <c r="B81" i="23"/>
  <c r="F81" i="23"/>
  <c r="G81" i="23"/>
  <c r="E81" i="23"/>
  <c r="H81" i="23"/>
  <c r="B80" i="23"/>
  <c r="C80" i="23"/>
  <c r="D80" i="23"/>
  <c r="E80" i="23"/>
  <c r="G80" i="23"/>
  <c r="H80" i="23"/>
  <c r="F80" i="23"/>
  <c r="G79" i="23"/>
  <c r="H79" i="23"/>
  <c r="B79" i="23"/>
  <c r="C79" i="23"/>
  <c r="D79" i="23"/>
  <c r="E79" i="23"/>
  <c r="F79" i="23"/>
  <c r="D78" i="23"/>
  <c r="E78" i="23"/>
  <c r="F78" i="23"/>
  <c r="G78" i="23"/>
  <c r="H78" i="23"/>
  <c r="B78" i="23"/>
  <c r="C78" i="23"/>
  <c r="E77" i="23"/>
  <c r="H77" i="23"/>
  <c r="G77" i="23"/>
  <c r="F77" i="23"/>
  <c r="D77" i="23"/>
  <c r="C77" i="23"/>
  <c r="B77" i="23"/>
  <c r="F76" i="23"/>
  <c r="E76" i="23"/>
  <c r="D76" i="23"/>
  <c r="C76" i="23"/>
  <c r="B76" i="23"/>
  <c r="H76" i="23"/>
  <c r="G76" i="23"/>
  <c r="E75" i="23"/>
  <c r="H75" i="23"/>
  <c r="G75" i="23"/>
  <c r="F75" i="23"/>
  <c r="D75" i="23"/>
  <c r="C75" i="23"/>
  <c r="B75" i="23"/>
  <c r="H74" i="23"/>
  <c r="G74" i="23"/>
  <c r="F74" i="23"/>
  <c r="E74" i="23"/>
  <c r="D74" i="23"/>
  <c r="C74" i="23"/>
  <c r="B74" i="23"/>
  <c r="F73" i="23"/>
  <c r="G73" i="23"/>
  <c r="C73" i="23"/>
  <c r="B73" i="23"/>
  <c r="H73" i="23"/>
  <c r="D73" i="23"/>
  <c r="E73" i="23"/>
  <c r="H72" i="23"/>
  <c r="G72" i="23"/>
  <c r="F72" i="23"/>
  <c r="E72" i="23"/>
  <c r="D72" i="23"/>
  <c r="C72" i="23"/>
  <c r="B72" i="23"/>
  <c r="H71" i="23"/>
  <c r="G71" i="23"/>
  <c r="F71" i="23"/>
  <c r="D71" i="23"/>
  <c r="C71" i="23"/>
  <c r="B71" i="23"/>
  <c r="E71" i="23"/>
  <c r="H70" i="23"/>
  <c r="G70" i="23"/>
  <c r="B70" i="23"/>
  <c r="D70" i="23"/>
  <c r="C70" i="23"/>
  <c r="E70" i="23"/>
  <c r="F70" i="23"/>
  <c r="H69" i="23"/>
  <c r="F69" i="23"/>
  <c r="D69" i="23"/>
  <c r="C69" i="23"/>
  <c r="G69" i="23"/>
  <c r="B69" i="23"/>
  <c r="E69" i="23"/>
  <c r="G68" i="23"/>
  <c r="H68" i="23"/>
  <c r="B68" i="23"/>
  <c r="C68" i="23"/>
  <c r="D68" i="23"/>
  <c r="E68" i="23"/>
  <c r="F68" i="23"/>
  <c r="B67" i="23"/>
  <c r="C67" i="23" s="1"/>
  <c r="E67" i="23"/>
  <c r="D67" i="23"/>
  <c r="D66" i="23"/>
  <c r="E66" i="23"/>
  <c r="B66" i="23"/>
  <c r="C66" i="23" s="1"/>
  <c r="D65" i="23"/>
  <c r="B65" i="23"/>
  <c r="C65" i="23" s="1"/>
  <c r="E65" i="23"/>
  <c r="H64" i="23"/>
  <c r="F64" i="23"/>
  <c r="E64" i="23"/>
  <c r="D64" i="23"/>
  <c r="C64" i="23"/>
  <c r="B64" i="23"/>
  <c r="G64" i="23"/>
  <c r="E63" i="23"/>
  <c r="D63" i="23"/>
  <c r="B63" i="23"/>
  <c r="C63" i="23" s="1"/>
  <c r="E62" i="23"/>
  <c r="D62" i="23"/>
  <c r="B62" i="23"/>
  <c r="C62" i="23" s="1"/>
  <c r="E61" i="23"/>
  <c r="B61" i="23"/>
  <c r="C61" i="23"/>
  <c r="G61" i="23" s="1"/>
  <c r="F61" i="23"/>
  <c r="H61" i="23" s="1"/>
  <c r="D61" i="23"/>
  <c r="H60" i="23"/>
  <c r="G60" i="23"/>
  <c r="F60" i="23"/>
  <c r="D60" i="23"/>
  <c r="C60" i="23"/>
  <c r="B60" i="23"/>
  <c r="E60" i="23"/>
  <c r="B59" i="23"/>
  <c r="E59" i="23"/>
  <c r="D59" i="23"/>
  <c r="C59" i="23"/>
  <c r="E58" i="23"/>
  <c r="B58" i="23"/>
  <c r="C58" i="23" s="1"/>
  <c r="D58" i="23"/>
  <c r="H57" i="23"/>
  <c r="G57" i="23"/>
  <c r="F57" i="23"/>
  <c r="E57" i="23"/>
  <c r="C57" i="23"/>
  <c r="B57" i="23"/>
  <c r="D57" i="23"/>
  <c r="E56" i="23"/>
  <c r="B56" i="23"/>
  <c r="D56" i="23"/>
  <c r="C56" i="23"/>
  <c r="G56" i="23" s="1"/>
  <c r="F56" i="23"/>
  <c r="H56" i="23" s="1"/>
  <c r="D55" i="23"/>
  <c r="C55" i="23"/>
  <c r="B55" i="23"/>
  <c r="G55" i="23"/>
  <c r="F55" i="23"/>
  <c r="E55" i="23"/>
  <c r="H55" i="23"/>
  <c r="D54" i="23"/>
  <c r="B54" i="23"/>
  <c r="C54" i="23" s="1"/>
  <c r="E54" i="23"/>
  <c r="D53" i="23"/>
  <c r="E53" i="23"/>
  <c r="B53" i="23"/>
  <c r="C53" i="23" s="1"/>
  <c r="B52" i="23"/>
  <c r="C52" i="23"/>
  <c r="E52" i="23"/>
  <c r="D52" i="23"/>
  <c r="D51" i="23"/>
  <c r="C51" i="23"/>
  <c r="G51" i="23"/>
  <c r="H51" i="23"/>
  <c r="B51" i="23"/>
  <c r="F51" i="23"/>
  <c r="E51" i="23"/>
  <c r="D50" i="23"/>
  <c r="B50" i="23"/>
  <c r="E50" i="23"/>
  <c r="C50" i="23"/>
  <c r="E49" i="23"/>
  <c r="B49" i="23"/>
  <c r="C49" i="23" s="1"/>
  <c r="D49" i="23"/>
  <c r="B48" i="23"/>
  <c r="D48" i="23"/>
  <c r="F48" i="23"/>
  <c r="G48" i="23"/>
  <c r="H48" i="23"/>
  <c r="E48" i="23"/>
  <c r="C48" i="23"/>
  <c r="B47" i="23"/>
  <c r="D47" i="23"/>
  <c r="E47" i="23"/>
  <c r="C47" i="23"/>
  <c r="E46" i="23"/>
  <c r="D46" i="23"/>
  <c r="B46" i="23"/>
  <c r="C46" i="23" s="1"/>
  <c r="B45" i="23"/>
  <c r="D45" i="23"/>
  <c r="C45" i="23"/>
  <c r="E45" i="23"/>
  <c r="H44" i="23"/>
  <c r="D44" i="23"/>
  <c r="G44" i="23"/>
  <c r="B44" i="23"/>
  <c r="C44" i="23"/>
  <c r="E44" i="23"/>
  <c r="F44" i="23"/>
  <c r="E43" i="23"/>
  <c r="B43" i="23"/>
  <c r="C43" i="23" s="1"/>
  <c r="D43" i="23"/>
  <c r="E42" i="23"/>
  <c r="B42" i="23"/>
  <c r="C42" i="23" s="1"/>
  <c r="D42" i="23"/>
  <c r="D41" i="23"/>
  <c r="E41" i="23"/>
  <c r="B41" i="23"/>
  <c r="C41" i="23" s="1"/>
  <c r="H40" i="23"/>
  <c r="E40" i="23"/>
  <c r="B40" i="23"/>
  <c r="C40" i="23"/>
  <c r="D40" i="23"/>
  <c r="F40" i="23"/>
  <c r="G40" i="23"/>
  <c r="B39" i="23"/>
  <c r="C39" i="23" s="1"/>
  <c r="D39" i="23"/>
  <c r="E39" i="23"/>
  <c r="E38" i="23"/>
  <c r="D38" i="23"/>
  <c r="B38" i="23"/>
  <c r="C38" i="23" s="1"/>
  <c r="F37" i="23"/>
  <c r="G37" i="23"/>
  <c r="H37" i="23"/>
  <c r="D37" i="23"/>
  <c r="B37" i="23"/>
  <c r="C37" i="23"/>
  <c r="E37" i="23"/>
  <c r="D36" i="23"/>
  <c r="B36" i="23"/>
  <c r="E36" i="23"/>
  <c r="C36" i="23"/>
  <c r="B35" i="23"/>
  <c r="C35" i="23"/>
  <c r="F35" i="23"/>
  <c r="D35" i="23"/>
  <c r="E35" i="23"/>
  <c r="G35" i="23"/>
  <c r="D34" i="23"/>
  <c r="H34" i="23"/>
  <c r="G34" i="23"/>
  <c r="F34" i="23"/>
  <c r="E34" i="23"/>
  <c r="B34" i="23"/>
  <c r="C34" i="23"/>
  <c r="E33" i="23"/>
  <c r="D33" i="23"/>
  <c r="B33" i="23"/>
  <c r="C33" i="23" s="1"/>
  <c r="B32" i="23"/>
  <c r="D32" i="23"/>
  <c r="C32" i="23"/>
  <c r="G32" i="23"/>
  <c r="F32" i="23"/>
  <c r="H32" i="23" s="1"/>
  <c r="E32" i="23"/>
  <c r="D31" i="23"/>
  <c r="B31" i="23"/>
  <c r="C31" i="23"/>
  <c r="G31" i="23" s="1"/>
  <c r="E31" i="23"/>
  <c r="F31" i="23"/>
  <c r="H31" i="23" s="1"/>
  <c r="E30" i="23"/>
  <c r="C30" i="23"/>
  <c r="H30" i="23"/>
  <c r="G30" i="23"/>
  <c r="F30" i="23"/>
  <c r="D30" i="23"/>
  <c r="B30" i="23"/>
  <c r="D29" i="23"/>
  <c r="E29" i="23"/>
  <c r="B29" i="23"/>
  <c r="C29" i="23" s="1"/>
  <c r="B28" i="23"/>
  <c r="D28" i="23"/>
  <c r="C28" i="23"/>
  <c r="E28" i="23"/>
  <c r="D27" i="23"/>
  <c r="G27" i="23"/>
  <c r="B27" i="23"/>
  <c r="E27" i="23"/>
  <c r="H27" i="23"/>
  <c r="C27" i="23"/>
  <c r="F27" i="23"/>
  <c r="E26" i="23"/>
  <c r="B26" i="23"/>
  <c r="C26" i="23" s="1"/>
  <c r="D26" i="23"/>
  <c r="E25" i="23"/>
  <c r="B25" i="23"/>
  <c r="C25" i="23" s="1"/>
  <c r="D25" i="23"/>
  <c r="B24" i="23"/>
  <c r="D24" i="23"/>
  <c r="E24" i="23"/>
  <c r="C24" i="23"/>
  <c r="C23" i="23"/>
  <c r="F23" i="23"/>
  <c r="D23" i="23"/>
  <c r="E23" i="23"/>
  <c r="G23" i="23"/>
  <c r="H23" i="23"/>
  <c r="B23" i="23"/>
  <c r="E22" i="23"/>
  <c r="D22" i="23"/>
  <c r="B22" i="23"/>
  <c r="C22" i="23"/>
  <c r="E21" i="23"/>
  <c r="D21" i="23"/>
  <c r="B21" i="23"/>
  <c r="C21" i="23" s="1"/>
  <c r="B20" i="23"/>
  <c r="D20" i="23"/>
  <c r="C20" i="23"/>
  <c r="E20" i="23"/>
  <c r="B19" i="23"/>
  <c r="G19" i="23"/>
  <c r="E19" i="23"/>
  <c r="H19" i="23"/>
  <c r="F19" i="23"/>
  <c r="D19" i="23"/>
  <c r="C19" i="23"/>
  <c r="D18" i="23"/>
  <c r="E18" i="23"/>
  <c r="B18" i="23"/>
  <c r="C18" i="23" s="1"/>
  <c r="E17" i="23"/>
  <c r="B17" i="23"/>
  <c r="D17" i="23"/>
  <c r="C17" i="23"/>
  <c r="B16" i="23"/>
  <c r="H16" i="23"/>
  <c r="C16" i="23"/>
  <c r="E16" i="23"/>
  <c r="F16" i="23"/>
  <c r="G16" i="23"/>
  <c r="D16" i="23"/>
  <c r="E15" i="23"/>
  <c r="B15" i="23"/>
  <c r="C15" i="23" s="1"/>
  <c r="D15" i="23"/>
  <c r="B14" i="23"/>
  <c r="E14" i="23"/>
  <c r="G14" i="23"/>
  <c r="F14" i="23"/>
  <c r="C14" i="23"/>
  <c r="H14" i="23"/>
  <c r="D14" i="23"/>
  <c r="E13" i="23"/>
  <c r="B13" i="23"/>
  <c r="C13" i="23" s="1"/>
  <c r="D13" i="23"/>
  <c r="E12" i="23"/>
  <c r="D12" i="23"/>
  <c r="B12" i="23"/>
  <c r="C12" i="23" s="1"/>
  <c r="E11" i="23"/>
  <c r="H11" i="23"/>
  <c r="D11" i="23"/>
  <c r="B11" i="23"/>
  <c r="F11" i="23"/>
  <c r="G11" i="23"/>
  <c r="C11" i="23"/>
  <c r="B10" i="23"/>
  <c r="E10" i="23"/>
  <c r="D10" i="23"/>
  <c r="C10" i="23"/>
  <c r="C9" i="23"/>
  <c r="G9" i="23"/>
  <c r="B9" i="23"/>
  <c r="H9" i="23"/>
  <c r="F9" i="23"/>
  <c r="E9" i="23"/>
  <c r="D9" i="23"/>
  <c r="B8" i="23"/>
  <c r="C8" i="23" s="1"/>
  <c r="E8" i="23"/>
  <c r="D8" i="23"/>
  <c r="E7" i="23"/>
  <c r="D7" i="23"/>
  <c r="B7" i="23"/>
  <c r="C7" i="23" s="1"/>
  <c r="E6" i="23"/>
  <c r="C6" i="23"/>
  <c r="H6" i="23"/>
  <c r="G6" i="23"/>
  <c r="F6" i="23"/>
  <c r="D6" i="23"/>
  <c r="B6" i="23"/>
  <c r="B5" i="23"/>
  <c r="D5" i="23"/>
  <c r="C5" i="23"/>
  <c r="E5" i="23"/>
  <c r="D4" i="23"/>
  <c r="E4" i="23"/>
  <c r="B4" i="23"/>
  <c r="C4" i="23" s="1"/>
  <c r="G4729" i="22"/>
  <c r="C4729" i="22"/>
  <c r="K4729" i="22" s="1"/>
  <c r="I4729" i="22"/>
  <c r="L4729" i="22"/>
  <c r="E4729" i="22"/>
  <c r="B4730" i="22"/>
  <c r="F4729" i="22"/>
  <c r="B4676" i="22"/>
  <c r="G4675" i="22"/>
  <c r="E4675" i="22"/>
  <c r="C4675" i="22"/>
  <c r="F4675" i="22" s="1"/>
  <c r="B4622" i="22"/>
  <c r="G4621" i="22"/>
  <c r="E4621" i="22"/>
  <c r="C4621" i="22"/>
  <c r="C4567" i="22"/>
  <c r="D4567" i="22" s="1"/>
  <c r="F4567" i="22"/>
  <c r="E4567" i="22"/>
  <c r="B4568" i="22"/>
  <c r="G4567" i="22"/>
  <c r="G4513" i="22"/>
  <c r="R4513" i="22" s="1"/>
  <c r="B4514" i="22"/>
  <c r="E4513" i="22"/>
  <c r="C4513" i="22"/>
  <c r="F4513" i="22"/>
  <c r="G4507" i="22"/>
  <c r="E4507" i="22"/>
  <c r="F4507" i="22"/>
  <c r="H4507" i="22"/>
  <c r="I4507" i="22"/>
  <c r="I4506" i="22"/>
  <c r="H4506" i="22"/>
  <c r="G4506" i="22"/>
  <c r="F4506" i="22"/>
  <c r="E4506" i="22"/>
  <c r="H4505" i="22"/>
  <c r="G4505" i="22"/>
  <c r="F4505" i="22"/>
  <c r="E4505" i="22"/>
  <c r="I4505" i="22"/>
  <c r="I4504" i="22"/>
  <c r="H4504" i="22"/>
  <c r="G4504" i="22"/>
  <c r="F4504" i="22"/>
  <c r="E4504" i="22"/>
  <c r="F4503" i="22"/>
  <c r="I4503" i="22"/>
  <c r="H4503" i="22"/>
  <c r="G4503" i="22"/>
  <c r="E4503" i="22"/>
  <c r="E4502" i="22"/>
  <c r="G4502" i="22"/>
  <c r="H4502" i="22"/>
  <c r="I4502" i="22"/>
  <c r="F4502" i="22"/>
  <c r="E4501" i="22"/>
  <c r="F4501" i="22"/>
  <c r="G4501" i="22"/>
  <c r="H4501" i="22"/>
  <c r="I4501" i="22"/>
  <c r="G4500" i="22"/>
  <c r="H4500" i="22"/>
  <c r="I4500" i="22"/>
  <c r="E4500" i="22"/>
  <c r="F4500" i="22"/>
  <c r="I4499" i="22"/>
  <c r="H4499" i="22"/>
  <c r="G4499" i="22"/>
  <c r="F4499" i="22"/>
  <c r="E4499" i="22"/>
  <c r="I4498" i="22"/>
  <c r="H4498" i="22"/>
  <c r="G4498" i="22"/>
  <c r="F4498" i="22"/>
  <c r="E4498" i="22"/>
  <c r="E4497" i="22"/>
  <c r="I4497" i="22"/>
  <c r="H4497" i="22"/>
  <c r="G4497" i="22"/>
  <c r="F4497" i="22"/>
  <c r="I4496" i="22"/>
  <c r="H4496" i="22"/>
  <c r="G4496" i="22"/>
  <c r="F4496" i="22"/>
  <c r="E4496" i="22"/>
  <c r="I4495" i="22"/>
  <c r="H4495" i="22"/>
  <c r="E4495" i="22"/>
  <c r="G4495" i="22"/>
  <c r="F4495" i="22"/>
  <c r="G4494" i="22"/>
  <c r="E4494" i="22"/>
  <c r="F4494" i="22"/>
  <c r="I4494" i="22"/>
  <c r="H4494" i="22"/>
  <c r="E4493" i="22"/>
  <c r="G4493" i="22"/>
  <c r="H4493" i="22"/>
  <c r="F4493" i="22"/>
  <c r="I4493" i="22"/>
  <c r="H4492" i="22"/>
  <c r="I4492" i="22"/>
  <c r="E4492" i="22"/>
  <c r="G4492" i="22"/>
  <c r="F4492" i="22"/>
  <c r="H4491" i="22"/>
  <c r="G4491" i="22"/>
  <c r="I4491" i="22"/>
  <c r="E4491" i="22"/>
  <c r="F4491" i="22"/>
  <c r="E4490" i="22"/>
  <c r="F4490" i="22"/>
  <c r="G4490" i="22"/>
  <c r="H4490" i="22"/>
  <c r="I4490" i="22"/>
  <c r="H4489" i="22"/>
  <c r="I4489" i="22"/>
  <c r="F4489" i="22"/>
  <c r="E4489" i="22"/>
  <c r="G4489" i="22"/>
  <c r="E4488" i="22"/>
  <c r="G4488" i="22"/>
  <c r="F4488" i="22"/>
  <c r="I4488" i="22"/>
  <c r="H4488" i="22"/>
  <c r="I4487" i="22"/>
  <c r="H4487" i="22"/>
  <c r="F4487" i="22"/>
  <c r="E4487" i="22"/>
  <c r="G4487" i="22"/>
  <c r="I4486" i="22"/>
  <c r="E4486" i="22"/>
  <c r="F4486" i="22"/>
  <c r="G4486" i="22"/>
  <c r="H4486" i="22"/>
  <c r="E4485" i="22"/>
  <c r="G4485" i="22"/>
  <c r="F4485" i="22"/>
  <c r="H4485" i="22"/>
  <c r="I4485" i="22"/>
  <c r="H4484" i="22"/>
  <c r="I4484" i="22"/>
  <c r="F4484" i="22"/>
  <c r="E4484" i="22"/>
  <c r="G4484" i="22"/>
  <c r="E4483" i="22"/>
  <c r="G4483" i="22"/>
  <c r="H4483" i="22"/>
  <c r="I4483" i="22"/>
  <c r="F4483" i="22"/>
  <c r="E4482" i="22"/>
  <c r="F4482" i="22"/>
  <c r="G4482" i="22"/>
  <c r="H4482" i="22"/>
  <c r="I4482" i="22"/>
  <c r="G4481" i="22"/>
  <c r="H4481" i="22"/>
  <c r="I4481" i="22"/>
  <c r="E4481" i="22"/>
  <c r="F4481" i="22"/>
  <c r="F4480" i="22"/>
  <c r="I4480" i="22"/>
  <c r="E4480" i="22"/>
  <c r="G4480" i="22"/>
  <c r="H4480" i="22"/>
  <c r="E4479" i="22"/>
  <c r="F4479" i="22"/>
  <c r="G4479" i="22"/>
  <c r="H4479" i="22"/>
  <c r="I4479" i="22"/>
  <c r="H4478" i="22"/>
  <c r="E4478" i="22"/>
  <c r="F4478" i="22"/>
  <c r="I4478" i="22"/>
  <c r="G4478" i="22"/>
  <c r="E4477" i="22"/>
  <c r="F4477" i="22"/>
  <c r="G4477" i="22"/>
  <c r="H4477" i="22"/>
  <c r="I4477" i="22"/>
  <c r="H4476" i="22"/>
  <c r="E4476" i="22"/>
  <c r="F4476" i="22"/>
  <c r="G4476" i="22"/>
  <c r="I4476" i="22"/>
  <c r="G4475" i="22"/>
  <c r="H4475" i="22"/>
  <c r="I4475" i="22"/>
  <c r="F4475" i="22"/>
  <c r="E4475" i="22"/>
  <c r="G4474" i="22"/>
  <c r="F4474" i="22"/>
  <c r="E4474" i="22"/>
  <c r="I4474" i="22"/>
  <c r="H4474" i="22"/>
  <c r="H4473" i="22"/>
  <c r="E4473" i="22"/>
  <c r="F4473" i="22"/>
  <c r="G4473" i="22"/>
  <c r="I4473" i="22"/>
  <c r="F4472" i="22"/>
  <c r="H4472" i="22"/>
  <c r="G4472" i="22"/>
  <c r="E4472" i="22"/>
  <c r="I4472" i="22"/>
  <c r="I4471" i="22"/>
  <c r="E4471" i="22"/>
  <c r="F4471" i="22"/>
  <c r="G4471" i="22"/>
  <c r="H4471" i="22"/>
  <c r="H4470" i="22"/>
  <c r="F4470" i="22"/>
  <c r="G4470" i="22"/>
  <c r="I4470" i="22"/>
  <c r="E4470" i="22"/>
  <c r="E4469" i="22"/>
  <c r="G4469" i="22"/>
  <c r="H4469" i="22"/>
  <c r="I4469" i="22"/>
  <c r="F4469" i="22"/>
  <c r="I4468" i="22"/>
  <c r="H4468" i="22"/>
  <c r="G4468" i="22"/>
  <c r="F4468" i="22"/>
  <c r="E4468" i="22"/>
  <c r="E4467" i="22"/>
  <c r="F4467" i="22"/>
  <c r="G4467" i="22"/>
  <c r="H4467" i="22"/>
  <c r="I4467" i="22"/>
  <c r="H4466" i="22"/>
  <c r="G4466" i="22"/>
  <c r="I4466" i="22"/>
  <c r="E4466" i="22"/>
  <c r="F4466" i="22"/>
  <c r="F4465" i="22"/>
  <c r="E4465" i="22"/>
  <c r="I4465" i="22"/>
  <c r="H4465" i="22"/>
  <c r="G4465" i="22"/>
  <c r="E4464" i="22"/>
  <c r="I4464" i="22"/>
  <c r="H4464" i="22"/>
  <c r="G4464" i="22"/>
  <c r="F4464" i="22"/>
  <c r="F4463" i="22"/>
  <c r="I4463" i="22"/>
  <c r="H4463" i="22"/>
  <c r="G4463" i="22"/>
  <c r="E4463" i="22"/>
  <c r="I4462" i="22"/>
  <c r="H4462" i="22"/>
  <c r="G4462" i="22"/>
  <c r="F4462" i="22"/>
  <c r="E4462" i="22"/>
  <c r="H4461" i="22"/>
  <c r="E4461" i="22"/>
  <c r="I4461" i="22"/>
  <c r="G4461" i="22"/>
  <c r="F4461" i="22"/>
  <c r="H4460" i="22"/>
  <c r="I4460" i="22"/>
  <c r="G4460" i="22"/>
  <c r="F4460" i="22"/>
  <c r="E4460" i="22"/>
  <c r="I4459" i="22"/>
  <c r="G4459" i="22"/>
  <c r="F4459" i="22"/>
  <c r="E4459" i="22"/>
  <c r="H4459" i="22"/>
  <c r="E4458" i="22"/>
  <c r="G4458" i="22"/>
  <c r="I4458" i="22"/>
  <c r="F4458" i="22"/>
  <c r="H4458" i="22"/>
  <c r="I4457" i="22"/>
  <c r="E4457" i="22"/>
  <c r="F4457" i="22"/>
  <c r="G4457" i="22"/>
  <c r="H4457" i="22"/>
  <c r="F4456" i="22"/>
  <c r="G4456" i="22"/>
  <c r="H4456" i="22"/>
  <c r="E4456" i="22"/>
  <c r="I4456" i="22"/>
  <c r="E4455" i="22"/>
  <c r="I4455" i="22"/>
  <c r="H4455" i="22"/>
  <c r="G4455" i="22"/>
  <c r="F4455" i="22"/>
  <c r="H4454" i="22"/>
  <c r="I4454" i="22"/>
  <c r="F4454" i="22"/>
  <c r="G4454" i="22"/>
  <c r="E4454" i="22"/>
  <c r="I4453" i="22"/>
  <c r="H4453" i="22"/>
  <c r="E4453" i="22"/>
  <c r="G4453" i="22"/>
  <c r="F4453" i="22"/>
  <c r="I4452" i="22"/>
  <c r="H4452" i="22"/>
  <c r="G4452" i="22"/>
  <c r="F4452" i="22"/>
  <c r="E4452" i="22"/>
  <c r="G4451" i="22"/>
  <c r="I4451" i="22"/>
  <c r="H4451" i="22"/>
  <c r="F4451" i="22"/>
  <c r="E4451" i="22"/>
  <c r="F4450" i="22"/>
  <c r="G4450" i="22"/>
  <c r="H4450" i="22"/>
  <c r="I4450" i="22"/>
  <c r="E4450" i="22"/>
  <c r="E4449" i="22"/>
  <c r="F4449" i="22"/>
  <c r="G4449" i="22"/>
  <c r="H4449" i="22"/>
  <c r="I4449" i="22"/>
  <c r="I4448" i="22"/>
  <c r="H4448" i="22"/>
  <c r="G4448" i="22"/>
  <c r="F4448" i="22"/>
  <c r="E4448" i="22"/>
  <c r="I4447" i="22"/>
  <c r="H4447" i="22"/>
  <c r="G4447" i="22"/>
  <c r="F4447" i="22"/>
  <c r="E4447" i="22"/>
  <c r="I4446" i="22"/>
  <c r="G4446" i="22"/>
  <c r="F4446" i="22"/>
  <c r="E4446" i="22"/>
  <c r="H4446" i="22"/>
  <c r="I4445" i="22"/>
  <c r="E4445" i="22"/>
  <c r="H4445" i="22"/>
  <c r="G4445" i="22"/>
  <c r="F4445" i="22"/>
  <c r="G4444" i="22"/>
  <c r="F4444" i="22"/>
  <c r="E4444" i="22"/>
  <c r="I4444" i="22"/>
  <c r="H4444" i="22"/>
  <c r="I4443" i="22"/>
  <c r="G4443" i="22"/>
  <c r="H4443" i="22"/>
  <c r="F4443" i="22"/>
  <c r="E4443" i="22"/>
  <c r="G4442" i="22"/>
  <c r="E4442" i="22"/>
  <c r="F4442" i="22"/>
  <c r="H4442" i="22"/>
  <c r="I4442" i="22"/>
  <c r="F4441" i="22"/>
  <c r="H4441" i="22"/>
  <c r="I4441" i="22"/>
  <c r="G4441" i="22"/>
  <c r="E4441" i="22"/>
  <c r="H4440" i="22"/>
  <c r="G4440" i="22"/>
  <c r="F4440" i="22"/>
  <c r="E4440" i="22"/>
  <c r="I4440" i="22"/>
  <c r="I4439" i="22"/>
  <c r="H4439" i="22"/>
  <c r="G4439" i="22"/>
  <c r="F4439" i="22"/>
  <c r="E4439" i="22"/>
  <c r="I4438" i="22"/>
  <c r="H4438" i="22"/>
  <c r="G4438" i="22"/>
  <c r="F4438" i="22"/>
  <c r="E4438" i="22"/>
  <c r="F4437" i="22"/>
  <c r="E4437" i="22"/>
  <c r="I4437" i="22"/>
  <c r="H4437" i="22"/>
  <c r="G4437" i="22"/>
  <c r="E4436" i="22"/>
  <c r="G4436" i="22"/>
  <c r="I4436" i="22"/>
  <c r="H4436" i="22"/>
  <c r="F4436" i="22"/>
  <c r="I4435" i="22"/>
  <c r="H4435" i="22"/>
  <c r="G4435" i="22"/>
  <c r="E4435" i="22"/>
  <c r="F4435" i="22"/>
  <c r="I4434" i="22"/>
  <c r="H4434" i="22"/>
  <c r="G4434" i="22"/>
  <c r="F4434" i="22"/>
  <c r="E4434" i="22"/>
  <c r="I4433" i="22"/>
  <c r="H4433" i="22"/>
  <c r="E4433" i="22"/>
  <c r="F4433" i="22"/>
  <c r="G4433" i="22"/>
  <c r="G4432" i="22"/>
  <c r="H4432" i="22"/>
  <c r="E4432" i="22"/>
  <c r="I4432" i="22"/>
  <c r="F4432" i="22"/>
  <c r="E4431" i="22"/>
  <c r="F4431" i="22"/>
  <c r="G4431" i="22"/>
  <c r="H4431" i="22"/>
  <c r="I4431" i="22"/>
  <c r="E4430" i="22"/>
  <c r="G4430" i="22"/>
  <c r="F4430" i="22"/>
  <c r="H4430" i="22"/>
  <c r="I4430" i="22"/>
  <c r="F4429" i="22"/>
  <c r="I4429" i="22"/>
  <c r="H4429" i="22"/>
  <c r="G4429" i="22"/>
  <c r="E4429" i="22"/>
  <c r="H4428" i="22"/>
  <c r="G4428" i="22"/>
  <c r="I4428" i="22"/>
  <c r="F4428" i="22"/>
  <c r="E4428" i="22"/>
  <c r="I4427" i="22"/>
  <c r="H4427" i="22"/>
  <c r="G4427" i="22"/>
  <c r="F4427" i="22"/>
  <c r="E4427" i="22"/>
  <c r="G4426" i="22"/>
  <c r="H4426" i="22"/>
  <c r="E4426" i="22"/>
  <c r="I4426" i="22"/>
  <c r="F4426" i="22"/>
  <c r="E4425" i="22"/>
  <c r="F4425" i="22"/>
  <c r="G4425" i="22"/>
  <c r="I4425" i="22"/>
  <c r="H4425" i="22"/>
  <c r="I4424" i="22"/>
  <c r="F4424" i="22"/>
  <c r="E4424" i="22"/>
  <c r="G4424" i="22"/>
  <c r="H4424" i="22"/>
  <c r="E4423" i="22"/>
  <c r="G4423" i="22"/>
  <c r="H4423" i="22"/>
  <c r="I4423" i="22"/>
  <c r="F4423" i="22"/>
  <c r="H4422" i="22"/>
  <c r="I4422" i="22"/>
  <c r="E4422" i="22"/>
  <c r="F4422" i="22"/>
  <c r="G4422" i="22"/>
  <c r="I4421" i="22"/>
  <c r="H4421" i="22"/>
  <c r="G4421" i="22"/>
  <c r="F4421" i="22"/>
  <c r="E4421" i="22"/>
  <c r="F4420" i="22"/>
  <c r="E4420" i="22"/>
  <c r="H4420" i="22"/>
  <c r="I4420" i="22"/>
  <c r="G4420" i="22"/>
  <c r="I4419" i="22"/>
  <c r="H4419" i="22"/>
  <c r="G4419" i="22"/>
  <c r="F4419" i="22"/>
  <c r="E4419" i="22"/>
  <c r="I4418" i="22"/>
  <c r="E4418" i="22"/>
  <c r="F4418" i="22"/>
  <c r="G4418" i="22"/>
  <c r="H4418" i="22"/>
  <c r="I4417" i="22"/>
  <c r="E4417" i="22"/>
  <c r="F4417" i="22"/>
  <c r="G4417" i="22"/>
  <c r="H4417" i="22"/>
  <c r="E4416" i="22"/>
  <c r="F4416" i="22"/>
  <c r="G4416" i="22"/>
  <c r="H4416" i="22"/>
  <c r="I4416" i="22"/>
  <c r="H4415" i="22"/>
  <c r="I4415" i="22"/>
  <c r="G4415" i="22"/>
  <c r="E4415" i="22"/>
  <c r="F4415" i="22"/>
  <c r="G4414" i="22"/>
  <c r="E4414" i="22"/>
  <c r="F4414" i="22"/>
  <c r="H4414" i="22"/>
  <c r="I4414" i="22"/>
  <c r="F4413" i="22"/>
  <c r="G4413" i="22"/>
  <c r="I4413" i="22"/>
  <c r="H4413" i="22"/>
  <c r="E4413" i="22"/>
  <c r="E4412" i="22"/>
  <c r="F4412" i="22"/>
  <c r="G4412" i="22"/>
  <c r="H4412" i="22"/>
  <c r="I4412" i="22"/>
  <c r="G4411" i="22"/>
  <c r="H4411" i="22"/>
  <c r="I4411" i="22"/>
  <c r="F4411" i="22"/>
  <c r="E4411" i="22"/>
  <c r="H4410" i="22"/>
  <c r="I4410" i="22"/>
  <c r="E4410" i="22"/>
  <c r="F4410" i="22"/>
  <c r="G4410" i="22"/>
  <c r="I4409" i="22"/>
  <c r="G4409" i="22"/>
  <c r="F4409" i="22"/>
  <c r="H4409" i="22"/>
  <c r="E4409" i="22"/>
  <c r="H4408" i="22"/>
  <c r="I4408" i="22"/>
  <c r="G4408" i="22"/>
  <c r="E4408" i="22"/>
  <c r="F4408" i="22"/>
  <c r="E4407" i="22"/>
  <c r="F4407" i="22"/>
  <c r="G4407" i="22"/>
  <c r="H4407" i="22"/>
  <c r="I4407" i="22"/>
  <c r="I4406" i="22"/>
  <c r="G4406" i="22"/>
  <c r="F4406" i="22"/>
  <c r="E4406" i="22"/>
  <c r="H4406" i="22"/>
  <c r="G4405" i="22"/>
  <c r="H4405" i="22"/>
  <c r="I4405" i="22"/>
  <c r="E4405" i="22"/>
  <c r="F4405" i="22"/>
  <c r="H4404" i="22"/>
  <c r="I4404" i="22"/>
  <c r="E4404" i="22"/>
  <c r="F4404" i="22"/>
  <c r="G4404" i="22"/>
  <c r="F4403" i="22"/>
  <c r="E4403" i="22"/>
  <c r="I4403" i="22"/>
  <c r="H4403" i="22"/>
  <c r="G4403" i="22"/>
  <c r="I4402" i="22"/>
  <c r="H4402" i="22"/>
  <c r="G4402" i="22"/>
  <c r="F4402" i="22"/>
  <c r="E4402" i="22"/>
  <c r="I4401" i="22"/>
  <c r="G4401" i="22"/>
  <c r="F4401" i="22"/>
  <c r="H4401" i="22"/>
  <c r="E4401" i="22"/>
  <c r="F4400" i="22"/>
  <c r="G4400" i="22"/>
  <c r="H4400" i="22"/>
  <c r="I4400" i="22"/>
  <c r="E4400" i="22"/>
  <c r="H4399" i="22"/>
  <c r="G4399" i="22"/>
  <c r="F4399" i="22"/>
  <c r="E4399" i="22"/>
  <c r="I4399" i="22"/>
  <c r="I4398" i="22"/>
  <c r="H4398" i="22"/>
  <c r="G4398" i="22"/>
  <c r="F4398" i="22"/>
  <c r="E4398" i="22"/>
  <c r="F4397" i="22"/>
  <c r="E4397" i="22"/>
  <c r="H4397" i="22"/>
  <c r="I4397" i="22"/>
  <c r="G4397" i="22"/>
  <c r="G4396" i="22"/>
  <c r="F4396" i="22"/>
  <c r="E4396" i="22"/>
  <c r="H4396" i="22"/>
  <c r="I4396" i="22"/>
  <c r="E4395" i="22"/>
  <c r="H4395" i="22"/>
  <c r="G4395" i="22"/>
  <c r="F4395" i="22"/>
  <c r="I4395" i="22"/>
  <c r="G4394" i="22"/>
  <c r="E4394" i="22"/>
  <c r="H4394" i="22"/>
  <c r="F4394" i="22"/>
  <c r="I4394" i="22"/>
  <c r="E4393" i="22"/>
  <c r="H4393" i="22"/>
  <c r="G4393" i="22"/>
  <c r="F4393" i="22"/>
  <c r="I4393" i="22"/>
  <c r="G4392" i="22"/>
  <c r="F4392" i="22"/>
  <c r="E4392" i="22"/>
  <c r="H4392" i="22"/>
  <c r="I4392" i="22"/>
  <c r="E4391" i="22"/>
  <c r="G4391" i="22"/>
  <c r="H4391" i="22"/>
  <c r="F4391" i="22"/>
  <c r="I4391" i="22"/>
  <c r="I4390" i="22"/>
  <c r="E4390" i="22"/>
  <c r="F4390" i="22"/>
  <c r="G4390" i="22"/>
  <c r="H4390" i="22"/>
  <c r="G4389" i="22"/>
  <c r="H4389" i="22"/>
  <c r="I4389" i="22"/>
  <c r="E4389" i="22"/>
  <c r="F4389" i="22"/>
  <c r="F4388" i="22"/>
  <c r="E4388" i="22"/>
  <c r="I4388" i="22"/>
  <c r="H4388" i="22"/>
  <c r="G4388" i="22"/>
  <c r="I4387" i="22"/>
  <c r="H4387" i="22"/>
  <c r="G4387" i="22"/>
  <c r="F4387" i="22"/>
  <c r="E4387" i="22"/>
  <c r="I4386" i="22"/>
  <c r="H4386" i="22"/>
  <c r="G4386" i="22"/>
  <c r="F4386" i="22"/>
  <c r="E4386" i="22"/>
  <c r="G4385" i="22"/>
  <c r="F4385" i="22"/>
  <c r="I4385" i="22"/>
  <c r="H4385" i="22"/>
  <c r="E4385" i="22"/>
  <c r="F4384" i="22"/>
  <c r="G4384" i="22"/>
  <c r="I4384" i="22"/>
  <c r="H4384" i="22"/>
  <c r="E4384" i="22"/>
  <c r="F4383" i="22"/>
  <c r="I4383" i="22"/>
  <c r="E4383" i="22"/>
  <c r="H4383" i="22"/>
  <c r="G4383" i="22"/>
  <c r="E4382" i="22"/>
  <c r="F4382" i="22"/>
  <c r="G4382" i="22"/>
  <c r="H4382" i="22"/>
  <c r="I4382" i="22"/>
  <c r="G4381" i="22"/>
  <c r="H4381" i="22"/>
  <c r="I4381" i="22"/>
  <c r="E4381" i="22"/>
  <c r="F4381" i="22"/>
  <c r="H4380" i="22"/>
  <c r="F4380" i="22"/>
  <c r="G4380" i="22"/>
  <c r="I4380" i="22"/>
  <c r="E4380" i="22"/>
  <c r="H4379" i="22"/>
  <c r="G4379" i="22"/>
  <c r="F4379" i="22"/>
  <c r="E4379" i="22"/>
  <c r="I4379" i="22"/>
  <c r="I4378" i="22"/>
  <c r="H4378" i="22"/>
  <c r="G4378" i="22"/>
  <c r="F4378" i="22"/>
  <c r="E4378" i="22"/>
  <c r="F4377" i="22"/>
  <c r="E4377" i="22"/>
  <c r="I4377" i="22"/>
  <c r="H4377" i="22"/>
  <c r="G4377" i="22"/>
  <c r="I4376" i="22"/>
  <c r="H4376" i="22"/>
  <c r="G4376" i="22"/>
  <c r="F4376" i="22"/>
  <c r="E4376" i="22"/>
  <c r="G4375" i="22"/>
  <c r="H4375" i="22"/>
  <c r="E4375" i="22"/>
  <c r="F4375" i="22"/>
  <c r="I4375" i="22"/>
  <c r="G4374" i="22"/>
  <c r="H4374" i="22"/>
  <c r="I4374" i="22"/>
  <c r="F4374" i="22"/>
  <c r="E4374" i="22"/>
  <c r="I4373" i="22"/>
  <c r="H4373" i="22"/>
  <c r="E4373" i="22"/>
  <c r="F4373" i="22"/>
  <c r="G4373" i="22"/>
  <c r="F4372" i="22"/>
  <c r="E4372" i="22"/>
  <c r="I4372" i="22"/>
  <c r="H4372" i="22"/>
  <c r="G4372" i="22"/>
  <c r="H4371" i="22"/>
  <c r="E4371" i="22"/>
  <c r="I4371" i="22"/>
  <c r="G4371" i="22"/>
  <c r="F4371" i="22"/>
  <c r="G4370" i="22"/>
  <c r="I4370" i="22"/>
  <c r="H4370" i="22"/>
  <c r="E4370" i="22"/>
  <c r="F4370" i="22"/>
  <c r="E4369" i="22"/>
  <c r="I4369" i="22"/>
  <c r="F4369" i="22"/>
  <c r="G4369" i="22"/>
  <c r="H4369" i="22"/>
  <c r="I4368" i="22"/>
  <c r="F4368" i="22"/>
  <c r="H4368" i="22"/>
  <c r="E4368" i="22"/>
  <c r="G4368" i="22"/>
  <c r="F4367" i="22"/>
  <c r="I4367" i="22"/>
  <c r="H4367" i="22"/>
  <c r="E4367" i="22"/>
  <c r="G4367" i="22"/>
  <c r="I4366" i="22"/>
  <c r="G4366" i="22"/>
  <c r="E4366" i="22"/>
  <c r="H4366" i="22"/>
  <c r="F4366" i="22"/>
  <c r="G4365" i="22"/>
  <c r="F4365" i="22"/>
  <c r="H4365" i="22"/>
  <c r="E4365" i="22"/>
  <c r="I4365" i="22"/>
  <c r="I4364" i="22"/>
  <c r="G4364" i="22"/>
  <c r="F4364" i="22"/>
  <c r="H4364" i="22"/>
  <c r="E4364" i="22"/>
  <c r="I4363" i="22"/>
  <c r="H4363" i="22"/>
  <c r="G4363" i="22"/>
  <c r="F4363" i="22"/>
  <c r="E4363" i="22"/>
  <c r="I4362" i="22"/>
  <c r="E4362" i="22"/>
  <c r="F4362" i="22"/>
  <c r="G4362" i="22"/>
  <c r="H4362" i="22"/>
  <c r="E4361" i="22"/>
  <c r="I4361" i="22"/>
  <c r="F4361" i="22"/>
  <c r="G4361" i="22"/>
  <c r="H4361" i="22"/>
  <c r="G4360" i="22"/>
  <c r="E4360" i="22"/>
  <c r="F4360" i="22"/>
  <c r="I4360" i="22"/>
  <c r="H4360" i="22"/>
  <c r="H4359" i="22"/>
  <c r="I4359" i="22"/>
  <c r="G4359" i="22"/>
  <c r="F4359" i="22"/>
  <c r="E4359" i="22"/>
  <c r="I4358" i="22"/>
  <c r="H4358" i="22"/>
  <c r="F4358" i="22"/>
  <c r="E4358" i="22"/>
  <c r="G4358" i="22"/>
  <c r="I4357" i="22"/>
  <c r="H4357" i="22"/>
  <c r="G4357" i="22"/>
  <c r="E4357" i="22"/>
  <c r="F4357" i="22"/>
  <c r="I4356" i="22"/>
  <c r="H4356" i="22"/>
  <c r="F4356" i="22"/>
  <c r="E4356" i="22"/>
  <c r="G4356" i="22"/>
  <c r="G4355" i="22"/>
  <c r="E4355" i="22"/>
  <c r="F4355" i="22"/>
  <c r="H4355" i="22"/>
  <c r="I4355" i="22"/>
  <c r="I4354" i="22"/>
  <c r="F4354" i="22"/>
  <c r="G4354" i="22"/>
  <c r="E4354" i="22"/>
  <c r="H4354" i="22"/>
  <c r="E4353" i="22"/>
  <c r="F4353" i="22"/>
  <c r="G4353" i="22"/>
  <c r="H4353" i="22"/>
  <c r="I4353" i="22"/>
  <c r="E4352" i="22"/>
  <c r="F4352" i="22"/>
  <c r="I4352" i="22"/>
  <c r="G4352" i="22"/>
  <c r="H4352" i="22"/>
  <c r="H4351" i="22"/>
  <c r="I4351" i="22"/>
  <c r="E4351" i="22"/>
  <c r="F4351" i="22"/>
  <c r="G4351" i="22"/>
  <c r="E4350" i="22"/>
  <c r="I4350" i="22"/>
  <c r="G4350" i="22"/>
  <c r="H4350" i="22"/>
  <c r="F4350" i="22"/>
  <c r="E4349" i="22"/>
  <c r="F4349" i="22"/>
  <c r="H4349" i="22"/>
  <c r="G4349" i="22"/>
  <c r="I4349" i="22"/>
  <c r="E4348" i="22"/>
  <c r="F4348" i="22"/>
  <c r="G4348" i="22"/>
  <c r="H4348" i="22"/>
  <c r="I4348" i="22"/>
  <c r="E4347" i="22"/>
  <c r="H4347" i="22"/>
  <c r="I4347" i="22"/>
  <c r="G4347" i="22"/>
  <c r="F4347" i="22"/>
  <c r="I4346" i="22"/>
  <c r="H4346" i="22"/>
  <c r="G4346" i="22"/>
  <c r="E4346" i="22"/>
  <c r="F4346" i="22"/>
  <c r="E4345" i="22"/>
  <c r="H4345" i="22"/>
  <c r="I4345" i="22"/>
  <c r="G4345" i="22"/>
  <c r="F4345" i="22"/>
  <c r="F4344" i="22"/>
  <c r="E4344" i="22"/>
  <c r="G4344" i="22"/>
  <c r="I4344" i="22"/>
  <c r="H4344" i="22"/>
  <c r="E4343" i="22"/>
  <c r="I4343" i="22"/>
  <c r="H4343" i="22"/>
  <c r="G4343" i="22"/>
  <c r="F4343" i="22"/>
  <c r="H4342" i="22"/>
  <c r="I4342" i="22"/>
  <c r="G4342" i="22"/>
  <c r="F4342" i="22"/>
  <c r="E4342" i="22"/>
  <c r="I4341" i="22"/>
  <c r="H4341" i="22"/>
  <c r="G4341" i="22"/>
  <c r="F4341" i="22"/>
  <c r="E4341" i="22"/>
  <c r="I4340" i="22"/>
  <c r="H4340" i="22"/>
  <c r="G4340" i="22"/>
  <c r="F4340" i="22"/>
  <c r="E4340" i="22"/>
  <c r="G4339" i="22"/>
  <c r="F4339" i="22"/>
  <c r="I4339" i="22"/>
  <c r="E4339" i="22"/>
  <c r="H4339" i="22"/>
  <c r="H4338" i="22"/>
  <c r="G4338" i="22"/>
  <c r="F4338" i="22"/>
  <c r="E4338" i="22"/>
  <c r="I4338" i="22"/>
  <c r="I4337" i="22"/>
  <c r="H4337" i="22"/>
  <c r="G4337" i="22"/>
  <c r="F4337" i="22"/>
  <c r="E4337" i="22"/>
  <c r="E4336" i="22"/>
  <c r="F4336" i="22"/>
  <c r="G4336" i="22"/>
  <c r="H4336" i="22"/>
  <c r="I4336" i="22"/>
  <c r="E4335" i="22"/>
  <c r="I4335" i="22"/>
  <c r="H4335" i="22"/>
  <c r="G4335" i="22"/>
  <c r="F4335" i="22"/>
  <c r="I4334" i="22"/>
  <c r="H4334" i="22"/>
  <c r="F4334" i="22"/>
  <c r="E4334" i="22"/>
  <c r="G4334" i="22"/>
  <c r="I4333" i="22"/>
  <c r="H4333" i="22"/>
  <c r="G4333" i="22"/>
  <c r="F4333" i="22"/>
  <c r="E4333" i="22"/>
  <c r="D4321" i="22"/>
  <c r="B4321" i="22"/>
  <c r="C4321" i="22" s="1"/>
  <c r="D4320" i="22"/>
  <c r="B4320" i="22"/>
  <c r="C4320" i="22" s="1"/>
  <c r="D4319" i="22"/>
  <c r="B4319" i="22"/>
  <c r="C4319" i="22" s="1"/>
  <c r="D4318" i="22"/>
  <c r="B4318" i="22"/>
  <c r="C4318" i="22" s="1"/>
  <c r="B4317" i="22"/>
  <c r="C4317" i="22" s="1"/>
  <c r="D4317" i="22"/>
  <c r="B4316" i="22"/>
  <c r="C4316" i="22" s="1"/>
  <c r="D4316" i="22"/>
  <c r="B4315" i="22"/>
  <c r="C4315" i="22" s="1"/>
  <c r="D4315" i="22"/>
  <c r="D4314" i="22"/>
  <c r="B4314" i="22"/>
  <c r="C4314" i="22" s="1"/>
  <c r="B4313" i="22"/>
  <c r="C4313" i="22" s="1"/>
  <c r="D4313" i="22"/>
  <c r="D4312" i="22"/>
  <c r="B4312" i="22"/>
  <c r="C4312" i="22" s="1"/>
  <c r="D4311" i="22"/>
  <c r="B4311" i="22"/>
  <c r="C4311" i="22" s="1"/>
  <c r="D4310" i="22"/>
  <c r="B4310" i="22"/>
  <c r="C4310" i="22" s="1"/>
  <c r="D4309" i="22"/>
  <c r="B4309" i="22"/>
  <c r="C4309" i="22" s="1"/>
  <c r="D4308" i="22"/>
  <c r="B4308" i="22"/>
  <c r="C4308" i="22" s="1"/>
  <c r="D4307" i="22"/>
  <c r="B4307" i="22"/>
  <c r="C4307" i="22" s="1"/>
  <c r="B4306" i="22"/>
  <c r="C4306" i="22" s="1"/>
  <c r="D4306" i="22"/>
  <c r="D4305" i="22"/>
  <c r="B4305" i="22"/>
  <c r="C4305" i="22" s="1"/>
  <c r="D4304" i="22"/>
  <c r="B4304" i="22"/>
  <c r="C4304" i="22" s="1"/>
  <c r="B4303" i="22"/>
  <c r="C4303" i="22" s="1"/>
  <c r="D4303" i="22"/>
  <c r="B4302" i="22"/>
  <c r="C4302" i="22" s="1"/>
  <c r="D4302" i="22"/>
  <c r="B4301" i="22"/>
  <c r="C4301" i="22" s="1"/>
  <c r="D4301" i="22"/>
  <c r="B4300" i="22"/>
  <c r="C4300" i="22" s="1"/>
  <c r="D4300" i="22"/>
  <c r="B4299" i="22"/>
  <c r="C4299" i="22" s="1"/>
  <c r="D4299" i="22"/>
  <c r="D4298" i="22"/>
  <c r="B4298" i="22"/>
  <c r="C4298" i="22" s="1"/>
  <c r="B4297" i="22"/>
  <c r="C4297" i="22" s="1"/>
  <c r="D4297" i="22"/>
  <c r="B4296" i="22"/>
  <c r="C4296" i="22" s="1"/>
  <c r="D4296" i="22"/>
  <c r="D4295" i="22"/>
  <c r="B4295" i="22"/>
  <c r="C4295" i="22" s="1"/>
  <c r="D4294" i="22"/>
  <c r="B4294" i="22"/>
  <c r="C4294" i="22" s="1"/>
  <c r="D4293" i="22"/>
  <c r="B4293" i="22"/>
  <c r="C4293" i="22" s="1"/>
  <c r="D4292" i="22"/>
  <c r="B4292" i="22"/>
  <c r="C4292" i="22" s="1"/>
  <c r="D4291" i="22"/>
  <c r="B4291" i="22"/>
  <c r="C4291" i="22" s="1"/>
  <c r="D4290" i="22"/>
  <c r="B4290" i="22"/>
  <c r="C4290" i="22" s="1"/>
  <c r="B4289" i="22"/>
  <c r="C4289" i="22" s="1"/>
  <c r="D4289" i="22"/>
  <c r="D4288" i="22"/>
  <c r="B4288" i="22"/>
  <c r="C4288" i="22" s="1"/>
  <c r="D4287" i="22"/>
  <c r="B4287" i="22"/>
  <c r="C4287" i="22" s="1"/>
  <c r="B4286" i="22"/>
  <c r="C4286" i="22" s="1"/>
  <c r="D4286" i="22"/>
  <c r="D4285" i="22"/>
  <c r="B4285" i="22"/>
  <c r="C4285" i="22" s="1"/>
  <c r="B4284" i="22"/>
  <c r="C4284" i="22" s="1"/>
  <c r="D4284" i="22"/>
  <c r="B4283" i="22"/>
  <c r="C4283" i="22" s="1"/>
  <c r="D4283" i="22"/>
  <c r="B4282" i="22"/>
  <c r="C4282" i="22" s="1"/>
  <c r="D4282" i="22"/>
  <c r="D4281" i="22"/>
  <c r="B4281" i="22"/>
  <c r="C4281" i="22" s="1"/>
  <c r="B4280" i="22"/>
  <c r="C4280" i="22" s="1"/>
  <c r="D4280" i="22"/>
  <c r="D4279" i="22"/>
  <c r="B4279" i="22"/>
  <c r="C4279" i="22" s="1"/>
  <c r="D4278" i="22"/>
  <c r="B4278" i="22"/>
  <c r="C4278" i="22" s="1"/>
  <c r="D4277" i="22"/>
  <c r="B4277" i="22"/>
  <c r="C4277" i="22" s="1"/>
  <c r="D4276" i="22"/>
  <c r="B4276" i="22"/>
  <c r="C4276" i="22" s="1"/>
  <c r="D4275" i="22"/>
  <c r="B4275" i="22"/>
  <c r="C4275" i="22" s="1"/>
  <c r="D4274" i="22"/>
  <c r="B4274" i="22"/>
  <c r="C4274" i="22" s="1"/>
  <c r="D4273" i="22"/>
  <c r="B4273" i="22"/>
  <c r="C4273" i="22" s="1"/>
  <c r="D4272" i="22"/>
  <c r="B4272" i="22"/>
  <c r="C4272" i="22" s="1"/>
  <c r="D4271" i="22"/>
  <c r="B4271" i="22"/>
  <c r="C4271" i="22" s="1"/>
  <c r="D4270" i="22"/>
  <c r="B4270" i="22"/>
  <c r="C4270" i="22" s="1"/>
  <c r="D4269" i="22"/>
  <c r="B4269" i="22"/>
  <c r="C4269" i="22" s="1"/>
  <c r="B4214" i="22"/>
  <c r="C4213" i="22"/>
  <c r="E4213" i="22"/>
  <c r="F4213" i="22"/>
  <c r="G4213" i="22"/>
  <c r="I4213" i="22"/>
  <c r="B4160" i="22"/>
  <c r="G4159" i="22"/>
  <c r="I4159" i="22"/>
  <c r="E4159" i="22"/>
  <c r="C4159" i="22"/>
  <c r="F4159" i="22" s="1"/>
  <c r="E4105" i="22"/>
  <c r="G4105" i="22"/>
  <c r="I4105" i="22"/>
  <c r="B4106" i="22"/>
  <c r="C4105" i="22"/>
  <c r="G4051" i="22"/>
  <c r="C4051" i="22"/>
  <c r="E4051" i="22"/>
  <c r="I4051" i="22"/>
  <c r="B4052" i="22"/>
  <c r="AK4045" i="22"/>
  <c r="AM4045" i="22"/>
  <c r="AL4045" i="22"/>
  <c r="AJ4045" i="22"/>
  <c r="AF4045" i="22"/>
  <c r="V4045" i="22"/>
  <c r="Z4045" i="22"/>
  <c r="AB4045" i="22"/>
  <c r="AC4045" i="22"/>
  <c r="AA4045" i="22"/>
  <c r="S4045" i="22"/>
  <c r="Q4045" i="22"/>
  <c r="L4045" i="22"/>
  <c r="R4045" i="22"/>
  <c r="P4045" i="22"/>
  <c r="B4045" i="22"/>
  <c r="H4045" i="22"/>
  <c r="G4045" i="22"/>
  <c r="I4045" i="22"/>
  <c r="F4045" i="22"/>
  <c r="AJ4044" i="22"/>
  <c r="AL4044" i="22"/>
  <c r="AF4044" i="22"/>
  <c r="AM4044" i="22"/>
  <c r="AK4044" i="22"/>
  <c r="Z4044" i="22"/>
  <c r="AA4044" i="22"/>
  <c r="AC4044" i="22"/>
  <c r="AB4044" i="22"/>
  <c r="V4044" i="22"/>
  <c r="R4044" i="22"/>
  <c r="P4044" i="22"/>
  <c r="L4044" i="22"/>
  <c r="Q4044" i="22"/>
  <c r="S4044" i="22"/>
  <c r="H4044" i="22"/>
  <c r="I4044" i="22"/>
  <c r="F4044" i="22"/>
  <c r="G4044" i="22"/>
  <c r="B4044" i="22"/>
  <c r="AM4043" i="22"/>
  <c r="AK4043" i="22"/>
  <c r="AL4043" i="22"/>
  <c r="AJ4043" i="22"/>
  <c r="AF4043" i="22"/>
  <c r="AA4043" i="22"/>
  <c r="AB4043" i="22"/>
  <c r="Z4043" i="22"/>
  <c r="V4043" i="22"/>
  <c r="AC4043" i="22"/>
  <c r="Q4043" i="22"/>
  <c r="S4043" i="22"/>
  <c r="L4043" i="22"/>
  <c r="R4043" i="22"/>
  <c r="P4043" i="22"/>
  <c r="G4043" i="22"/>
  <c r="I4043" i="22"/>
  <c r="F4043" i="22"/>
  <c r="B4043" i="22"/>
  <c r="H4043" i="22"/>
  <c r="AM4042" i="22"/>
  <c r="AJ4042" i="22"/>
  <c r="AK4042" i="22"/>
  <c r="AF4042" i="22"/>
  <c r="AL4042" i="22"/>
  <c r="AA4042" i="22"/>
  <c r="AC4042" i="22"/>
  <c r="AB4042" i="22"/>
  <c r="Z4042" i="22"/>
  <c r="V4042" i="22"/>
  <c r="P4042" i="22"/>
  <c r="S4042" i="22"/>
  <c r="L4042" i="22"/>
  <c r="R4042" i="22"/>
  <c r="Q4042" i="22"/>
  <c r="I4042" i="22"/>
  <c r="H4042" i="22"/>
  <c r="G4042" i="22"/>
  <c r="F4042" i="22"/>
  <c r="B4042" i="22"/>
  <c r="AM4041" i="22"/>
  <c r="AK4041" i="22"/>
  <c r="AL4041" i="22"/>
  <c r="AJ4041" i="22"/>
  <c r="AF4041" i="22"/>
  <c r="AC4041" i="22"/>
  <c r="AA4041" i="22"/>
  <c r="V4041" i="22"/>
  <c r="AB4041" i="22"/>
  <c r="Z4041" i="22"/>
  <c r="S4041" i="22"/>
  <c r="R4041" i="22"/>
  <c r="Q4041" i="22"/>
  <c r="P4041" i="22"/>
  <c r="L4041" i="22"/>
  <c r="B4041" i="22"/>
  <c r="F4041" i="22"/>
  <c r="I4041" i="22"/>
  <c r="H4041" i="22"/>
  <c r="G4041" i="22"/>
  <c r="AM4040" i="22"/>
  <c r="AL4040" i="22"/>
  <c r="AJ4040" i="22"/>
  <c r="AF4040" i="22"/>
  <c r="AK4040" i="22"/>
  <c r="AB4040" i="22"/>
  <c r="AA4040" i="22"/>
  <c r="AC4040" i="22"/>
  <c r="Z4040" i="22"/>
  <c r="V4040" i="22"/>
  <c r="S4040" i="22"/>
  <c r="R4040" i="22"/>
  <c r="P4040" i="22"/>
  <c r="Q4040" i="22"/>
  <c r="L4040" i="22"/>
  <c r="G4040" i="22"/>
  <c r="I4040" i="22"/>
  <c r="H4040" i="22"/>
  <c r="F4040" i="22"/>
  <c r="B4040" i="22"/>
  <c r="AM4039" i="22"/>
  <c r="AK4039" i="22"/>
  <c r="AJ4039" i="22"/>
  <c r="AL4039" i="22"/>
  <c r="AF4039" i="22"/>
  <c r="AC4039" i="22"/>
  <c r="Z4039" i="22"/>
  <c r="AB4039" i="22"/>
  <c r="V4039" i="22"/>
  <c r="AA4039" i="22"/>
  <c r="R4039" i="22"/>
  <c r="L4039" i="22"/>
  <c r="S4039" i="22"/>
  <c r="Q4039" i="22"/>
  <c r="P4039" i="22"/>
  <c r="B4039" i="22"/>
  <c r="I4039" i="22"/>
  <c r="G4039" i="22"/>
  <c r="F4039" i="22"/>
  <c r="H4039" i="22"/>
  <c r="AM4038" i="22"/>
  <c r="AK4038" i="22"/>
  <c r="AJ4038" i="22"/>
  <c r="AF4038" i="22"/>
  <c r="AL4038" i="22"/>
  <c r="Z4038" i="22"/>
  <c r="AB4038" i="22"/>
  <c r="AC4038" i="22"/>
  <c r="AA4038" i="22"/>
  <c r="Q4038" i="22"/>
  <c r="R4038" i="22"/>
  <c r="P4038" i="22"/>
  <c r="L4038" i="22"/>
  <c r="S4038" i="22"/>
  <c r="G4038" i="22"/>
  <c r="F4038" i="22"/>
  <c r="H4038" i="22"/>
  <c r="I4038" i="22"/>
  <c r="B4038" i="22"/>
  <c r="AL4037" i="22"/>
  <c r="AJ4037" i="22"/>
  <c r="AK4037" i="22"/>
  <c r="AM4037" i="22"/>
  <c r="AF4037" i="22"/>
  <c r="AB4037" i="22"/>
  <c r="AC4037" i="22"/>
  <c r="Z4037" i="22"/>
  <c r="AA4037" i="22"/>
  <c r="V4037" i="22"/>
  <c r="P4037" i="22"/>
  <c r="L4037" i="22"/>
  <c r="R4037" i="22"/>
  <c r="S4037" i="22"/>
  <c r="Q4037" i="22"/>
  <c r="F4037" i="22"/>
  <c r="I4037" i="22"/>
  <c r="H4037" i="22"/>
  <c r="G4037" i="22"/>
  <c r="B4037" i="22"/>
  <c r="AM4036" i="22"/>
  <c r="AK4036" i="22"/>
  <c r="AJ4036" i="22"/>
  <c r="AF4036" i="22"/>
  <c r="AL4036" i="22"/>
  <c r="AC4036" i="22"/>
  <c r="AA4036" i="22"/>
  <c r="V4036" i="22"/>
  <c r="Z4036" i="22"/>
  <c r="AB4036" i="22"/>
  <c r="S4036" i="22"/>
  <c r="L4036" i="22"/>
  <c r="Q4036" i="22"/>
  <c r="R4036" i="22"/>
  <c r="P4036" i="22"/>
  <c r="B4036" i="22"/>
  <c r="G4036" i="22"/>
  <c r="I4036" i="22"/>
  <c r="H4036" i="22"/>
  <c r="F4036" i="22"/>
  <c r="AK4035" i="22"/>
  <c r="AF4035" i="22"/>
  <c r="AJ4035" i="22"/>
  <c r="AL4035" i="22"/>
  <c r="AM4035" i="22"/>
  <c r="AA4035" i="22"/>
  <c r="V4035" i="22"/>
  <c r="AC4035" i="22"/>
  <c r="Z4035" i="22"/>
  <c r="AB4035" i="22"/>
  <c r="R4035" i="22"/>
  <c r="P4035" i="22"/>
  <c r="L4035" i="22"/>
  <c r="S4035" i="22"/>
  <c r="Q4035" i="22"/>
  <c r="G4035" i="22"/>
  <c r="F4035" i="22"/>
  <c r="H4035" i="22"/>
  <c r="I4035" i="22"/>
  <c r="B4035" i="22"/>
  <c r="AJ4034" i="22"/>
  <c r="AM4034" i="22"/>
  <c r="AF4034" i="22"/>
  <c r="AK4034" i="22"/>
  <c r="AL4034" i="22"/>
  <c r="Z4034" i="22"/>
  <c r="V4034" i="22"/>
  <c r="AC4034" i="22"/>
  <c r="AA4034" i="22"/>
  <c r="AB4034" i="22"/>
  <c r="R4034" i="22"/>
  <c r="P4034" i="22"/>
  <c r="S4034" i="22"/>
  <c r="Q4034" i="22"/>
  <c r="L4034" i="22"/>
  <c r="I4034" i="22"/>
  <c r="G4034" i="22"/>
  <c r="H4034" i="22"/>
  <c r="F4034" i="22"/>
  <c r="B4034" i="22"/>
  <c r="AL4033" i="22"/>
  <c r="AJ4033" i="22"/>
  <c r="AF4033" i="22"/>
  <c r="AK4033" i="22"/>
  <c r="AM4033" i="22"/>
  <c r="AB4033" i="22"/>
  <c r="Z4033" i="22"/>
  <c r="V4033" i="22"/>
  <c r="AA4033" i="22"/>
  <c r="AC4033" i="22"/>
  <c r="P4033" i="22"/>
  <c r="L4033" i="22"/>
  <c r="Q4033" i="22"/>
  <c r="S4033" i="22"/>
  <c r="R4033" i="22"/>
  <c r="B4033" i="22"/>
  <c r="G4033" i="22"/>
  <c r="I4033" i="22"/>
  <c r="F4033" i="22"/>
  <c r="H4033" i="22"/>
  <c r="AL4032" i="22"/>
  <c r="AF4032" i="22"/>
  <c r="AJ4032" i="22"/>
  <c r="AK4032" i="22"/>
  <c r="AM4032" i="22"/>
  <c r="V4032" i="22"/>
  <c r="Z4032" i="22"/>
  <c r="AB4032" i="22"/>
  <c r="AA4032" i="22"/>
  <c r="AC4032" i="22"/>
  <c r="Q4032" i="22"/>
  <c r="S4032" i="22"/>
  <c r="R4032" i="22"/>
  <c r="P4032" i="22"/>
  <c r="L4032" i="22"/>
  <c r="G4032" i="22"/>
  <c r="I4032" i="22"/>
  <c r="F4032" i="22"/>
  <c r="B4032" i="22"/>
  <c r="H4032" i="22"/>
  <c r="AL4031" i="22"/>
  <c r="AJ4031" i="22"/>
  <c r="AF4031" i="22"/>
  <c r="AM4031" i="22"/>
  <c r="AK4031" i="22"/>
  <c r="AC4031" i="22"/>
  <c r="Z4031" i="22"/>
  <c r="V4031" i="22"/>
  <c r="AA4031" i="22"/>
  <c r="AB4031" i="22"/>
  <c r="L4031" i="22"/>
  <c r="P4031" i="22"/>
  <c r="R4031" i="22"/>
  <c r="S4031" i="22"/>
  <c r="Q4031" i="22"/>
  <c r="B4031" i="22"/>
  <c r="G4031" i="22"/>
  <c r="I4031" i="22"/>
  <c r="H4031" i="22"/>
  <c r="F4031" i="22"/>
  <c r="AF4030" i="22"/>
  <c r="AL4030" i="22"/>
  <c r="AJ4030" i="22"/>
  <c r="AK4030" i="22"/>
  <c r="AM4030" i="22"/>
  <c r="Z4030" i="22"/>
  <c r="V4030" i="22"/>
  <c r="AB4030" i="22"/>
  <c r="AC4030" i="22"/>
  <c r="AA4030" i="22"/>
  <c r="R4030" i="22"/>
  <c r="L4030" i="22"/>
  <c r="P4030" i="22"/>
  <c r="Q4030" i="22"/>
  <c r="S4030" i="22"/>
  <c r="H4030" i="22"/>
  <c r="G4030" i="22"/>
  <c r="F4030" i="22"/>
  <c r="B4030" i="22"/>
  <c r="I4030" i="22"/>
  <c r="AJ4029" i="22"/>
  <c r="AL4029" i="22"/>
  <c r="AK4029" i="22"/>
  <c r="AM4029" i="22"/>
  <c r="AF4029" i="22"/>
  <c r="V4029" i="22"/>
  <c r="AC4029" i="22"/>
  <c r="AB4029" i="22"/>
  <c r="Z4029" i="22"/>
  <c r="AA4029" i="22"/>
  <c r="R4029" i="22"/>
  <c r="S4029" i="22"/>
  <c r="Q4029" i="22"/>
  <c r="P4029" i="22"/>
  <c r="L4029" i="22"/>
  <c r="F4029" i="22"/>
  <c r="B4029" i="22"/>
  <c r="I4029" i="22"/>
  <c r="G4029" i="22"/>
  <c r="H4029" i="22"/>
  <c r="AJ4028" i="22"/>
  <c r="AL4028" i="22"/>
  <c r="AM4028" i="22"/>
  <c r="AK4028" i="22"/>
  <c r="AF4028" i="22"/>
  <c r="V4028" i="22"/>
  <c r="AB4028" i="22"/>
  <c r="AC4028" i="22"/>
  <c r="AA4028" i="22"/>
  <c r="Z4028" i="22"/>
  <c r="R4028" i="22"/>
  <c r="Q4028" i="22"/>
  <c r="S4028" i="22"/>
  <c r="P4028" i="22"/>
  <c r="L4028" i="22"/>
  <c r="I4028" i="22"/>
  <c r="G4028" i="22"/>
  <c r="F4028" i="22"/>
  <c r="H4028" i="22"/>
  <c r="B4028" i="22"/>
  <c r="AM4027" i="22"/>
  <c r="AJ4027" i="22"/>
  <c r="AL4027" i="22"/>
  <c r="AK4027" i="22"/>
  <c r="AF4027" i="22"/>
  <c r="Z4027" i="22"/>
  <c r="AC4027" i="22"/>
  <c r="V4027" i="22"/>
  <c r="AB4027" i="22"/>
  <c r="AA4027" i="22"/>
  <c r="S4027" i="22"/>
  <c r="P4027" i="22"/>
  <c r="Q4027" i="22"/>
  <c r="L4027" i="22"/>
  <c r="R4027" i="22"/>
  <c r="B4027" i="22"/>
  <c r="F4027" i="22"/>
  <c r="H4027" i="22"/>
  <c r="I4027" i="22"/>
  <c r="G4027" i="22"/>
  <c r="AM4026" i="22"/>
  <c r="AL4026" i="22"/>
  <c r="AJ4026" i="22"/>
  <c r="AF4026" i="22"/>
  <c r="AK4026" i="22"/>
  <c r="V4026" i="22"/>
  <c r="AA4026" i="22"/>
  <c r="AB4026" i="22"/>
  <c r="Z4026" i="22"/>
  <c r="AC4026" i="22"/>
  <c r="S4026" i="22"/>
  <c r="Q4026" i="22"/>
  <c r="L4026" i="22"/>
  <c r="R4026" i="22"/>
  <c r="P4026" i="22"/>
  <c r="G4026" i="22"/>
  <c r="I4026" i="22"/>
  <c r="H4026" i="22"/>
  <c r="F4026" i="22"/>
  <c r="B4026" i="22"/>
  <c r="AK4025" i="22"/>
  <c r="AJ4025" i="22"/>
  <c r="AF4025" i="22"/>
  <c r="AL4025" i="22"/>
  <c r="AM4025" i="22"/>
  <c r="Z4025" i="22"/>
  <c r="AB4025" i="22"/>
  <c r="AA4025" i="22"/>
  <c r="V4025" i="22"/>
  <c r="AC4025" i="22"/>
  <c r="S4025" i="22"/>
  <c r="Q4025" i="22"/>
  <c r="R4025" i="22"/>
  <c r="P4025" i="22"/>
  <c r="L4025" i="22"/>
  <c r="I4025" i="22"/>
  <c r="H4025" i="22"/>
  <c r="F4025" i="22"/>
  <c r="B4025" i="22"/>
  <c r="G4025" i="22"/>
  <c r="AJ4024" i="22"/>
  <c r="AL4024" i="22"/>
  <c r="AM4024" i="22"/>
  <c r="AK4024" i="22"/>
  <c r="AF4024" i="22"/>
  <c r="AA4024" i="22"/>
  <c r="V4024" i="22"/>
  <c r="Z4024" i="22"/>
  <c r="AC4024" i="22"/>
  <c r="AB4024" i="22"/>
  <c r="R4024" i="22"/>
  <c r="P4024" i="22"/>
  <c r="L4024" i="22"/>
  <c r="Q4024" i="22"/>
  <c r="S4024" i="22"/>
  <c r="G4024" i="22"/>
  <c r="I4024" i="22"/>
  <c r="B4024" i="22"/>
  <c r="F4024" i="22"/>
  <c r="H4024" i="22"/>
  <c r="AK4023" i="22"/>
  <c r="AJ4023" i="22"/>
  <c r="AF4023" i="22"/>
  <c r="AL4023" i="22"/>
  <c r="AM4023" i="22"/>
  <c r="AB4023" i="22"/>
  <c r="Z4023" i="22"/>
  <c r="V4023" i="22"/>
  <c r="AA4023" i="22"/>
  <c r="AC4023" i="22"/>
  <c r="L4023" i="22"/>
  <c r="R4023" i="22"/>
  <c r="S4023" i="22"/>
  <c r="Q4023" i="22"/>
  <c r="P4023" i="22"/>
  <c r="I4023" i="22"/>
  <c r="G4023" i="22"/>
  <c r="B4023" i="22"/>
  <c r="H4023" i="22"/>
  <c r="F4023" i="22"/>
  <c r="AM4022" i="22"/>
  <c r="AK4022" i="22"/>
  <c r="AL4022" i="22"/>
  <c r="AF4022" i="22"/>
  <c r="AJ4022" i="22"/>
  <c r="AB4022" i="22"/>
  <c r="Z4022" i="22"/>
  <c r="V4022" i="22"/>
  <c r="AC4022" i="22"/>
  <c r="AA4022" i="22"/>
  <c r="R4022" i="22"/>
  <c r="L4022" i="22"/>
  <c r="P4022" i="22"/>
  <c r="S4022" i="22"/>
  <c r="Q4022" i="22"/>
  <c r="I4022" i="22"/>
  <c r="F4022" i="22"/>
  <c r="B4022" i="22"/>
  <c r="G4022" i="22"/>
  <c r="H4022" i="22"/>
  <c r="AF4021" i="22"/>
  <c r="AJ4021" i="22"/>
  <c r="AL4021" i="22"/>
  <c r="AM4021" i="22"/>
  <c r="AK4021" i="22"/>
  <c r="AB4021" i="22"/>
  <c r="V4021" i="22"/>
  <c r="AC4021" i="22"/>
  <c r="Z4021" i="22"/>
  <c r="AA4021" i="22"/>
  <c r="P4021" i="22"/>
  <c r="R4021" i="22"/>
  <c r="S4021" i="22"/>
  <c r="L4021" i="22"/>
  <c r="Q4021" i="22"/>
  <c r="I4021" i="22"/>
  <c r="H4021" i="22"/>
  <c r="B4021" i="22"/>
  <c r="G4021" i="22"/>
  <c r="F4021" i="22"/>
  <c r="AM4020" i="22"/>
  <c r="AL4020" i="22"/>
  <c r="AK4020" i="22"/>
  <c r="AF4020" i="22"/>
  <c r="AJ4020" i="22"/>
  <c r="V4020" i="22"/>
  <c r="AA4020" i="22"/>
  <c r="Z4020" i="22"/>
  <c r="AB4020" i="22"/>
  <c r="AC4020" i="22"/>
  <c r="S4020" i="22"/>
  <c r="Q4020" i="22"/>
  <c r="P4020" i="22"/>
  <c r="L4020" i="22"/>
  <c r="R4020" i="22"/>
  <c r="G4020" i="22"/>
  <c r="B4020" i="22"/>
  <c r="F4020" i="22"/>
  <c r="H4020" i="22"/>
  <c r="I4020" i="22"/>
  <c r="AL4019" i="22"/>
  <c r="AM4019" i="22"/>
  <c r="AJ4019" i="22"/>
  <c r="AF4019" i="22"/>
  <c r="AK4019" i="22"/>
  <c r="Z4019" i="22"/>
  <c r="AC4019" i="22"/>
  <c r="V4019" i="22"/>
  <c r="AA4019" i="22"/>
  <c r="AB4019" i="22"/>
  <c r="R4019" i="22"/>
  <c r="S4019" i="22"/>
  <c r="Q4019" i="22"/>
  <c r="P4019" i="22"/>
  <c r="L4019" i="22"/>
  <c r="B4019" i="22"/>
  <c r="I4019" i="22"/>
  <c r="H4019" i="22"/>
  <c r="F4019" i="22"/>
  <c r="G4019" i="22"/>
  <c r="AK4018" i="22"/>
  <c r="AF4018" i="22"/>
  <c r="AL4018" i="22"/>
  <c r="AJ4018" i="22"/>
  <c r="AM4018" i="22"/>
  <c r="Z4018" i="22"/>
  <c r="AA4018" i="22"/>
  <c r="AB4018" i="22"/>
  <c r="AC4018" i="22"/>
  <c r="V4018" i="22"/>
  <c r="P4018" i="22"/>
  <c r="L4018" i="22"/>
  <c r="R4018" i="22"/>
  <c r="Q4018" i="22"/>
  <c r="S4018" i="22"/>
  <c r="F4018" i="22"/>
  <c r="B4018" i="22"/>
  <c r="G4018" i="22"/>
  <c r="I4018" i="22"/>
  <c r="H4018" i="22"/>
  <c r="AL4017" i="22"/>
  <c r="AM4017" i="22"/>
  <c r="AK4017" i="22"/>
  <c r="AJ4017" i="22"/>
  <c r="AF4017" i="22"/>
  <c r="V4017" i="22"/>
  <c r="AC4017" i="22"/>
  <c r="AB4017" i="22"/>
  <c r="Z4017" i="22"/>
  <c r="AA4017" i="22"/>
  <c r="Q4017" i="22"/>
  <c r="R4017" i="22"/>
  <c r="S4017" i="22"/>
  <c r="P4017" i="22"/>
  <c r="L4017" i="22"/>
  <c r="B4017" i="22"/>
  <c r="G4017" i="22"/>
  <c r="I4017" i="22"/>
  <c r="F4017" i="22"/>
  <c r="H4017" i="22"/>
  <c r="AM4016" i="22"/>
  <c r="AL4016" i="22"/>
  <c r="AJ4016" i="22"/>
  <c r="AF4016" i="22"/>
  <c r="AK4016" i="22"/>
  <c r="AB4016" i="22"/>
  <c r="V4016" i="22"/>
  <c r="Z4016" i="22"/>
  <c r="AA4016" i="22"/>
  <c r="AC4016" i="22"/>
  <c r="L4016" i="22"/>
  <c r="S4016" i="22"/>
  <c r="Q4016" i="22"/>
  <c r="P4016" i="22"/>
  <c r="R4016" i="22"/>
  <c r="I4016" i="22"/>
  <c r="F4016" i="22"/>
  <c r="H4016" i="22"/>
  <c r="B4016" i="22"/>
  <c r="G4016" i="22"/>
  <c r="AM4015" i="22"/>
  <c r="AL4015" i="22"/>
  <c r="AF4015" i="22"/>
  <c r="AJ4015" i="22"/>
  <c r="AK4015" i="22"/>
  <c r="V4015" i="22"/>
  <c r="AA4015" i="22"/>
  <c r="Z4015" i="22"/>
  <c r="AB4015" i="22"/>
  <c r="AC4015" i="22"/>
  <c r="S4015" i="22"/>
  <c r="L4015" i="22"/>
  <c r="P4015" i="22"/>
  <c r="R4015" i="22"/>
  <c r="Q4015" i="22"/>
  <c r="F4015" i="22"/>
  <c r="G4015" i="22"/>
  <c r="I4015" i="22"/>
  <c r="H4015" i="22"/>
  <c r="B4015" i="22"/>
  <c r="AF4014" i="22"/>
  <c r="AL4014" i="22"/>
  <c r="AM4014" i="22"/>
  <c r="AK4014" i="22"/>
  <c r="AJ4014" i="22"/>
  <c r="V4014" i="22"/>
  <c r="Z4014" i="22"/>
  <c r="AB4014" i="22"/>
  <c r="AC4014" i="22"/>
  <c r="AA4014" i="22"/>
  <c r="P4014" i="22"/>
  <c r="R4014" i="22"/>
  <c r="S4014" i="22"/>
  <c r="Q4014" i="22"/>
  <c r="L4014" i="22"/>
  <c r="F4014" i="22"/>
  <c r="H4014" i="22"/>
  <c r="G4014" i="22"/>
  <c r="I4014" i="22"/>
  <c r="B4014" i="22"/>
  <c r="AM4013" i="22"/>
  <c r="AL4013" i="22"/>
  <c r="AF4013" i="22"/>
  <c r="AK4013" i="22"/>
  <c r="AJ4013" i="22"/>
  <c r="AC4013" i="22"/>
  <c r="V4013" i="22"/>
  <c r="Z4013" i="22"/>
  <c r="AA4013" i="22"/>
  <c r="AB4013" i="22"/>
  <c r="L4013" i="22"/>
  <c r="P4013" i="22"/>
  <c r="R4013" i="22"/>
  <c r="S4013" i="22"/>
  <c r="Q4013" i="22"/>
  <c r="F4013" i="22"/>
  <c r="G4013" i="22"/>
  <c r="B4013" i="22"/>
  <c r="H4013" i="22"/>
  <c r="I4013" i="22"/>
  <c r="AL4012" i="22"/>
  <c r="AJ4012" i="22"/>
  <c r="AK4012" i="22"/>
  <c r="AM4012" i="22"/>
  <c r="AF4012" i="22"/>
  <c r="AC4012" i="22"/>
  <c r="AB4012" i="22"/>
  <c r="Z4012" i="22"/>
  <c r="V4012" i="22"/>
  <c r="AA4012" i="22"/>
  <c r="L4012" i="22"/>
  <c r="R4012" i="22"/>
  <c r="P4012" i="22"/>
  <c r="Q4012" i="22"/>
  <c r="S4012" i="22"/>
  <c r="F4012" i="22"/>
  <c r="B4012" i="22"/>
  <c r="G4012" i="22"/>
  <c r="I4012" i="22"/>
  <c r="H4012" i="22"/>
  <c r="AF4011" i="22"/>
  <c r="AK4011" i="22"/>
  <c r="AM4011" i="22"/>
  <c r="AL4011" i="22"/>
  <c r="AJ4011" i="22"/>
  <c r="AA4011" i="22"/>
  <c r="AC4011" i="22"/>
  <c r="AB4011" i="22"/>
  <c r="Z4011" i="22"/>
  <c r="V4011" i="22"/>
  <c r="L4011" i="22"/>
  <c r="R4011" i="22"/>
  <c r="P4011" i="22"/>
  <c r="S4011" i="22"/>
  <c r="Q4011" i="22"/>
  <c r="G4011" i="22"/>
  <c r="B4011" i="22"/>
  <c r="F4011" i="22"/>
  <c r="I4011" i="22"/>
  <c r="H4011" i="22"/>
  <c r="AK4010" i="22"/>
  <c r="AL4010" i="22"/>
  <c r="AJ4010" i="22"/>
  <c r="AF4010" i="22"/>
  <c r="AM4010" i="22"/>
  <c r="AC4010" i="22"/>
  <c r="AA4010" i="22"/>
  <c r="Z4010" i="22"/>
  <c r="AB4010" i="22"/>
  <c r="V4010" i="22"/>
  <c r="S4010" i="22"/>
  <c r="Q4010" i="22"/>
  <c r="L4010" i="22"/>
  <c r="P4010" i="22"/>
  <c r="R4010" i="22"/>
  <c r="H4010" i="22"/>
  <c r="B4010" i="22"/>
  <c r="F4010" i="22"/>
  <c r="G4010" i="22"/>
  <c r="I4010" i="22"/>
  <c r="AF4009" i="22"/>
  <c r="AJ4009" i="22"/>
  <c r="AM4009" i="22"/>
  <c r="AL4009" i="22"/>
  <c r="AK4009" i="22"/>
  <c r="AB4009" i="22"/>
  <c r="Z4009" i="22"/>
  <c r="V4009" i="22"/>
  <c r="AA4009" i="22"/>
  <c r="AC4009" i="22"/>
  <c r="Q4009" i="22"/>
  <c r="R4009" i="22"/>
  <c r="S4009" i="22"/>
  <c r="L4009" i="22"/>
  <c r="P4009" i="22"/>
  <c r="G4009" i="22"/>
  <c r="F4009" i="22"/>
  <c r="B4009" i="22"/>
  <c r="H4009" i="22"/>
  <c r="I4009" i="22"/>
  <c r="AJ4008" i="22"/>
  <c r="AF4008" i="22"/>
  <c r="AL4008" i="22"/>
  <c r="AM4008" i="22"/>
  <c r="AK4008" i="22"/>
  <c r="AC4008" i="22"/>
  <c r="AB4008" i="22"/>
  <c r="Z4008" i="22"/>
  <c r="AA4008" i="22"/>
  <c r="V4008" i="22"/>
  <c r="R4008" i="22"/>
  <c r="Q4008" i="22"/>
  <c r="L4008" i="22"/>
  <c r="S4008" i="22"/>
  <c r="P4008" i="22"/>
  <c r="I4008" i="22"/>
  <c r="B4008" i="22"/>
  <c r="G4008" i="22"/>
  <c r="F4008" i="22"/>
  <c r="H4008" i="22"/>
  <c r="AL4007" i="22"/>
  <c r="AK4007" i="22"/>
  <c r="AM4007" i="22"/>
  <c r="AJ4007" i="22"/>
  <c r="AF4007" i="22"/>
  <c r="V4007" i="22"/>
  <c r="AC4007" i="22"/>
  <c r="AB4007" i="22"/>
  <c r="Z4007" i="22"/>
  <c r="AA4007" i="22"/>
  <c r="S4007" i="22"/>
  <c r="R4007" i="22"/>
  <c r="P4007" i="22"/>
  <c r="L4007" i="22"/>
  <c r="Q4007" i="22"/>
  <c r="I4007" i="22"/>
  <c r="G4007" i="22"/>
  <c r="H4007" i="22"/>
  <c r="F4007" i="22"/>
  <c r="B4007" i="22"/>
  <c r="AL4006" i="22"/>
  <c r="AJ4006" i="22"/>
  <c r="AM4006" i="22"/>
  <c r="AF4006" i="22"/>
  <c r="AK4006" i="22"/>
  <c r="AC4006" i="22"/>
  <c r="V4006" i="22"/>
  <c r="Z4006" i="22"/>
  <c r="AA4006" i="22"/>
  <c r="AB4006" i="22"/>
  <c r="L4006" i="22"/>
  <c r="Q4006" i="22"/>
  <c r="S4006" i="22"/>
  <c r="R4006" i="22"/>
  <c r="P4006" i="22"/>
  <c r="F4006" i="22"/>
  <c r="G4006" i="22"/>
  <c r="I4006" i="22"/>
  <c r="H4006" i="22"/>
  <c r="B4006" i="22"/>
  <c r="AK4005" i="22"/>
  <c r="AL4005" i="22"/>
  <c r="AM4005" i="22"/>
  <c r="AJ4005" i="22"/>
  <c r="AF4005" i="22"/>
  <c r="Z4005" i="22"/>
  <c r="V4005" i="22"/>
  <c r="AB4005" i="22"/>
  <c r="AA4005" i="22"/>
  <c r="AC4005" i="22"/>
  <c r="Q4005" i="22"/>
  <c r="S4005" i="22"/>
  <c r="L4005" i="22"/>
  <c r="R4005" i="22"/>
  <c r="P4005" i="22"/>
  <c r="I4005" i="22"/>
  <c r="G4005" i="22"/>
  <c r="B4005" i="22"/>
  <c r="H4005" i="22"/>
  <c r="F4005" i="22"/>
  <c r="AM4004" i="22"/>
  <c r="AL4004" i="22"/>
  <c r="AJ4004" i="22"/>
  <c r="AF4004" i="22"/>
  <c r="AK4004" i="22"/>
  <c r="V4004" i="22"/>
  <c r="AC4004" i="22"/>
  <c r="AA4004" i="22"/>
  <c r="Z4004" i="22"/>
  <c r="AB4004" i="22"/>
  <c r="S4004" i="22"/>
  <c r="R4004" i="22"/>
  <c r="P4004" i="22"/>
  <c r="L4004" i="22"/>
  <c r="Q4004" i="22"/>
  <c r="B4004" i="22"/>
  <c r="H4004" i="22"/>
  <c r="I4004" i="22"/>
  <c r="G4004" i="22"/>
  <c r="F4004" i="22"/>
  <c r="AK4003" i="22"/>
  <c r="AM4003" i="22"/>
  <c r="AJ4003" i="22"/>
  <c r="AL4003" i="22"/>
  <c r="AF4003" i="22"/>
  <c r="AC4003" i="22"/>
  <c r="Z4003" i="22"/>
  <c r="AB4003" i="22"/>
  <c r="V4003" i="22"/>
  <c r="AA4003" i="22"/>
  <c r="L4003" i="22"/>
  <c r="S4003" i="22"/>
  <c r="R4003" i="22"/>
  <c r="Q4003" i="22"/>
  <c r="P4003" i="22"/>
  <c r="G4003" i="22"/>
  <c r="B4003" i="22"/>
  <c r="F4003" i="22"/>
  <c r="H4003" i="22"/>
  <c r="I4003" i="22"/>
  <c r="AM4002" i="22"/>
  <c r="AL4002" i="22"/>
  <c r="AJ4002" i="22"/>
  <c r="AF4002" i="22"/>
  <c r="AK4002" i="22"/>
  <c r="V4002" i="22"/>
  <c r="AC4002" i="22"/>
  <c r="Z4002" i="22"/>
  <c r="AA4002" i="22"/>
  <c r="AB4002" i="22"/>
  <c r="L4002" i="22"/>
  <c r="P4002" i="22"/>
  <c r="R4002" i="22"/>
  <c r="S4002" i="22"/>
  <c r="Q4002" i="22"/>
  <c r="I4002" i="22"/>
  <c r="H4002" i="22"/>
  <c r="F4002" i="22"/>
  <c r="G4002" i="22"/>
  <c r="B4002" i="22"/>
  <c r="AM4001" i="22"/>
  <c r="AL4001" i="22"/>
  <c r="AK4001" i="22"/>
  <c r="AF4001" i="22"/>
  <c r="AJ4001" i="22"/>
  <c r="AA4001" i="22"/>
  <c r="AC4001" i="22"/>
  <c r="Z4001" i="22"/>
  <c r="V4001" i="22"/>
  <c r="AB4001" i="22"/>
  <c r="R4001" i="22"/>
  <c r="S4001" i="22"/>
  <c r="Q4001" i="22"/>
  <c r="L4001" i="22"/>
  <c r="P4001" i="22"/>
  <c r="H4001" i="22"/>
  <c r="I4001" i="22"/>
  <c r="F4001" i="22"/>
  <c r="B4001" i="22"/>
  <c r="G4001" i="22"/>
  <c r="AJ4000" i="22"/>
  <c r="AK4000" i="22"/>
  <c r="AM4000" i="22"/>
  <c r="AL4000" i="22"/>
  <c r="AF4000" i="22"/>
  <c r="AB4000" i="22"/>
  <c r="V4000" i="22"/>
  <c r="AA4000" i="22"/>
  <c r="Z4000" i="22"/>
  <c r="AC4000" i="22"/>
  <c r="S4000" i="22"/>
  <c r="L4000" i="22"/>
  <c r="R4000" i="22"/>
  <c r="P4000" i="22"/>
  <c r="Q4000" i="22"/>
  <c r="B4000" i="22"/>
  <c r="G4000" i="22"/>
  <c r="I4000" i="22"/>
  <c r="H4000" i="22"/>
  <c r="F4000" i="22"/>
  <c r="AL3999" i="22"/>
  <c r="AM3999" i="22"/>
  <c r="AK3999" i="22"/>
  <c r="AF3999" i="22"/>
  <c r="AJ3999" i="22"/>
  <c r="AC3999" i="22"/>
  <c r="AA3999" i="22"/>
  <c r="V3999" i="22"/>
  <c r="Z3999" i="22"/>
  <c r="AB3999" i="22"/>
  <c r="Q3999" i="22"/>
  <c r="S3999" i="22"/>
  <c r="P3999" i="22"/>
  <c r="L3999" i="22"/>
  <c r="R3999" i="22"/>
  <c r="I3999" i="22"/>
  <c r="G3999" i="22"/>
  <c r="H3999" i="22"/>
  <c r="B3999" i="22"/>
  <c r="F3999" i="22"/>
  <c r="AM3998" i="22"/>
  <c r="AL3998" i="22"/>
  <c r="AK3998" i="22"/>
  <c r="AJ3998" i="22"/>
  <c r="AF3998" i="22"/>
  <c r="AB3998" i="22"/>
  <c r="AC3998" i="22"/>
  <c r="AA3998" i="22"/>
  <c r="V3998" i="22"/>
  <c r="Z3998" i="22"/>
  <c r="R3998" i="22"/>
  <c r="P3998" i="22"/>
  <c r="S3998" i="22"/>
  <c r="L3998" i="22"/>
  <c r="Q3998" i="22"/>
  <c r="G3998" i="22"/>
  <c r="F3998" i="22"/>
  <c r="H3998" i="22"/>
  <c r="B3998" i="22"/>
  <c r="I3998" i="22"/>
  <c r="AL3997" i="22"/>
  <c r="AM3997" i="22"/>
  <c r="AK3997" i="22"/>
  <c r="AJ3997" i="22"/>
  <c r="AF3997" i="22"/>
  <c r="AB3997" i="22"/>
  <c r="V3997" i="22"/>
  <c r="AA3997" i="22"/>
  <c r="AC3997" i="22"/>
  <c r="Z3997" i="22"/>
  <c r="Q3997" i="22"/>
  <c r="R3997" i="22"/>
  <c r="L3997" i="22"/>
  <c r="P3997" i="22"/>
  <c r="S3997" i="22"/>
  <c r="G3997" i="22"/>
  <c r="I3997" i="22"/>
  <c r="H3997" i="22"/>
  <c r="F3997" i="22"/>
  <c r="B3997" i="22"/>
  <c r="AJ3996" i="22"/>
  <c r="AK3996" i="22"/>
  <c r="AM3996" i="22"/>
  <c r="AL3996" i="22"/>
  <c r="AF3996" i="22"/>
  <c r="V3996" i="22"/>
  <c r="AC3996" i="22"/>
  <c r="AA3996" i="22"/>
  <c r="Z3996" i="22"/>
  <c r="AB3996" i="22"/>
  <c r="S3996" i="22"/>
  <c r="Q3996" i="22"/>
  <c r="R3996" i="22"/>
  <c r="P3996" i="22"/>
  <c r="L3996" i="22"/>
  <c r="F3996" i="22"/>
  <c r="I3996" i="22"/>
  <c r="G3996" i="22"/>
  <c r="B3996" i="22"/>
  <c r="H3996" i="22"/>
  <c r="AF3995" i="22"/>
  <c r="AJ3995" i="22"/>
  <c r="AL3995" i="22"/>
  <c r="AM3995" i="22"/>
  <c r="AK3995" i="22"/>
  <c r="AB3995" i="22"/>
  <c r="AA3995" i="22"/>
  <c r="Z3995" i="22"/>
  <c r="AC3995" i="22"/>
  <c r="V3995" i="22"/>
  <c r="R3995" i="22"/>
  <c r="L3995" i="22"/>
  <c r="Q3995" i="22"/>
  <c r="S3995" i="22"/>
  <c r="P3995" i="22"/>
  <c r="I3995" i="22"/>
  <c r="B3995" i="22"/>
  <c r="F3995" i="22"/>
  <c r="G3995" i="22"/>
  <c r="H3995" i="22"/>
  <c r="AM3994" i="22"/>
  <c r="AK3994" i="22"/>
  <c r="AJ3994" i="22"/>
  <c r="AF3994" i="22"/>
  <c r="AL3994" i="22"/>
  <c r="V3994" i="22"/>
  <c r="Z3994" i="22"/>
  <c r="AB3994" i="22"/>
  <c r="AA3994" i="22"/>
  <c r="AC3994" i="22"/>
  <c r="Q3994" i="22"/>
  <c r="P3994" i="22"/>
  <c r="L3994" i="22"/>
  <c r="S3994" i="22"/>
  <c r="R3994" i="22"/>
  <c r="I3994" i="22"/>
  <c r="H3994" i="22"/>
  <c r="G3994" i="22"/>
  <c r="B3994" i="22"/>
  <c r="F3994" i="22"/>
  <c r="AM3993" i="22"/>
  <c r="AK3993" i="22"/>
  <c r="AJ3993" i="22"/>
  <c r="AF3993" i="22"/>
  <c r="AL3993" i="22"/>
  <c r="Z3993" i="22"/>
  <c r="AB3993" i="22"/>
  <c r="AA3993" i="22"/>
  <c r="V3993" i="22"/>
  <c r="AC3993" i="22"/>
  <c r="S3993" i="22"/>
  <c r="L3993" i="22"/>
  <c r="P3993" i="22"/>
  <c r="R3993" i="22"/>
  <c r="Q3993" i="22"/>
  <c r="F3993" i="22"/>
  <c r="B3993" i="22"/>
  <c r="I3993" i="22"/>
  <c r="H3993" i="22"/>
  <c r="G3993" i="22"/>
  <c r="AM3992" i="22"/>
  <c r="AL3992" i="22"/>
  <c r="AJ3992" i="22"/>
  <c r="AF3992" i="22"/>
  <c r="AK3992" i="22"/>
  <c r="AB3992" i="22"/>
  <c r="Z3992" i="22"/>
  <c r="V3992" i="22"/>
  <c r="AA3992" i="22"/>
  <c r="AC3992" i="22"/>
  <c r="S3992" i="22"/>
  <c r="Q3992" i="22"/>
  <c r="P3992" i="22"/>
  <c r="L3992" i="22"/>
  <c r="R3992" i="22"/>
  <c r="I3992" i="22"/>
  <c r="G3992" i="22"/>
  <c r="H3992" i="22"/>
  <c r="F3992" i="22"/>
  <c r="B3992" i="22"/>
  <c r="AM3991" i="22"/>
  <c r="AL3991" i="22"/>
  <c r="AJ3991" i="22"/>
  <c r="AF3991" i="22"/>
  <c r="AK3991" i="22"/>
  <c r="AA3991" i="22"/>
  <c r="V3991" i="22"/>
  <c r="Z3991" i="22"/>
  <c r="AB3991" i="22"/>
  <c r="AC3991" i="22"/>
  <c r="R3991" i="22"/>
  <c r="P3991" i="22"/>
  <c r="S3991" i="22"/>
  <c r="Q3991" i="22"/>
  <c r="L3991" i="22"/>
  <c r="I3991" i="22"/>
  <c r="H3991" i="22"/>
  <c r="G3991" i="22"/>
  <c r="B3991" i="22"/>
  <c r="F3991" i="22"/>
  <c r="AK3990" i="22"/>
  <c r="AJ3990" i="22"/>
  <c r="AL3990" i="22"/>
  <c r="AM3990" i="22"/>
  <c r="AF3990" i="22"/>
  <c r="AC3990" i="22"/>
  <c r="AB3990" i="22"/>
  <c r="Z3990" i="22"/>
  <c r="AA3990" i="22"/>
  <c r="V3990" i="22"/>
  <c r="S3990" i="22"/>
  <c r="Q3990" i="22"/>
  <c r="R3990" i="22"/>
  <c r="P3990" i="22"/>
  <c r="L3990" i="22"/>
  <c r="B3990" i="22"/>
  <c r="I3990" i="22"/>
  <c r="F3990" i="22"/>
  <c r="G3990" i="22"/>
  <c r="H3990" i="22"/>
  <c r="AK3989" i="22"/>
  <c r="AF3989" i="22"/>
  <c r="AL3989" i="22"/>
  <c r="AM3989" i="22"/>
  <c r="AJ3989" i="22"/>
  <c r="V3989" i="22"/>
  <c r="Z3989" i="22"/>
  <c r="AC3989" i="22"/>
  <c r="AB3989" i="22"/>
  <c r="AA3989" i="22"/>
  <c r="P3989" i="22"/>
  <c r="Q3989" i="22"/>
  <c r="R3989" i="22"/>
  <c r="S3989" i="22"/>
  <c r="L3989" i="22"/>
  <c r="H3989" i="22"/>
  <c r="G3989" i="22"/>
  <c r="I3989" i="22"/>
  <c r="B3989" i="22"/>
  <c r="F3989" i="22"/>
  <c r="AL3988" i="22"/>
  <c r="AJ3988" i="22"/>
  <c r="AK3988" i="22"/>
  <c r="AF3988" i="22"/>
  <c r="AM3988" i="22"/>
  <c r="Z3988" i="22"/>
  <c r="V3988" i="22"/>
  <c r="AC3988" i="22"/>
  <c r="AB3988" i="22"/>
  <c r="AA3988" i="22"/>
  <c r="R3988" i="22"/>
  <c r="Q3988" i="22"/>
  <c r="S3988" i="22"/>
  <c r="P3988" i="22"/>
  <c r="L3988" i="22"/>
  <c r="G3988" i="22"/>
  <c r="I3988" i="22"/>
  <c r="B3988" i="22"/>
  <c r="F3988" i="22"/>
  <c r="H3988" i="22"/>
  <c r="AJ3987" i="22"/>
  <c r="AF3987" i="22"/>
  <c r="AL3987" i="22"/>
  <c r="AK3987" i="22"/>
  <c r="AM3987" i="22"/>
  <c r="V3987" i="22"/>
  <c r="Z3987" i="22"/>
  <c r="AC3987" i="22"/>
  <c r="AB3987" i="22"/>
  <c r="AA3987" i="22"/>
  <c r="R3987" i="22"/>
  <c r="L3987" i="22"/>
  <c r="Q3987" i="22"/>
  <c r="S3987" i="22"/>
  <c r="P3987" i="22"/>
  <c r="I3987" i="22"/>
  <c r="H3987" i="22"/>
  <c r="G3987" i="22"/>
  <c r="B3987" i="22"/>
  <c r="F3987" i="22"/>
  <c r="AM3986" i="22"/>
  <c r="AK3986" i="22"/>
  <c r="AJ3986" i="22"/>
  <c r="AF3986" i="22"/>
  <c r="AL3986" i="22"/>
  <c r="AA3986" i="22"/>
  <c r="V3986" i="22"/>
  <c r="Z3986" i="22"/>
  <c r="AC3986" i="22"/>
  <c r="AB3986" i="22"/>
  <c r="S3986" i="22"/>
  <c r="Q3986" i="22"/>
  <c r="L3986" i="22"/>
  <c r="P3986" i="22"/>
  <c r="R3986" i="22"/>
  <c r="G3986" i="22"/>
  <c r="I3986" i="22"/>
  <c r="H3986" i="22"/>
  <c r="B3986" i="22"/>
  <c r="F3986" i="22"/>
  <c r="AL3985" i="22"/>
  <c r="AM3985" i="22"/>
  <c r="AK3985" i="22"/>
  <c r="AJ3985" i="22"/>
  <c r="AF3985" i="22"/>
  <c r="AC3985" i="22"/>
  <c r="Z3985" i="22"/>
  <c r="AA3985" i="22"/>
  <c r="V3985" i="22"/>
  <c r="AB3985" i="22"/>
  <c r="R3985" i="22"/>
  <c r="P3985" i="22"/>
  <c r="Q3985" i="22"/>
  <c r="S3985" i="22"/>
  <c r="L3985" i="22"/>
  <c r="G3985" i="22"/>
  <c r="I3985" i="22"/>
  <c r="B3985" i="22"/>
  <c r="H3985" i="22"/>
  <c r="F3985" i="22"/>
  <c r="AJ3984" i="22"/>
  <c r="AF3984" i="22"/>
  <c r="AK3984" i="22"/>
  <c r="AL3984" i="22"/>
  <c r="AM3984" i="22"/>
  <c r="V3984" i="22"/>
  <c r="Z3984" i="22"/>
  <c r="AB3984" i="22"/>
  <c r="AA3984" i="22"/>
  <c r="AC3984" i="22"/>
  <c r="L3984" i="22"/>
  <c r="R3984" i="22"/>
  <c r="P3984" i="22"/>
  <c r="S3984" i="22"/>
  <c r="Q3984" i="22"/>
  <c r="F3984" i="22"/>
  <c r="I3984" i="22"/>
  <c r="G3984" i="22"/>
  <c r="H3984" i="22"/>
  <c r="B3984" i="22"/>
  <c r="AK3983" i="22"/>
  <c r="AM3983" i="22"/>
  <c r="AL3983" i="22"/>
  <c r="AJ3983" i="22"/>
  <c r="AF3983" i="22"/>
  <c r="AA3983" i="22"/>
  <c r="AB3983" i="22"/>
  <c r="V3983" i="22"/>
  <c r="Z3983" i="22"/>
  <c r="AC3983" i="22"/>
  <c r="L3983" i="22"/>
  <c r="Q3983" i="22"/>
  <c r="S3983" i="22"/>
  <c r="R3983" i="22"/>
  <c r="P3983" i="22"/>
  <c r="I3983" i="22"/>
  <c r="G3983" i="22"/>
  <c r="H3983" i="22"/>
  <c r="F3983" i="22"/>
  <c r="B3983" i="22"/>
  <c r="AL3982" i="22"/>
  <c r="AF3982" i="22"/>
  <c r="AM3982" i="22"/>
  <c r="AJ3982" i="22"/>
  <c r="AK3982" i="22"/>
  <c r="AC3982" i="22"/>
  <c r="AA3982" i="22"/>
  <c r="V3982" i="22"/>
  <c r="AB3982" i="22"/>
  <c r="Z3982" i="22"/>
  <c r="L3982" i="22"/>
  <c r="R3982" i="22"/>
  <c r="S3982" i="22"/>
  <c r="P3982" i="22"/>
  <c r="Q3982" i="22"/>
  <c r="G3982" i="22"/>
  <c r="B3982" i="22"/>
  <c r="F3982" i="22"/>
  <c r="I3982" i="22"/>
  <c r="H3982" i="22"/>
  <c r="AL3981" i="22"/>
  <c r="AM3981" i="22"/>
  <c r="AK3981" i="22"/>
  <c r="AF3981" i="22"/>
  <c r="AJ3981" i="22"/>
  <c r="V3981" i="22"/>
  <c r="AA3981" i="22"/>
  <c r="AC3981" i="22"/>
  <c r="AB3981" i="22"/>
  <c r="Z3981" i="22"/>
  <c r="Q3981" i="22"/>
  <c r="L3981" i="22"/>
  <c r="P3981" i="22"/>
  <c r="S3981" i="22"/>
  <c r="R3981" i="22"/>
  <c r="F3981" i="22"/>
  <c r="B3981" i="22"/>
  <c r="I3981" i="22"/>
  <c r="H3981" i="22"/>
  <c r="G3981" i="22"/>
  <c r="AK3980" i="22"/>
  <c r="AJ3980" i="22"/>
  <c r="AM3980" i="22"/>
  <c r="AL3980" i="22"/>
  <c r="AF3980" i="22"/>
  <c r="V3980" i="22"/>
  <c r="AB3980" i="22"/>
  <c r="AC3980" i="22"/>
  <c r="AA3980" i="22"/>
  <c r="Z3980" i="22"/>
  <c r="Q3980" i="22"/>
  <c r="P3980" i="22"/>
  <c r="R3980" i="22"/>
  <c r="S3980" i="22"/>
  <c r="L3980" i="22"/>
  <c r="F3980" i="22"/>
  <c r="B3980" i="22"/>
  <c r="G3980" i="22"/>
  <c r="I3980" i="22"/>
  <c r="H3980" i="22"/>
  <c r="AL3979" i="22"/>
  <c r="AM3979" i="22"/>
  <c r="AJ3979" i="22"/>
  <c r="AK3979" i="22"/>
  <c r="AF3979" i="22"/>
  <c r="Z3979" i="22"/>
  <c r="AC3979" i="22"/>
  <c r="AA3979" i="22"/>
  <c r="V3979" i="22"/>
  <c r="AB3979" i="22"/>
  <c r="L3979" i="22"/>
  <c r="Q3979" i="22"/>
  <c r="S3979" i="22"/>
  <c r="R3979" i="22"/>
  <c r="P3979" i="22"/>
  <c r="G3979" i="22"/>
  <c r="B3979" i="22"/>
  <c r="F3979" i="22"/>
  <c r="I3979" i="22"/>
  <c r="H3979" i="22"/>
  <c r="AM3978" i="22"/>
  <c r="AK3978" i="22"/>
  <c r="AF3978" i="22"/>
  <c r="AL3978" i="22"/>
  <c r="AJ3978" i="22"/>
  <c r="AB3978" i="22"/>
  <c r="AC3978" i="22"/>
  <c r="V3978" i="22"/>
  <c r="AA3978" i="22"/>
  <c r="Z3978" i="22"/>
  <c r="S3978" i="22"/>
  <c r="R3978" i="22"/>
  <c r="Q3978" i="22"/>
  <c r="P3978" i="22"/>
  <c r="L3978" i="22"/>
  <c r="I3978" i="22"/>
  <c r="H3978" i="22"/>
  <c r="G3978" i="22"/>
  <c r="F3978" i="22"/>
  <c r="B3978" i="22"/>
  <c r="AM3977" i="22"/>
  <c r="AL3977" i="22"/>
  <c r="AK3977" i="22"/>
  <c r="AJ3977" i="22"/>
  <c r="AF3977" i="22"/>
  <c r="AC3977" i="22"/>
  <c r="AB3977" i="22"/>
  <c r="AA3977" i="22"/>
  <c r="Z3977" i="22"/>
  <c r="V3977" i="22"/>
  <c r="S3977" i="22"/>
  <c r="R3977" i="22"/>
  <c r="Q3977" i="22"/>
  <c r="P3977" i="22"/>
  <c r="L3977" i="22"/>
  <c r="I3977" i="22"/>
  <c r="H3977" i="22"/>
  <c r="G3977" i="22"/>
  <c r="F3977" i="22"/>
  <c r="B3977" i="22"/>
  <c r="AM3976" i="22"/>
  <c r="AL3976" i="22"/>
  <c r="AK3976" i="22"/>
  <c r="AJ3976" i="22"/>
  <c r="AF3976" i="22"/>
  <c r="AC3976" i="22"/>
  <c r="AB3976" i="22"/>
  <c r="AA3976" i="22"/>
  <c r="Z3976" i="22"/>
  <c r="V3976" i="22"/>
  <c r="S3976" i="22"/>
  <c r="R3976" i="22"/>
  <c r="Q3976" i="22"/>
  <c r="P3976" i="22"/>
  <c r="L3976" i="22"/>
  <c r="I3976" i="22"/>
  <c r="H3976" i="22"/>
  <c r="G3976" i="22"/>
  <c r="F3976" i="22"/>
  <c r="B3976" i="22"/>
  <c r="AM3975" i="22"/>
  <c r="AL3975" i="22"/>
  <c r="AK3975" i="22"/>
  <c r="AJ3975" i="22"/>
  <c r="AF3975" i="22"/>
  <c r="AC3975" i="22"/>
  <c r="AB3975" i="22"/>
  <c r="AA3975" i="22"/>
  <c r="Z3975" i="22"/>
  <c r="V3975" i="22"/>
  <c r="S3975" i="22"/>
  <c r="R3975" i="22"/>
  <c r="Q3975" i="22"/>
  <c r="P3975" i="22"/>
  <c r="L3975" i="22"/>
  <c r="I3975" i="22"/>
  <c r="H3975" i="22"/>
  <c r="G3975" i="22"/>
  <c r="F3975" i="22"/>
  <c r="B3975" i="22"/>
  <c r="AM3974" i="22"/>
  <c r="AL3974" i="22"/>
  <c r="AK3974" i="22"/>
  <c r="AJ3974" i="22"/>
  <c r="AF3974" i="22"/>
  <c r="AC3974" i="22"/>
  <c r="AB3974" i="22"/>
  <c r="AA3974" i="22"/>
  <c r="Z3974" i="22"/>
  <c r="V3974" i="22"/>
  <c r="S3974" i="22"/>
  <c r="R3974" i="22"/>
  <c r="Q3974" i="22"/>
  <c r="P3974" i="22"/>
  <c r="L3974" i="22"/>
  <c r="I3974" i="22"/>
  <c r="H3974" i="22"/>
  <c r="G3974" i="22"/>
  <c r="F3974" i="22"/>
  <c r="B3974" i="22"/>
  <c r="AM3973" i="22"/>
  <c r="AL3973" i="22"/>
  <c r="AK3973" i="22"/>
  <c r="AJ3973" i="22"/>
  <c r="AF3973" i="22"/>
  <c r="AC3973" i="22"/>
  <c r="AB3973" i="22"/>
  <c r="AA3973" i="22"/>
  <c r="Z3973" i="22"/>
  <c r="V3973" i="22"/>
  <c r="S3973" i="22"/>
  <c r="R3973" i="22"/>
  <c r="Q3973" i="22"/>
  <c r="P3973" i="22"/>
  <c r="L3973" i="22"/>
  <c r="I3973" i="22"/>
  <c r="H3973" i="22"/>
  <c r="G3973" i="22"/>
  <c r="F3973" i="22"/>
  <c r="B3973" i="22"/>
  <c r="AM3972" i="22"/>
  <c r="AL3972" i="22"/>
  <c r="AK3972" i="22"/>
  <c r="AJ3972" i="22"/>
  <c r="AF3972" i="22"/>
  <c r="AC3972" i="22"/>
  <c r="AB3972" i="22"/>
  <c r="AA3972" i="22"/>
  <c r="Z3972" i="22"/>
  <c r="V3972" i="22"/>
  <c r="S3972" i="22"/>
  <c r="R3972" i="22"/>
  <c r="Q3972" i="22"/>
  <c r="P3972" i="22"/>
  <c r="L3972" i="22"/>
  <c r="I3972" i="22"/>
  <c r="H3972" i="22"/>
  <c r="G3972" i="22"/>
  <c r="F3972" i="22"/>
  <c r="B3972" i="22"/>
  <c r="AM3971" i="22"/>
  <c r="AL3971" i="22"/>
  <c r="AK3971" i="22"/>
  <c r="AJ3971" i="22"/>
  <c r="AF3971" i="22"/>
  <c r="AC3971" i="22"/>
  <c r="AB3971" i="22"/>
  <c r="AA3971" i="22"/>
  <c r="Z3971" i="22"/>
  <c r="V3971" i="22"/>
  <c r="S3971" i="22"/>
  <c r="R3971" i="22"/>
  <c r="Q3971" i="22"/>
  <c r="P3971" i="22"/>
  <c r="L3971" i="22"/>
  <c r="I3971" i="22"/>
  <c r="H3971" i="22"/>
  <c r="G3971" i="22"/>
  <c r="F3971" i="22"/>
  <c r="B3971" i="22"/>
  <c r="AM3970" i="22"/>
  <c r="AL3970" i="22"/>
  <c r="AK3970" i="22"/>
  <c r="AJ3970" i="22"/>
  <c r="AF3970" i="22"/>
  <c r="AC3970" i="22"/>
  <c r="AB3970" i="22"/>
  <c r="AA3970" i="22"/>
  <c r="Z3970" i="22"/>
  <c r="V3970" i="22"/>
  <c r="S3970" i="22"/>
  <c r="R3970" i="22"/>
  <c r="Q3970" i="22"/>
  <c r="P3970" i="22"/>
  <c r="L3970" i="22"/>
  <c r="I3970" i="22"/>
  <c r="H3970" i="22"/>
  <c r="G3970" i="22"/>
  <c r="F3970" i="22"/>
  <c r="B3970" i="22"/>
  <c r="AM3969" i="22"/>
  <c r="AL3969" i="22"/>
  <c r="AK3969" i="22"/>
  <c r="AJ3969" i="22"/>
  <c r="AF3969" i="22"/>
  <c r="AC3969" i="22"/>
  <c r="AB3969" i="22"/>
  <c r="AA3969" i="22"/>
  <c r="Z3969" i="22"/>
  <c r="V3969" i="22"/>
  <c r="S3969" i="22"/>
  <c r="R3969" i="22"/>
  <c r="Q3969" i="22"/>
  <c r="P3969" i="22"/>
  <c r="L3969" i="22"/>
  <c r="I3969" i="22"/>
  <c r="H3969" i="22"/>
  <c r="G3969" i="22"/>
  <c r="F3969" i="22"/>
  <c r="B3969" i="22"/>
  <c r="AM3968" i="22"/>
  <c r="AL3968" i="22"/>
  <c r="AK3968" i="22"/>
  <c r="AJ3968" i="22"/>
  <c r="AF3968" i="22"/>
  <c r="AC3968" i="22"/>
  <c r="AB3968" i="22"/>
  <c r="AA3968" i="22"/>
  <c r="Z3968" i="22"/>
  <c r="V3968" i="22"/>
  <c r="S3968" i="22"/>
  <c r="R3968" i="22"/>
  <c r="Q3968" i="22"/>
  <c r="P3968" i="22"/>
  <c r="L3968" i="22"/>
  <c r="I3968" i="22"/>
  <c r="H3968" i="22"/>
  <c r="G3968" i="22"/>
  <c r="F3968" i="22"/>
  <c r="B3968" i="22"/>
  <c r="AM3967" i="22"/>
  <c r="AL3967" i="22"/>
  <c r="AK3967" i="22"/>
  <c r="AJ3967" i="22"/>
  <c r="AF3967" i="22"/>
  <c r="AC3967" i="22"/>
  <c r="AB3967" i="22"/>
  <c r="AA3967" i="22"/>
  <c r="Z3967" i="22"/>
  <c r="V3967" i="22"/>
  <c r="S3967" i="22"/>
  <c r="R3967" i="22"/>
  <c r="Q3967" i="22"/>
  <c r="P3967" i="22"/>
  <c r="L3967" i="22"/>
  <c r="I3967" i="22"/>
  <c r="H3967" i="22"/>
  <c r="G3967" i="22"/>
  <c r="F3967" i="22"/>
  <c r="B3967" i="22"/>
  <c r="AM3966" i="22"/>
  <c r="AL3966" i="22"/>
  <c r="AK3966" i="22"/>
  <c r="AJ3966" i="22"/>
  <c r="AF3966" i="22"/>
  <c r="AC3966" i="22"/>
  <c r="AB3966" i="22"/>
  <c r="AA3966" i="22"/>
  <c r="Z3966" i="22"/>
  <c r="V3966" i="22"/>
  <c r="S3966" i="22"/>
  <c r="R3966" i="22"/>
  <c r="Q3966" i="22"/>
  <c r="P3966" i="22"/>
  <c r="L3966" i="22"/>
  <c r="I3966" i="22"/>
  <c r="H3966" i="22"/>
  <c r="G3966" i="22"/>
  <c r="F3966" i="22"/>
  <c r="B3966" i="22"/>
  <c r="AM3965" i="22"/>
  <c r="AL3965" i="22"/>
  <c r="AK3965" i="22"/>
  <c r="AJ3965" i="22"/>
  <c r="AF3965" i="22"/>
  <c r="AC3965" i="22"/>
  <c r="AB3965" i="22"/>
  <c r="AA3965" i="22"/>
  <c r="Z3965" i="22"/>
  <c r="V3965" i="22"/>
  <c r="S3965" i="22"/>
  <c r="R3965" i="22"/>
  <c r="Q3965" i="22"/>
  <c r="P3965" i="22"/>
  <c r="L3965" i="22"/>
  <c r="I3965" i="22"/>
  <c r="H3965" i="22"/>
  <c r="G3965" i="22"/>
  <c r="F3965" i="22"/>
  <c r="B3965" i="22"/>
  <c r="AM3964" i="22"/>
  <c r="AL3964" i="22"/>
  <c r="AK3964" i="22"/>
  <c r="AJ3964" i="22"/>
  <c r="AF3964" i="22"/>
  <c r="AC3964" i="22"/>
  <c r="AB3964" i="22"/>
  <c r="AA3964" i="22"/>
  <c r="Z3964" i="22"/>
  <c r="V3964" i="22"/>
  <c r="S3964" i="22"/>
  <c r="R3964" i="22"/>
  <c r="Q3964" i="22"/>
  <c r="P3964" i="22"/>
  <c r="L3964" i="22"/>
  <c r="I3964" i="22"/>
  <c r="H3964" i="22"/>
  <c r="G3964" i="22"/>
  <c r="F3964" i="22"/>
  <c r="B3964" i="22"/>
  <c r="AM3963" i="22"/>
  <c r="AL3963" i="22"/>
  <c r="AK3963" i="22"/>
  <c r="AJ3963" i="22"/>
  <c r="AF3963" i="22"/>
  <c r="AC3963" i="22"/>
  <c r="AB3963" i="22"/>
  <c r="AA3963" i="22"/>
  <c r="Z3963" i="22"/>
  <c r="V3963" i="22"/>
  <c r="S3963" i="22"/>
  <c r="R3963" i="22"/>
  <c r="Q3963" i="22"/>
  <c r="P3963" i="22"/>
  <c r="L3963" i="22"/>
  <c r="B3963" i="22"/>
  <c r="I3963" i="22"/>
  <c r="H3963" i="22"/>
  <c r="G3963" i="22"/>
  <c r="F3963" i="22"/>
  <c r="AJ3962" i="22"/>
  <c r="AF3962" i="22"/>
  <c r="AM3962" i="22"/>
  <c r="AK3962" i="22"/>
  <c r="AL3962" i="22"/>
  <c r="AA3962" i="22"/>
  <c r="V3962" i="22"/>
  <c r="AC3962" i="22"/>
  <c r="AB3962" i="22"/>
  <c r="Z3962" i="22"/>
  <c r="L3962" i="22"/>
  <c r="Q3962" i="22"/>
  <c r="P3962" i="22"/>
  <c r="S3962" i="22"/>
  <c r="R3962" i="22"/>
  <c r="I3962" i="22"/>
  <c r="G3962" i="22"/>
  <c r="H3962" i="22"/>
  <c r="B3962" i="22"/>
  <c r="F3962" i="22"/>
  <c r="AF3961" i="22"/>
  <c r="AM3961" i="22"/>
  <c r="AJ3961" i="22"/>
  <c r="AL3961" i="22"/>
  <c r="AK3961" i="22"/>
  <c r="AC3961" i="22"/>
  <c r="AA3961" i="22"/>
  <c r="Z3961" i="22"/>
  <c r="V3961" i="22"/>
  <c r="AB3961" i="22"/>
  <c r="R3961" i="22"/>
  <c r="P3961" i="22"/>
  <c r="L3961" i="22"/>
  <c r="Q3961" i="22"/>
  <c r="S3961" i="22"/>
  <c r="F3961" i="22"/>
  <c r="B3961" i="22"/>
  <c r="H3961" i="22"/>
  <c r="G3961" i="22"/>
  <c r="I3961" i="22"/>
  <c r="AF3960" i="22"/>
  <c r="AJ3960" i="22"/>
  <c r="AK3960" i="22"/>
  <c r="AL3960" i="22"/>
  <c r="AM3960" i="22"/>
  <c r="V3960" i="22"/>
  <c r="Z3960" i="22"/>
  <c r="AA3960" i="22"/>
  <c r="AB3960" i="22"/>
  <c r="AC3960" i="22"/>
  <c r="L3960" i="22"/>
  <c r="P3960" i="22"/>
  <c r="Q3960" i="22"/>
  <c r="S3960" i="22"/>
  <c r="R3960" i="22"/>
  <c r="H3960" i="22"/>
  <c r="G3960" i="22"/>
  <c r="F3960" i="22"/>
  <c r="I3960" i="22"/>
  <c r="B3960" i="22"/>
  <c r="AM3959" i="22"/>
  <c r="AL3959" i="22"/>
  <c r="AK3959" i="22"/>
  <c r="AJ3959" i="22"/>
  <c r="AF3959" i="22"/>
  <c r="AC3959" i="22"/>
  <c r="AB3959" i="22"/>
  <c r="AA3959" i="22"/>
  <c r="Z3959" i="22"/>
  <c r="V3959" i="22"/>
  <c r="S3959" i="22"/>
  <c r="R3959" i="22"/>
  <c r="Q3959" i="22"/>
  <c r="L3959" i="22"/>
  <c r="P3959" i="22"/>
  <c r="B3959" i="22"/>
  <c r="G3959" i="22"/>
  <c r="F3959" i="22"/>
  <c r="H3959" i="22"/>
  <c r="I3959" i="22"/>
  <c r="AL3958" i="22"/>
  <c r="AJ3958" i="22"/>
  <c r="AF3958" i="22"/>
  <c r="AK3958" i="22"/>
  <c r="AM3958" i="22"/>
  <c r="AC3958" i="22"/>
  <c r="AB3958" i="22"/>
  <c r="Z3958" i="22"/>
  <c r="AA3958" i="22"/>
  <c r="V3958" i="22"/>
  <c r="S3958" i="22"/>
  <c r="L3958" i="22"/>
  <c r="P3958" i="22"/>
  <c r="Q3958" i="22"/>
  <c r="R3958" i="22"/>
  <c r="B3958" i="22"/>
  <c r="F3958" i="22"/>
  <c r="G3958" i="22"/>
  <c r="H3958" i="22"/>
  <c r="I3958" i="22"/>
  <c r="AF3957" i="22"/>
  <c r="AK3957" i="22"/>
  <c r="AL3957" i="22"/>
  <c r="AJ3957" i="22"/>
  <c r="AM3957" i="22"/>
  <c r="AB3957" i="22"/>
  <c r="AC3957" i="22"/>
  <c r="AA3957" i="22"/>
  <c r="V3957" i="22"/>
  <c r="Z3957" i="22"/>
  <c r="L3957" i="22"/>
  <c r="P3957" i="22"/>
  <c r="Q3957" i="22"/>
  <c r="S3957" i="22"/>
  <c r="R3957" i="22"/>
  <c r="I3957" i="22"/>
  <c r="H3957" i="22"/>
  <c r="G3957" i="22"/>
  <c r="B3957" i="22"/>
  <c r="F3957" i="22"/>
  <c r="AK3956" i="22"/>
  <c r="AF3956" i="22"/>
  <c r="AJ3956" i="22"/>
  <c r="AL3956" i="22"/>
  <c r="AM3956" i="22"/>
  <c r="AB3956" i="22"/>
  <c r="Z3956" i="22"/>
  <c r="V3956" i="22"/>
  <c r="AA3956" i="22"/>
  <c r="AC3956" i="22"/>
  <c r="S3956" i="22"/>
  <c r="R3956" i="22"/>
  <c r="Q3956" i="22"/>
  <c r="P3956" i="22"/>
  <c r="L3956" i="22"/>
  <c r="H3956" i="22"/>
  <c r="G3956" i="22"/>
  <c r="F3956" i="22"/>
  <c r="B3956" i="22"/>
  <c r="I3956" i="22"/>
  <c r="AK3955" i="22"/>
  <c r="AL3955" i="22"/>
  <c r="AM3955" i="22"/>
  <c r="AF3955" i="22"/>
  <c r="AJ3955" i="22"/>
  <c r="AB3955" i="22"/>
  <c r="AA3955" i="22"/>
  <c r="Z3955" i="22"/>
  <c r="V3955" i="22"/>
  <c r="AC3955" i="22"/>
  <c r="P3955" i="22"/>
  <c r="L3955" i="22"/>
  <c r="Q3955" i="22"/>
  <c r="S3955" i="22"/>
  <c r="R3955" i="22"/>
  <c r="I3955" i="22"/>
  <c r="H3955" i="22"/>
  <c r="F3955" i="22"/>
  <c r="B3955" i="22"/>
  <c r="G3955" i="22"/>
  <c r="AM3954" i="22"/>
  <c r="AL3954" i="22"/>
  <c r="AF3954" i="22"/>
  <c r="AJ3954" i="22"/>
  <c r="AK3954" i="22"/>
  <c r="V3954" i="22"/>
  <c r="AC3954" i="22"/>
  <c r="AB3954" i="22"/>
  <c r="Z3954" i="22"/>
  <c r="AA3954" i="22"/>
  <c r="S3954" i="22"/>
  <c r="R3954" i="22"/>
  <c r="Q3954" i="22"/>
  <c r="P3954" i="22"/>
  <c r="L3954" i="22"/>
  <c r="I3954" i="22"/>
  <c r="H3954" i="22"/>
  <c r="G3954" i="22"/>
  <c r="F3954" i="22"/>
  <c r="B3954" i="22"/>
  <c r="AM3953" i="22"/>
  <c r="AL3953" i="22"/>
  <c r="AK3953" i="22"/>
  <c r="AJ3953" i="22"/>
  <c r="AF3953" i="22"/>
  <c r="AC3953" i="22"/>
  <c r="AB3953" i="22"/>
  <c r="AA3953" i="22"/>
  <c r="Z3953" i="22"/>
  <c r="V3953" i="22"/>
  <c r="S3953" i="22"/>
  <c r="R3953" i="22"/>
  <c r="Q3953" i="22"/>
  <c r="P3953" i="22"/>
  <c r="L3953" i="22"/>
  <c r="I3953" i="22"/>
  <c r="H3953" i="22"/>
  <c r="G3953" i="22"/>
  <c r="F3953" i="22"/>
  <c r="B3953" i="22"/>
  <c r="AM3952" i="22"/>
  <c r="AL3952" i="22"/>
  <c r="AK3952" i="22"/>
  <c r="AJ3952" i="22"/>
  <c r="AF3952" i="22"/>
  <c r="AC3952" i="22"/>
  <c r="AB3952" i="22"/>
  <c r="AA3952" i="22"/>
  <c r="Z3952" i="22"/>
  <c r="V3952" i="22"/>
  <c r="S3952" i="22"/>
  <c r="R3952" i="22"/>
  <c r="Q3952" i="22"/>
  <c r="P3952" i="22"/>
  <c r="L3952" i="22"/>
  <c r="I3952" i="22"/>
  <c r="H3952" i="22"/>
  <c r="G3952" i="22"/>
  <c r="F3952" i="22"/>
  <c r="B3952" i="22"/>
  <c r="AM3951" i="22"/>
  <c r="AL3951" i="22"/>
  <c r="AK3951" i="22"/>
  <c r="AJ3951" i="22"/>
  <c r="AF3951" i="22"/>
  <c r="AC3951" i="22"/>
  <c r="AB3951" i="22"/>
  <c r="AA3951" i="22"/>
  <c r="Z3951" i="22"/>
  <c r="V3951" i="22"/>
  <c r="S3951" i="22"/>
  <c r="R3951" i="22"/>
  <c r="Q3951" i="22"/>
  <c r="P3951" i="22"/>
  <c r="L3951" i="22"/>
  <c r="I3951" i="22"/>
  <c r="H3951" i="22"/>
  <c r="F3951" i="22"/>
  <c r="B3951" i="22"/>
  <c r="G3951" i="22"/>
  <c r="AL3950" i="22"/>
  <c r="AK3950" i="22"/>
  <c r="AJ3950" i="22"/>
  <c r="AF3950" i="22"/>
  <c r="AM3950" i="22"/>
  <c r="AC3950" i="22"/>
  <c r="AB3950" i="22"/>
  <c r="AA3950" i="22"/>
  <c r="Z3950" i="22"/>
  <c r="V3950" i="22"/>
  <c r="R3950" i="22"/>
  <c r="Q3950" i="22"/>
  <c r="P3950" i="22"/>
  <c r="L3950" i="22"/>
  <c r="S3950" i="22"/>
  <c r="H3950" i="22"/>
  <c r="G3950" i="22"/>
  <c r="F3950" i="22"/>
  <c r="B3950" i="22"/>
  <c r="I3950" i="22"/>
  <c r="AM3949" i="22"/>
  <c r="AL3949" i="22"/>
  <c r="AK3949" i="22"/>
  <c r="AJ3949" i="22"/>
  <c r="AF3949" i="22"/>
  <c r="V3949" i="22"/>
  <c r="AC3949" i="22"/>
  <c r="AB3949" i="22"/>
  <c r="AA3949" i="22"/>
  <c r="Z3949" i="22"/>
  <c r="S3949" i="22"/>
  <c r="R3949" i="22"/>
  <c r="Q3949" i="22"/>
  <c r="P3949" i="22"/>
  <c r="L3949" i="22"/>
  <c r="B3949" i="22"/>
  <c r="I3949" i="22"/>
  <c r="H3949" i="22"/>
  <c r="G3949" i="22"/>
  <c r="F3949" i="22"/>
  <c r="AM3948" i="22"/>
  <c r="AL3948" i="22"/>
  <c r="AK3948" i="22"/>
  <c r="AJ3948" i="22"/>
  <c r="AF3948" i="22"/>
  <c r="V3948" i="22"/>
  <c r="AC3948" i="22"/>
  <c r="AB3948" i="22"/>
  <c r="AA3948" i="22"/>
  <c r="Z3948" i="22"/>
  <c r="L3948" i="22"/>
  <c r="S3948" i="22"/>
  <c r="R3948" i="22"/>
  <c r="Q3948" i="22"/>
  <c r="P3948" i="22"/>
  <c r="B3948" i="22"/>
  <c r="I3948" i="22"/>
  <c r="H3948" i="22"/>
  <c r="G3948" i="22"/>
  <c r="F3948" i="22"/>
  <c r="AM3947" i="22"/>
  <c r="AK3947" i="22"/>
  <c r="AJ3947" i="22"/>
  <c r="AL3947" i="22"/>
  <c r="AF3947" i="22"/>
  <c r="AC3947" i="22"/>
  <c r="AB3947" i="22"/>
  <c r="AA3947" i="22"/>
  <c r="Z3947" i="22"/>
  <c r="V3947" i="22"/>
  <c r="S3947" i="22"/>
  <c r="R3947" i="22"/>
  <c r="Q3947" i="22"/>
  <c r="P3947" i="22"/>
  <c r="L3947" i="22"/>
  <c r="I3947" i="22"/>
  <c r="H3947" i="22"/>
  <c r="G3947" i="22"/>
  <c r="F3947" i="22"/>
  <c r="B3947" i="22"/>
  <c r="AM3946" i="22"/>
  <c r="AL3946" i="22"/>
  <c r="AK3946" i="22"/>
  <c r="AJ3946" i="22"/>
  <c r="AF3946" i="22"/>
  <c r="V3946" i="22"/>
  <c r="Z3946" i="22"/>
  <c r="AC3946" i="22"/>
  <c r="AB3946" i="22"/>
  <c r="AA3946" i="22"/>
  <c r="S3946" i="22"/>
  <c r="R3946" i="22"/>
  <c r="P3946" i="22"/>
  <c r="L3946" i="22"/>
  <c r="Q3946" i="22"/>
  <c r="H3946" i="22"/>
  <c r="I3946" i="22"/>
  <c r="B3946" i="22"/>
  <c r="F3946" i="22"/>
  <c r="G3946" i="22"/>
  <c r="AF3945" i="22"/>
  <c r="AK3945" i="22"/>
  <c r="AL3945" i="22"/>
  <c r="AJ3945" i="22"/>
  <c r="AM3945" i="22"/>
  <c r="AC3945" i="22"/>
  <c r="V3945" i="22"/>
  <c r="AB3945" i="22"/>
  <c r="AA3945" i="22"/>
  <c r="Z3945" i="22"/>
  <c r="R3945" i="22"/>
  <c r="S3945" i="22"/>
  <c r="P3945" i="22"/>
  <c r="Q3945" i="22"/>
  <c r="L3945" i="22"/>
  <c r="I3945" i="22"/>
  <c r="H3945" i="22"/>
  <c r="G3945" i="22"/>
  <c r="B3945" i="22"/>
  <c r="F3945" i="22"/>
  <c r="AM3944" i="22"/>
  <c r="AL3944" i="22"/>
  <c r="AJ3944" i="22"/>
  <c r="AK3944" i="22"/>
  <c r="AF3944" i="22"/>
  <c r="Z3944" i="22"/>
  <c r="AA3944" i="22"/>
  <c r="AB3944" i="22"/>
  <c r="V3944" i="22"/>
  <c r="AC3944" i="22"/>
  <c r="R3944" i="22"/>
  <c r="Q3944" i="22"/>
  <c r="P3944" i="22"/>
  <c r="L3944" i="22"/>
  <c r="S3944" i="22"/>
  <c r="H3944" i="22"/>
  <c r="G3944" i="22"/>
  <c r="F3944" i="22"/>
  <c r="B3944" i="22"/>
  <c r="I3944" i="22"/>
  <c r="AJ3943" i="22"/>
  <c r="AL3943" i="22"/>
  <c r="AK3943" i="22"/>
  <c r="AM3943" i="22"/>
  <c r="AF3943" i="22"/>
  <c r="V3943" i="22"/>
  <c r="AA3943" i="22"/>
  <c r="AB3943" i="22"/>
  <c r="AC3943" i="22"/>
  <c r="Z3943" i="22"/>
  <c r="L3943" i="22"/>
  <c r="P3943" i="22"/>
  <c r="Q3943" i="22"/>
  <c r="R3943" i="22"/>
  <c r="S3943" i="22"/>
  <c r="B3943" i="22"/>
  <c r="F3943" i="22"/>
  <c r="G3943" i="22"/>
  <c r="H3943" i="22"/>
  <c r="I3943" i="22"/>
  <c r="AM3942" i="22"/>
  <c r="AJ3942" i="22"/>
  <c r="AK3942" i="22"/>
  <c r="AL3942" i="22"/>
  <c r="AF3942" i="22"/>
  <c r="V3942" i="22"/>
  <c r="Z3942" i="22"/>
  <c r="AA3942" i="22"/>
  <c r="AB3942" i="22"/>
  <c r="AC3942" i="22"/>
  <c r="Q3942" i="22"/>
  <c r="R3942" i="22"/>
  <c r="S3942" i="22"/>
  <c r="L3942" i="22"/>
  <c r="P3942" i="22"/>
  <c r="H3942" i="22"/>
  <c r="I3942" i="22"/>
  <c r="G3942" i="22"/>
  <c r="F3942" i="22"/>
  <c r="B3942" i="22"/>
  <c r="AK3941" i="22"/>
  <c r="AJ3941" i="22"/>
  <c r="AF3941" i="22"/>
  <c r="AL3941" i="22"/>
  <c r="AM3941" i="22"/>
  <c r="AA3941" i="22"/>
  <c r="AC3941" i="22"/>
  <c r="AB3941" i="22"/>
  <c r="V3941" i="22"/>
  <c r="Z3941" i="22"/>
  <c r="P3941" i="22"/>
  <c r="L3941" i="22"/>
  <c r="S3941" i="22"/>
  <c r="R3941" i="22"/>
  <c r="Q3941" i="22"/>
  <c r="I3941" i="22"/>
  <c r="B3941" i="22"/>
  <c r="H3941" i="22"/>
  <c r="G3941" i="22"/>
  <c r="F3941" i="22"/>
  <c r="AM3940" i="22"/>
  <c r="AF3940" i="22"/>
  <c r="AJ3940" i="22"/>
  <c r="AK3940" i="22"/>
  <c r="AL3940" i="22"/>
  <c r="AA3940" i="22"/>
  <c r="V3940" i="22"/>
  <c r="Z3940" i="22"/>
  <c r="AB3940" i="22"/>
  <c r="AC3940" i="22"/>
  <c r="L3940" i="22"/>
  <c r="P3940" i="22"/>
  <c r="R3940" i="22"/>
  <c r="Q3940" i="22"/>
  <c r="S3940" i="22"/>
  <c r="B3940" i="22"/>
  <c r="I3940" i="22"/>
  <c r="G3940" i="22"/>
  <c r="F3940" i="22"/>
  <c r="H3940" i="22"/>
  <c r="AL3939" i="22"/>
  <c r="AM3939" i="22"/>
  <c r="AK3939" i="22"/>
  <c r="AF3939" i="22"/>
  <c r="AJ3939" i="22"/>
  <c r="V3939" i="22"/>
  <c r="AA3939" i="22"/>
  <c r="AB3939" i="22"/>
  <c r="AC3939" i="22"/>
  <c r="Z3939" i="22"/>
  <c r="S3939" i="22"/>
  <c r="L3939" i="22"/>
  <c r="R3939" i="22"/>
  <c r="P3939" i="22"/>
  <c r="Q3939" i="22"/>
  <c r="B3939" i="22"/>
  <c r="G3939" i="22"/>
  <c r="H3939" i="22"/>
  <c r="I3939" i="22"/>
  <c r="F3939" i="22"/>
  <c r="AL3938" i="22"/>
  <c r="AM3938" i="22"/>
  <c r="AK3938" i="22"/>
  <c r="AF3938" i="22"/>
  <c r="AJ3938" i="22"/>
  <c r="V3938" i="22"/>
  <c r="Z3938" i="22"/>
  <c r="AA3938" i="22"/>
  <c r="AB3938" i="22"/>
  <c r="AC3938" i="22"/>
  <c r="Q3938" i="22"/>
  <c r="L3938" i="22"/>
  <c r="R3938" i="22"/>
  <c r="S3938" i="22"/>
  <c r="P3938" i="22"/>
  <c r="B3938" i="22"/>
  <c r="F3938" i="22"/>
  <c r="G3938" i="22"/>
  <c r="H3938" i="22"/>
  <c r="I3938" i="22"/>
  <c r="AL3937" i="22"/>
  <c r="AJ3937" i="22"/>
  <c r="AF3937" i="22"/>
  <c r="AK3937" i="22"/>
  <c r="AM3937" i="22"/>
  <c r="AB3937" i="22"/>
  <c r="V3937" i="22"/>
  <c r="Z3937" i="22"/>
  <c r="AA3937" i="22"/>
  <c r="AC3937" i="22"/>
  <c r="L3937" i="22"/>
  <c r="Q3937" i="22"/>
  <c r="S3937" i="22"/>
  <c r="R3937" i="22"/>
  <c r="P3937" i="22"/>
  <c r="H3937" i="22"/>
  <c r="I3937" i="22"/>
  <c r="B3937" i="22"/>
  <c r="F3937" i="22"/>
  <c r="G3937" i="22"/>
  <c r="AM3936" i="22"/>
  <c r="AL3936" i="22"/>
  <c r="AK3936" i="22"/>
  <c r="AJ3936" i="22"/>
  <c r="AF3936" i="22"/>
  <c r="V3936" i="22"/>
  <c r="Z3936" i="22"/>
  <c r="AA3936" i="22"/>
  <c r="AB3936" i="22"/>
  <c r="AC3936" i="22"/>
  <c r="S3936" i="22"/>
  <c r="R3936" i="22"/>
  <c r="Q3936" i="22"/>
  <c r="P3936" i="22"/>
  <c r="L3936" i="22"/>
  <c r="H3936" i="22"/>
  <c r="F3936" i="22"/>
  <c r="G3936" i="22"/>
  <c r="I3936" i="22"/>
  <c r="B3936" i="22"/>
  <c r="AM3935" i="22"/>
  <c r="AF3935" i="22"/>
  <c r="AJ3935" i="22"/>
  <c r="AK3935" i="22"/>
  <c r="AL3935" i="22"/>
  <c r="AB3935" i="22"/>
  <c r="Z3935" i="22"/>
  <c r="V3935" i="22"/>
  <c r="AA3935" i="22"/>
  <c r="AC3935" i="22"/>
  <c r="S3935" i="22"/>
  <c r="R3935" i="22"/>
  <c r="Q3935" i="22"/>
  <c r="P3935" i="22"/>
  <c r="L3935" i="22"/>
  <c r="I3935" i="22"/>
  <c r="G3935" i="22"/>
  <c r="F3935" i="22"/>
  <c r="B3935" i="22"/>
  <c r="H3935" i="22"/>
  <c r="AK3934" i="22"/>
  <c r="AM3934" i="22"/>
  <c r="AL3934" i="22"/>
  <c r="AF3934" i="22"/>
  <c r="AJ3934" i="22"/>
  <c r="AB3934" i="22"/>
  <c r="AA3934" i="22"/>
  <c r="Z3934" i="22"/>
  <c r="V3934" i="22"/>
  <c r="AC3934" i="22"/>
  <c r="R3934" i="22"/>
  <c r="S3934" i="22"/>
  <c r="Q3934" i="22"/>
  <c r="P3934" i="22"/>
  <c r="L3934" i="22"/>
  <c r="B3934" i="22"/>
  <c r="F3934" i="22"/>
  <c r="G3934" i="22"/>
  <c r="H3934" i="22"/>
  <c r="I3934" i="22"/>
  <c r="AM3933" i="22"/>
  <c r="AF3933" i="22"/>
  <c r="AK3933" i="22"/>
  <c r="AJ3933" i="22"/>
  <c r="AL3933" i="22"/>
  <c r="AB3933" i="22"/>
  <c r="AA3933" i="22"/>
  <c r="Z3933" i="22"/>
  <c r="V3933" i="22"/>
  <c r="AC3933" i="22"/>
  <c r="L3933" i="22"/>
  <c r="P3933" i="22"/>
  <c r="Q3933" i="22"/>
  <c r="R3933" i="22"/>
  <c r="S3933" i="22"/>
  <c r="I3933" i="22"/>
  <c r="G3933" i="22"/>
  <c r="F3933" i="22"/>
  <c r="B3933" i="22"/>
  <c r="H3933" i="22"/>
  <c r="AM3932" i="22"/>
  <c r="AF3932" i="22"/>
  <c r="AK3932" i="22"/>
  <c r="AL3932" i="22"/>
  <c r="AJ3932" i="22"/>
  <c r="AB3932" i="22"/>
  <c r="AA3932" i="22"/>
  <c r="Z3932" i="22"/>
  <c r="V3932" i="22"/>
  <c r="AC3932" i="22"/>
  <c r="R3932" i="22"/>
  <c r="Q3932" i="22"/>
  <c r="P3932" i="22"/>
  <c r="L3932" i="22"/>
  <c r="S3932" i="22"/>
  <c r="F3932" i="22"/>
  <c r="I3932" i="22"/>
  <c r="H3932" i="22"/>
  <c r="G3932" i="22"/>
  <c r="B3932" i="22"/>
  <c r="AM3931" i="22"/>
  <c r="AL3931" i="22"/>
  <c r="AK3931" i="22"/>
  <c r="AJ3931" i="22"/>
  <c r="AF3931" i="22"/>
  <c r="V3931" i="22"/>
  <c r="Z3931" i="22"/>
  <c r="AC3931" i="22"/>
  <c r="AB3931" i="22"/>
  <c r="AA3931" i="22"/>
  <c r="S3931" i="22"/>
  <c r="R3931" i="22"/>
  <c r="Q3931" i="22"/>
  <c r="P3931" i="22"/>
  <c r="L3931" i="22"/>
  <c r="I3931" i="22"/>
  <c r="H3931" i="22"/>
  <c r="G3931" i="22"/>
  <c r="F3931" i="22"/>
  <c r="B3931" i="22"/>
  <c r="AM3930" i="22"/>
  <c r="AL3930" i="22"/>
  <c r="AK3930" i="22"/>
  <c r="AJ3930" i="22"/>
  <c r="AF3930" i="22"/>
  <c r="AC3930" i="22"/>
  <c r="AB3930" i="22"/>
  <c r="AA3930" i="22"/>
  <c r="Z3930" i="22"/>
  <c r="V3930" i="22"/>
  <c r="S3930" i="22"/>
  <c r="R3930" i="22"/>
  <c r="Q3930" i="22"/>
  <c r="P3930" i="22"/>
  <c r="L3930" i="22"/>
  <c r="H3930" i="22"/>
  <c r="I3930" i="22"/>
  <c r="B3930" i="22"/>
  <c r="F3930" i="22"/>
  <c r="G3930" i="22"/>
  <c r="AF3929" i="22"/>
  <c r="AL3929" i="22"/>
  <c r="AK3929" i="22"/>
  <c r="AJ3929" i="22"/>
  <c r="AM3929" i="22"/>
  <c r="AC3929" i="22"/>
  <c r="V3929" i="22"/>
  <c r="Z3929" i="22"/>
  <c r="AA3929" i="22"/>
  <c r="AB3929" i="22"/>
  <c r="L3929" i="22"/>
  <c r="S3929" i="22"/>
  <c r="Q3929" i="22"/>
  <c r="R3929" i="22"/>
  <c r="P3929" i="22"/>
  <c r="I3929" i="22"/>
  <c r="H3929" i="22"/>
  <c r="G3929" i="22"/>
  <c r="F3929" i="22"/>
  <c r="B3929" i="22"/>
  <c r="AM3928" i="22"/>
  <c r="AL3928" i="22"/>
  <c r="AK3928" i="22"/>
  <c r="AJ3928" i="22"/>
  <c r="AF3928" i="22"/>
  <c r="AC3928" i="22"/>
  <c r="AB3928" i="22"/>
  <c r="AA3928" i="22"/>
  <c r="Z3928" i="22"/>
  <c r="V3928" i="22"/>
  <c r="S3928" i="22"/>
  <c r="P3928" i="22"/>
  <c r="Q3928" i="22"/>
  <c r="R3928" i="22"/>
  <c r="L3928" i="22"/>
  <c r="I3928" i="22"/>
  <c r="B3928" i="22"/>
  <c r="F3928" i="22"/>
  <c r="G3928" i="22"/>
  <c r="H3928" i="22"/>
  <c r="AF3927" i="22"/>
  <c r="AJ3927" i="22"/>
  <c r="AM3927" i="22"/>
  <c r="AL3927" i="22"/>
  <c r="AK3927" i="22"/>
  <c r="V3927" i="22"/>
  <c r="AB3927" i="22"/>
  <c r="Z3927" i="22"/>
  <c r="AC3927" i="22"/>
  <c r="AA3927" i="22"/>
  <c r="P3927" i="22"/>
  <c r="Q3927" i="22"/>
  <c r="S3927" i="22"/>
  <c r="R3927" i="22"/>
  <c r="L3927" i="22"/>
  <c r="H3927" i="22"/>
  <c r="G3927" i="22"/>
  <c r="F3927" i="22"/>
  <c r="B3927" i="22"/>
  <c r="I3927" i="22"/>
  <c r="AM3926" i="22"/>
  <c r="AJ3926" i="22"/>
  <c r="AK3926" i="22"/>
  <c r="AL3926" i="22"/>
  <c r="AF3926" i="22"/>
  <c r="V3926" i="22"/>
  <c r="Z3926" i="22"/>
  <c r="AA3926" i="22"/>
  <c r="AB3926" i="22"/>
  <c r="AC3926" i="22"/>
  <c r="P3926" i="22"/>
  <c r="Q3926" i="22"/>
  <c r="R3926" i="22"/>
  <c r="S3926" i="22"/>
  <c r="L3926" i="22"/>
  <c r="I3926" i="22"/>
  <c r="H3926" i="22"/>
  <c r="G3926" i="22"/>
  <c r="F3926" i="22"/>
  <c r="B3926" i="22"/>
  <c r="AK3925" i="22"/>
  <c r="AF3925" i="22"/>
  <c r="AJ3925" i="22"/>
  <c r="AL3925" i="22"/>
  <c r="AM3925" i="22"/>
  <c r="AB3925" i="22"/>
  <c r="AC3925" i="22"/>
  <c r="V3925" i="22"/>
  <c r="Z3925" i="22"/>
  <c r="AA3925" i="22"/>
  <c r="L3925" i="22"/>
  <c r="R3925" i="22"/>
  <c r="S3925" i="22"/>
  <c r="P3925" i="22"/>
  <c r="Q3925" i="22"/>
  <c r="B3925" i="22"/>
  <c r="F3925" i="22"/>
  <c r="G3925" i="22"/>
  <c r="H3925" i="22"/>
  <c r="I3925" i="22"/>
  <c r="AF3924" i="22"/>
  <c r="AJ3924" i="22"/>
  <c r="AK3924" i="22"/>
  <c r="AL3924" i="22"/>
  <c r="AM3924" i="22"/>
  <c r="AB3924" i="22"/>
  <c r="AA3924" i="22"/>
  <c r="Z3924" i="22"/>
  <c r="V3924" i="22"/>
  <c r="AC3924" i="22"/>
  <c r="Q3924" i="22"/>
  <c r="R3924" i="22"/>
  <c r="L3924" i="22"/>
  <c r="P3924" i="22"/>
  <c r="S3924" i="22"/>
  <c r="H3924" i="22"/>
  <c r="G3924" i="22"/>
  <c r="F3924" i="22"/>
  <c r="B3924" i="22"/>
  <c r="I3924" i="22"/>
  <c r="AM3923" i="22"/>
  <c r="AL3923" i="22"/>
  <c r="AK3923" i="22"/>
  <c r="AJ3923" i="22"/>
  <c r="AF3923" i="22"/>
  <c r="V3923" i="22"/>
  <c r="Z3923" i="22"/>
  <c r="AB3923" i="22"/>
  <c r="AC3923" i="22"/>
  <c r="AA3923" i="22"/>
  <c r="S3923" i="22"/>
  <c r="R3923" i="22"/>
  <c r="L3923" i="22"/>
  <c r="P3923" i="22"/>
  <c r="Q3923" i="22"/>
  <c r="B3923" i="22"/>
  <c r="G3923" i="22"/>
  <c r="F3923" i="22"/>
  <c r="I3923" i="22"/>
  <c r="H3923" i="22"/>
  <c r="AL3922" i="22"/>
  <c r="AK3922" i="22"/>
  <c r="AJ3922" i="22"/>
  <c r="AF3922" i="22"/>
  <c r="AM3922" i="22"/>
  <c r="Z3922" i="22"/>
  <c r="V3922" i="22"/>
  <c r="AB3922" i="22"/>
  <c r="AC3922" i="22"/>
  <c r="AA3922" i="22"/>
  <c r="L3922" i="22"/>
  <c r="P3922" i="22"/>
  <c r="Q3922" i="22"/>
  <c r="R3922" i="22"/>
  <c r="S3922" i="22"/>
  <c r="B3922" i="22"/>
  <c r="H3922" i="22"/>
  <c r="G3922" i="22"/>
  <c r="F3922" i="22"/>
  <c r="I3922" i="22"/>
  <c r="AM3921" i="22"/>
  <c r="AL3921" i="22"/>
  <c r="AJ3921" i="22"/>
  <c r="AF3921" i="22"/>
  <c r="AK3921" i="22"/>
  <c r="AC3921" i="22"/>
  <c r="V3921" i="22"/>
  <c r="Z3921" i="22"/>
  <c r="AA3921" i="22"/>
  <c r="AB3921" i="22"/>
  <c r="S3921" i="22"/>
  <c r="R3921" i="22"/>
  <c r="Q3921" i="22"/>
  <c r="L3921" i="22"/>
  <c r="P3921" i="22"/>
  <c r="B3921" i="22"/>
  <c r="I3921" i="22"/>
  <c r="H3921" i="22"/>
  <c r="G3921" i="22"/>
  <c r="F3921" i="22"/>
  <c r="AF3920" i="22"/>
  <c r="AJ3920" i="22"/>
  <c r="AK3920" i="22"/>
  <c r="AL3920" i="22"/>
  <c r="AM3920" i="22"/>
  <c r="Z3920" i="22"/>
  <c r="V3920" i="22"/>
  <c r="AA3920" i="22"/>
  <c r="AB3920" i="22"/>
  <c r="AC3920" i="22"/>
  <c r="L3920" i="22"/>
  <c r="P3920" i="22"/>
  <c r="Q3920" i="22"/>
  <c r="R3920" i="22"/>
  <c r="S3920" i="22"/>
  <c r="I3920" i="22"/>
  <c r="H3920" i="22"/>
  <c r="G3920" i="22"/>
  <c r="B3920" i="22"/>
  <c r="F3920" i="22"/>
  <c r="AM3919" i="22"/>
  <c r="AF3919" i="22"/>
  <c r="AJ3919" i="22"/>
  <c r="AK3919" i="22"/>
  <c r="AL3919" i="22"/>
  <c r="Z3919" i="22"/>
  <c r="V3919" i="22"/>
  <c r="AC3919" i="22"/>
  <c r="AB3919" i="22"/>
  <c r="AA3919" i="22"/>
  <c r="S3919" i="22"/>
  <c r="R3919" i="22"/>
  <c r="L3919" i="22"/>
  <c r="Q3919" i="22"/>
  <c r="P3919" i="22"/>
  <c r="F3919" i="22"/>
  <c r="B3919" i="22"/>
  <c r="H3919" i="22"/>
  <c r="G3919" i="22"/>
  <c r="I3919" i="22"/>
  <c r="AM3918" i="22"/>
  <c r="AK3918" i="22"/>
  <c r="AJ3918" i="22"/>
  <c r="AF3918" i="22"/>
  <c r="AL3918" i="22"/>
  <c r="AA3918" i="22"/>
  <c r="Z3918" i="22"/>
  <c r="V3918" i="22"/>
  <c r="AC3918" i="22"/>
  <c r="AB3918" i="22"/>
  <c r="R3918" i="22"/>
  <c r="Q3918" i="22"/>
  <c r="S3918" i="22"/>
  <c r="P3918" i="22"/>
  <c r="L3918" i="22"/>
  <c r="I3918" i="22"/>
  <c r="B3918" i="22"/>
  <c r="F3918" i="22"/>
  <c r="G3918" i="22"/>
  <c r="H3918" i="22"/>
  <c r="AL3917" i="22"/>
  <c r="AM3917" i="22"/>
  <c r="AK3917" i="22"/>
  <c r="AF3917" i="22"/>
  <c r="AJ3917" i="22"/>
  <c r="AC3917" i="22"/>
  <c r="AB3917" i="22"/>
  <c r="AA3917" i="22"/>
  <c r="Z3917" i="22"/>
  <c r="V3917" i="22"/>
  <c r="L3917" i="22"/>
  <c r="P3917" i="22"/>
  <c r="Q3917" i="22"/>
  <c r="R3917" i="22"/>
  <c r="S3917" i="22"/>
  <c r="B3917" i="22"/>
  <c r="F3917" i="22"/>
  <c r="G3917" i="22"/>
  <c r="H3917" i="22"/>
  <c r="I3917" i="22"/>
  <c r="AM3916" i="22"/>
  <c r="AF3916" i="22"/>
  <c r="AJ3916" i="22"/>
  <c r="AK3916" i="22"/>
  <c r="AL3916" i="22"/>
  <c r="Z3916" i="22"/>
  <c r="AA3916" i="22"/>
  <c r="AB3916" i="22"/>
  <c r="AC3916" i="22"/>
  <c r="V3916" i="22"/>
  <c r="R3916" i="22"/>
  <c r="Q3916" i="22"/>
  <c r="P3916" i="22"/>
  <c r="L3916" i="22"/>
  <c r="S3916" i="22"/>
  <c r="I3916" i="22"/>
  <c r="H3916" i="22"/>
  <c r="G3916" i="22"/>
  <c r="F3916" i="22"/>
  <c r="B3916" i="22"/>
  <c r="AM3915" i="22"/>
  <c r="AL3915" i="22"/>
  <c r="AK3915" i="22"/>
  <c r="AJ3915" i="22"/>
  <c r="AF3915" i="22"/>
  <c r="AB3915" i="22"/>
  <c r="V3915" i="22"/>
  <c r="AC3915" i="22"/>
  <c r="AA3915" i="22"/>
  <c r="Z3915" i="22"/>
  <c r="R3915" i="22"/>
  <c r="P3915" i="22"/>
  <c r="S3915" i="22"/>
  <c r="Q3915" i="22"/>
  <c r="L3915" i="22"/>
  <c r="I3915" i="22"/>
  <c r="B3915" i="22"/>
  <c r="F3915" i="22"/>
  <c r="G3915" i="22"/>
  <c r="H3915" i="22"/>
  <c r="AJ3914" i="22"/>
  <c r="AM3914" i="22"/>
  <c r="AF3914" i="22"/>
  <c r="AK3914" i="22"/>
  <c r="AL3914" i="22"/>
  <c r="AC3914" i="22"/>
  <c r="AA3914" i="22"/>
  <c r="Z3914" i="22"/>
  <c r="AB3914" i="22"/>
  <c r="V3914" i="22"/>
  <c r="R3914" i="22"/>
  <c r="S3914" i="22"/>
  <c r="Q3914" i="22"/>
  <c r="L3914" i="22"/>
  <c r="P3914" i="22"/>
  <c r="H3914" i="22"/>
  <c r="I3914" i="22"/>
  <c r="B3914" i="22"/>
  <c r="F3914" i="22"/>
  <c r="G3914" i="22"/>
  <c r="AF3913" i="22"/>
  <c r="AK3913" i="22"/>
  <c r="AL3913" i="22"/>
  <c r="AM3913" i="22"/>
  <c r="AJ3913" i="22"/>
  <c r="AA3913" i="22"/>
  <c r="AC3913" i="22"/>
  <c r="AB3913" i="22"/>
  <c r="V3913" i="22"/>
  <c r="Z3913" i="22"/>
  <c r="L3913" i="22"/>
  <c r="P3913" i="22"/>
  <c r="Q3913" i="22"/>
  <c r="R3913" i="22"/>
  <c r="S3913" i="22"/>
  <c r="G3913" i="22"/>
  <c r="B3913" i="22"/>
  <c r="F3913" i="22"/>
  <c r="I3913" i="22"/>
  <c r="H3913" i="22"/>
  <c r="AF3912" i="22"/>
  <c r="AJ3912" i="22"/>
  <c r="AK3912" i="22"/>
  <c r="AL3912" i="22"/>
  <c r="AM3912" i="22"/>
  <c r="AC3912" i="22"/>
  <c r="V3912" i="22"/>
  <c r="Z3912" i="22"/>
  <c r="AA3912" i="22"/>
  <c r="AB3912" i="22"/>
  <c r="L3912" i="22"/>
  <c r="P3912" i="22"/>
  <c r="Q3912" i="22"/>
  <c r="R3912" i="22"/>
  <c r="S3912" i="22"/>
  <c r="I3912" i="22"/>
  <c r="H3912" i="22"/>
  <c r="G3912" i="22"/>
  <c r="F3912" i="22"/>
  <c r="B3912" i="22"/>
  <c r="AJ3911" i="22"/>
  <c r="AM3911" i="22"/>
  <c r="AL3911" i="22"/>
  <c r="AK3911" i="22"/>
  <c r="AF3911" i="22"/>
  <c r="AC3911" i="22"/>
  <c r="AB3911" i="22"/>
  <c r="AA3911" i="22"/>
  <c r="Z3911" i="22"/>
  <c r="V3911" i="22"/>
  <c r="S3911" i="22"/>
  <c r="R3911" i="22"/>
  <c r="Q3911" i="22"/>
  <c r="P3911" i="22"/>
  <c r="L3911" i="22"/>
  <c r="I3911" i="22"/>
  <c r="H3911" i="22"/>
  <c r="F3911" i="22"/>
  <c r="B3911" i="22"/>
  <c r="G3911" i="22"/>
  <c r="AL3910" i="22"/>
  <c r="AK3910" i="22"/>
  <c r="AJ3910" i="22"/>
  <c r="AF3910" i="22"/>
  <c r="AM3910" i="22"/>
  <c r="V3910" i="22"/>
  <c r="AA3910" i="22"/>
  <c r="AC3910" i="22"/>
  <c r="AB3910" i="22"/>
  <c r="Z3910" i="22"/>
  <c r="R3910" i="22"/>
  <c r="Q3910" i="22"/>
  <c r="P3910" i="22"/>
  <c r="L3910" i="22"/>
  <c r="S3910" i="22"/>
  <c r="H3910" i="22"/>
  <c r="G3910" i="22"/>
  <c r="F3910" i="22"/>
  <c r="B3910" i="22"/>
  <c r="I3910" i="22"/>
  <c r="AM3909" i="22"/>
  <c r="AL3909" i="22"/>
  <c r="AK3909" i="22"/>
  <c r="AJ3909" i="22"/>
  <c r="AF3909" i="22"/>
  <c r="AB3909" i="22"/>
  <c r="AA3909" i="22"/>
  <c r="Z3909" i="22"/>
  <c r="AC3909" i="22"/>
  <c r="V3909" i="22"/>
  <c r="S3909" i="22"/>
  <c r="R3909" i="22"/>
  <c r="Q3909" i="22"/>
  <c r="L3909" i="22"/>
  <c r="P3909" i="22"/>
  <c r="B3909" i="22"/>
  <c r="F3909" i="22"/>
  <c r="I3909" i="22"/>
  <c r="H3909" i="22"/>
  <c r="G3909" i="22"/>
  <c r="AM3908" i="22"/>
  <c r="AF3908" i="22"/>
  <c r="AL3908" i="22"/>
  <c r="AK3908" i="22"/>
  <c r="AJ3908" i="22"/>
  <c r="AC3908" i="22"/>
  <c r="V3908" i="22"/>
  <c r="Z3908" i="22"/>
  <c r="AA3908" i="22"/>
  <c r="AB3908" i="22"/>
  <c r="P3908" i="22"/>
  <c r="S3908" i="22"/>
  <c r="R3908" i="22"/>
  <c r="Q3908" i="22"/>
  <c r="L3908" i="22"/>
  <c r="I3908" i="22"/>
  <c r="H3908" i="22"/>
  <c r="G3908" i="22"/>
  <c r="F3908" i="22"/>
  <c r="B3908" i="22"/>
  <c r="AM3907" i="22"/>
  <c r="AK3907" i="22"/>
  <c r="AF3907" i="22"/>
  <c r="AJ3907" i="22"/>
  <c r="AL3907" i="22"/>
  <c r="AA3907" i="22"/>
  <c r="V3907" i="22"/>
  <c r="AB3907" i="22"/>
  <c r="AC3907" i="22"/>
  <c r="Z3907" i="22"/>
  <c r="S3907" i="22"/>
  <c r="Q3907" i="22"/>
  <c r="R3907" i="22"/>
  <c r="L3907" i="22"/>
  <c r="P3907" i="22"/>
  <c r="B3907" i="22"/>
  <c r="G3907" i="22"/>
  <c r="I3907" i="22"/>
  <c r="H3907" i="22"/>
  <c r="F3907" i="22"/>
  <c r="AM3906" i="22"/>
  <c r="AL3906" i="22"/>
  <c r="AK3906" i="22"/>
  <c r="AJ3906" i="22"/>
  <c r="AF3906" i="22"/>
  <c r="AC3906" i="22"/>
  <c r="AA3906" i="22"/>
  <c r="AB3906" i="22"/>
  <c r="Z3906" i="22"/>
  <c r="V3906" i="22"/>
  <c r="S3906" i="22"/>
  <c r="R3906" i="22"/>
  <c r="Q3906" i="22"/>
  <c r="P3906" i="22"/>
  <c r="L3906" i="22"/>
  <c r="B3906" i="22"/>
  <c r="G3906" i="22"/>
  <c r="I3906" i="22"/>
  <c r="H3906" i="22"/>
  <c r="F3906" i="22"/>
  <c r="AL3905" i="22"/>
  <c r="AK3905" i="22"/>
  <c r="AJ3905" i="22"/>
  <c r="AM3905" i="22"/>
  <c r="AF3905" i="22"/>
  <c r="V3905" i="22"/>
  <c r="Z3905" i="22"/>
  <c r="AA3905" i="22"/>
  <c r="AB3905" i="22"/>
  <c r="AC3905" i="22"/>
  <c r="P3905" i="22"/>
  <c r="L3905" i="22"/>
  <c r="S3905" i="22"/>
  <c r="Q3905" i="22"/>
  <c r="R3905" i="22"/>
  <c r="B3905" i="22"/>
  <c r="I3905" i="22"/>
  <c r="H3905" i="22"/>
  <c r="G3905" i="22"/>
  <c r="F3905" i="22"/>
  <c r="AM3904" i="22"/>
  <c r="AL3904" i="22"/>
  <c r="AK3904" i="22"/>
  <c r="AJ3904" i="22"/>
  <c r="AF3904" i="22"/>
  <c r="AB3904" i="22"/>
  <c r="AC3904" i="22"/>
  <c r="AA3904" i="22"/>
  <c r="Z3904" i="22"/>
  <c r="V3904" i="22"/>
  <c r="Q3904" i="22"/>
  <c r="S3904" i="22"/>
  <c r="R3904" i="22"/>
  <c r="P3904" i="22"/>
  <c r="L3904" i="22"/>
  <c r="I3904" i="22"/>
  <c r="H3904" i="22"/>
  <c r="G3904" i="22"/>
  <c r="F3904" i="22"/>
  <c r="B3904" i="22"/>
  <c r="AF3903" i="22"/>
  <c r="AK3903" i="22"/>
  <c r="AM3903" i="22"/>
  <c r="AL3903" i="22"/>
  <c r="AJ3903" i="22"/>
  <c r="V3903" i="22"/>
  <c r="Z3903" i="22"/>
  <c r="AA3903" i="22"/>
  <c r="AB3903" i="22"/>
  <c r="AC3903" i="22"/>
  <c r="Q3903" i="22"/>
  <c r="P3903" i="22"/>
  <c r="L3903" i="22"/>
  <c r="R3903" i="22"/>
  <c r="S3903" i="22"/>
  <c r="I3903" i="22"/>
  <c r="H3903" i="22"/>
  <c r="G3903" i="22"/>
  <c r="F3903" i="22"/>
  <c r="B3903" i="22"/>
  <c r="AM3902" i="22"/>
  <c r="AL3902" i="22"/>
  <c r="AJ3902" i="22"/>
  <c r="AF3902" i="22"/>
  <c r="AK3902" i="22"/>
  <c r="AA3902" i="22"/>
  <c r="V3902" i="22"/>
  <c r="Z3902" i="22"/>
  <c r="AB3902" i="22"/>
  <c r="AC3902" i="22"/>
  <c r="Q3902" i="22"/>
  <c r="P3902" i="22"/>
  <c r="R3902" i="22"/>
  <c r="L3902" i="22"/>
  <c r="S3902" i="22"/>
  <c r="G3902" i="22"/>
  <c r="F3902" i="22"/>
  <c r="B3902" i="22"/>
  <c r="I3902" i="22"/>
  <c r="H3902" i="22"/>
  <c r="AM3901" i="22"/>
  <c r="AL3901" i="22"/>
  <c r="AK3901" i="22"/>
  <c r="AJ3901" i="22"/>
  <c r="AF3901" i="22"/>
  <c r="AC3901" i="22"/>
  <c r="V3901" i="22"/>
  <c r="AA3901" i="22"/>
  <c r="Z3901" i="22"/>
  <c r="AB3901" i="22"/>
  <c r="Q3901" i="22"/>
  <c r="P3901" i="22"/>
  <c r="L3901" i="22"/>
  <c r="S3901" i="22"/>
  <c r="R3901" i="22"/>
  <c r="B3901" i="22"/>
  <c r="F3901" i="22"/>
  <c r="G3901" i="22"/>
  <c r="H3901" i="22"/>
  <c r="I3901" i="22"/>
  <c r="AM3900" i="22"/>
  <c r="AK3900" i="22"/>
  <c r="AF3900" i="22"/>
  <c r="AJ3900" i="22"/>
  <c r="AL3900" i="22"/>
  <c r="AC3900" i="22"/>
  <c r="V3900" i="22"/>
  <c r="Z3900" i="22"/>
  <c r="AA3900" i="22"/>
  <c r="AB3900" i="22"/>
  <c r="Q3900" i="22"/>
  <c r="P3900" i="22"/>
  <c r="L3900" i="22"/>
  <c r="R3900" i="22"/>
  <c r="S3900" i="22"/>
  <c r="I3900" i="22"/>
  <c r="H3900" i="22"/>
  <c r="G3900" i="22"/>
  <c r="B3900" i="22"/>
  <c r="F3900" i="22"/>
  <c r="AM3899" i="22"/>
  <c r="AL3899" i="22"/>
  <c r="AK3899" i="22"/>
  <c r="AF3899" i="22"/>
  <c r="AJ3899" i="22"/>
  <c r="V3899" i="22"/>
  <c r="Z3899" i="22"/>
  <c r="AA3899" i="22"/>
  <c r="AB3899" i="22"/>
  <c r="AC3899" i="22"/>
  <c r="L3899" i="22"/>
  <c r="Q3899" i="22"/>
  <c r="R3899" i="22"/>
  <c r="S3899" i="22"/>
  <c r="P3899" i="22"/>
  <c r="B3899" i="22"/>
  <c r="F3899" i="22"/>
  <c r="G3899" i="22"/>
  <c r="H3899" i="22"/>
  <c r="I3899" i="22"/>
  <c r="AM3898" i="22"/>
  <c r="AL3898" i="22"/>
  <c r="AK3898" i="22"/>
  <c r="AJ3898" i="22"/>
  <c r="AF3898" i="22"/>
  <c r="AB3898" i="22"/>
  <c r="AA3898" i="22"/>
  <c r="Z3898" i="22"/>
  <c r="V3898" i="22"/>
  <c r="AC3898" i="22"/>
  <c r="L3898" i="22"/>
  <c r="S3898" i="22"/>
  <c r="R3898" i="22"/>
  <c r="Q3898" i="22"/>
  <c r="P3898" i="22"/>
  <c r="G3898" i="22"/>
  <c r="F3898" i="22"/>
  <c r="B3898" i="22"/>
  <c r="I3898" i="22"/>
  <c r="H3898" i="22"/>
  <c r="AM3897" i="22"/>
  <c r="AL3897" i="22"/>
  <c r="AK3897" i="22"/>
  <c r="AJ3897" i="22"/>
  <c r="AF3897" i="22"/>
  <c r="Z3897" i="22"/>
  <c r="AC3897" i="22"/>
  <c r="AB3897" i="22"/>
  <c r="AA3897" i="22"/>
  <c r="V3897" i="22"/>
  <c r="P3897" i="22"/>
  <c r="L3897" i="22"/>
  <c r="S3897" i="22"/>
  <c r="R3897" i="22"/>
  <c r="Q3897" i="22"/>
  <c r="H3897" i="22"/>
  <c r="I3897" i="22"/>
  <c r="B3897" i="22"/>
  <c r="F3897" i="22"/>
  <c r="G3897" i="22"/>
  <c r="AM3896" i="22"/>
  <c r="AL3896" i="22"/>
  <c r="AK3896" i="22"/>
  <c r="AJ3896" i="22"/>
  <c r="AF3896" i="22"/>
  <c r="AB3896" i="22"/>
  <c r="AA3896" i="22"/>
  <c r="Z3896" i="22"/>
  <c r="AC3896" i="22"/>
  <c r="V3896" i="22"/>
  <c r="L3896" i="22"/>
  <c r="P3896" i="22"/>
  <c r="Q3896" i="22"/>
  <c r="R3896" i="22"/>
  <c r="S3896" i="22"/>
  <c r="F3896" i="22"/>
  <c r="B3896" i="22"/>
  <c r="I3896" i="22"/>
  <c r="H3896" i="22"/>
  <c r="G3896" i="22"/>
  <c r="AM3895" i="22"/>
  <c r="AL3895" i="22"/>
  <c r="AK3895" i="22"/>
  <c r="AJ3895" i="22"/>
  <c r="AF3895" i="22"/>
  <c r="AC3895" i="22"/>
  <c r="AB3895" i="22"/>
  <c r="AA3895" i="22"/>
  <c r="Z3895" i="22"/>
  <c r="V3895" i="22"/>
  <c r="S3895" i="22"/>
  <c r="Q3895" i="22"/>
  <c r="P3895" i="22"/>
  <c r="L3895" i="22"/>
  <c r="R3895" i="22"/>
  <c r="I3895" i="22"/>
  <c r="H3895" i="22"/>
  <c r="G3895" i="22"/>
  <c r="F3895" i="22"/>
  <c r="B3895" i="22"/>
  <c r="AM3894" i="22"/>
  <c r="AL3894" i="22"/>
  <c r="AK3894" i="22"/>
  <c r="AJ3894" i="22"/>
  <c r="AF3894" i="22"/>
  <c r="AC3894" i="22"/>
  <c r="AB3894" i="22"/>
  <c r="AA3894" i="22"/>
  <c r="Z3894" i="22"/>
  <c r="V3894" i="22"/>
  <c r="S3894" i="22"/>
  <c r="R3894" i="22"/>
  <c r="Q3894" i="22"/>
  <c r="P3894" i="22"/>
  <c r="L3894" i="22"/>
  <c r="I3894" i="22"/>
  <c r="H3894" i="22"/>
  <c r="G3894" i="22"/>
  <c r="F3894" i="22"/>
  <c r="B3894" i="22"/>
  <c r="AL3893" i="22"/>
  <c r="AK3893" i="22"/>
  <c r="AJ3893" i="22"/>
  <c r="AF3893" i="22"/>
  <c r="AM3893" i="22"/>
  <c r="AA3893" i="22"/>
  <c r="Z3893" i="22"/>
  <c r="AB3893" i="22"/>
  <c r="AC3893" i="22"/>
  <c r="V3893" i="22"/>
  <c r="R3893" i="22"/>
  <c r="Q3893" i="22"/>
  <c r="P3893" i="22"/>
  <c r="L3893" i="22"/>
  <c r="S3893" i="22"/>
  <c r="I3893" i="22"/>
  <c r="H3893" i="22"/>
  <c r="G3893" i="22"/>
  <c r="F3893" i="22"/>
  <c r="B3893" i="22"/>
  <c r="AF3892" i="22"/>
  <c r="AL3892" i="22"/>
  <c r="AK3892" i="22"/>
  <c r="AM3892" i="22"/>
  <c r="AJ3892" i="22"/>
  <c r="Z3892" i="22"/>
  <c r="AA3892" i="22"/>
  <c r="V3892" i="22"/>
  <c r="AB3892" i="22"/>
  <c r="AC3892" i="22"/>
  <c r="Q3892" i="22"/>
  <c r="S3892" i="22"/>
  <c r="R3892" i="22"/>
  <c r="L3892" i="22"/>
  <c r="P3892" i="22"/>
  <c r="B3892" i="22"/>
  <c r="F3892" i="22"/>
  <c r="G3892" i="22"/>
  <c r="I3892" i="22"/>
  <c r="H3892" i="22"/>
  <c r="AF3891" i="22"/>
  <c r="AJ3891" i="22"/>
  <c r="AK3891" i="22"/>
  <c r="AL3891" i="22"/>
  <c r="AM3891" i="22"/>
  <c r="Z3891" i="22"/>
  <c r="V3891" i="22"/>
  <c r="AC3891" i="22"/>
  <c r="AB3891" i="22"/>
  <c r="AA3891" i="22"/>
  <c r="L3891" i="22"/>
  <c r="P3891" i="22"/>
  <c r="Q3891" i="22"/>
  <c r="S3891" i="22"/>
  <c r="R3891" i="22"/>
  <c r="I3891" i="22"/>
  <c r="B3891" i="22"/>
  <c r="F3891" i="22"/>
  <c r="G3891" i="22"/>
  <c r="H3891" i="22"/>
  <c r="AF3890" i="22"/>
  <c r="AJ3890" i="22"/>
  <c r="AK3890" i="22"/>
  <c r="AL3890" i="22"/>
  <c r="AM3890" i="22"/>
  <c r="Z3890" i="22"/>
  <c r="V3890" i="22"/>
  <c r="AA3890" i="22"/>
  <c r="AC3890" i="22"/>
  <c r="AB3890" i="22"/>
  <c r="S3890" i="22"/>
  <c r="R3890" i="22"/>
  <c r="Q3890" i="22"/>
  <c r="L3890" i="22"/>
  <c r="P3890" i="22"/>
  <c r="B3890" i="22"/>
  <c r="F3890" i="22"/>
  <c r="G3890" i="22"/>
  <c r="H3890" i="22"/>
  <c r="I3890" i="22"/>
  <c r="AF3889" i="22"/>
  <c r="AJ3889" i="22"/>
  <c r="AK3889" i="22"/>
  <c r="AL3889" i="22"/>
  <c r="AM3889" i="22"/>
  <c r="AB3889" i="22"/>
  <c r="AC3889" i="22"/>
  <c r="V3889" i="22"/>
  <c r="AA3889" i="22"/>
  <c r="Z3889" i="22"/>
  <c r="L3889" i="22"/>
  <c r="S3889" i="22"/>
  <c r="Q3889" i="22"/>
  <c r="R3889" i="22"/>
  <c r="P3889" i="22"/>
  <c r="H3889" i="22"/>
  <c r="G3889" i="22"/>
  <c r="F3889" i="22"/>
  <c r="B3889" i="22"/>
  <c r="I3889" i="22"/>
  <c r="AF3888" i="22"/>
  <c r="AK3888" i="22"/>
  <c r="AM3888" i="22"/>
  <c r="AL3888" i="22"/>
  <c r="AJ3888" i="22"/>
  <c r="AC3888" i="22"/>
  <c r="AB3888" i="22"/>
  <c r="Z3888" i="22"/>
  <c r="V3888" i="22"/>
  <c r="AA3888" i="22"/>
  <c r="S3888" i="22"/>
  <c r="R3888" i="22"/>
  <c r="Q3888" i="22"/>
  <c r="P3888" i="22"/>
  <c r="L3888" i="22"/>
  <c r="H3888" i="22"/>
  <c r="I3888" i="22"/>
  <c r="B3888" i="22"/>
  <c r="F3888" i="22"/>
  <c r="G3888" i="22"/>
  <c r="AL3887" i="22"/>
  <c r="AM3887" i="22"/>
  <c r="AK3887" i="22"/>
  <c r="AJ3887" i="22"/>
  <c r="AF3887" i="22"/>
  <c r="V3887" i="22"/>
  <c r="AC3887" i="22"/>
  <c r="AB3887" i="22"/>
  <c r="AA3887" i="22"/>
  <c r="Z3887" i="22"/>
  <c r="Q3887" i="22"/>
  <c r="P3887" i="22"/>
  <c r="L3887" i="22"/>
  <c r="S3887" i="22"/>
  <c r="R3887" i="22"/>
  <c r="I3887" i="22"/>
  <c r="G3887" i="22"/>
  <c r="F3887" i="22"/>
  <c r="B3887" i="22"/>
  <c r="H3887" i="22"/>
  <c r="AM3886" i="22"/>
  <c r="AL3886" i="22"/>
  <c r="AK3886" i="22"/>
  <c r="AJ3886" i="22"/>
  <c r="AF3886" i="22"/>
  <c r="AC3886" i="22"/>
  <c r="AB3886" i="22"/>
  <c r="AA3886" i="22"/>
  <c r="Z3886" i="22"/>
  <c r="V3886" i="22"/>
  <c r="L3886" i="22"/>
  <c r="R3886" i="22"/>
  <c r="S3886" i="22"/>
  <c r="Q3886" i="22"/>
  <c r="P3886" i="22"/>
  <c r="I3886" i="22"/>
  <c r="B3886" i="22"/>
  <c r="H3886" i="22"/>
  <c r="G3886" i="22"/>
  <c r="F3886" i="22"/>
  <c r="AM3885" i="22"/>
  <c r="AF3885" i="22"/>
  <c r="AJ3885" i="22"/>
  <c r="AK3885" i="22"/>
  <c r="AL3885" i="22"/>
  <c r="AC3885" i="22"/>
  <c r="AB3885" i="22"/>
  <c r="V3885" i="22"/>
  <c r="Z3885" i="22"/>
  <c r="AA3885" i="22"/>
  <c r="P3885" i="22"/>
  <c r="L3885" i="22"/>
  <c r="Q3885" i="22"/>
  <c r="R3885" i="22"/>
  <c r="S3885" i="22"/>
  <c r="I3885" i="22"/>
  <c r="H3885" i="22"/>
  <c r="B3885" i="22"/>
  <c r="F3885" i="22"/>
  <c r="G3885" i="22"/>
  <c r="AF3884" i="22"/>
  <c r="AK3884" i="22"/>
  <c r="AM3884" i="22"/>
  <c r="AL3884" i="22"/>
  <c r="AJ3884" i="22"/>
  <c r="AA3884" i="22"/>
  <c r="Z3884" i="22"/>
  <c r="V3884" i="22"/>
  <c r="AB3884" i="22"/>
  <c r="AC3884" i="22"/>
  <c r="L3884" i="22"/>
  <c r="S3884" i="22"/>
  <c r="R3884" i="22"/>
  <c r="Q3884" i="22"/>
  <c r="P3884" i="22"/>
  <c r="I3884" i="22"/>
  <c r="H3884" i="22"/>
  <c r="F3884" i="22"/>
  <c r="B3884" i="22"/>
  <c r="G3884" i="22"/>
  <c r="AM3883" i="22"/>
  <c r="AL3883" i="22"/>
  <c r="AJ3883" i="22"/>
  <c r="AF3883" i="22"/>
  <c r="AK3883" i="22"/>
  <c r="AA3883" i="22"/>
  <c r="Z3883" i="22"/>
  <c r="V3883" i="22"/>
  <c r="AC3883" i="22"/>
  <c r="AB3883" i="22"/>
  <c r="R3883" i="22"/>
  <c r="S3883" i="22"/>
  <c r="P3883" i="22"/>
  <c r="L3883" i="22"/>
  <c r="Q3883" i="22"/>
  <c r="H3883" i="22"/>
  <c r="B3883" i="22"/>
  <c r="I3883" i="22"/>
  <c r="G3883" i="22"/>
  <c r="F3883" i="22"/>
  <c r="AM3882" i="22"/>
  <c r="AL3882" i="22"/>
  <c r="AK3882" i="22"/>
  <c r="AF3882" i="22"/>
  <c r="AJ3882" i="22"/>
  <c r="V3882" i="22"/>
  <c r="AC3882" i="22"/>
  <c r="AB3882" i="22"/>
  <c r="AA3882" i="22"/>
  <c r="Z3882" i="22"/>
  <c r="S3882" i="22"/>
  <c r="R3882" i="22"/>
  <c r="Q3882" i="22"/>
  <c r="L3882" i="22"/>
  <c r="P3882" i="22"/>
  <c r="B3882" i="22"/>
  <c r="F3882" i="22"/>
  <c r="G3882" i="22"/>
  <c r="H3882" i="22"/>
  <c r="I3882" i="22"/>
  <c r="AJ3881" i="22"/>
  <c r="AF3881" i="22"/>
  <c r="AL3881" i="22"/>
  <c r="AK3881" i="22"/>
  <c r="AM3881" i="22"/>
  <c r="AB3881" i="22"/>
  <c r="AC3881" i="22"/>
  <c r="AA3881" i="22"/>
  <c r="Z3881" i="22"/>
  <c r="V3881" i="22"/>
  <c r="L3881" i="22"/>
  <c r="S3881" i="22"/>
  <c r="R3881" i="22"/>
  <c r="Q3881" i="22"/>
  <c r="P3881" i="22"/>
  <c r="I3881" i="22"/>
  <c r="H3881" i="22"/>
  <c r="G3881" i="22"/>
  <c r="F3881" i="22"/>
  <c r="B3881" i="22"/>
  <c r="AF3880" i="22"/>
  <c r="AM3880" i="22"/>
  <c r="AL3880" i="22"/>
  <c r="AK3880" i="22"/>
  <c r="AJ3880" i="22"/>
  <c r="AC3880" i="22"/>
  <c r="AB3880" i="22"/>
  <c r="AA3880" i="22"/>
  <c r="Z3880" i="22"/>
  <c r="V3880" i="22"/>
  <c r="S3880" i="22"/>
  <c r="R3880" i="22"/>
  <c r="Q3880" i="22"/>
  <c r="P3880" i="22"/>
  <c r="L3880" i="22"/>
  <c r="I3880" i="22"/>
  <c r="H3880" i="22"/>
  <c r="G3880" i="22"/>
  <c r="B3880" i="22"/>
  <c r="F3880" i="22"/>
  <c r="AM3879" i="22"/>
  <c r="AL3879" i="22"/>
  <c r="AK3879" i="22"/>
  <c r="AJ3879" i="22"/>
  <c r="AF3879" i="22"/>
  <c r="AC3879" i="22"/>
  <c r="AB3879" i="22"/>
  <c r="AA3879" i="22"/>
  <c r="Z3879" i="22"/>
  <c r="V3879" i="22"/>
  <c r="S3879" i="22"/>
  <c r="R3879" i="22"/>
  <c r="Q3879" i="22"/>
  <c r="P3879" i="22"/>
  <c r="L3879" i="22"/>
  <c r="I3879" i="22"/>
  <c r="F3879" i="22"/>
  <c r="H3879" i="22"/>
  <c r="B3879" i="22"/>
  <c r="G3879" i="22"/>
  <c r="AJ3878" i="22"/>
  <c r="AF3878" i="22"/>
  <c r="AK3878" i="22"/>
  <c r="AL3878" i="22"/>
  <c r="AM3878" i="22"/>
  <c r="AC3878" i="22"/>
  <c r="AB3878" i="22"/>
  <c r="AA3878" i="22"/>
  <c r="Z3878" i="22"/>
  <c r="V3878" i="22"/>
  <c r="S3878" i="22"/>
  <c r="R3878" i="22"/>
  <c r="Q3878" i="22"/>
  <c r="P3878" i="22"/>
  <c r="L3878" i="22"/>
  <c r="I3878" i="22"/>
  <c r="H3878" i="22"/>
  <c r="G3878" i="22"/>
  <c r="F3878" i="22"/>
  <c r="B3878" i="22"/>
  <c r="AJ3877" i="22"/>
  <c r="AF3877" i="22"/>
  <c r="AM3877" i="22"/>
  <c r="AL3877" i="22"/>
  <c r="AK3877" i="22"/>
  <c r="V3877" i="22"/>
  <c r="AC3877" i="22"/>
  <c r="AB3877" i="22"/>
  <c r="AA3877" i="22"/>
  <c r="Z3877" i="22"/>
  <c r="R3877" i="22"/>
  <c r="Q3877" i="22"/>
  <c r="P3877" i="22"/>
  <c r="S3877" i="22"/>
  <c r="L3877" i="22"/>
  <c r="B3877" i="22"/>
  <c r="I3877" i="22"/>
  <c r="H3877" i="22"/>
  <c r="G3877" i="22"/>
  <c r="F3877" i="22"/>
  <c r="AF3876" i="22"/>
  <c r="AM3876" i="22"/>
  <c r="AL3876" i="22"/>
  <c r="AK3876" i="22"/>
  <c r="AJ3876" i="22"/>
  <c r="AC3876" i="22"/>
  <c r="AB3876" i="22"/>
  <c r="AA3876" i="22"/>
  <c r="Z3876" i="22"/>
  <c r="V3876" i="22"/>
  <c r="L3876" i="22"/>
  <c r="S3876" i="22"/>
  <c r="R3876" i="22"/>
  <c r="Q3876" i="22"/>
  <c r="P3876" i="22"/>
  <c r="I3876" i="22"/>
  <c r="H3876" i="22"/>
  <c r="G3876" i="22"/>
  <c r="F3876" i="22"/>
  <c r="B3876" i="22"/>
  <c r="AM3875" i="22"/>
  <c r="AL3875" i="22"/>
  <c r="AK3875" i="22"/>
  <c r="AJ3875" i="22"/>
  <c r="AF3875" i="22"/>
  <c r="AC3875" i="22"/>
  <c r="AB3875" i="22"/>
  <c r="Z3875" i="22"/>
  <c r="V3875" i="22"/>
  <c r="AA3875" i="22"/>
  <c r="L3875" i="22"/>
  <c r="S3875" i="22"/>
  <c r="R3875" i="22"/>
  <c r="Q3875" i="22"/>
  <c r="P3875" i="22"/>
  <c r="H3875" i="22"/>
  <c r="G3875" i="22"/>
  <c r="F3875" i="22"/>
  <c r="B3875" i="22"/>
  <c r="I3875" i="22"/>
  <c r="AJ3874" i="22"/>
  <c r="AL3874" i="22"/>
  <c r="AF3874" i="22"/>
  <c r="AK3874" i="22"/>
  <c r="AM3874" i="22"/>
  <c r="Z3874" i="22"/>
  <c r="V3874" i="22"/>
  <c r="AC3874" i="22"/>
  <c r="AB3874" i="22"/>
  <c r="AA3874" i="22"/>
  <c r="S3874" i="22"/>
  <c r="Q3874" i="22"/>
  <c r="L3874" i="22"/>
  <c r="P3874" i="22"/>
  <c r="R3874" i="22"/>
  <c r="B3874" i="22"/>
  <c r="F3874" i="22"/>
  <c r="G3874" i="22"/>
  <c r="H3874" i="22"/>
  <c r="I3874" i="22"/>
  <c r="AM3873" i="22"/>
  <c r="AL3873" i="22"/>
  <c r="AK3873" i="22"/>
  <c r="AJ3873" i="22"/>
  <c r="AF3873" i="22"/>
  <c r="AB3873" i="22"/>
  <c r="AA3873" i="22"/>
  <c r="Z3873" i="22"/>
  <c r="V3873" i="22"/>
  <c r="AC3873" i="22"/>
  <c r="S3873" i="22"/>
  <c r="R3873" i="22"/>
  <c r="Q3873" i="22"/>
  <c r="P3873" i="22"/>
  <c r="L3873" i="22"/>
  <c r="I3873" i="22"/>
  <c r="B3873" i="22"/>
  <c r="F3873" i="22"/>
  <c r="G3873" i="22"/>
  <c r="H3873" i="22"/>
  <c r="AJ3872" i="22"/>
  <c r="AK3872" i="22"/>
  <c r="AL3872" i="22"/>
  <c r="AF3872" i="22"/>
  <c r="AM3872" i="22"/>
  <c r="AC3872" i="22"/>
  <c r="AB3872" i="22"/>
  <c r="AA3872" i="22"/>
  <c r="Z3872" i="22"/>
  <c r="V3872" i="22"/>
  <c r="S3872" i="22"/>
  <c r="R3872" i="22"/>
  <c r="Q3872" i="22"/>
  <c r="P3872" i="22"/>
  <c r="L3872" i="22"/>
  <c r="I3872" i="22"/>
  <c r="G3872" i="22"/>
  <c r="B3872" i="22"/>
  <c r="F3872" i="22"/>
  <c r="H3872" i="22"/>
  <c r="AF3871" i="22"/>
  <c r="AM3871" i="22"/>
  <c r="AL3871" i="22"/>
  <c r="AK3871" i="22"/>
  <c r="AJ3871" i="22"/>
  <c r="AC3871" i="22"/>
  <c r="Z3871" i="22"/>
  <c r="AA3871" i="22"/>
  <c r="AB3871" i="22"/>
  <c r="V3871" i="22"/>
  <c r="L3871" i="22"/>
  <c r="S3871" i="22"/>
  <c r="R3871" i="22"/>
  <c r="Q3871" i="22"/>
  <c r="P3871" i="22"/>
  <c r="I3871" i="22"/>
  <c r="H3871" i="22"/>
  <c r="G3871" i="22"/>
  <c r="F3871" i="22"/>
  <c r="B3871" i="22"/>
  <c r="AJ3870" i="22"/>
  <c r="AF3870" i="22"/>
  <c r="V3870" i="22"/>
  <c r="Z3870" i="22"/>
  <c r="L3870" i="22"/>
  <c r="P3870" i="22"/>
  <c r="F3870" i="22"/>
  <c r="B3870" i="22"/>
  <c r="AF3869" i="22"/>
  <c r="AK3870" i="22" s="1"/>
  <c r="AJ3869" i="22"/>
  <c r="AK3869" i="22"/>
  <c r="AL3869" i="22"/>
  <c r="AM3869" i="22"/>
  <c r="Z3869" i="22"/>
  <c r="V3869" i="22"/>
  <c r="P3869" i="22"/>
  <c r="L3869" i="22"/>
  <c r="F3869" i="22"/>
  <c r="B3869" i="22"/>
  <c r="AF3868" i="22"/>
  <c r="AL3868" i="22" s="1"/>
  <c r="AJ3868" i="22"/>
  <c r="AK3868" i="22"/>
  <c r="AM3868" i="22" s="1"/>
  <c r="V3868" i="22"/>
  <c r="AA3868" i="22"/>
  <c r="Z3868" i="22"/>
  <c r="AB3868" i="22"/>
  <c r="AC3868" i="22"/>
  <c r="P3868" i="22"/>
  <c r="L3868" i="22"/>
  <c r="B3868" i="22"/>
  <c r="F3868" i="22"/>
  <c r="AF3867" i="22"/>
  <c r="AL3867" i="22"/>
  <c r="AJ3867" i="22"/>
  <c r="AK3867" i="22"/>
  <c r="AM3867" i="22" s="1"/>
  <c r="Z3867" i="22"/>
  <c r="V3867" i="22"/>
  <c r="P3867" i="22"/>
  <c r="L3867" i="22"/>
  <c r="B3867" i="22"/>
  <c r="H3867" i="22" s="1"/>
  <c r="G3867" i="22"/>
  <c r="I3867" i="22" s="1"/>
  <c r="F3867" i="22"/>
  <c r="AJ3866" i="22"/>
  <c r="AF3866" i="22"/>
  <c r="Z3866" i="22"/>
  <c r="V3866" i="22"/>
  <c r="P3866" i="22"/>
  <c r="L3866" i="22"/>
  <c r="F3866" i="22"/>
  <c r="B3866" i="22"/>
  <c r="AJ3865" i="22"/>
  <c r="AF3865" i="22"/>
  <c r="Z3865" i="22"/>
  <c r="V3865" i="22"/>
  <c r="L3865" i="22"/>
  <c r="Q3865" i="22" s="1"/>
  <c r="P3865" i="22"/>
  <c r="R3865" i="22"/>
  <c r="F3865" i="22"/>
  <c r="B3865" i="22"/>
  <c r="AJ3864" i="22"/>
  <c r="AF3864" i="22"/>
  <c r="V3864" i="22"/>
  <c r="Z3864" i="22"/>
  <c r="AA3864" i="22"/>
  <c r="AB3864" i="22"/>
  <c r="L3864" i="22"/>
  <c r="P3864" i="22"/>
  <c r="Q3864" i="22"/>
  <c r="R3864" i="22"/>
  <c r="F3864" i="22"/>
  <c r="B3864" i="22"/>
  <c r="AF3863" i="22"/>
  <c r="AJ3863" i="22"/>
  <c r="V3863" i="22"/>
  <c r="AA3863" i="22" s="1"/>
  <c r="AC3863" i="22" s="1"/>
  <c r="Z3863" i="22"/>
  <c r="AB3863" i="22"/>
  <c r="P3863" i="22"/>
  <c r="L3863" i="22"/>
  <c r="B3863" i="22"/>
  <c r="F3863" i="22"/>
  <c r="H3863" i="22"/>
  <c r="G3863" i="22"/>
  <c r="I3863" i="22" s="1"/>
  <c r="AJ3862" i="22"/>
  <c r="AF3862" i="22"/>
  <c r="AL3862" i="22" s="1"/>
  <c r="AK3862" i="22"/>
  <c r="AM3862" i="22" s="1"/>
  <c r="Z3862" i="22"/>
  <c r="V3862" i="22"/>
  <c r="L3862" i="22"/>
  <c r="R3862" i="22"/>
  <c r="Q3862" i="22"/>
  <c r="S3862" i="22" s="1"/>
  <c r="P3862" i="22"/>
  <c r="B3862" i="22"/>
  <c r="F3862" i="22"/>
  <c r="H3862" i="22"/>
  <c r="G3862" i="22"/>
  <c r="I3862" i="22" s="1"/>
  <c r="AJ3861" i="22"/>
  <c r="AF3861" i="22"/>
  <c r="Z3861" i="22"/>
  <c r="V3861" i="22"/>
  <c r="P3861" i="22"/>
  <c r="L3861" i="22"/>
  <c r="B3861" i="22"/>
  <c r="F3861" i="22"/>
  <c r="AF3860" i="22"/>
  <c r="AJ3860" i="22"/>
  <c r="AK3860" i="22"/>
  <c r="AM3860" i="22" s="1"/>
  <c r="AL3860" i="22"/>
  <c r="Z3860" i="22"/>
  <c r="V3860" i="22"/>
  <c r="L3860" i="22"/>
  <c r="P3860" i="22"/>
  <c r="B3860" i="22"/>
  <c r="G3860" i="22" s="1"/>
  <c r="I3860" i="22" s="1"/>
  <c r="F3860" i="22"/>
  <c r="H3860" i="22"/>
  <c r="AF3859" i="22"/>
  <c r="AJ3859" i="22"/>
  <c r="Z3859" i="22"/>
  <c r="V3859" i="22"/>
  <c r="P3859" i="22"/>
  <c r="L3859" i="22"/>
  <c r="F3859" i="22"/>
  <c r="B3859" i="22"/>
  <c r="AJ3858" i="22"/>
  <c r="AF3858" i="22"/>
  <c r="AK3858" i="22"/>
  <c r="Z3858" i="22"/>
  <c r="V3858" i="22"/>
  <c r="L3858" i="22"/>
  <c r="P3858" i="22"/>
  <c r="Q3858" i="22"/>
  <c r="F3858" i="22"/>
  <c r="B3858" i="22"/>
  <c r="G3858" i="22" s="1"/>
  <c r="I3858" i="22" s="1"/>
  <c r="H3858" i="22"/>
  <c r="AJ3857" i="22"/>
  <c r="AF3857" i="22"/>
  <c r="Z3857" i="22"/>
  <c r="V3857" i="22"/>
  <c r="P3857" i="22"/>
  <c r="L3857" i="22"/>
  <c r="F3857" i="22"/>
  <c r="B3857" i="22"/>
  <c r="AF3856" i="22"/>
  <c r="AJ3856" i="22"/>
  <c r="AK3856" i="22"/>
  <c r="AM3856" i="22" s="1"/>
  <c r="AL3856" i="22"/>
  <c r="Z3856" i="22"/>
  <c r="V3856" i="22"/>
  <c r="AA3856" i="22" s="1"/>
  <c r="AC3856" i="22" s="1"/>
  <c r="AB3856" i="22"/>
  <c r="P3856" i="22"/>
  <c r="L3856" i="22"/>
  <c r="F3856" i="22"/>
  <c r="B3856" i="22"/>
  <c r="AF3855" i="22"/>
  <c r="AJ3855" i="22"/>
  <c r="Z3855" i="22"/>
  <c r="V3855" i="22"/>
  <c r="P3855" i="22"/>
  <c r="L3855" i="22"/>
  <c r="R3855" i="22" s="1"/>
  <c r="S3855" i="22" s="1"/>
  <c r="Q3855" i="22"/>
  <c r="F3855" i="22"/>
  <c r="B3855" i="22"/>
  <c r="AF3854" i="22"/>
  <c r="AJ3854" i="22"/>
  <c r="AK3854" i="22"/>
  <c r="AM3854" i="22" s="1"/>
  <c r="AL3854" i="22"/>
  <c r="Z3854" i="22"/>
  <c r="V3854" i="22"/>
  <c r="AA3854" i="22" s="1"/>
  <c r="AC3854" i="22" s="1"/>
  <c r="AB3854" i="22"/>
  <c r="L3854" i="22"/>
  <c r="Q3854" i="22" s="1"/>
  <c r="S3854" i="22" s="1"/>
  <c r="P3854" i="22"/>
  <c r="R3854" i="22"/>
  <c r="F3854" i="22"/>
  <c r="B3854" i="22"/>
  <c r="AF3853" i="22"/>
  <c r="AJ3853" i="22"/>
  <c r="V3853" i="22"/>
  <c r="Z3853" i="22"/>
  <c r="P3853" i="22"/>
  <c r="L3853" i="22"/>
  <c r="B3853" i="22"/>
  <c r="F3853" i="22"/>
  <c r="AJ3852" i="22"/>
  <c r="AF3852" i="22"/>
  <c r="AK3852" i="22"/>
  <c r="AL3852" i="22"/>
  <c r="Z3852" i="22"/>
  <c r="V3852" i="22"/>
  <c r="AA3852" i="22"/>
  <c r="AB3852" i="22"/>
  <c r="P3852" i="22"/>
  <c r="L3852" i="22"/>
  <c r="R3852" i="22" s="1"/>
  <c r="Q3852" i="22"/>
  <c r="B3852" i="22"/>
  <c r="H3852" i="22" s="1"/>
  <c r="F3852" i="22"/>
  <c r="G3852" i="22"/>
  <c r="AF3851" i="22"/>
  <c r="AJ3851" i="22"/>
  <c r="AK3851" i="22"/>
  <c r="AL3851" i="22"/>
  <c r="V3851" i="22"/>
  <c r="AA3851" i="22" s="1"/>
  <c r="Z3851" i="22"/>
  <c r="AB3851" i="22"/>
  <c r="P3851" i="22"/>
  <c r="L3851" i="22"/>
  <c r="B3851" i="22"/>
  <c r="G3851" i="22"/>
  <c r="H3851" i="22"/>
  <c r="F3851" i="22"/>
  <c r="AJ3850" i="22"/>
  <c r="AF3850" i="22"/>
  <c r="Z3850" i="22"/>
  <c r="V3850" i="22"/>
  <c r="P3850" i="22"/>
  <c r="L3850" i="22"/>
  <c r="F3850" i="22"/>
  <c r="B3850" i="22"/>
  <c r="AJ3849" i="22"/>
  <c r="AF3849" i="22"/>
  <c r="Z3849" i="22"/>
  <c r="V3849" i="22"/>
  <c r="P3849" i="22"/>
  <c r="L3849" i="22"/>
  <c r="B3849" i="22"/>
  <c r="F3849" i="22"/>
  <c r="G3849" i="22"/>
  <c r="AJ3848" i="22"/>
  <c r="AF3848" i="22"/>
  <c r="AK3848" i="22"/>
  <c r="AL3848" i="22"/>
  <c r="AM3848" i="22"/>
  <c r="Z3848" i="22"/>
  <c r="V3848" i="22"/>
  <c r="L3848" i="22"/>
  <c r="R3848" i="22" s="1"/>
  <c r="P3848" i="22"/>
  <c r="Q3848" i="22"/>
  <c r="F3848" i="22"/>
  <c r="B3848" i="22"/>
  <c r="AJ3847" i="22"/>
  <c r="AF3847" i="22"/>
  <c r="V3847" i="22"/>
  <c r="AB3847" i="22"/>
  <c r="AA3847" i="22"/>
  <c r="AC3847" i="22" s="1"/>
  <c r="Z3847" i="22"/>
  <c r="L3847" i="22"/>
  <c r="Q3847" i="22" s="1"/>
  <c r="P3847" i="22"/>
  <c r="R3847" i="22"/>
  <c r="F3847" i="22"/>
  <c r="B3847" i="22"/>
  <c r="AJ3846" i="22"/>
  <c r="AF3846" i="22"/>
  <c r="Z3846" i="22"/>
  <c r="V3846" i="22"/>
  <c r="L3846" i="22"/>
  <c r="P3846" i="22"/>
  <c r="B3846" i="22"/>
  <c r="F3846" i="22"/>
  <c r="AF3845" i="22"/>
  <c r="AJ3845" i="22"/>
  <c r="AK3845" i="22"/>
  <c r="AL3845" i="22"/>
  <c r="V3845" i="22"/>
  <c r="Z3845" i="22"/>
  <c r="AA3845" i="22"/>
  <c r="P3845" i="22"/>
  <c r="L3845" i="22"/>
  <c r="Q3845" i="22"/>
  <c r="F3845" i="22"/>
  <c r="B3845" i="22"/>
  <c r="H3845" i="22"/>
  <c r="AF3844" i="22"/>
  <c r="AJ3844" i="22"/>
  <c r="AL3844" i="22"/>
  <c r="AK3844" i="22"/>
  <c r="AM3844" i="22" s="1"/>
  <c r="Z3844" i="22"/>
  <c r="V3844" i="22"/>
  <c r="AA3844" i="22" s="1"/>
  <c r="AB3844" i="22"/>
  <c r="L3844" i="22"/>
  <c r="P3844" i="22"/>
  <c r="R3844" i="22"/>
  <c r="Q3844" i="22"/>
  <c r="S3844" i="22" s="1"/>
  <c r="B3844" i="22"/>
  <c r="F3844" i="22"/>
  <c r="H3844" i="22"/>
  <c r="G3844" i="22"/>
  <c r="I3844" i="22" s="1"/>
  <c r="AF3843" i="22"/>
  <c r="AJ3843" i="22"/>
  <c r="AL3843" i="22"/>
  <c r="AK3843" i="22"/>
  <c r="AM3843" i="22" s="1"/>
  <c r="Z3843" i="22"/>
  <c r="V3843" i="22"/>
  <c r="L3843" i="22"/>
  <c r="R3843" i="22"/>
  <c r="Q3843" i="22"/>
  <c r="S3843" i="22" s="1"/>
  <c r="P3843" i="22"/>
  <c r="F3843" i="22"/>
  <c r="B3843" i="22"/>
  <c r="AJ3842" i="22"/>
  <c r="AF3842" i="22"/>
  <c r="Z3842" i="22"/>
  <c r="V3842" i="22"/>
  <c r="L3842" i="22"/>
  <c r="P3842" i="22"/>
  <c r="F3842" i="22"/>
  <c r="B3842" i="22"/>
  <c r="AJ3841" i="22"/>
  <c r="AF3841" i="22"/>
  <c r="V3841" i="22"/>
  <c r="Z3841" i="22"/>
  <c r="L3841" i="22"/>
  <c r="P3841" i="22"/>
  <c r="B3841" i="22"/>
  <c r="F3841" i="22"/>
  <c r="AF3840" i="22"/>
  <c r="AJ3840" i="22"/>
  <c r="Z3840" i="22"/>
  <c r="V3840" i="22"/>
  <c r="P3840" i="22"/>
  <c r="L3840" i="22"/>
  <c r="F3840" i="22"/>
  <c r="B3840" i="22"/>
  <c r="AJ3839" i="22"/>
  <c r="AF3839" i="22"/>
  <c r="V3839" i="22"/>
  <c r="Z3839" i="22"/>
  <c r="P3839" i="22"/>
  <c r="L3839" i="22"/>
  <c r="F3839" i="22"/>
  <c r="B3839" i="22"/>
  <c r="AF3838" i="22"/>
  <c r="AJ3838" i="22"/>
  <c r="V3838" i="22"/>
  <c r="AB3838" i="22" s="1"/>
  <c r="Z3838" i="22"/>
  <c r="AA3838" i="22"/>
  <c r="P3838" i="22"/>
  <c r="L3838" i="22"/>
  <c r="F3838" i="22"/>
  <c r="B3838" i="22"/>
  <c r="AF3837" i="22"/>
  <c r="AJ3837" i="22"/>
  <c r="Z3837" i="22"/>
  <c r="V3837" i="22"/>
  <c r="L3837" i="22"/>
  <c r="P3837" i="22"/>
  <c r="F3837" i="22"/>
  <c r="B3837" i="22"/>
  <c r="AJ3836" i="22"/>
  <c r="AF3836" i="22"/>
  <c r="Z3836" i="22"/>
  <c r="V3836" i="22"/>
  <c r="L3836" i="22"/>
  <c r="P3836" i="22"/>
  <c r="F3836" i="22"/>
  <c r="B3836" i="22"/>
  <c r="AF3835" i="22"/>
  <c r="AJ3835" i="22"/>
  <c r="Z3835" i="22"/>
  <c r="V3835" i="22"/>
  <c r="L3835" i="22"/>
  <c r="P3835" i="22"/>
  <c r="F3835" i="22"/>
  <c r="B3835" i="22"/>
  <c r="AJ3834" i="22"/>
  <c r="AF3834" i="22"/>
  <c r="V3834" i="22"/>
  <c r="Z3834" i="22"/>
  <c r="AA3834" i="22"/>
  <c r="AC3834" i="22" s="1"/>
  <c r="AB3834" i="22"/>
  <c r="P3834" i="22"/>
  <c r="L3834" i="22"/>
  <c r="F3834" i="22"/>
  <c r="B3834" i="22"/>
  <c r="AF3833" i="22"/>
  <c r="AJ3833" i="22"/>
  <c r="V3833" i="22"/>
  <c r="Z3833" i="22"/>
  <c r="P3833" i="22"/>
  <c r="L3833" i="22"/>
  <c r="B3833" i="22"/>
  <c r="G3833" i="22" s="1"/>
  <c r="I3833" i="22" s="1"/>
  <c r="F3833" i="22"/>
  <c r="H3833" i="22"/>
  <c r="AF3832" i="22"/>
  <c r="AJ3832" i="22"/>
  <c r="V3832" i="22"/>
  <c r="Z3832" i="22"/>
  <c r="L3832" i="22"/>
  <c r="P3832" i="22"/>
  <c r="B3832" i="22"/>
  <c r="F3832" i="22"/>
  <c r="AJ3831" i="22"/>
  <c r="AF3831" i="22"/>
  <c r="Z3831" i="22"/>
  <c r="V3831" i="22"/>
  <c r="P3831" i="22"/>
  <c r="L3831" i="22"/>
  <c r="F3831" i="22"/>
  <c r="B3831" i="22"/>
  <c r="AJ3830" i="22"/>
  <c r="AF3830" i="22"/>
  <c r="Z3830" i="22"/>
  <c r="V3830" i="22"/>
  <c r="P3830" i="22"/>
  <c r="L3830" i="22"/>
  <c r="F3830" i="22"/>
  <c r="B3830" i="22"/>
  <c r="AJ3829" i="22"/>
  <c r="AF3829" i="22"/>
  <c r="Z3829" i="22"/>
  <c r="V3829" i="22"/>
  <c r="P3829" i="22"/>
  <c r="L3829" i="22"/>
  <c r="F3829" i="22"/>
  <c r="B3829" i="22"/>
  <c r="AJ3828" i="22"/>
  <c r="AF3828" i="22"/>
  <c r="Z3828" i="22"/>
  <c r="V3828" i="22"/>
  <c r="P3828" i="22"/>
  <c r="L3828" i="22"/>
  <c r="F3828" i="22"/>
  <c r="B3828" i="22"/>
  <c r="AJ3827" i="22"/>
  <c r="AF3827" i="22"/>
  <c r="Z3827" i="22"/>
  <c r="V3827" i="22"/>
  <c r="P3827" i="22"/>
  <c r="L3827" i="22"/>
  <c r="F3827" i="22"/>
  <c r="B3827" i="22"/>
  <c r="AF3826" i="22"/>
  <c r="AJ3826" i="22"/>
  <c r="V3826" i="22"/>
  <c r="Z3826" i="22"/>
  <c r="P3826" i="22"/>
  <c r="L3826" i="22"/>
  <c r="F3826" i="22"/>
  <c r="B3826" i="22"/>
  <c r="AJ3825" i="22"/>
  <c r="AF3825" i="22"/>
  <c r="V3825" i="22"/>
  <c r="Z3825" i="22"/>
  <c r="L3825" i="22"/>
  <c r="Q3825" i="22" s="1"/>
  <c r="P3825" i="22"/>
  <c r="B3825" i="22"/>
  <c r="F3825" i="22"/>
  <c r="AF3824" i="22"/>
  <c r="AJ3824" i="22"/>
  <c r="Z3824" i="22"/>
  <c r="V3824" i="22"/>
  <c r="P3824" i="22"/>
  <c r="L3824" i="22"/>
  <c r="F3824" i="22"/>
  <c r="B3824" i="22"/>
  <c r="AJ3823" i="22"/>
  <c r="AF3823" i="22"/>
  <c r="V3823" i="22"/>
  <c r="Z3823" i="22"/>
  <c r="P3823" i="22"/>
  <c r="L3823" i="22"/>
  <c r="F3823" i="22"/>
  <c r="B3823" i="22"/>
  <c r="AJ3822" i="22"/>
  <c r="AF3822" i="22"/>
  <c r="Z3822" i="22"/>
  <c r="V3822" i="22"/>
  <c r="P3822" i="22"/>
  <c r="L3822" i="22"/>
  <c r="F3822" i="22"/>
  <c r="B3822" i="22"/>
  <c r="AJ3821" i="22"/>
  <c r="AF3821" i="22"/>
  <c r="V3821" i="22"/>
  <c r="Z3821" i="22"/>
  <c r="P3821" i="22"/>
  <c r="L3821" i="22"/>
  <c r="B3821" i="22"/>
  <c r="F3821" i="22"/>
  <c r="AJ3820" i="22"/>
  <c r="AF3820" i="22"/>
  <c r="Z3820" i="22"/>
  <c r="V3820" i="22"/>
  <c r="L3820" i="22"/>
  <c r="P3820" i="22"/>
  <c r="F3820" i="22"/>
  <c r="B3820" i="22"/>
  <c r="AJ3819" i="22"/>
  <c r="AF3819" i="22"/>
  <c r="V3819" i="22"/>
  <c r="Z3819" i="22"/>
  <c r="P3819" i="22"/>
  <c r="L3819" i="22"/>
  <c r="B3819" i="22"/>
  <c r="F3819" i="22"/>
  <c r="AJ3818" i="22"/>
  <c r="AF3818" i="22"/>
  <c r="V3818" i="22"/>
  <c r="Z3818" i="22"/>
  <c r="L3818" i="22"/>
  <c r="P3818" i="22"/>
  <c r="F3818" i="22"/>
  <c r="B3818" i="22"/>
  <c r="AF3817" i="22"/>
  <c r="AK3817" i="22" s="1"/>
  <c r="AM3817" i="22" s="1"/>
  <c r="AJ3817" i="22"/>
  <c r="AL3817" i="22"/>
  <c r="V3817" i="22"/>
  <c r="Z3817" i="22"/>
  <c r="L3817" i="22"/>
  <c r="R3817" i="22" s="1"/>
  <c r="Q3817" i="22"/>
  <c r="P3817" i="22"/>
  <c r="B3817" i="22"/>
  <c r="H3817" i="22" s="1"/>
  <c r="F3817" i="22"/>
  <c r="AJ3816" i="22"/>
  <c r="AF3816" i="22"/>
  <c r="Z3816" i="22"/>
  <c r="V3816" i="22"/>
  <c r="L3816" i="22"/>
  <c r="P3816" i="22"/>
  <c r="F3816" i="22"/>
  <c r="B3816" i="22"/>
  <c r="AF3815" i="22"/>
  <c r="AJ3815" i="22"/>
  <c r="V3815" i="22"/>
  <c r="AB3815" i="22" s="1"/>
  <c r="AC3815" i="22" s="1"/>
  <c r="AA3815" i="22"/>
  <c r="Z3815" i="22"/>
  <c r="P3815" i="22"/>
  <c r="L3815" i="22"/>
  <c r="B3815" i="22"/>
  <c r="F3815" i="22"/>
  <c r="AJ3814" i="22"/>
  <c r="AF3814" i="22"/>
  <c r="Z3814" i="22"/>
  <c r="V3814" i="22"/>
  <c r="P3814" i="22"/>
  <c r="L3814" i="22"/>
  <c r="B3814" i="22"/>
  <c r="F3814" i="22"/>
  <c r="AF3813" i="22"/>
  <c r="AJ3813" i="22"/>
  <c r="Z3813" i="22"/>
  <c r="V3813" i="22"/>
  <c r="P3813" i="22"/>
  <c r="L3813" i="22"/>
  <c r="B3813" i="22"/>
  <c r="F3813" i="22"/>
  <c r="AJ3812" i="22"/>
  <c r="AF3812" i="22"/>
  <c r="V3812" i="22"/>
  <c r="Z3812" i="22"/>
  <c r="L3812" i="22"/>
  <c r="P3812" i="22"/>
  <c r="F3812" i="22"/>
  <c r="B3812" i="22"/>
  <c r="AF3811" i="22"/>
  <c r="AJ3811" i="22"/>
  <c r="Z3811" i="22"/>
  <c r="V3811" i="22"/>
  <c r="L3811" i="22"/>
  <c r="P3811" i="22"/>
  <c r="B3811" i="22"/>
  <c r="F3811" i="22"/>
  <c r="AF3810" i="22"/>
  <c r="AJ3810" i="22"/>
  <c r="AK3810" i="22"/>
  <c r="AM3810" i="22" s="1"/>
  <c r="AL3810" i="22"/>
  <c r="V3810" i="22"/>
  <c r="Z3810" i="22"/>
  <c r="P3810" i="22"/>
  <c r="L3810" i="22"/>
  <c r="R3810" i="22" s="1"/>
  <c r="F3810" i="22"/>
  <c r="B3810" i="22"/>
  <c r="AJ3809" i="22"/>
  <c r="AF3809" i="22"/>
  <c r="V3809" i="22"/>
  <c r="Z3809" i="22"/>
  <c r="P3809" i="22"/>
  <c r="L3809" i="22"/>
  <c r="B3809" i="22"/>
  <c r="F3809" i="22"/>
  <c r="AF3808" i="22"/>
  <c r="AJ3808" i="22"/>
  <c r="Z3808" i="22"/>
  <c r="V3808" i="22"/>
  <c r="P3808" i="22"/>
  <c r="L3808" i="22"/>
  <c r="F3808" i="22"/>
  <c r="B3808" i="22"/>
  <c r="AF3807" i="22"/>
  <c r="AJ3807" i="22"/>
  <c r="Z3807" i="22"/>
  <c r="V3807" i="22"/>
  <c r="P3807" i="22"/>
  <c r="L3807" i="22"/>
  <c r="F3807" i="22"/>
  <c r="B3807" i="22"/>
  <c r="AF3806" i="22"/>
  <c r="AJ3806" i="22"/>
  <c r="V3806" i="22"/>
  <c r="Z3806" i="22"/>
  <c r="P3806" i="22"/>
  <c r="L3806" i="22"/>
  <c r="B3806" i="22"/>
  <c r="F3806" i="22"/>
  <c r="E3751" i="22"/>
  <c r="C3751" i="22"/>
  <c r="F3751" i="22" s="1"/>
  <c r="B3752" i="22"/>
  <c r="G3751" i="22"/>
  <c r="CI72" i="22"/>
  <c r="S3794" i="22"/>
  <c r="T3766" i="22"/>
  <c r="T3760" i="22"/>
  <c r="S3761" i="22"/>
  <c r="S3766" i="22"/>
  <c r="AL72" i="22"/>
  <c r="T3761" i="22"/>
  <c r="T3765" i="22"/>
  <c r="T3759" i="22"/>
  <c r="T3762" i="22"/>
  <c r="T3767" i="22"/>
  <c r="S3763" i="22"/>
  <c r="T3763" i="22"/>
  <c r="S3755" i="22"/>
  <c r="S3764" i="22"/>
  <c r="T3764" i="22"/>
  <c r="T3755" i="22"/>
  <c r="S3760" i="22"/>
  <c r="K72" i="22"/>
  <c r="AD72" i="22" s="1"/>
  <c r="S3759" i="22"/>
  <c r="S3767" i="22"/>
  <c r="L72" i="22"/>
  <c r="AI72" i="22" s="1"/>
  <c r="S3756" i="22"/>
  <c r="T3756" i="22"/>
  <c r="S3757" i="22"/>
  <c r="T3757" i="22"/>
  <c r="AK72" i="22"/>
  <c r="S3762" i="22"/>
  <c r="T3753" i="22"/>
  <c r="S3753" i="22"/>
  <c r="T3752" i="22"/>
  <c r="S3752" i="22"/>
  <c r="S3751" i="22"/>
  <c r="T3751" i="22"/>
  <c r="S3765" i="22"/>
  <c r="T3798" i="22"/>
  <c r="S3798" i="22"/>
  <c r="S3784" i="22"/>
  <c r="T3797" i="22"/>
  <c r="S3797" i="22"/>
  <c r="S3754" i="22"/>
  <c r="T3754" i="22"/>
  <c r="T3768" i="22"/>
  <c r="S3758" i="22"/>
  <c r="T3796" i="22"/>
  <c r="S3796" i="22"/>
  <c r="T3795" i="22"/>
  <c r="S3795" i="22"/>
  <c r="T3758" i="22"/>
  <c r="T3794" i="22"/>
  <c r="T3793" i="22"/>
  <c r="S3793" i="22"/>
  <c r="T3792" i="22"/>
  <c r="S3792" i="22"/>
  <c r="T3791" i="22"/>
  <c r="S3791" i="22"/>
  <c r="T3790" i="22"/>
  <c r="S3790" i="22"/>
  <c r="S3769" i="22"/>
  <c r="T3769" i="22"/>
  <c r="S3770" i="22"/>
  <c r="T3789" i="22"/>
  <c r="S3789" i="22"/>
  <c r="T3770" i="22"/>
  <c r="T3788" i="22"/>
  <c r="S3788" i="22"/>
  <c r="T3787" i="22"/>
  <c r="S3787" i="22"/>
  <c r="T3786" i="22"/>
  <c r="S3786" i="22"/>
  <c r="T3785" i="22"/>
  <c r="S3785" i="22"/>
  <c r="T3784" i="22"/>
  <c r="S3768" i="22"/>
  <c r="T3783" i="22"/>
  <c r="S3783" i="22"/>
  <c r="T3782" i="22"/>
  <c r="S3782" i="22"/>
  <c r="T3781" i="22"/>
  <c r="S3781" i="22"/>
  <c r="T3780" i="22"/>
  <c r="S3780" i="22"/>
  <c r="S3771" i="22"/>
  <c r="T3771" i="22"/>
  <c r="S3772" i="22"/>
  <c r="T3772" i="22"/>
  <c r="S3773" i="22"/>
  <c r="T3773" i="22"/>
  <c r="S3774" i="22"/>
  <c r="T3774" i="22"/>
  <c r="S3775" i="22"/>
  <c r="T3775" i="22"/>
  <c r="S3776" i="22"/>
  <c r="T3776" i="22"/>
  <c r="S3777" i="22"/>
  <c r="T3777" i="22"/>
  <c r="S3778" i="22"/>
  <c r="T3778" i="22"/>
  <c r="S3779" i="22"/>
  <c r="T3779" i="22"/>
  <c r="B3749" i="22"/>
  <c r="J3749" i="22" s="1"/>
  <c r="A3749" i="22"/>
  <c r="E3748" i="22"/>
  <c r="H3751" i="22" s="1"/>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B3698" i="22"/>
  <c r="I3697" i="22"/>
  <c r="G3697" i="22"/>
  <c r="E3697" i="22"/>
  <c r="C3697" i="22"/>
  <c r="F3697" i="22" s="1"/>
  <c r="CI71" i="22"/>
  <c r="T3701" i="22"/>
  <c r="S3701" i="22"/>
  <c r="S3703" i="22"/>
  <c r="T3700" i="22"/>
  <c r="S3700" i="22"/>
  <c r="T3702" i="22"/>
  <c r="S3702" i="22"/>
  <c r="T3699" i="22"/>
  <c r="S3699" i="22"/>
  <c r="T3698" i="22"/>
  <c r="S3698" i="22"/>
  <c r="T3697" i="22"/>
  <c r="S3697" i="22"/>
  <c r="T3732" i="22"/>
  <c r="S3732" i="22"/>
  <c r="T3731" i="22"/>
  <c r="S3731" i="22"/>
  <c r="T3730" i="22"/>
  <c r="S3730" i="22"/>
  <c r="T3729" i="22"/>
  <c r="S3729" i="22"/>
  <c r="T3728" i="22"/>
  <c r="S3728" i="22"/>
  <c r="T3727" i="22"/>
  <c r="S3727" i="22"/>
  <c r="T3726" i="22"/>
  <c r="S3726" i="22"/>
  <c r="T3725" i="22"/>
  <c r="S3725" i="22"/>
  <c r="K71" i="22"/>
  <c r="AD71" i="22" s="1"/>
  <c r="L71" i="22"/>
  <c r="AI71" i="22" s="1"/>
  <c r="AK71" i="22"/>
  <c r="AL71" i="22"/>
  <c r="S3734" i="22"/>
  <c r="T3724" i="22"/>
  <c r="S3724" i="22"/>
  <c r="T3723" i="22"/>
  <c r="S3723" i="22"/>
  <c r="T3722" i="22"/>
  <c r="S3722" i="22"/>
  <c r="T3721" i="22"/>
  <c r="T3720" i="22"/>
  <c r="S3720" i="22"/>
  <c r="S3733" i="22"/>
  <c r="T3733" i="22"/>
  <c r="T3734" i="22"/>
  <c r="S3735" i="22"/>
  <c r="T3735" i="22"/>
  <c r="S3736" i="22"/>
  <c r="T3736" i="22"/>
  <c r="S3737" i="22"/>
  <c r="T3737" i="22"/>
  <c r="S3738" i="22"/>
  <c r="T3738" i="22"/>
  <c r="S3739" i="22"/>
  <c r="T3739" i="22"/>
  <c r="S3740" i="22"/>
  <c r="T3740" i="22"/>
  <c r="S3741" i="22"/>
  <c r="T3741" i="22"/>
  <c r="S3742" i="22"/>
  <c r="T3742" i="22"/>
  <c r="S3743" i="22"/>
  <c r="T3743" i="22"/>
  <c r="S3744" i="22"/>
  <c r="T3744" i="22"/>
  <c r="T3719" i="22"/>
  <c r="S3719" i="22"/>
  <c r="T3718" i="22"/>
  <c r="S3718" i="22"/>
  <c r="T3717" i="22"/>
  <c r="S3717" i="22"/>
  <c r="T3716" i="22"/>
  <c r="S3716" i="22"/>
  <c r="T3715" i="22"/>
  <c r="S3715" i="22"/>
  <c r="T3714" i="22"/>
  <c r="S3714" i="22"/>
  <c r="T3713" i="22"/>
  <c r="S3721" i="22"/>
  <c r="S3713" i="22"/>
  <c r="T3712" i="22"/>
  <c r="S3712" i="22"/>
  <c r="T3711" i="22"/>
  <c r="S3711" i="22"/>
  <c r="T3710" i="22"/>
  <c r="S3710" i="22"/>
  <c r="T3709" i="22"/>
  <c r="S3709" i="22"/>
  <c r="T3708" i="22"/>
  <c r="S3708" i="22"/>
  <c r="T3707" i="22"/>
  <c r="S3707" i="22"/>
  <c r="T3706" i="22"/>
  <c r="S3706" i="22"/>
  <c r="T3705" i="22"/>
  <c r="S3705" i="22"/>
  <c r="T3704" i="22"/>
  <c r="S3704" i="22"/>
  <c r="T3703" i="22"/>
  <c r="A3695" i="22"/>
  <c r="B3695" i="22"/>
  <c r="J3695" i="22" s="1"/>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B3745" i="22"/>
  <c r="C71" i="22" s="1"/>
  <c r="A71" i="22"/>
  <c r="K3697" i="22"/>
  <c r="L3697" i="22"/>
  <c r="L3698" i="22"/>
  <c r="C3643" i="22"/>
  <c r="E3643" i="22"/>
  <c r="G3643" i="22"/>
  <c r="I3643" i="22"/>
  <c r="B3644" i="22"/>
  <c r="CI70" i="22"/>
  <c r="S3659" i="22"/>
  <c r="T3659" i="22"/>
  <c r="S3660" i="22"/>
  <c r="T3660" i="22"/>
  <c r="S3661" i="22"/>
  <c r="T3661" i="22"/>
  <c r="S3662" i="22"/>
  <c r="T3662" i="22"/>
  <c r="S3663" i="22"/>
  <c r="T3663" i="22"/>
  <c r="S3664" i="22"/>
  <c r="T3664" i="22"/>
  <c r="S3665" i="22"/>
  <c r="T3665" i="22"/>
  <c r="S3666" i="22"/>
  <c r="T3666" i="22"/>
  <c r="S3667" i="22"/>
  <c r="T3667" i="22"/>
  <c r="S3668" i="22"/>
  <c r="T3668" i="22"/>
  <c r="S3669" i="22"/>
  <c r="T3669" i="22"/>
  <c r="S3670" i="22"/>
  <c r="T3670" i="22"/>
  <c r="S3671" i="22"/>
  <c r="T3671" i="22"/>
  <c r="S3672" i="22"/>
  <c r="T3672" i="22"/>
  <c r="S3673" i="22"/>
  <c r="T3673" i="22"/>
  <c r="S3674" i="22"/>
  <c r="T3674" i="22"/>
  <c r="S3675" i="22"/>
  <c r="T3675" i="22"/>
  <c r="S3676" i="22"/>
  <c r="T3676" i="22"/>
  <c r="S3677" i="22"/>
  <c r="T3677" i="22"/>
  <c r="S3678" i="22"/>
  <c r="T3678" i="22"/>
  <c r="S3679" i="22"/>
  <c r="T3679" i="22"/>
  <c r="S3680" i="22"/>
  <c r="T3680" i="22"/>
  <c r="S3681" i="22"/>
  <c r="T3681" i="22"/>
  <c r="S3682" i="22"/>
  <c r="T3682" i="22"/>
  <c r="S3683" i="22"/>
  <c r="T3683" i="22"/>
  <c r="S3684" i="22"/>
  <c r="T3684" i="22"/>
  <c r="S3685" i="22"/>
  <c r="T3685" i="22"/>
  <c r="S3686" i="22"/>
  <c r="T3686" i="22"/>
  <c r="S3687" i="22"/>
  <c r="T3687" i="22"/>
  <c r="S3688" i="22"/>
  <c r="T3688" i="22"/>
  <c r="S3689" i="22"/>
  <c r="T3689" i="22"/>
  <c r="S3690" i="22"/>
  <c r="T3690" i="22"/>
  <c r="K70" i="22"/>
  <c r="AD70" i="22" s="1"/>
  <c r="L70" i="22"/>
  <c r="AI70" i="22" s="1"/>
  <c r="AK70" i="22"/>
  <c r="AL70" i="22"/>
  <c r="S3643" i="22"/>
  <c r="T3643" i="22"/>
  <c r="S3644" i="22"/>
  <c r="T3644" i="22"/>
  <c r="S3645" i="22"/>
  <c r="T3645" i="22"/>
  <c r="S3646" i="22"/>
  <c r="T3646" i="22"/>
  <c r="S3647" i="22"/>
  <c r="T3647" i="22"/>
  <c r="S3648" i="22"/>
  <c r="T3648" i="22"/>
  <c r="S3649" i="22"/>
  <c r="T3649" i="22"/>
  <c r="S3650" i="22"/>
  <c r="T3650" i="22"/>
  <c r="S3651" i="22"/>
  <c r="T3651" i="22"/>
  <c r="S3652" i="22"/>
  <c r="T3652" i="22"/>
  <c r="S3653" i="22"/>
  <c r="T3653" i="22"/>
  <c r="S3654" i="22"/>
  <c r="T3654" i="22"/>
  <c r="S3655" i="22"/>
  <c r="T3655" i="22"/>
  <c r="S3656" i="22"/>
  <c r="T3656" i="22"/>
  <c r="S3657" i="22"/>
  <c r="T3657" i="22"/>
  <c r="S3658" i="22"/>
  <c r="T3658" i="22"/>
  <c r="B3641" i="22"/>
  <c r="A3641" i="22"/>
  <c r="E3640"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A70" i="22"/>
  <c r="L3644" i="22"/>
  <c r="B3691" i="22"/>
  <c r="C70" i="22" s="1"/>
  <c r="L3643" i="22"/>
  <c r="C3589" i="22"/>
  <c r="I3589" i="22"/>
  <c r="B3590" i="22"/>
  <c r="F3589" i="22"/>
  <c r="E3589" i="22"/>
  <c r="G3589" i="22"/>
  <c r="CI69" i="22"/>
  <c r="T3613" i="22"/>
  <c r="S3613" i="22"/>
  <c r="T3607" i="22"/>
  <c r="S3607" i="22"/>
  <c r="T3612" i="22"/>
  <c r="T3606" i="22"/>
  <c r="S3606" i="22"/>
  <c r="S3612" i="22"/>
  <c r="S3628" i="22"/>
  <c r="T3628" i="22"/>
  <c r="T3611" i="22"/>
  <c r="S3611" i="22"/>
  <c r="S3629" i="22"/>
  <c r="T3629" i="22"/>
  <c r="T3610" i="22"/>
  <c r="T3605" i="22"/>
  <c r="S3605" i="22"/>
  <c r="S3610" i="22"/>
  <c r="S3630" i="22"/>
  <c r="T3630" i="22"/>
  <c r="T3609" i="22"/>
  <c r="S3609" i="22"/>
  <c r="T3604" i="22"/>
  <c r="S3604" i="22"/>
  <c r="T3608" i="22"/>
  <c r="S3631" i="22"/>
  <c r="T3631" i="22"/>
  <c r="S3608" i="22"/>
  <c r="S3632" i="22"/>
  <c r="T3632" i="22"/>
  <c r="S3633" i="22"/>
  <c r="T3633" i="22"/>
  <c r="T3603" i="22"/>
  <c r="S3603" i="22"/>
  <c r="T3602" i="22"/>
  <c r="S3602" i="22"/>
  <c r="T3601" i="22"/>
  <c r="S3601" i="22"/>
  <c r="T3600" i="22"/>
  <c r="S3600" i="22"/>
  <c r="T3599" i="22"/>
  <c r="S3599" i="22"/>
  <c r="T3598" i="22"/>
  <c r="S3598" i="22"/>
  <c r="T3597" i="22"/>
  <c r="S3597" i="22"/>
  <c r="S3634" i="22"/>
  <c r="T3634" i="22"/>
  <c r="T3596" i="22"/>
  <c r="S3596" i="22"/>
  <c r="T3636" i="22"/>
  <c r="S3636" i="22"/>
  <c r="T3635" i="22"/>
  <c r="S3635" i="22"/>
  <c r="T3595" i="22"/>
  <c r="S3595" i="22"/>
  <c r="T3594" i="22"/>
  <c r="T3627" i="22"/>
  <c r="T3593" i="22"/>
  <c r="S3593" i="22"/>
  <c r="S3592" i="22"/>
  <c r="S3591" i="22"/>
  <c r="T3590" i="22"/>
  <c r="S3589" i="22"/>
  <c r="T3589" i="22"/>
  <c r="S3590" i="22"/>
  <c r="T3591" i="22"/>
  <c r="T3592" i="22"/>
  <c r="S3594" i="22"/>
  <c r="T3626" i="22"/>
  <c r="S3626" i="22"/>
  <c r="T3625" i="22"/>
  <c r="S3625" i="22"/>
  <c r="T3624" i="22"/>
  <c r="S3624" i="22"/>
  <c r="T3623" i="22"/>
  <c r="S3623" i="22"/>
  <c r="S3627" i="22"/>
  <c r="T3622" i="22"/>
  <c r="S3622" i="22"/>
  <c r="T3621" i="22"/>
  <c r="S3621" i="22"/>
  <c r="T3620" i="22"/>
  <c r="S3620" i="22"/>
  <c r="T3619" i="22"/>
  <c r="S3619" i="22"/>
  <c r="T3618" i="22"/>
  <c r="S3618" i="22"/>
  <c r="T3617" i="22"/>
  <c r="S3617" i="22"/>
  <c r="T3616" i="22"/>
  <c r="AL69" i="22"/>
  <c r="AK69" i="22"/>
  <c r="L69" i="22"/>
  <c r="AI69" i="22" s="1"/>
  <c r="K69" i="22"/>
  <c r="AD69" i="22" s="1"/>
  <c r="S3616" i="22"/>
  <c r="T3615" i="22"/>
  <c r="S3615" i="22"/>
  <c r="T3614" i="22"/>
  <c r="S3614" i="22"/>
  <c r="B3587" i="22"/>
  <c r="J3587" i="22" s="1"/>
  <c r="A3587" i="22"/>
  <c r="E3586" i="22"/>
  <c r="H3590" i="22" s="1"/>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H3589" i="22"/>
  <c r="H3591" i="22"/>
  <c r="H3592" i="22"/>
  <c r="B3637" i="22"/>
  <c r="C69" i="22" s="1"/>
  <c r="L3590" i="22"/>
  <c r="K3589" i="22"/>
  <c r="L3589" i="22"/>
  <c r="A69" i="22"/>
  <c r="B3536" i="22"/>
  <c r="C3535" i="22"/>
  <c r="F3535" i="22" s="1"/>
  <c r="G3535" i="22"/>
  <c r="E3535" i="22"/>
  <c r="I3535" i="22"/>
  <c r="CI68" i="22"/>
  <c r="T3564" i="22"/>
  <c r="T3544" i="22"/>
  <c r="T3563" i="22"/>
  <c r="S3564" i="22"/>
  <c r="T3562" i="22"/>
  <c r="S3562" i="22"/>
  <c r="S3543" i="22"/>
  <c r="T3561" i="22"/>
  <c r="T3566" i="22"/>
  <c r="S3567" i="22"/>
  <c r="T3560" i="22"/>
  <c r="S3568" i="22"/>
  <c r="T3542" i="22"/>
  <c r="T3569" i="22"/>
  <c r="T3559" i="22"/>
  <c r="S3559" i="22"/>
  <c r="S3572" i="22"/>
  <c r="S3542" i="22"/>
  <c r="T3558" i="22"/>
  <c r="S3575" i="22"/>
  <c r="T3575" i="22"/>
  <c r="T3576" i="22"/>
  <c r="T3557" i="22"/>
  <c r="T3577" i="22"/>
  <c r="S3557" i="22"/>
  <c r="S3578" i="22"/>
  <c r="T3541" i="22"/>
  <c r="T3579" i="22"/>
  <c r="T3555" i="22"/>
  <c r="S3555" i="22"/>
  <c r="S3582" i="22"/>
  <c r="T3582" i="22"/>
  <c r="S3541" i="22"/>
  <c r="T3554" i="22"/>
  <c r="T3540" i="22"/>
  <c r="S3553" i="22"/>
  <c r="T3539" i="22"/>
  <c r="S3552" i="22"/>
  <c r="T3551" i="22"/>
  <c r="T3538" i="22"/>
  <c r="T3550" i="22"/>
  <c r="S3550" i="22"/>
  <c r="S3561" i="22"/>
  <c r="T3581" i="22"/>
  <c r="S3560" i="22"/>
  <c r="S3581" i="22"/>
  <c r="S3558" i="22"/>
  <c r="T3580" i="22"/>
  <c r="T3556" i="22"/>
  <c r="S3556" i="22"/>
  <c r="S3580" i="22"/>
  <c r="S3554" i="22"/>
  <c r="S3579" i="22"/>
  <c r="T3553" i="22"/>
  <c r="T3549" i="22"/>
  <c r="T3552" i="22"/>
  <c r="T3578" i="22"/>
  <c r="S3551" i="22"/>
  <c r="S3549" i="22"/>
  <c r="S3577" i="22"/>
  <c r="S3548" i="22"/>
  <c r="T3537" i="22"/>
  <c r="S3576" i="22"/>
  <c r="T3545" i="22"/>
  <c r="S3545" i="22"/>
  <c r="S3544" i="22"/>
  <c r="T3548" i="22"/>
  <c r="T3574" i="22"/>
  <c r="T3543" i="22"/>
  <c r="S3574" i="22"/>
  <c r="S3540" i="22"/>
  <c r="T3573" i="22"/>
  <c r="S3539" i="22"/>
  <c r="S3573" i="22"/>
  <c r="S3538" i="22"/>
  <c r="S3537" i="22"/>
  <c r="T3572" i="22"/>
  <c r="S3536" i="22"/>
  <c r="T3547" i="22"/>
  <c r="T3535" i="22"/>
  <c r="S3535" i="22"/>
  <c r="T3571" i="22"/>
  <c r="S3571" i="22"/>
  <c r="S3547" i="22"/>
  <c r="T3570" i="22"/>
  <c r="S3570" i="22"/>
  <c r="T3536" i="22"/>
  <c r="S3569" i="22"/>
  <c r="T3568" i="22"/>
  <c r="T3546" i="22"/>
  <c r="T3567" i="22"/>
  <c r="S3546" i="22"/>
  <c r="S3566" i="22"/>
  <c r="AL68" i="22"/>
  <c r="AK68" i="22"/>
  <c r="L68" i="22"/>
  <c r="AI68" i="22" s="1"/>
  <c r="K68" i="22"/>
  <c r="AD68" i="22" s="1"/>
  <c r="T3565" i="22"/>
  <c r="S3565" i="22"/>
  <c r="S3563" i="22"/>
  <c r="A3533" i="22"/>
  <c r="B3533" i="22"/>
  <c r="J3533" i="22" s="1"/>
  <c r="E3532" i="22"/>
  <c r="H3535" i="22" s="1"/>
  <c r="H3536" i="22"/>
  <c r="H3538" i="22"/>
  <c r="H3541" i="22"/>
  <c r="H3542" i="22"/>
  <c r="H3543" i="22"/>
  <c r="H3545" i="22"/>
  <c r="H3546" i="22"/>
  <c r="H3547" i="22"/>
  <c r="H3550" i="22"/>
  <c r="H3552" i="22"/>
  <c r="H3553" i="22"/>
  <c r="H3555" i="22"/>
  <c r="H3558" i="22"/>
  <c r="H3559" i="22"/>
  <c r="BW68" i="22" s="1"/>
  <c r="H3560" i="22"/>
  <c r="BX68" i="22" s="1"/>
  <c r="H3562" i="22"/>
  <c r="BZ68" i="22" s="1"/>
  <c r="H3565" i="22"/>
  <c r="CC68" i="22" s="1"/>
  <c r="H3566" i="22"/>
  <c r="CD68" i="22" s="1"/>
  <c r="H3567" i="22"/>
  <c r="CE68" i="22" s="1"/>
  <c r="H3571" i="22"/>
  <c r="H3572" i="22"/>
  <c r="H3573" i="22"/>
  <c r="H3575" i="22"/>
  <c r="H3576" i="22"/>
  <c r="H3581" i="22"/>
  <c r="H3582" i="22"/>
  <c r="H3537" i="22"/>
  <c r="H3539" i="22"/>
  <c r="H3540" i="22"/>
  <c r="H3544" i="22"/>
  <c r="H3548" i="22"/>
  <c r="H3549" i="22"/>
  <c r="H3551" i="22"/>
  <c r="H3554" i="22"/>
  <c r="H3556" i="22"/>
  <c r="H3557" i="22"/>
  <c r="H3561" i="22"/>
  <c r="BY68" i="22" s="1"/>
  <c r="H3563" i="22"/>
  <c r="CA68" i="22" s="1"/>
  <c r="H3564" i="22"/>
  <c r="CB68" i="22" s="1"/>
  <c r="H3568" i="22"/>
  <c r="CF68" i="22" s="1"/>
  <c r="H3569" i="22"/>
  <c r="CG68" i="22" s="1"/>
  <c r="H3570" i="22"/>
  <c r="CH68" i="22" s="1"/>
  <c r="H3574" i="22"/>
  <c r="H3577" i="22"/>
  <c r="H3578" i="22"/>
  <c r="H3579" i="22"/>
  <c r="H3580" i="22"/>
  <c r="K3535" i="22"/>
  <c r="L3536" i="22"/>
  <c r="L3535" i="22"/>
  <c r="B3583" i="22"/>
  <c r="C68" i="22" s="1"/>
  <c r="A68" i="22"/>
  <c r="B3482" i="22"/>
  <c r="G3481" i="22"/>
  <c r="E3481" i="22"/>
  <c r="C3481" i="22"/>
  <c r="F3481" i="22" s="1"/>
  <c r="T3489" i="22"/>
  <c r="S3490" i="22"/>
  <c r="T3490" i="22"/>
  <c r="S3491" i="22"/>
  <c r="T3491" i="22"/>
  <c r="T3492" i="22"/>
  <c r="S3492" i="22"/>
  <c r="S3481" i="22"/>
  <c r="T3481" i="22"/>
  <c r="S3482" i="22"/>
  <c r="T3482" i="22"/>
  <c r="S3483" i="22"/>
  <c r="T3483" i="22"/>
  <c r="S3484" i="22"/>
  <c r="T3484" i="22"/>
  <c r="S3485" i="22"/>
  <c r="T3485" i="22"/>
  <c r="S3493" i="22"/>
  <c r="T3493" i="22"/>
  <c r="S3494" i="22"/>
  <c r="T3494" i="22"/>
  <c r="S3495" i="22"/>
  <c r="T3495" i="22"/>
  <c r="S3496" i="22"/>
  <c r="T3496" i="22"/>
  <c r="S3497" i="22"/>
  <c r="T3497" i="22"/>
  <c r="S3498" i="22"/>
  <c r="T3498" i="22"/>
  <c r="S3499" i="22"/>
  <c r="T3499" i="22"/>
  <c r="S3500" i="22"/>
  <c r="T3500" i="22"/>
  <c r="S3501" i="22"/>
  <c r="T3501" i="22"/>
  <c r="S3486" i="22"/>
  <c r="S3502" i="22"/>
  <c r="T3502" i="22"/>
  <c r="S3503" i="22"/>
  <c r="T3503" i="22"/>
  <c r="S3504" i="22"/>
  <c r="T3504" i="22"/>
  <c r="S3505" i="22"/>
  <c r="T3505" i="22"/>
  <c r="S3506" i="22"/>
  <c r="T3506" i="22"/>
  <c r="S3507" i="22"/>
  <c r="T3507" i="22"/>
  <c r="S3508" i="22"/>
  <c r="T3508" i="22"/>
  <c r="S3509" i="22"/>
  <c r="T3509" i="22"/>
  <c r="S3510" i="22"/>
  <c r="T3510" i="22"/>
  <c r="S3511" i="22"/>
  <c r="T3511" i="22"/>
  <c r="S3512" i="22"/>
  <c r="T3512" i="22"/>
  <c r="S3513" i="22"/>
  <c r="T3486" i="22"/>
  <c r="S3487" i="22"/>
  <c r="T3513" i="22"/>
  <c r="S3514" i="22"/>
  <c r="T3514" i="22"/>
  <c r="T3487" i="22"/>
  <c r="S3488" i="22"/>
  <c r="T3488" i="22"/>
  <c r="S3489" i="22"/>
  <c r="B3479" i="22"/>
  <c r="A3479" i="22"/>
  <c r="E3478" i="22"/>
  <c r="H3482" i="22"/>
  <c r="H3483" i="22"/>
  <c r="H3484" i="22"/>
  <c r="H3485" i="22"/>
  <c r="H3486" i="22"/>
  <c r="H3487" i="22"/>
  <c r="H3488" i="22"/>
  <c r="H3489" i="22"/>
  <c r="H3490" i="22"/>
  <c r="G3427" i="22"/>
  <c r="B3428" i="22"/>
  <c r="E3427" i="22"/>
  <c r="C3427" i="22"/>
  <c r="F3427" i="22" s="1"/>
  <c r="CI66"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S3448" i="22"/>
  <c r="AL66" i="22"/>
  <c r="AK66" i="22"/>
  <c r="T3449" i="22"/>
  <c r="S3449" i="22"/>
  <c r="T3448" i="22"/>
  <c r="S3427" i="22"/>
  <c r="T3427" i="22"/>
  <c r="S3428" i="22"/>
  <c r="T3428" i="22"/>
  <c r="S3429" i="22"/>
  <c r="T3429" i="22"/>
  <c r="S3430" i="22"/>
  <c r="T3430" i="22"/>
  <c r="S3431" i="22"/>
  <c r="T3431" i="22"/>
  <c r="S3432" i="22"/>
  <c r="T3432" i="22"/>
  <c r="S3433" i="22"/>
  <c r="T3433" i="22"/>
  <c r="S3434" i="22"/>
  <c r="T3434" i="22"/>
  <c r="S3435" i="22"/>
  <c r="T3435" i="22"/>
  <c r="S3436" i="22"/>
  <c r="T3436" i="22"/>
  <c r="S3437" i="22"/>
  <c r="T3437" i="22"/>
  <c r="S3438" i="22"/>
  <c r="T3438" i="22"/>
  <c r="S3439" i="22"/>
  <c r="T3439" i="22"/>
  <c r="S3440" i="22"/>
  <c r="T3440" i="22"/>
  <c r="S3441" i="22"/>
  <c r="T3441" i="22"/>
  <c r="S3442" i="22"/>
  <c r="T3442" i="22"/>
  <c r="S3443" i="22"/>
  <c r="T3443" i="22"/>
  <c r="S3444" i="22"/>
  <c r="T3444" i="22"/>
  <c r="S3445" i="22"/>
  <c r="T3445" i="22"/>
  <c r="S3446" i="22"/>
  <c r="T3446" i="22"/>
  <c r="T3447" i="22"/>
  <c r="S3447" i="22"/>
  <c r="T3467" i="22"/>
  <c r="S3467" i="22"/>
  <c r="T3466" i="22"/>
  <c r="S3466" i="22"/>
  <c r="T3465" i="22"/>
  <c r="S3465" i="22"/>
  <c r="T3464" i="22"/>
  <c r="S3464" i="22"/>
  <c r="T3463" i="22"/>
  <c r="S3463" i="22"/>
  <c r="T3474" i="22"/>
  <c r="S3474" i="22"/>
  <c r="T3473" i="22"/>
  <c r="S3473" i="22"/>
  <c r="T3472" i="22"/>
  <c r="S3472" i="22"/>
  <c r="T3471" i="22"/>
  <c r="S3471" i="22"/>
  <c r="T3470" i="22"/>
  <c r="S3470" i="22"/>
  <c r="T3469" i="22"/>
  <c r="S3469" i="22"/>
  <c r="T3468" i="22"/>
  <c r="S3468" i="22"/>
  <c r="B3425" i="22"/>
  <c r="A3425" i="22"/>
  <c r="E3424" i="22"/>
  <c r="H3427" i="22" s="1"/>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B3374" i="22"/>
  <c r="G3373" i="22"/>
  <c r="E3373" i="22"/>
  <c r="C3373" i="22"/>
  <c r="F3373" i="22" s="1"/>
  <c r="CI65" i="22"/>
  <c r="S3418" i="22"/>
  <c r="T3414" i="22"/>
  <c r="T3418" i="22"/>
  <c r="S3419" i="22"/>
  <c r="T3419" i="22"/>
  <c r="S3420" i="22"/>
  <c r="T3420" i="22"/>
  <c r="T3399" i="22"/>
  <c r="T3416" i="22"/>
  <c r="S3416" i="22"/>
  <c r="S3379" i="22"/>
  <c r="T3415" i="22"/>
  <c r="S3415" i="22"/>
  <c r="S3414" i="22"/>
  <c r="T3413" i="22"/>
  <c r="S3413" i="22"/>
  <c r="T3412" i="22"/>
  <c r="S3412" i="22"/>
  <c r="T3411" i="22"/>
  <c r="AK65" i="22"/>
  <c r="AL65"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382" i="22"/>
  <c r="S3382" i="22"/>
  <c r="T3381" i="22"/>
  <c r="S3381" i="22"/>
  <c r="T3380" i="22"/>
  <c r="S3380" i="22"/>
  <c r="T3379" i="22"/>
  <c r="T3378" i="22"/>
  <c r="S3378" i="22"/>
  <c r="T3377" i="22"/>
  <c r="S3411" i="22"/>
  <c r="S3377" i="22"/>
  <c r="T3376" i="22"/>
  <c r="S3376" i="22"/>
  <c r="T3375" i="22"/>
  <c r="S3375" i="22"/>
  <c r="T3374" i="22"/>
  <c r="S3374" i="22"/>
  <c r="T3373" i="22"/>
  <c r="S3373" i="22"/>
  <c r="S3399" i="22"/>
  <c r="T3398" i="22"/>
  <c r="T3417" i="22"/>
  <c r="T3410" i="22"/>
  <c r="S3410" i="22"/>
  <c r="T3409" i="22"/>
  <c r="S3409" i="22"/>
  <c r="S3417" i="22"/>
  <c r="T3408" i="22"/>
  <c r="S3408" i="22"/>
  <c r="T3407" i="22"/>
  <c r="S3407" i="22"/>
  <c r="T3406" i="22"/>
  <c r="S3406" i="22"/>
  <c r="T3405" i="22"/>
  <c r="S3405" i="22"/>
  <c r="T3404" i="22"/>
  <c r="S3404" i="22"/>
  <c r="T3403" i="22"/>
  <c r="S3403" i="22"/>
  <c r="T3402" i="22"/>
  <c r="S3402" i="22"/>
  <c r="T3401" i="22"/>
  <c r="S3401" i="22"/>
  <c r="T3400" i="22"/>
  <c r="S3400" i="22"/>
  <c r="B3371" i="22"/>
  <c r="A3371" i="22"/>
  <c r="E3370" i="22"/>
  <c r="H3373" i="22"/>
  <c r="H3374" i="22"/>
  <c r="H3375" i="22"/>
  <c r="H3376" i="22"/>
  <c r="H3377" i="22"/>
  <c r="H3378" i="22"/>
  <c r="H3379" i="22"/>
  <c r="H3380" i="22"/>
  <c r="H3381" i="22"/>
  <c r="H3382" i="22"/>
  <c r="H3383" i="22"/>
  <c r="H3384" i="22"/>
  <c r="B3320" i="22"/>
  <c r="I3319" i="22"/>
  <c r="G3319" i="22"/>
  <c r="E3319" i="22"/>
  <c r="C3319" i="22"/>
  <c r="F3319" i="22" s="1"/>
  <c r="CI64" i="22"/>
  <c r="T3337" i="22"/>
  <c r="S3337" i="22"/>
  <c r="T3336" i="22"/>
  <c r="S3336" i="22"/>
  <c r="T3335" i="22"/>
  <c r="S3335" i="22"/>
  <c r="T3334" i="22"/>
  <c r="S3334" i="22"/>
  <c r="T3333" i="22"/>
  <c r="S3333" i="22"/>
  <c r="T3332" i="22"/>
  <c r="S3332" i="22"/>
  <c r="T3331" i="22"/>
  <c r="S3331" i="22"/>
  <c r="T3330" i="22"/>
  <c r="S3330" i="22"/>
  <c r="T3329" i="22"/>
  <c r="S3329" i="22"/>
  <c r="T3328" i="22"/>
  <c r="S3328" i="22"/>
  <c r="T3327" i="22"/>
  <c r="S3327" i="22"/>
  <c r="T3326" i="22"/>
  <c r="S3326" i="22"/>
  <c r="T3325" i="22"/>
  <c r="S3325" i="22"/>
  <c r="T3324" i="22"/>
  <c r="S3324" i="22"/>
  <c r="T3323" i="22"/>
  <c r="S3323" i="22"/>
  <c r="T3322" i="22"/>
  <c r="S3322" i="22"/>
  <c r="S3321" i="22"/>
  <c r="T3320" i="22"/>
  <c r="S3320" i="22"/>
  <c r="T3319" i="22"/>
  <c r="S3319" i="22"/>
  <c r="AL64" i="22"/>
  <c r="AK64" i="22"/>
  <c r="T3321" i="22"/>
  <c r="T3366" i="22"/>
  <c r="S3366" i="22"/>
  <c r="T3365" i="22"/>
  <c r="S3365" i="22"/>
  <c r="T3364" i="22"/>
  <c r="S3364" i="22"/>
  <c r="T3363" i="22"/>
  <c r="S3363" i="22"/>
  <c r="T3362" i="22"/>
  <c r="S3362" i="22"/>
  <c r="T3361" i="22"/>
  <c r="S3361" i="22"/>
  <c r="T3360" i="22"/>
  <c r="S3360" i="22"/>
  <c r="T3359" i="22"/>
  <c r="S3359" i="22"/>
  <c r="T3358" i="22"/>
  <c r="S3358" i="22"/>
  <c r="T3357" i="22"/>
  <c r="S3357" i="22"/>
  <c r="T3356" i="22"/>
  <c r="S3356" i="22"/>
  <c r="T3355" i="22"/>
  <c r="S3355" i="22"/>
  <c r="T3354" i="22"/>
  <c r="S3354" i="22"/>
  <c r="T3353" i="22"/>
  <c r="S3353" i="22"/>
  <c r="T3352" i="22"/>
  <c r="S3352" i="22"/>
  <c r="T3351" i="22"/>
  <c r="S3351" i="22"/>
  <c r="T3350" i="22"/>
  <c r="S3350" i="22"/>
  <c r="T3349" i="22"/>
  <c r="S3349" i="22"/>
  <c r="T3348" i="22"/>
  <c r="S3348" i="22"/>
  <c r="T3347" i="22"/>
  <c r="S3347" i="22"/>
  <c r="T3346" i="22"/>
  <c r="S3346" i="22"/>
  <c r="T3345" i="22"/>
  <c r="S3345" i="22"/>
  <c r="T3344" i="22"/>
  <c r="S3344" i="22"/>
  <c r="T3343" i="22"/>
  <c r="S3343" i="22"/>
  <c r="T3342" i="22"/>
  <c r="S3342" i="22"/>
  <c r="T3341" i="22"/>
  <c r="S3341" i="22"/>
  <c r="T3340" i="22"/>
  <c r="S3340" i="22"/>
  <c r="T3339" i="22"/>
  <c r="S3339" i="22"/>
  <c r="T3338" i="22"/>
  <c r="S3338" i="22"/>
  <c r="A3317" i="22"/>
  <c r="B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L3320" i="22"/>
  <c r="B3367" i="22"/>
  <c r="C64" i="22" s="1"/>
  <c r="A64" i="22"/>
  <c r="K3319" i="22"/>
  <c r="L3319" i="22"/>
  <c r="B3266" i="22"/>
  <c r="C3265" i="22"/>
  <c r="E3265" i="22"/>
  <c r="G3265" i="22"/>
  <c r="F3265" i="22"/>
  <c r="CI63" i="22"/>
  <c r="S3289" i="22"/>
  <c r="T3288" i="22"/>
  <c r="T3286" i="22"/>
  <c r="S3284" i="22"/>
  <c r="S3279" i="22"/>
  <c r="S3274" i="22"/>
  <c r="S3277" i="22"/>
  <c r="S3280" i="22"/>
  <c r="T3282" i="22"/>
  <c r="S3283" i="22"/>
  <c r="T3287" i="22"/>
  <c r="S3267" i="22"/>
  <c r="T3270" i="22"/>
  <c r="S3273" i="22"/>
  <c r="S3276" i="22"/>
  <c r="T3277" i="22"/>
  <c r="T3283" i="22"/>
  <c r="S3266" i="22"/>
  <c r="T3292" i="22"/>
  <c r="T3274" i="22"/>
  <c r="S3304" i="22"/>
  <c r="T3304" i="22"/>
  <c r="T3290" i="22"/>
  <c r="T3291" i="22"/>
  <c r="S3305" i="22"/>
  <c r="T3305" i="22"/>
  <c r="S3306" i="22"/>
  <c r="T3293" i="22"/>
  <c r="T3306" i="22"/>
  <c r="S3307" i="22"/>
  <c r="T3307" i="22"/>
  <c r="T3271" i="22"/>
  <c r="S3308" i="22"/>
  <c r="T3308" i="22"/>
  <c r="S3309" i="22"/>
  <c r="T3309" i="22"/>
  <c r="S3268" i="22"/>
  <c r="S3310" i="22"/>
  <c r="S3270" i="22"/>
  <c r="T3310" i="22"/>
  <c r="T3289" i="22"/>
  <c r="T3273" i="22"/>
  <c r="S3275" i="22"/>
  <c r="T3275" i="22"/>
  <c r="S3287" i="22"/>
  <c r="T3281" i="22"/>
  <c r="T3280" i="22"/>
  <c r="S3278" i="22"/>
  <c r="S3281" i="22"/>
  <c r="T3269" i="22"/>
  <c r="T3268" i="22"/>
  <c r="T3265" i="22"/>
  <c r="S3288" i="22"/>
  <c r="S3311" i="22"/>
  <c r="T3311" i="22"/>
  <c r="S3293" i="22"/>
  <c r="S3312" i="22"/>
  <c r="T3312" i="22"/>
  <c r="S3292" i="22"/>
  <c r="S3286" i="22"/>
  <c r="T3285" i="22"/>
  <c r="AL63" i="22"/>
  <c r="AK63" i="22"/>
  <c r="T3284" i="22"/>
  <c r="S3291" i="22"/>
  <c r="T3267" i="22"/>
  <c r="T3272" i="22"/>
  <c r="T3279" i="22"/>
  <c r="T3278" i="22"/>
  <c r="T3276" i="22"/>
  <c r="T3303" i="22"/>
  <c r="S3303" i="22"/>
  <c r="T3302" i="22"/>
  <c r="S3302" i="22"/>
  <c r="T3301" i="22"/>
  <c r="S3301" i="22"/>
  <c r="T3300" i="22"/>
  <c r="S3300" i="22"/>
  <c r="T3299" i="22"/>
  <c r="S3299" i="22"/>
  <c r="T3298" i="22"/>
  <c r="S3298" i="22"/>
  <c r="T3297" i="22"/>
  <c r="S3297" i="22"/>
  <c r="T3296" i="22"/>
  <c r="S3296" i="22"/>
  <c r="T3295" i="22"/>
  <c r="S3295" i="22"/>
  <c r="T3294" i="22"/>
  <c r="S3294" i="22"/>
  <c r="S3290" i="22"/>
  <c r="S3285" i="22"/>
  <c r="S3282" i="22"/>
  <c r="S3272" i="22"/>
  <c r="S3271" i="22"/>
  <c r="S3269" i="22"/>
  <c r="T3266" i="22"/>
  <c r="S3265" i="22"/>
  <c r="A3263" i="22"/>
  <c r="B3263" i="22"/>
  <c r="E3262" i="22"/>
  <c r="H3276" i="22"/>
  <c r="H3280" i="22"/>
  <c r="H3282" i="22"/>
  <c r="H3284" i="22"/>
  <c r="H3266" i="22"/>
  <c r="H3270" i="22"/>
  <c r="H3272" i="22"/>
  <c r="H3287" i="22"/>
  <c r="H3269" i="22"/>
  <c r="H3277" i="22"/>
  <c r="H3283" i="22"/>
  <c r="H3295" i="22"/>
  <c r="H3296" i="22"/>
  <c r="H3297" i="22"/>
  <c r="H3298" i="22"/>
  <c r="H3299" i="22"/>
  <c r="H3300" i="22"/>
  <c r="H3301" i="22"/>
  <c r="H3302" i="22"/>
  <c r="H3303" i="22"/>
  <c r="H3304" i="22"/>
  <c r="H3305" i="22"/>
  <c r="H3306" i="22"/>
  <c r="H3307" i="22"/>
  <c r="H3308" i="22"/>
  <c r="H3309" i="22"/>
  <c r="H3310" i="22"/>
  <c r="H3311" i="22"/>
  <c r="H3312" i="22"/>
  <c r="H3268" i="22"/>
  <c r="H3271" i="22"/>
  <c r="H3274" i="22"/>
  <c r="H3275" i="22"/>
  <c r="H3279" i="22"/>
  <c r="H3286" i="22"/>
  <c r="H3267" i="22"/>
  <c r="H3278" i="22"/>
  <c r="H3281" i="22"/>
  <c r="H3290" i="22"/>
  <c r="H3265" i="22"/>
  <c r="H3289" i="22"/>
  <c r="H3292" i="22"/>
  <c r="H3293" i="22"/>
  <c r="H3273" i="22"/>
  <c r="H3285" i="22"/>
  <c r="H3288" i="22"/>
  <c r="H3291" i="22"/>
  <c r="H3294" i="22"/>
  <c r="A63" i="22"/>
  <c r="B3313" i="22"/>
  <c r="C63" i="22" s="1"/>
  <c r="K3265" i="22"/>
  <c r="L3266" i="22"/>
  <c r="L3265" i="22"/>
  <c r="E3211" i="22"/>
  <c r="C3211" i="22"/>
  <c r="B3212" i="22"/>
  <c r="F3211" i="22"/>
  <c r="G3211" i="22"/>
  <c r="CI62" i="22"/>
  <c r="S3233" i="22"/>
  <c r="T3230" i="22"/>
  <c r="AK62" i="22"/>
  <c r="T3228" i="22"/>
  <c r="T3218" i="22"/>
  <c r="AL62" i="22"/>
  <c r="S3216" i="22"/>
  <c r="T3213" i="22"/>
  <c r="S3242" i="22"/>
  <c r="S3236" i="22"/>
  <c r="T3226" i="22"/>
  <c r="S3224" i="22"/>
  <c r="T3215" i="22"/>
  <c r="S3219" i="22"/>
  <c r="S3220" i="22"/>
  <c r="S3226" i="22"/>
  <c r="S3231" i="22"/>
  <c r="T3237" i="22"/>
  <c r="S3243" i="22"/>
  <c r="S3245" i="22"/>
  <c r="T3246" i="22"/>
  <c r="T3247" i="22"/>
  <c r="T3251" i="22"/>
  <c r="S3252" i="22"/>
  <c r="S3225" i="22"/>
  <c r="T3254" i="22"/>
  <c r="T3257" i="22"/>
  <c r="S3256" i="22"/>
  <c r="S3258" i="22"/>
  <c r="T3219" i="22"/>
  <c r="T3225" i="22"/>
  <c r="S3222" i="22"/>
  <c r="T3227" i="22"/>
  <c r="T3229" i="22"/>
  <c r="T3244" i="22"/>
  <c r="T3224" i="22"/>
  <c r="S3249" i="22"/>
  <c r="T3231" i="22"/>
  <c r="S3248" i="22"/>
  <c r="T3223" i="22"/>
  <c r="S3227" i="22"/>
  <c r="S3234" i="22"/>
  <c r="S3239" i="22"/>
  <c r="T3256" i="22"/>
  <c r="T3240" i="22"/>
  <c r="S3241" i="22"/>
  <c r="T3245" i="22"/>
  <c r="S3232" i="22"/>
  <c r="S3246" i="22"/>
  <c r="S3251" i="22"/>
  <c r="T3248" i="22"/>
  <c r="S3247" i="22"/>
  <c r="T3238" i="22"/>
  <c r="S3235" i="22"/>
  <c r="T3233" i="22"/>
  <c r="S3223" i="22"/>
  <c r="T3221" i="22"/>
  <c r="T3211" i="22"/>
  <c r="T3235" i="22"/>
  <c r="T3255" i="22"/>
  <c r="T3250" i="22"/>
  <c r="S3250" i="22"/>
  <c r="T3232" i="22"/>
  <c r="T3217" i="22"/>
  <c r="S3211" i="22"/>
  <c r="S3214" i="22"/>
  <c r="S3244" i="22"/>
  <c r="T3249" i="22"/>
  <c r="T3252" i="22"/>
  <c r="S3253" i="22"/>
  <c r="T3253" i="22"/>
  <c r="T3242" i="22"/>
  <c r="S3254" i="22"/>
  <c r="S3255" i="22"/>
  <c r="S3212" i="22"/>
  <c r="S3218" i="22"/>
  <c r="T3212" i="22"/>
  <c r="T3241" i="22"/>
  <c r="T3222" i="22"/>
  <c r="S3240" i="22"/>
  <c r="T3258" i="22"/>
  <c r="S3237" i="22"/>
  <c r="S3257" i="22"/>
  <c r="S3238" i="22"/>
  <c r="T3234" i="22"/>
  <c r="S3230" i="22"/>
  <c r="S3229" i="22"/>
  <c r="T3243" i="22"/>
  <c r="S3215" i="22"/>
  <c r="S3228" i="22"/>
  <c r="S3221" i="22"/>
  <c r="T3239" i="22"/>
  <c r="T3220" i="22"/>
  <c r="S3217" i="22"/>
  <c r="T3236" i="22"/>
  <c r="T3214" i="22"/>
  <c r="S3213" i="22"/>
  <c r="T3216" i="22"/>
  <c r="B3209" i="22"/>
  <c r="A3209" i="22"/>
  <c r="E3208" i="22"/>
  <c r="H3212" i="22"/>
  <c r="H3226" i="22"/>
  <c r="H3234" i="22"/>
  <c r="H3244" i="22"/>
  <c r="H3251" i="22"/>
  <c r="H3252" i="22"/>
  <c r="H3257" i="22"/>
  <c r="H3225" i="22"/>
  <c r="H3231" i="22"/>
  <c r="H3243" i="22"/>
  <c r="H3253" i="22"/>
  <c r="H3254" i="22"/>
  <c r="H3255" i="22"/>
  <c r="H3220" i="22"/>
  <c r="H3230" i="22"/>
  <c r="H3237" i="22"/>
  <c r="H3256" i="22"/>
  <c r="H3258" i="22"/>
  <c r="H3218" i="22"/>
  <c r="H3221" i="22"/>
  <c r="H3245" i="22"/>
  <c r="H3249" i="22"/>
  <c r="H3250" i="22"/>
  <c r="H3222" i="22"/>
  <c r="H3229" i="22"/>
  <c r="H3240" i="22"/>
  <c r="CB62" i="22" s="1"/>
  <c r="H3246" i="22"/>
  <c r="CH62" i="22" s="1"/>
  <c r="H3215" i="22"/>
  <c r="H3228" i="22"/>
  <c r="H3241" i="22"/>
  <c r="CC62" i="22" s="1"/>
  <c r="H3238" i="22"/>
  <c r="BZ62" i="22" s="1"/>
  <c r="H3214" i="22"/>
  <c r="H3216" i="22"/>
  <c r="H3224" i="22"/>
  <c r="H3232" i="22"/>
  <c r="H3247" i="22"/>
  <c r="H3211" i="22"/>
  <c r="H3219" i="22"/>
  <c r="H3223" i="22"/>
  <c r="H3235" i="22"/>
  <c r="BW62" i="22" s="1"/>
  <c r="H3242" i="22"/>
  <c r="CD62" i="22" s="1"/>
  <c r="L3212" i="22"/>
  <c r="K3211" i="22"/>
  <c r="A62" i="22"/>
  <c r="B3259" i="22"/>
  <c r="C62" i="22" s="1"/>
  <c r="L3211" i="22"/>
  <c r="E3157" i="22"/>
  <c r="C3157" i="22"/>
  <c r="F3157" i="22" s="1"/>
  <c r="B3158" i="22"/>
  <c r="G3157" i="22"/>
  <c r="S3192" i="22"/>
  <c r="S3186" i="22"/>
  <c r="T3185" i="22"/>
  <c r="S3185" i="22"/>
  <c r="T3184" i="22"/>
  <c r="S3184" i="22"/>
  <c r="T3183" i="22"/>
  <c r="S3183" i="22"/>
  <c r="T3182" i="22"/>
  <c r="S3182" i="22"/>
  <c r="T3181" i="22"/>
  <c r="S3181" i="22"/>
  <c r="T3180" i="22"/>
  <c r="S3180" i="22"/>
  <c r="T3179" i="22"/>
  <c r="S3179" i="22"/>
  <c r="T3157" i="22"/>
  <c r="S3157" i="22"/>
  <c r="T3161" i="22"/>
  <c r="S3161" i="22"/>
  <c r="T3160" i="22"/>
  <c r="S3160" i="22"/>
  <c r="T3159" i="22"/>
  <c r="S3159" i="22"/>
  <c r="T3158" i="22"/>
  <c r="S3158" i="22"/>
  <c r="T3186" i="22"/>
  <c r="S3187" i="22"/>
  <c r="T3187" i="22"/>
  <c r="S3188" i="22"/>
  <c r="T3188" i="22"/>
  <c r="S3189" i="22"/>
  <c r="T3178" i="22"/>
  <c r="T3189" i="22"/>
  <c r="S3190" i="22"/>
  <c r="T3190" i="22"/>
  <c r="S3191" i="22"/>
  <c r="T3191" i="22"/>
  <c r="T3192" i="22"/>
  <c r="S3193" i="22"/>
  <c r="T3193" i="22"/>
  <c r="S3194" i="22"/>
  <c r="T3194" i="22"/>
  <c r="S3195" i="22"/>
  <c r="T3195" i="22"/>
  <c r="S3196" i="22"/>
  <c r="T3196" i="22"/>
  <c r="S3197" i="22"/>
  <c r="T3197" i="22"/>
  <c r="S3175" i="22"/>
  <c r="S3198" i="22"/>
  <c r="T3198" i="22"/>
  <c r="S3199" i="22"/>
  <c r="T3199" i="22"/>
  <c r="S3200" i="22"/>
  <c r="T3200" i="22"/>
  <c r="S3201" i="22"/>
  <c r="T3201" i="22"/>
  <c r="S3202" i="22"/>
  <c r="T3202" i="22"/>
  <c r="S3203" i="22"/>
  <c r="T3203" i="22"/>
  <c r="S3172" i="22"/>
  <c r="T3172" i="22"/>
  <c r="S3173" i="22"/>
  <c r="T3173" i="22"/>
  <c r="S3174" i="22"/>
  <c r="T3174" i="22"/>
  <c r="T3175" i="22"/>
  <c r="S3176" i="22"/>
  <c r="T3176" i="22"/>
  <c r="S3177" i="22"/>
  <c r="T3177" i="22"/>
  <c r="S3178" i="22"/>
  <c r="S3171" i="22"/>
  <c r="T3170" i="22"/>
  <c r="S3170" i="22"/>
  <c r="T3169" i="22"/>
  <c r="S3169" i="22"/>
  <c r="T3168" i="22"/>
  <c r="S3168" i="22"/>
  <c r="T3171" i="22"/>
  <c r="T3167" i="22"/>
  <c r="S3167" i="22"/>
  <c r="T3166" i="22"/>
  <c r="S3166" i="22"/>
  <c r="T3165" i="22"/>
  <c r="S3165" i="22"/>
  <c r="T3164" i="22"/>
  <c r="S3164" i="22"/>
  <c r="T3163" i="22"/>
  <c r="S3163" i="22"/>
  <c r="T3162" i="22"/>
  <c r="S3162"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G3103" i="22"/>
  <c r="C3103" i="22"/>
  <c r="E3103" i="22"/>
  <c r="F3103" i="22"/>
  <c r="T3146" i="22"/>
  <c r="T3113" i="22"/>
  <c r="S3147" i="22"/>
  <c r="T3147" i="22"/>
  <c r="S3148" i="22"/>
  <c r="T3148" i="22"/>
  <c r="S3149" i="22"/>
  <c r="T3149" i="22"/>
  <c r="S3150" i="22"/>
  <c r="T3150" i="22"/>
  <c r="S3103" i="22"/>
  <c r="T3103" i="22"/>
  <c r="S3104" i="22"/>
  <c r="T3104" i="22"/>
  <c r="S3105" i="22"/>
  <c r="T3105" i="22"/>
  <c r="S3106" i="22"/>
  <c r="T3106" i="22"/>
  <c r="S3107" i="22"/>
  <c r="T3107" i="22"/>
  <c r="S3108" i="22"/>
  <c r="T3108" i="22"/>
  <c r="S3109" i="22"/>
  <c r="T3109" i="22"/>
  <c r="S3110" i="22"/>
  <c r="T3110" i="22"/>
  <c r="S3111" i="22"/>
  <c r="T3111" i="22"/>
  <c r="S3112" i="22"/>
  <c r="T3112" i="22"/>
  <c r="S3113" i="22"/>
  <c r="S3114" i="22"/>
  <c r="T3114" i="22"/>
  <c r="S3115" i="22"/>
  <c r="T3115" i="22"/>
  <c r="S3116" i="22"/>
  <c r="T3116" i="22"/>
  <c r="S3117" i="22"/>
  <c r="T3117" i="22"/>
  <c r="S3118" i="22"/>
  <c r="T3118" i="22"/>
  <c r="S3119" i="22"/>
  <c r="T3119" i="22"/>
  <c r="S3120" i="22"/>
  <c r="T3120" i="22"/>
  <c r="S3121" i="22"/>
  <c r="T3121" i="22"/>
  <c r="S3122" i="22"/>
  <c r="T3122" i="22"/>
  <c r="S3123" i="22"/>
  <c r="T3123" i="22"/>
  <c r="S3124" i="22"/>
  <c r="T3124" i="22"/>
  <c r="S3125" i="22"/>
  <c r="T3125" i="22"/>
  <c r="S3126" i="22"/>
  <c r="T3126" i="22"/>
  <c r="S3127" i="22"/>
  <c r="T3127" i="22"/>
  <c r="S3128" i="22"/>
  <c r="T3128" i="22"/>
  <c r="S3129" i="22"/>
  <c r="T3129" i="22"/>
  <c r="S3130" i="22"/>
  <c r="T3130" i="22"/>
  <c r="S3131" i="22"/>
  <c r="T3131" i="22"/>
  <c r="S3132" i="22"/>
  <c r="T3132" i="22"/>
  <c r="S3133" i="22"/>
  <c r="T3133" i="22"/>
  <c r="S3134" i="22"/>
  <c r="T3134" i="22"/>
  <c r="S3135" i="22"/>
  <c r="T3135" i="22"/>
  <c r="S3136" i="22"/>
  <c r="T3136" i="22"/>
  <c r="S3137" i="22"/>
  <c r="T3137" i="22"/>
  <c r="S3138" i="22"/>
  <c r="T3138" i="22"/>
  <c r="S3139" i="22"/>
  <c r="T3139" i="22"/>
  <c r="S3140" i="22"/>
  <c r="T3140" i="22"/>
  <c r="S3141" i="22"/>
  <c r="T3141" i="22"/>
  <c r="S3142" i="22"/>
  <c r="T3142" i="22"/>
  <c r="S3143" i="22"/>
  <c r="T3143" i="22"/>
  <c r="S3144" i="22"/>
  <c r="T3144" i="22"/>
  <c r="S3145" i="22"/>
  <c r="T3145" i="22"/>
  <c r="S3146" i="22"/>
  <c r="B3101" i="22"/>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B3050" i="22"/>
  <c r="C3049" i="22"/>
  <c r="E3049" i="22"/>
  <c r="F3049" i="22"/>
  <c r="G3049" i="22"/>
  <c r="CI59" i="22"/>
  <c r="T3054" i="22"/>
  <c r="S3055" i="22"/>
  <c r="T3074" i="22"/>
  <c r="T3055" i="22"/>
  <c r="T3096" i="22"/>
  <c r="S3096" i="22"/>
  <c r="T3095" i="22"/>
  <c r="S3095" i="22"/>
  <c r="T3094" i="22"/>
  <c r="S3094" i="22"/>
  <c r="T3093" i="22"/>
  <c r="S3093" i="22"/>
  <c r="T3092" i="22"/>
  <c r="S3092" i="22"/>
  <c r="AL59" i="22"/>
  <c r="AK59"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S3069" i="22"/>
  <c r="T3076" i="22"/>
  <c r="S3076" i="22"/>
  <c r="T3075" i="22"/>
  <c r="S3075" i="22"/>
  <c r="S3074" i="22"/>
  <c r="T3073" i="22"/>
  <c r="S3073" i="22"/>
  <c r="T3072" i="22"/>
  <c r="S3072" i="22"/>
  <c r="T3071" i="22"/>
  <c r="S3071" i="22"/>
  <c r="T3070" i="22"/>
  <c r="S3070" i="22"/>
  <c r="T3069" i="22"/>
  <c r="T3068" i="22"/>
  <c r="S3068" i="22"/>
  <c r="T3067" i="22"/>
  <c r="S3067" i="22"/>
  <c r="T3066" i="22"/>
  <c r="S3066" i="22"/>
  <c r="T3065" i="22"/>
  <c r="S3065" i="22"/>
  <c r="T3064" i="22"/>
  <c r="S3064" i="22"/>
  <c r="T3063" i="22"/>
  <c r="S3063" i="22"/>
  <c r="T3062" i="22"/>
  <c r="S3062" i="22"/>
  <c r="T3061" i="22"/>
  <c r="S3061" i="22"/>
  <c r="T3060" i="22"/>
  <c r="S3060" i="22"/>
  <c r="T3059" i="22"/>
  <c r="S3059" i="22"/>
  <c r="T3058" i="22"/>
  <c r="S3058" i="22"/>
  <c r="T3057" i="22"/>
  <c r="S3057" i="22"/>
  <c r="T3056" i="22"/>
  <c r="S3056" i="22"/>
  <c r="S3049" i="22"/>
  <c r="T3049" i="22"/>
  <c r="S3050" i="22"/>
  <c r="T3050" i="22"/>
  <c r="S3051" i="22"/>
  <c r="T3051" i="22"/>
  <c r="S3052" i="22"/>
  <c r="T3052" i="22"/>
  <c r="S3053" i="22"/>
  <c r="T3053" i="22"/>
  <c r="S3054" i="22"/>
  <c r="A3047" i="22"/>
  <c r="B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C2995" i="22"/>
  <c r="E2995" i="22"/>
  <c r="F2995" i="22"/>
  <c r="G2995" i="22"/>
  <c r="I2995" i="22"/>
  <c r="B2996" i="22"/>
  <c r="CI58" i="22"/>
  <c r="S3011" i="22"/>
  <c r="T3011" i="22"/>
  <c r="S3012" i="22"/>
  <c r="AL58" i="22"/>
  <c r="AK58" i="22"/>
  <c r="T3012" i="22"/>
  <c r="S3013" i="22"/>
  <c r="T3013" i="22"/>
  <c r="S3014" i="22"/>
  <c r="T3014" i="22"/>
  <c r="S3015" i="22"/>
  <c r="T3015" i="22"/>
  <c r="T3016" i="22"/>
  <c r="S3017" i="22"/>
  <c r="T3017" i="22"/>
  <c r="S3018" i="22"/>
  <c r="T3018" i="22"/>
  <c r="S3019" i="22"/>
  <c r="T3019" i="22"/>
  <c r="T3020" i="22"/>
  <c r="S3021" i="22"/>
  <c r="T3021" i="22"/>
  <c r="S3022" i="22"/>
  <c r="T3022" i="22"/>
  <c r="S3023" i="22"/>
  <c r="T3023" i="22"/>
  <c r="S3024" i="22"/>
  <c r="T3024" i="22"/>
  <c r="S3025" i="22"/>
  <c r="T3025" i="22"/>
  <c r="S3026" i="22"/>
  <c r="T3026" i="22"/>
  <c r="S3027" i="22"/>
  <c r="T3027" i="22"/>
  <c r="S3028" i="22"/>
  <c r="T3028" i="22"/>
  <c r="S3029" i="22"/>
  <c r="T3029" i="22"/>
  <c r="S3030" i="22"/>
  <c r="T3030" i="22"/>
  <c r="S3031" i="22"/>
  <c r="T3031" i="22"/>
  <c r="S3032" i="22"/>
  <c r="T3032" i="22"/>
  <c r="S3033" i="22"/>
  <c r="T3033" i="22"/>
  <c r="S3034" i="22"/>
  <c r="T3034" i="22"/>
  <c r="S3035" i="22"/>
  <c r="T3035" i="22"/>
  <c r="S3036" i="22"/>
  <c r="T3036" i="22"/>
  <c r="S3037" i="22"/>
  <c r="T3037" i="22"/>
  <c r="S3038" i="22"/>
  <c r="T3038" i="22"/>
  <c r="S3039" i="22"/>
  <c r="T3039" i="22"/>
  <c r="S3040" i="22"/>
  <c r="T3040" i="22"/>
  <c r="S3041" i="22"/>
  <c r="T3041" i="22"/>
  <c r="S3042" i="22"/>
  <c r="T3042" i="22"/>
  <c r="S3005" i="22"/>
  <c r="S3006" i="22"/>
  <c r="T3006" i="22"/>
  <c r="S3007" i="22"/>
  <c r="T3007" i="22"/>
  <c r="S3008" i="22"/>
  <c r="S3020" i="22"/>
  <c r="T2997" i="22"/>
  <c r="S3016" i="22"/>
  <c r="T3008" i="22"/>
  <c r="T2998" i="22"/>
  <c r="T3005" i="22"/>
  <c r="S2999" i="22"/>
  <c r="T2999" i="22"/>
  <c r="S3009" i="22"/>
  <c r="T3009" i="22"/>
  <c r="S3000" i="22"/>
  <c r="T3000" i="22"/>
  <c r="S3001" i="22"/>
  <c r="T3001" i="22"/>
  <c r="S3010" i="22"/>
  <c r="S2995" i="22"/>
  <c r="S3002" i="22"/>
  <c r="T3002" i="22"/>
  <c r="T2995" i="22"/>
  <c r="S3003" i="22"/>
  <c r="T3003" i="22"/>
  <c r="T3010" i="22"/>
  <c r="S3004" i="22"/>
  <c r="T3004" i="22"/>
  <c r="S2996" i="22"/>
  <c r="T2996" i="22"/>
  <c r="S2997" i="22"/>
  <c r="S2998"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35" i="22"/>
  <c r="H3036" i="22"/>
  <c r="H3037" i="22"/>
  <c r="H3038" i="22"/>
  <c r="H3039" i="22"/>
  <c r="H3040" i="22"/>
  <c r="H3041" i="22"/>
  <c r="H3042" i="22"/>
  <c r="A58" i="22"/>
  <c r="K2995" i="22"/>
  <c r="L2995" i="22"/>
  <c r="L2996" i="22"/>
  <c r="B3043" i="22"/>
  <c r="C58" i="22" s="1"/>
  <c r="G2941" i="22"/>
  <c r="E2941" i="22"/>
  <c r="B2942" i="22"/>
  <c r="I2941" i="22"/>
  <c r="C2941" i="22"/>
  <c r="F2941" i="22" s="1"/>
  <c r="CI57" i="22"/>
  <c r="S2979" i="22"/>
  <c r="S2985" i="22"/>
  <c r="T2985" i="22"/>
  <c r="T2978" i="22"/>
  <c r="S2978" i="22"/>
  <c r="S2986" i="22"/>
  <c r="T2986" i="22"/>
  <c r="T2952" i="22"/>
  <c r="S2987" i="22"/>
  <c r="T2987" i="22"/>
  <c r="S2988" i="22"/>
  <c r="T2988" i="22"/>
  <c r="T2977" i="22"/>
  <c r="S2974" i="22"/>
  <c r="S2977" i="22"/>
  <c r="T2973" i="22"/>
  <c r="S2973" i="22"/>
  <c r="T2972" i="22"/>
  <c r="S2972" i="22"/>
  <c r="AK57" i="22"/>
  <c r="AL57" i="22"/>
  <c r="T2971" i="22"/>
  <c r="S2971" i="22"/>
  <c r="T2970" i="22"/>
  <c r="S2970" i="22"/>
  <c r="T2976" i="22"/>
  <c r="T2969" i="22"/>
  <c r="S2969" i="22"/>
  <c r="S2976" i="22"/>
  <c r="T2968" i="22"/>
  <c r="S2968" i="22"/>
  <c r="T2975" i="22"/>
  <c r="S2975" i="22"/>
  <c r="T2967" i="22"/>
  <c r="S2967" i="22"/>
  <c r="T2984" i="22"/>
  <c r="T2966" i="22"/>
  <c r="S2966" i="22"/>
  <c r="S2983" i="22"/>
  <c r="T2983" i="22"/>
  <c r="T2965" i="22"/>
  <c r="S2965" i="22"/>
  <c r="S2984" i="22"/>
  <c r="T2964" i="22"/>
  <c r="S2964" i="22"/>
  <c r="T2963" i="22"/>
  <c r="S2963" i="22"/>
  <c r="T2962" i="22"/>
  <c r="S2962" i="22"/>
  <c r="S2941" i="22"/>
  <c r="T2961" i="22"/>
  <c r="S2961" i="22"/>
  <c r="T2941" i="22"/>
  <c r="T2960" i="22"/>
  <c r="S2960" i="22"/>
  <c r="S2942" i="22"/>
  <c r="T2959" i="22"/>
  <c r="S2959" i="22"/>
  <c r="T2942" i="22"/>
  <c r="T2958" i="22"/>
  <c r="S2958" i="22"/>
  <c r="S2943" i="22"/>
  <c r="T2943" i="22"/>
  <c r="T2957" i="22"/>
  <c r="S2957" i="22"/>
  <c r="S2944" i="22"/>
  <c r="T2956" i="22"/>
  <c r="S2956" i="22"/>
  <c r="T2944" i="22"/>
  <c r="T2955" i="22"/>
  <c r="S2955" i="22"/>
  <c r="S2945" i="22"/>
  <c r="T2945" i="22"/>
  <c r="T2954" i="22"/>
  <c r="S2954" i="22"/>
  <c r="S2946" i="22"/>
  <c r="T2946" i="22"/>
  <c r="T2953" i="22"/>
  <c r="S2953" i="22"/>
  <c r="T2974" i="22"/>
  <c r="S2952" i="22"/>
  <c r="S2947" i="22"/>
  <c r="T2947" i="22"/>
  <c r="T2951" i="22"/>
  <c r="S2951" i="22"/>
  <c r="S2948" i="22"/>
  <c r="T2950" i="22"/>
  <c r="S2950" i="22"/>
  <c r="T2948" i="22"/>
  <c r="T2949" i="22"/>
  <c r="S2949" i="22"/>
  <c r="T2979" i="22"/>
  <c r="S2980" i="22"/>
  <c r="T2980" i="22"/>
  <c r="S2981" i="22"/>
  <c r="T2981" i="22"/>
  <c r="S2982" i="22"/>
  <c r="T2982" i="22"/>
  <c r="A2939" i="22"/>
  <c r="B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B2989" i="22"/>
  <c r="C57" i="22" s="1"/>
  <c r="L2942" i="22"/>
  <c r="L2941" i="22"/>
  <c r="K2941" i="22"/>
  <c r="A57" i="22"/>
  <c r="B2888" i="22"/>
  <c r="G2887" i="22"/>
  <c r="E2887" i="22"/>
  <c r="C2887" i="22"/>
  <c r="F2887" i="22" s="1"/>
  <c r="T2893" i="22"/>
  <c r="S2893" i="22"/>
  <c r="T2892" i="22"/>
  <c r="S2892" i="22"/>
  <c r="T2891" i="22"/>
  <c r="S2891" i="22"/>
  <c r="T2890" i="22"/>
  <c r="T2889" i="22"/>
  <c r="S2889" i="22"/>
  <c r="T2888" i="22"/>
  <c r="S2888" i="22"/>
  <c r="T2895" i="22"/>
  <c r="S2895" i="22"/>
  <c r="T2894" i="22"/>
  <c r="S2894" i="22"/>
  <c r="T2887" i="22"/>
  <c r="S2887" i="22"/>
  <c r="S2890" i="22"/>
  <c r="B2885" i="22"/>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G2833" i="22"/>
  <c r="E2833" i="22"/>
  <c r="C2833" i="22"/>
  <c r="F2833" i="22" s="1"/>
  <c r="B2834" i="22"/>
  <c r="CI55" i="22"/>
  <c r="S2859" i="22"/>
  <c r="T2875" i="22"/>
  <c r="AK55" i="22"/>
  <c r="AL55" i="22"/>
  <c r="S2876" i="22"/>
  <c r="T2876" i="22"/>
  <c r="S2877" i="22"/>
  <c r="T2877" i="22"/>
  <c r="S2878" i="22"/>
  <c r="T2878" i="22"/>
  <c r="S2879" i="22"/>
  <c r="T2879" i="22"/>
  <c r="S2880" i="22"/>
  <c r="T2880" i="22"/>
  <c r="T2856" i="22"/>
  <c r="S2856" i="22"/>
  <c r="T2855" i="22"/>
  <c r="S2855" i="22"/>
  <c r="T2854" i="22"/>
  <c r="T2857" i="22"/>
  <c r="S2854" i="22"/>
  <c r="T2853" i="22"/>
  <c r="S2858" i="22"/>
  <c r="S2853" i="22"/>
  <c r="T2852" i="22"/>
  <c r="T2858" i="22"/>
  <c r="S2852" i="22"/>
  <c r="T2851" i="22"/>
  <c r="S2843" i="22"/>
  <c r="T2859" i="22"/>
  <c r="S2851" i="22"/>
  <c r="T2850" i="22"/>
  <c r="S2860" i="22"/>
  <c r="S2850" i="22"/>
  <c r="T2849" i="22"/>
  <c r="T2860" i="22"/>
  <c r="S2849" i="22"/>
  <c r="T2848" i="22"/>
  <c r="S2861" i="22"/>
  <c r="T2861" i="22"/>
  <c r="S2848" i="22"/>
  <c r="T2847" i="22"/>
  <c r="T2862" i="22"/>
  <c r="S2847" i="22"/>
  <c r="T2846" i="22"/>
  <c r="S2863" i="22"/>
  <c r="S2846" i="22"/>
  <c r="T2845" i="22"/>
  <c r="T2863" i="22"/>
  <c r="S2845" i="22"/>
  <c r="T2844" i="22"/>
  <c r="S2864" i="22"/>
  <c r="T2864" i="22"/>
  <c r="S2844" i="22"/>
  <c r="T2843" i="22"/>
  <c r="S2865" i="22"/>
  <c r="T2842" i="22"/>
  <c r="T2865" i="22"/>
  <c r="S2842" i="22"/>
  <c r="T2841" i="22"/>
  <c r="S2866" i="22"/>
  <c r="T2866" i="22"/>
  <c r="S2841" i="22"/>
  <c r="T2840" i="22"/>
  <c r="S2857" i="22"/>
  <c r="S2840" i="22"/>
  <c r="T2839" i="22"/>
  <c r="S2867" i="22"/>
  <c r="T2867" i="22"/>
  <c r="S2839" i="22"/>
  <c r="T2838" i="22"/>
  <c r="S2868" i="22"/>
  <c r="S2838" i="22"/>
  <c r="T2837" i="22"/>
  <c r="T2868" i="22"/>
  <c r="S2837" i="22"/>
  <c r="T2836" i="22"/>
  <c r="S2869" i="22"/>
  <c r="T2869" i="22"/>
  <c r="S2836" i="22"/>
  <c r="T2835" i="22"/>
  <c r="S2870" i="22"/>
  <c r="S2835" i="22"/>
  <c r="T2834" i="22"/>
  <c r="T2870" i="22"/>
  <c r="S2834" i="22"/>
  <c r="S2871" i="22"/>
  <c r="T2871" i="22"/>
  <c r="T2833" i="22"/>
  <c r="S2833" i="22"/>
  <c r="S2872" i="22"/>
  <c r="T2872" i="22"/>
  <c r="S2862" i="22"/>
  <c r="S2873" i="22"/>
  <c r="T2873" i="22"/>
  <c r="S2874" i="22"/>
  <c r="T2874" i="22"/>
  <c r="S2875"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B2780" i="22"/>
  <c r="I2779" i="22"/>
  <c r="G2779" i="22"/>
  <c r="E2779" i="22"/>
  <c r="C2779" i="22"/>
  <c r="F2779" i="22" s="1"/>
  <c r="CI54" i="22"/>
  <c r="AL54" i="22"/>
  <c r="AK54" i="22"/>
  <c r="L54" i="22"/>
  <c r="AI54" i="22" s="1"/>
  <c r="K54" i="22"/>
  <c r="AD54" i="22" s="1"/>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A54" i="22"/>
  <c r="B2827" i="22"/>
  <c r="C54" i="22" s="1"/>
  <c r="L2780" i="22"/>
  <c r="L2779" i="22"/>
  <c r="K2779" i="22"/>
  <c r="I2725" i="22"/>
  <c r="G2725" i="22"/>
  <c r="B2726" i="22"/>
  <c r="L2726" i="22" s="1"/>
  <c r="C2725" i="22"/>
  <c r="K2725" i="22" s="1"/>
  <c r="F2725" i="22"/>
  <c r="E2725" i="22"/>
  <c r="CI53" i="22"/>
  <c r="S2727" i="22"/>
  <c r="T2727" i="22"/>
  <c r="S2761" i="22"/>
  <c r="S2728" i="22"/>
  <c r="T2728" i="22"/>
  <c r="T2761" i="22"/>
  <c r="S2729" i="22"/>
  <c r="T2729" i="22"/>
  <c r="S2762" i="22"/>
  <c r="T2762" i="22"/>
  <c r="S2763" i="22"/>
  <c r="T2763" i="22"/>
  <c r="S2730" i="22"/>
  <c r="T2730" i="22"/>
  <c r="S2764" i="22"/>
  <c r="T2764" i="22"/>
  <c r="S2731" i="22"/>
  <c r="T2731" i="22"/>
  <c r="S2765" i="22"/>
  <c r="S2732" i="22"/>
  <c r="T2732" i="22"/>
  <c r="T2765" i="22"/>
  <c r="S2733" i="22"/>
  <c r="T2733" i="22"/>
  <c r="T2766" i="22"/>
  <c r="S2734" i="22"/>
  <c r="T2734" i="22"/>
  <c r="S2767" i="22"/>
  <c r="T2767" i="22"/>
  <c r="S2735" i="22"/>
  <c r="T2735" i="22"/>
  <c r="S2768" i="22"/>
  <c r="S2736" i="22"/>
  <c r="T2736" i="22"/>
  <c r="T2768" i="22"/>
  <c r="S2737" i="22"/>
  <c r="T2737" i="22"/>
  <c r="S2769" i="22"/>
  <c r="T2769" i="22"/>
  <c r="S2738" i="22"/>
  <c r="T2738" i="22"/>
  <c r="S2770" i="22"/>
  <c r="S2739" i="22"/>
  <c r="T2739" i="22"/>
  <c r="T2770" i="22"/>
  <c r="S2740" i="22"/>
  <c r="T2740" i="22"/>
  <c r="S2771" i="22"/>
  <c r="T2771" i="22"/>
  <c r="S2741" i="22"/>
  <c r="T2741" i="22"/>
  <c r="S2772" i="22"/>
  <c r="S2742" i="22"/>
  <c r="T2742" i="22"/>
  <c r="T2772" i="22"/>
  <c r="S2743" i="22"/>
  <c r="T2743" i="22"/>
  <c r="S2766" i="22"/>
  <c r="T2748" i="22"/>
  <c r="S2744" i="22"/>
  <c r="T2744" i="22"/>
  <c r="AL53" i="22"/>
  <c r="AK53" i="22"/>
  <c r="S2745" i="22"/>
  <c r="T2745" i="22"/>
  <c r="S2725" i="22"/>
  <c r="S2746" i="22"/>
  <c r="T2746" i="22"/>
  <c r="T2753" i="22"/>
  <c r="T2725" i="22"/>
  <c r="S2747" i="22"/>
  <c r="T2747" i="22"/>
  <c r="S2726" i="22"/>
  <c r="T2726" i="22"/>
  <c r="S2748" i="22"/>
  <c r="S2749" i="22"/>
  <c r="T2749" i="22"/>
  <c r="S2750" i="22"/>
  <c r="T2750" i="22"/>
  <c r="S2751" i="22"/>
  <c r="T2751" i="22"/>
  <c r="S2752" i="22"/>
  <c r="T2752" i="22"/>
  <c r="S2753" i="22"/>
  <c r="S2754" i="22"/>
  <c r="T2754" i="22"/>
  <c r="S2755" i="22"/>
  <c r="T2755" i="22"/>
  <c r="S2756" i="22"/>
  <c r="T2756" i="22"/>
  <c r="S2757" i="22"/>
  <c r="T2757" i="22"/>
  <c r="S2758" i="22"/>
  <c r="T2758" i="22"/>
  <c r="S2759" i="22"/>
  <c r="T2759" i="22"/>
  <c r="S2760" i="22"/>
  <c r="T2760" i="22"/>
  <c r="A2723" i="22"/>
  <c r="B2723" i="22"/>
  <c r="E2722"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B2773" i="22"/>
  <c r="C53" i="22" s="1"/>
  <c r="A53" i="22"/>
  <c r="L2725" i="22"/>
  <c r="G2671" i="22"/>
  <c r="C2671" i="22"/>
  <c r="B2672" i="22"/>
  <c r="E2671" i="22"/>
  <c r="I2671" i="22"/>
  <c r="F2671" i="22"/>
  <c r="CI52" i="22"/>
  <c r="S2674" i="22"/>
  <c r="T2675" i="22"/>
  <c r="S2715" i="22"/>
  <c r="T2674" i="22"/>
  <c r="S2673" i="22"/>
  <c r="T2673" i="22"/>
  <c r="S2671" i="22"/>
  <c r="T2672" i="22"/>
  <c r="S2672" i="22"/>
  <c r="T2714" i="22"/>
  <c r="T2671" i="22"/>
  <c r="S2714" i="22"/>
  <c r="T2713" i="22"/>
  <c r="S2713" i="22"/>
  <c r="T2712" i="22"/>
  <c r="T2711" i="22"/>
  <c r="S2711" i="22"/>
  <c r="T2710" i="22"/>
  <c r="S2710" i="22"/>
  <c r="T2709" i="22"/>
  <c r="S2709" i="22"/>
  <c r="T2708" i="22"/>
  <c r="S2708" i="22"/>
  <c r="T2707" i="22"/>
  <c r="S2707" i="22"/>
  <c r="T2706" i="22"/>
  <c r="S2706" i="22"/>
  <c r="T2705" i="22"/>
  <c r="S2705" i="22"/>
  <c r="T2704" i="22"/>
  <c r="S2704" i="22"/>
  <c r="T2703" i="22"/>
  <c r="S2703" i="22"/>
  <c r="T2702" i="22"/>
  <c r="S2702" i="22"/>
  <c r="T2701" i="22"/>
  <c r="S2701" i="22"/>
  <c r="T2700" i="22"/>
  <c r="S2700" i="22"/>
  <c r="T2699" i="22"/>
  <c r="S2699" i="22"/>
  <c r="T2698" i="22"/>
  <c r="S2698" i="22"/>
  <c r="T2697" i="22"/>
  <c r="S2697" i="22"/>
  <c r="T2696" i="22"/>
  <c r="S2696" i="22"/>
  <c r="S2695" i="22"/>
  <c r="S2694" i="22"/>
  <c r="T2693" i="22"/>
  <c r="T2692" i="22"/>
  <c r="S2691" i="22"/>
  <c r="S2690" i="22"/>
  <c r="S2689" i="22"/>
  <c r="T2688" i="22"/>
  <c r="S2688" i="22"/>
  <c r="T2687" i="22"/>
  <c r="T2686" i="22"/>
  <c r="T2685" i="22"/>
  <c r="T2684" i="22"/>
  <c r="S2684" i="22"/>
  <c r="S2683" i="22"/>
  <c r="T2682" i="22"/>
  <c r="T2681" i="22"/>
  <c r="T2680" i="22"/>
  <c r="S2679" i="22"/>
  <c r="S2678" i="22"/>
  <c r="T2695" i="22"/>
  <c r="T2677" i="22"/>
  <c r="T2694" i="22"/>
  <c r="S2693" i="22"/>
  <c r="S2692" i="22"/>
  <c r="T2691" i="22"/>
  <c r="AK52" i="22"/>
  <c r="T2690" i="22"/>
  <c r="AL52" i="22"/>
  <c r="T2689" i="22"/>
  <c r="S2687" i="22"/>
  <c r="T2718" i="22"/>
  <c r="S2686" i="22"/>
  <c r="S2712" i="22"/>
  <c r="S2685" i="22"/>
  <c r="S2718" i="22"/>
  <c r="T2683" i="22"/>
  <c r="S2682" i="22"/>
  <c r="T2717" i="22"/>
  <c r="S2681" i="22"/>
  <c r="S2717" i="22"/>
  <c r="S2680" i="22"/>
  <c r="T2679" i="22"/>
  <c r="T2716" i="22"/>
  <c r="T2678" i="22"/>
  <c r="S2677" i="22"/>
  <c r="S2716" i="22"/>
  <c r="T2676" i="22"/>
  <c r="S2676" i="22"/>
  <c r="S2675" i="22"/>
  <c r="T2715" i="22"/>
  <c r="A2669" i="22"/>
  <c r="B2669" i="22"/>
  <c r="E2668" i="22"/>
  <c r="H2671" i="22" s="1"/>
  <c r="H2676" i="22"/>
  <c r="H2677" i="22"/>
  <c r="H2678" i="22"/>
  <c r="H2679" i="22"/>
  <c r="H2681" i="22"/>
  <c r="H2682" i="22"/>
  <c r="H2683" i="22"/>
  <c r="H2688" i="22"/>
  <c r="H2689" i="22"/>
  <c r="H2690" i="22"/>
  <c r="H2691" i="22"/>
  <c r="H2694" i="22"/>
  <c r="H2696" i="22"/>
  <c r="BX52" i="22" s="1"/>
  <c r="H2672" i="22"/>
  <c r="H2673" i="22"/>
  <c r="H2674" i="22"/>
  <c r="H2675" i="22"/>
  <c r="H2680" i="22"/>
  <c r="H2684" i="22"/>
  <c r="H2685" i="22"/>
  <c r="H2686" i="22"/>
  <c r="H2687" i="22"/>
  <c r="H2692" i="22"/>
  <c r="H2693" i="22"/>
  <c r="H2695" i="22"/>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L2672" i="22"/>
  <c r="K2671" i="22"/>
  <c r="L2671" i="22"/>
  <c r="A52" i="22"/>
  <c r="B2719" i="22"/>
  <c r="C52" i="22" s="1"/>
  <c r="I2617" i="22"/>
  <c r="E2617" i="22"/>
  <c r="C2617" i="22"/>
  <c r="B2618" i="22"/>
  <c r="G2617" i="22"/>
  <c r="P2617" i="22" s="1"/>
  <c r="F2617" i="22"/>
  <c r="CI51" i="22"/>
  <c r="AK51" i="22"/>
  <c r="T2632" i="22"/>
  <c r="S2632" i="22"/>
  <c r="S2630" i="22"/>
  <c r="T2629" i="22"/>
  <c r="T2664" i="22"/>
  <c r="S2664" i="22"/>
  <c r="T2662" i="22"/>
  <c r="T2660" i="22"/>
  <c r="AL51" i="22"/>
  <c r="T2659" i="22"/>
  <c r="S2658" i="22"/>
  <c r="T2657" i="22"/>
  <c r="S2657" i="22"/>
  <c r="T2656" i="22"/>
  <c r="S2656" i="22"/>
  <c r="T2655" i="22"/>
  <c r="T2653" i="22"/>
  <c r="S2653" i="22"/>
  <c r="T2652" i="22"/>
  <c r="S2652" i="22"/>
  <c r="T2651" i="22"/>
  <c r="T2663" i="22"/>
  <c r="S2663" i="22"/>
  <c r="S2649" i="22"/>
  <c r="S2662" i="22"/>
  <c r="T2648" i="22"/>
  <c r="S2648" i="22"/>
  <c r="T2647" i="22"/>
  <c r="S2647" i="22"/>
  <c r="S2622" i="22"/>
  <c r="S2646" i="22"/>
  <c r="T2621" i="22"/>
  <c r="S2645" i="22"/>
  <c r="S2621" i="22"/>
  <c r="T2644" i="22"/>
  <c r="S2644" i="22"/>
  <c r="T2661" i="22"/>
  <c r="T2643" i="22"/>
  <c r="S2643" i="22"/>
  <c r="S2661" i="22"/>
  <c r="S2660" i="22"/>
  <c r="S2641" i="22"/>
  <c r="S2659" i="22"/>
  <c r="T2640" i="22"/>
  <c r="S2640" i="22"/>
  <c r="T2658" i="22"/>
  <c r="S2639" i="22"/>
  <c r="S2655" i="22"/>
  <c r="T2637" i="22"/>
  <c r="S2637" i="22"/>
  <c r="T2654" i="22"/>
  <c r="S2636" i="22"/>
  <c r="S2654" i="22"/>
  <c r="T2620" i="22"/>
  <c r="T2619" i="22"/>
  <c r="S2651" i="22"/>
  <c r="S2619" i="22"/>
  <c r="T2618" i="22"/>
  <c r="S2618" i="22"/>
  <c r="T2650" i="22"/>
  <c r="S2650" i="22"/>
  <c r="T2649" i="22"/>
  <c r="T2617" i="22"/>
  <c r="T2646" i="22"/>
  <c r="S2617" i="22"/>
  <c r="T2645" i="22"/>
  <c r="T2642" i="22"/>
  <c r="S2642" i="22"/>
  <c r="T2641" i="22"/>
  <c r="T2639" i="22"/>
  <c r="T2638" i="22"/>
  <c r="S2627" i="22"/>
  <c r="S2638" i="22"/>
  <c r="S2624" i="22"/>
  <c r="T2623" i="22"/>
  <c r="T2622" i="22"/>
  <c r="T2636" i="22"/>
  <c r="S2628" i="22"/>
  <c r="S2620" i="22"/>
  <c r="S2633" i="22"/>
  <c r="S2623" i="22"/>
  <c r="T2624" i="22"/>
  <c r="S2625" i="22"/>
  <c r="T2625" i="22"/>
  <c r="S2626" i="22"/>
  <c r="T2626" i="22"/>
  <c r="T2627" i="22"/>
  <c r="T2628" i="22"/>
  <c r="S2629" i="22"/>
  <c r="T2630" i="22"/>
  <c r="S2631" i="22"/>
  <c r="T2631" i="22"/>
  <c r="T2633" i="22"/>
  <c r="S2634" i="22"/>
  <c r="T2634" i="22"/>
  <c r="S2635" i="22"/>
  <c r="T2635" i="22"/>
  <c r="B2615" i="22"/>
  <c r="A2615" i="22"/>
  <c r="E2614" i="22"/>
  <c r="H2621" i="22"/>
  <c r="H2625" i="22"/>
  <c r="H2626" i="22"/>
  <c r="H2629" i="22"/>
  <c r="H2640" i="22"/>
  <c r="H2643" i="22"/>
  <c r="H2656" i="22"/>
  <c r="H2659" i="22"/>
  <c r="H2663" i="22"/>
  <c r="H2617" i="22"/>
  <c r="H2618" i="22"/>
  <c r="H2619" i="22"/>
  <c r="H2620" i="22"/>
  <c r="H2622" i="22"/>
  <c r="H2623" i="22"/>
  <c r="H2624" i="22"/>
  <c r="H2627" i="22"/>
  <c r="H2628" i="22"/>
  <c r="H2630" i="22"/>
  <c r="H2631" i="22"/>
  <c r="H2632" i="22"/>
  <c r="H2633" i="22"/>
  <c r="H2634" i="22"/>
  <c r="H2635" i="22"/>
  <c r="H2636" i="22"/>
  <c r="H2637" i="22"/>
  <c r="H2638" i="22"/>
  <c r="H2639" i="22"/>
  <c r="H2641" i="22"/>
  <c r="H2642" i="22"/>
  <c r="H2644" i="22"/>
  <c r="H2645" i="22"/>
  <c r="H2646" i="22"/>
  <c r="H2647" i="22"/>
  <c r="H2648" i="22"/>
  <c r="H2649" i="22"/>
  <c r="H2650" i="22"/>
  <c r="H2651" i="22"/>
  <c r="H2652" i="22"/>
  <c r="H2653" i="22"/>
  <c r="H2654" i="22"/>
  <c r="H2655" i="22"/>
  <c r="H2657" i="22"/>
  <c r="H2658" i="22"/>
  <c r="H2660" i="22"/>
  <c r="H2661" i="22"/>
  <c r="H2662" i="22"/>
  <c r="H2664" i="22"/>
  <c r="A51" i="22"/>
  <c r="L2618" i="22"/>
  <c r="K2617" i="22"/>
  <c r="L2617" i="22"/>
  <c r="B2665" i="22"/>
  <c r="C51" i="22" s="1"/>
  <c r="G2563" i="22"/>
  <c r="B2564" i="22"/>
  <c r="C2563" i="22"/>
  <c r="F2563" i="22" s="1"/>
  <c r="E2563" i="22"/>
  <c r="S2583" i="22"/>
  <c r="S2575" i="22"/>
  <c r="T2575" i="22"/>
  <c r="T2577" i="22"/>
  <c r="T2583" i="22"/>
  <c r="S2576" i="22"/>
  <c r="T2571" i="22"/>
  <c r="S2567" i="22"/>
  <c r="AL50" i="22"/>
  <c r="AK50" i="22"/>
  <c r="S2563" i="22"/>
  <c r="T2563" i="22"/>
  <c r="S2564" i="22"/>
  <c r="T2564" i="22"/>
  <c r="S2565" i="22"/>
  <c r="T2565" i="22"/>
  <c r="S2566" i="22"/>
  <c r="T2566" i="22"/>
  <c r="S2577" i="22"/>
  <c r="T2567" i="22"/>
  <c r="T2576" i="22"/>
  <c r="S2568" i="22"/>
  <c r="T2568" i="22"/>
  <c r="S2569" i="22"/>
  <c r="T2569" i="22"/>
  <c r="S2570" i="22"/>
  <c r="T2570" i="22"/>
  <c r="S2571" i="22"/>
  <c r="S2572" i="22"/>
  <c r="T2572" i="22"/>
  <c r="S2573" i="22"/>
  <c r="T2573" i="22"/>
  <c r="S2574" i="22"/>
  <c r="T2574" i="22"/>
  <c r="S2578" i="22"/>
  <c r="T2578" i="22"/>
  <c r="S2579" i="22"/>
  <c r="T2579" i="22"/>
  <c r="S2580" i="22"/>
  <c r="T2580" i="22"/>
  <c r="S2581" i="22"/>
  <c r="T2581" i="22"/>
  <c r="S2582" i="22"/>
  <c r="T2582" i="22"/>
  <c r="A2561" i="22"/>
  <c r="B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99" i="22"/>
  <c r="H2600" i="22"/>
  <c r="H2601" i="22"/>
  <c r="H2602" i="22"/>
  <c r="H2605" i="22"/>
  <c r="H2607" i="22"/>
  <c r="H2588" i="22"/>
  <c r="H2589" i="22"/>
  <c r="H2590" i="22"/>
  <c r="H2591" i="22"/>
  <c r="H2592" i="22"/>
  <c r="H2593" i="22"/>
  <c r="H2594" i="22"/>
  <c r="H2595" i="22"/>
  <c r="H2596" i="22"/>
  <c r="H2597" i="22"/>
  <c r="H2598" i="22"/>
  <c r="H2603" i="22"/>
  <c r="H2604" i="22"/>
  <c r="H2606" i="22"/>
  <c r="H2608" i="22"/>
  <c r="H2609" i="22"/>
  <c r="H2610" i="22"/>
  <c r="H2585" i="22"/>
  <c r="H2586" i="22"/>
  <c r="H2587" i="22"/>
  <c r="E2509" i="22"/>
  <c r="C2509" i="22"/>
  <c r="G2509" i="22"/>
  <c r="B2510" i="22"/>
  <c r="F2509" i="22"/>
  <c r="I2509" i="22"/>
  <c r="CI49" i="22"/>
  <c r="S2551" i="22"/>
  <c r="T2551" i="22"/>
  <c r="T2543" i="22"/>
  <c r="S2552" i="22"/>
  <c r="T2552" i="22"/>
  <c r="S2540" i="22"/>
  <c r="T2540" i="22"/>
  <c r="S2553" i="22"/>
  <c r="T2553" i="22"/>
  <c r="S2544" i="22"/>
  <c r="T2544" i="22"/>
  <c r="S2554" i="22"/>
  <c r="T2554" i="22"/>
  <c r="S2555" i="22"/>
  <c r="T2555" i="22"/>
  <c r="T2538" i="22"/>
  <c r="S2545" i="22"/>
  <c r="S2556" i="22"/>
  <c r="T2556" i="22"/>
  <c r="T2545" i="22"/>
  <c r="S2532" i="22"/>
  <c r="T2518" i="22"/>
  <c r="AL49" i="22"/>
  <c r="AK49" i="22"/>
  <c r="S2537" i="22"/>
  <c r="S2539" i="22"/>
  <c r="S2541" i="22"/>
  <c r="S2546" i="22"/>
  <c r="T2546" i="22"/>
  <c r="T2541" i="22"/>
  <c r="S2547" i="22"/>
  <c r="T2547" i="22"/>
  <c r="T2539" i="22"/>
  <c r="S2548" i="22"/>
  <c r="T2548" i="22"/>
  <c r="T2510" i="22"/>
  <c r="S2510" i="22"/>
  <c r="T2532" i="22"/>
  <c r="T2522" i="22"/>
  <c r="S2522" i="22"/>
  <c r="T2509" i="22"/>
  <c r="S2533" i="22"/>
  <c r="S2523" i="22"/>
  <c r="T2533" i="22"/>
  <c r="T2516" i="22"/>
  <c r="S2509" i="22"/>
  <c r="T2523" i="22"/>
  <c r="S2516" i="22"/>
  <c r="S2542" i="22"/>
  <c r="T2542" i="22"/>
  <c r="S2524" i="22"/>
  <c r="S2517" i="22"/>
  <c r="T2536" i="22"/>
  <c r="S2536" i="22"/>
  <c r="T2535" i="22"/>
  <c r="S2535" i="22"/>
  <c r="S2549" i="22"/>
  <c r="S2518" i="22"/>
  <c r="T2549" i="22"/>
  <c r="S2534" i="22"/>
  <c r="T2534" i="22"/>
  <c r="T2524" i="22"/>
  <c r="T2531" i="22"/>
  <c r="T2521" i="22"/>
  <c r="T2537" i="22"/>
  <c r="S2550" i="22"/>
  <c r="S2530" i="22"/>
  <c r="T2530" i="22"/>
  <c r="S2525" i="22"/>
  <c r="T2515" i="22"/>
  <c r="T2525" i="22"/>
  <c r="S2526" i="22"/>
  <c r="S2515" i="22"/>
  <c r="T2526" i="22"/>
  <c r="S2521" i="22"/>
  <c r="S2527" i="22"/>
  <c r="T2527" i="22"/>
  <c r="T2514" i="22"/>
  <c r="S2514" i="22"/>
  <c r="S2528" i="22"/>
  <c r="T2528" i="22"/>
  <c r="T2520" i="22"/>
  <c r="S2531" i="22"/>
  <c r="S2520" i="22"/>
  <c r="S2529" i="22"/>
  <c r="T2529" i="22"/>
  <c r="T2513" i="22"/>
  <c r="S2513" i="22"/>
  <c r="T2519" i="22"/>
  <c r="T2512" i="22"/>
  <c r="S2512" i="22"/>
  <c r="S2519" i="22"/>
  <c r="T2511" i="22"/>
  <c r="S2511" i="22"/>
  <c r="T2517" i="22"/>
  <c r="T2550" i="22"/>
  <c r="S2538" i="22"/>
  <c r="S2543"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L2510" i="22"/>
  <c r="L2509" i="22"/>
  <c r="K2509" i="22"/>
  <c r="A49" i="22"/>
  <c r="B2557" i="22"/>
  <c r="C49" i="22" s="1"/>
  <c r="I2455" i="22"/>
  <c r="G2455" i="22"/>
  <c r="E2455" i="22"/>
  <c r="B2456" i="22"/>
  <c r="C2455" i="22"/>
  <c r="F2455" i="22" s="1"/>
  <c r="CI48" i="22"/>
  <c r="S2477" i="22"/>
  <c r="T2477" i="22"/>
  <c r="S2497" i="22"/>
  <c r="S2469" i="22"/>
  <c r="T2497" i="22"/>
  <c r="S2455" i="22"/>
  <c r="T2455" i="22"/>
  <c r="S2478" i="22"/>
  <c r="T2478" i="22"/>
  <c r="T2469" i="22"/>
  <c r="S2498" i="22"/>
  <c r="T2498" i="22"/>
  <c r="S2456" i="22"/>
  <c r="S2479" i="22"/>
  <c r="T2479" i="22"/>
  <c r="T2456" i="22"/>
  <c r="S2470" i="22"/>
  <c r="S2480" i="22"/>
  <c r="T2470" i="22"/>
  <c r="S2499" i="22"/>
  <c r="S2457" i="22"/>
  <c r="T2480" i="22"/>
  <c r="S2460" i="22"/>
  <c r="T2499" i="22"/>
  <c r="T2457" i="22"/>
  <c r="S2481" i="22"/>
  <c r="T2481" i="22"/>
  <c r="S2500" i="22"/>
  <c r="S2471" i="22"/>
  <c r="T2471" i="22"/>
  <c r="S2458" i="22"/>
  <c r="T2500" i="22"/>
  <c r="T2458" i="22"/>
  <c r="S2482" i="22"/>
  <c r="T2482" i="22"/>
  <c r="S2501" i="22"/>
  <c r="T2501" i="22"/>
  <c r="S2483" i="22"/>
  <c r="S2459" i="22"/>
  <c r="T2459" i="22"/>
  <c r="T2483" i="22"/>
  <c r="S2472" i="22"/>
  <c r="T2472" i="22"/>
  <c r="S2484" i="22"/>
  <c r="T2484" i="22"/>
  <c r="S2502" i="22"/>
  <c r="T2502" i="22"/>
  <c r="T2460" i="22"/>
  <c r="S2485" i="22"/>
  <c r="T2485" i="22"/>
  <c r="S2473" i="22"/>
  <c r="T2473" i="22"/>
  <c r="S2486" i="22"/>
  <c r="S2461" i="22"/>
  <c r="T2461" i="22"/>
  <c r="T2486" i="22"/>
  <c r="AK48" i="22"/>
  <c r="AL48" i="22"/>
  <c r="S2487" i="22"/>
  <c r="T2487" i="22"/>
  <c r="S2474" i="22"/>
  <c r="S2462" i="22"/>
  <c r="T2474" i="22"/>
  <c r="T2462" i="22"/>
  <c r="S2488" i="22"/>
  <c r="T2488" i="22"/>
  <c r="S2475" i="22"/>
  <c r="T2475" i="22"/>
  <c r="S2463" i="22"/>
  <c r="T2463" i="22"/>
  <c r="S2489" i="22"/>
  <c r="T2489" i="22"/>
  <c r="S2476" i="22"/>
  <c r="T2476" i="22"/>
  <c r="S2490" i="22"/>
  <c r="S2464" i="22"/>
  <c r="T2490" i="22"/>
  <c r="T2464" i="22"/>
  <c r="S2491" i="22"/>
  <c r="T2491" i="22"/>
  <c r="S2465" i="22"/>
  <c r="T2465" i="22"/>
  <c r="S2492" i="22"/>
  <c r="T2492" i="22"/>
  <c r="S2493" i="22"/>
  <c r="S2466" i="22"/>
  <c r="T2493" i="22"/>
  <c r="T2466" i="22"/>
  <c r="S2494" i="22"/>
  <c r="T2494" i="22"/>
  <c r="S2467" i="22"/>
  <c r="T2467" i="22"/>
  <c r="S2495" i="22"/>
  <c r="T2495" i="22"/>
  <c r="S2496" i="22"/>
  <c r="S2468" i="22"/>
  <c r="T2468" i="22"/>
  <c r="T2496" i="22"/>
  <c r="B2453" i="22"/>
  <c r="J2453" i="22" s="1"/>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L2456" i="22"/>
  <c r="B2503" i="22"/>
  <c r="C48" i="22" s="1"/>
  <c r="A48" i="22"/>
  <c r="K2455" i="22"/>
  <c r="L2455" i="22"/>
  <c r="B2402" i="22"/>
  <c r="L2402" i="22" s="1"/>
  <c r="E2401" i="22"/>
  <c r="C2401" i="22"/>
  <c r="I2401" i="22"/>
  <c r="G2401" i="22"/>
  <c r="CI47" i="22"/>
  <c r="S2443" i="22"/>
  <c r="T2442" i="22"/>
  <c r="S2442" i="22"/>
  <c r="T2441" i="22"/>
  <c r="S2441" i="22"/>
  <c r="T2440" i="22"/>
  <c r="S2440" i="22"/>
  <c r="T2439" i="22"/>
  <c r="S2439" i="22"/>
  <c r="T2438" i="22"/>
  <c r="S2438" i="22"/>
  <c r="T2437" i="22"/>
  <c r="S2437" i="22"/>
  <c r="T2436" i="22"/>
  <c r="S2436"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T2401" i="22"/>
  <c r="S2401" i="22"/>
  <c r="S2445" i="22"/>
  <c r="AL47" i="22"/>
  <c r="AK47" i="22"/>
  <c r="T2447" i="22"/>
  <c r="S2447" i="22"/>
  <c r="T2446" i="22"/>
  <c r="S2446" i="22"/>
  <c r="T2445" i="22"/>
  <c r="T2444" i="22"/>
  <c r="S2444" i="22"/>
  <c r="T2443" i="22"/>
  <c r="T2448" i="22"/>
  <c r="S2448" i="22"/>
  <c r="B2399" i="22"/>
  <c r="J2399" i="22" s="1"/>
  <c r="A2399" i="22"/>
  <c r="E2398" i="22"/>
  <c r="H2401" i="22"/>
  <c r="H2402" i="22"/>
  <c r="H2403" i="22"/>
  <c r="H2404" i="22"/>
  <c r="H2405" i="22"/>
  <c r="H2406" i="22"/>
  <c r="H2407" i="22"/>
  <c r="H2408" i="22"/>
  <c r="H2409" i="22"/>
  <c r="H2410" i="22"/>
  <c r="H2411" i="22"/>
  <c r="H2412" i="22"/>
  <c r="A47" i="22"/>
  <c r="B2449" i="22"/>
  <c r="C47" i="22" s="1"/>
  <c r="L2401" i="22"/>
  <c r="B2348" i="22"/>
  <c r="G2347" i="22"/>
  <c r="E2347" i="22"/>
  <c r="C2347" i="22"/>
  <c r="F2347" i="22" s="1"/>
  <c r="I2347" i="22"/>
  <c r="CI46" i="22"/>
  <c r="T2376" i="22"/>
  <c r="T2381" i="22"/>
  <c r="S2368" i="22"/>
  <c r="T2368" i="22"/>
  <c r="S2380" i="22"/>
  <c r="S2377" i="22"/>
  <c r="S2369" i="22"/>
  <c r="T2384" i="22"/>
  <c r="S2385" i="22"/>
  <c r="T2385" i="22"/>
  <c r="S2386" i="22"/>
  <c r="T2386" i="22"/>
  <c r="S2387" i="22"/>
  <c r="T2387" i="22"/>
  <c r="T2388" i="22"/>
  <c r="S2389" i="22"/>
  <c r="T2389" i="22"/>
  <c r="S2390" i="22"/>
  <c r="T2390" i="22"/>
  <c r="S2391" i="22"/>
  <c r="T2391" i="22"/>
  <c r="S2392" i="22"/>
  <c r="T2392" i="22"/>
  <c r="S2393" i="22"/>
  <c r="T2393" i="22"/>
  <c r="S2394" i="22"/>
  <c r="T2394" i="22"/>
  <c r="S2348" i="22"/>
  <c r="T2369" i="22"/>
  <c r="T2361" i="22"/>
  <c r="S2388" i="22"/>
  <c r="S2361" i="22"/>
  <c r="T2377" i="22"/>
  <c r="T2360" i="22"/>
  <c r="S2360" i="22"/>
  <c r="S2370" i="22"/>
  <c r="T2359" i="22"/>
  <c r="S2359" i="22"/>
  <c r="T2370" i="22"/>
  <c r="S2384" i="22"/>
  <c r="S2366" i="22"/>
  <c r="T2358" i="22"/>
  <c r="S2358" i="22"/>
  <c r="T2380" i="22"/>
  <c r="T2357" i="22"/>
  <c r="S2357" i="22"/>
  <c r="S2371" i="22"/>
  <c r="T2371" i="22"/>
  <c r="T2356" i="22"/>
  <c r="S2356" i="22"/>
  <c r="S2378" i="22"/>
  <c r="T2355" i="22"/>
  <c r="S2355" i="22"/>
  <c r="T2378" i="22"/>
  <c r="S2372" i="22"/>
  <c r="T2366" i="22"/>
  <c r="T2372" i="22"/>
  <c r="S2367" i="22"/>
  <c r="T2367" i="22"/>
  <c r="T2354" i="22"/>
  <c r="T2382" i="22"/>
  <c r="S2354" i="22"/>
  <c r="S2373" i="22"/>
  <c r="T2365" i="22"/>
  <c r="T2373" i="22"/>
  <c r="AL46" i="22"/>
  <c r="AK46" i="22"/>
  <c r="T2353" i="22"/>
  <c r="S2353" i="22"/>
  <c r="S2382" i="22"/>
  <c r="T2352" i="22"/>
  <c r="S2352" i="22"/>
  <c r="S2374" i="22"/>
  <c r="T2374" i="22"/>
  <c r="T2351" i="22"/>
  <c r="S2351" i="22"/>
  <c r="S2379" i="22"/>
  <c r="T2383" i="22"/>
  <c r="T2350" i="22"/>
  <c r="S2350" i="22"/>
  <c r="T2379" i="22"/>
  <c r="S2375" i="22"/>
  <c r="T2349" i="22"/>
  <c r="S2349" i="22"/>
  <c r="S2383" i="22"/>
  <c r="T2375" i="22"/>
  <c r="T2348" i="22"/>
  <c r="S2381" i="22"/>
  <c r="S2376" i="22"/>
  <c r="S2365" i="22"/>
  <c r="T2364" i="22"/>
  <c r="S2364" i="22"/>
  <c r="T2363" i="22"/>
  <c r="S2363" i="22"/>
  <c r="T2347" i="22"/>
  <c r="T2362" i="22"/>
  <c r="S2362" i="22"/>
  <c r="S2347" i="22"/>
  <c r="A2345" i="22"/>
  <c r="B2345" i="22"/>
  <c r="J2345" i="22" s="1"/>
  <c r="E2344" i="22"/>
  <c r="H2347" i="22" s="1"/>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A46" i="22"/>
  <c r="B2395" i="22"/>
  <c r="C46" i="22" s="1"/>
  <c r="L2348" i="22"/>
  <c r="L2347" i="22"/>
  <c r="K2347" i="22"/>
  <c r="I2293" i="22"/>
  <c r="B2294" i="22"/>
  <c r="C2293" i="22"/>
  <c r="G2293" i="22"/>
  <c r="E2293" i="22"/>
  <c r="CI45" i="22"/>
  <c r="S2313" i="22"/>
  <c r="S2297" i="22"/>
  <c r="T2313" i="22"/>
  <c r="T2337" i="22"/>
  <c r="S2337" i="22"/>
  <c r="T2317" i="22"/>
  <c r="T2298" i="22"/>
  <c r="S2317" i="22"/>
  <c r="S2311" i="22"/>
  <c r="T2336" i="22"/>
  <c r="T2296" i="22"/>
  <c r="T2302" i="22"/>
  <c r="S2336" i="22"/>
  <c r="S2308" i="22"/>
  <c r="T2300" i="22"/>
  <c r="S2298" i="22"/>
  <c r="T2297" i="22"/>
  <c r="S2295" i="22"/>
  <c r="T2308" i="22"/>
  <c r="T2322" i="22"/>
  <c r="S2314" i="22"/>
  <c r="T2312" i="22"/>
  <c r="S2310" i="22"/>
  <c r="T2305" i="22"/>
  <c r="T2335" i="22"/>
  <c r="S2304" i="22"/>
  <c r="S2305" i="22"/>
  <c r="S2307" i="22"/>
  <c r="S2335" i="22"/>
  <c r="S2322" i="22"/>
  <c r="S2309" i="22"/>
  <c r="T2306" i="22"/>
  <c r="T2334" i="22"/>
  <c r="S2334" i="22"/>
  <c r="S2303" i="22"/>
  <c r="S2293" i="22"/>
  <c r="T2295" i="22"/>
  <c r="S2312" i="22"/>
  <c r="S2299" i="22"/>
  <c r="T2333" i="22"/>
  <c r="S2302" i="22"/>
  <c r="S2333" i="22"/>
  <c r="T2321" i="22"/>
  <c r="T2314" i="22"/>
  <c r="T2309" i="22"/>
  <c r="S2321" i="22"/>
  <c r="T2332" i="22"/>
  <c r="AL45" i="22"/>
  <c r="AK45" i="22"/>
  <c r="S2294" i="22"/>
  <c r="S2332" i="22"/>
  <c r="T2316" i="22"/>
  <c r="T2301" i="22"/>
  <c r="T2331" i="22"/>
  <c r="S2331" i="22"/>
  <c r="T2320" i="22"/>
  <c r="T2330" i="22"/>
  <c r="S2330" i="22"/>
  <c r="S2320" i="22"/>
  <c r="S2316" i="22"/>
  <c r="T2329" i="22"/>
  <c r="S2329" i="22"/>
  <c r="S2296" i="22"/>
  <c r="S2300" i="22"/>
  <c r="T2328" i="22"/>
  <c r="S2328" i="22"/>
  <c r="T2319" i="22"/>
  <c r="S2319" i="22"/>
  <c r="T2327" i="22"/>
  <c r="S2327" i="22"/>
  <c r="T2315" i="22"/>
  <c r="T2326" i="22"/>
  <c r="S2326" i="22"/>
  <c r="T2310" i="22"/>
  <c r="T2318" i="22"/>
  <c r="T2325" i="22"/>
  <c r="S2325" i="22"/>
  <c r="T2303" i="22"/>
  <c r="S2318" i="22"/>
  <c r="T2299" i="22"/>
  <c r="S2315" i="22"/>
  <c r="T2324" i="22"/>
  <c r="S2306" i="22"/>
  <c r="T2340" i="22"/>
  <c r="S2340" i="22"/>
  <c r="S2324" i="22"/>
  <c r="T2311" i="22"/>
  <c r="T2339" i="22"/>
  <c r="S2339" i="22"/>
  <c r="T2293" i="22"/>
  <c r="T2294" i="22"/>
  <c r="S2301" i="22"/>
  <c r="T2338" i="22"/>
  <c r="S2338" i="22"/>
  <c r="T2304" i="22"/>
  <c r="T2323" i="22"/>
  <c r="T2307" i="22"/>
  <c r="S2323" i="22"/>
  <c r="A2291" i="22"/>
  <c r="B2291" i="22"/>
  <c r="J2291" i="22" s="1"/>
  <c r="E2290" i="22"/>
  <c r="H2313" i="22"/>
  <c r="H2295" i="22"/>
  <c r="H2304" i="22"/>
  <c r="B2341" i="22"/>
  <c r="C45" i="22" s="1"/>
  <c r="A45" i="22"/>
  <c r="L2293" i="22"/>
  <c r="G2239" i="22"/>
  <c r="E2239" i="22"/>
  <c r="C2239" i="22"/>
  <c r="F2239" i="22" s="1"/>
  <c r="B2240" i="22"/>
  <c r="S2256" i="22"/>
  <c r="T2255" i="22"/>
  <c r="S2255" i="22"/>
  <c r="T2254" i="22"/>
  <c r="S2254" i="22"/>
  <c r="S2260"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S2240" i="22"/>
  <c r="T2239" i="22"/>
  <c r="S2239" i="22"/>
  <c r="T2259" i="22"/>
  <c r="S2259" i="22"/>
  <c r="T2258" i="22"/>
  <c r="S2258" i="22"/>
  <c r="T2257" i="22"/>
  <c r="S2257" i="22"/>
  <c r="T2256"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B2237" i="22"/>
  <c r="J2237" i="22" s="1"/>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H2265" i="22"/>
  <c r="H2266" i="22"/>
  <c r="H2267" i="22"/>
  <c r="H2268" i="22"/>
  <c r="H2269" i="22"/>
  <c r="H2270" i="22"/>
  <c r="H2271" i="22"/>
  <c r="H2272" i="22"/>
  <c r="H2275" i="22"/>
  <c r="H2282" i="22"/>
  <c r="H2283" i="22"/>
  <c r="H2274" i="22"/>
  <c r="H2284" i="22"/>
  <c r="H2286" i="22"/>
  <c r="H2285" i="22"/>
  <c r="H2273" i="22"/>
  <c r="H2276" i="22"/>
  <c r="H2277" i="22"/>
  <c r="H2281" i="22"/>
  <c r="H2280" i="22"/>
  <c r="H2278" i="22"/>
  <c r="H2279" i="22"/>
  <c r="E2185" i="22"/>
  <c r="G2185" i="22"/>
  <c r="P2185" i="22" s="1"/>
  <c r="B2186" i="22"/>
  <c r="C2185" i="22"/>
  <c r="F2185" i="22" s="1"/>
  <c r="CI43" i="22"/>
  <c r="S2196" i="22"/>
  <c r="T2232" i="22"/>
  <c r="S2232" i="22"/>
  <c r="T2231" i="22"/>
  <c r="S2231" i="22"/>
  <c r="T2230" i="22"/>
  <c r="S2230" i="22"/>
  <c r="T2229" i="22"/>
  <c r="S2229" i="22"/>
  <c r="T2228" i="22"/>
  <c r="S2228" i="22"/>
  <c r="T2227" i="22"/>
  <c r="S2227" i="22"/>
  <c r="T2226" i="22"/>
  <c r="S2226" i="22"/>
  <c r="T2221" i="22"/>
  <c r="S2222" i="22"/>
  <c r="T2222" i="22"/>
  <c r="S2223" i="22"/>
  <c r="T2223" i="22"/>
  <c r="S2224" i="22"/>
  <c r="T2224" i="22"/>
  <c r="T2189" i="22"/>
  <c r="S2225" i="22"/>
  <c r="T2203" i="22"/>
  <c r="S2203" i="22"/>
  <c r="T2202" i="22"/>
  <c r="S2202" i="22"/>
  <c r="T2201" i="22"/>
  <c r="T2215" i="22"/>
  <c r="S2215" i="22"/>
  <c r="S2219" i="22"/>
  <c r="T2216" i="22"/>
  <c r="S2201" i="22"/>
  <c r="T2206" i="22"/>
  <c r="S2185" i="22"/>
  <c r="T2185" i="22"/>
  <c r="S2186" i="22"/>
  <c r="T2186" i="22"/>
  <c r="S2187" i="22"/>
  <c r="T2187" i="22"/>
  <c r="S2188" i="22"/>
  <c r="T2188" i="22"/>
  <c r="T2225" i="22"/>
  <c r="S2189" i="22"/>
  <c r="S2214" i="22"/>
  <c r="T2214" i="22"/>
  <c r="T2213" i="22"/>
  <c r="S2213" i="22"/>
  <c r="T2212" i="22"/>
  <c r="S2212" i="22"/>
  <c r="S2216" i="22"/>
  <c r="T2211" i="22"/>
  <c r="S2211" i="22"/>
  <c r="T2210" i="22"/>
  <c r="S2210" i="22"/>
  <c r="S2190" i="22"/>
  <c r="T2190" i="22"/>
  <c r="T2209" i="22"/>
  <c r="AK43" i="22"/>
  <c r="AL43" i="22"/>
  <c r="S2191" i="22"/>
  <c r="T2191" i="22"/>
  <c r="S2209" i="22"/>
  <c r="S2221" i="22"/>
  <c r="T2208" i="22"/>
  <c r="S2192" i="22"/>
  <c r="S2204" i="22"/>
  <c r="T2220" i="22"/>
  <c r="T2192" i="22"/>
  <c r="S2193" i="22"/>
  <c r="S2220" i="22"/>
  <c r="T2193" i="22"/>
  <c r="T2219" i="22"/>
  <c r="S2194" i="22"/>
  <c r="S2208" i="22"/>
  <c r="T2207" i="22"/>
  <c r="T2218" i="22"/>
  <c r="T2204" i="22"/>
  <c r="S2218" i="22"/>
  <c r="T2194" i="22"/>
  <c r="S2205" i="22"/>
  <c r="S2207" i="22"/>
  <c r="T2217" i="22"/>
  <c r="T2200" i="22"/>
  <c r="S2195" i="22"/>
  <c r="T2195" i="22"/>
  <c r="S2200" i="22"/>
  <c r="T2205" i="22"/>
  <c r="S2217" i="22"/>
  <c r="S2206" i="22"/>
  <c r="T2199" i="22"/>
  <c r="S2199" i="22"/>
  <c r="T2198" i="22"/>
  <c r="S2198" i="22"/>
  <c r="T2197" i="22"/>
  <c r="S2197" i="22"/>
  <c r="T2196"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C2131" i="22"/>
  <c r="E2131" i="22"/>
  <c r="F2131" i="22"/>
  <c r="G2131" i="22"/>
  <c r="I2131" i="22"/>
  <c r="B2132" i="22"/>
  <c r="CI42" i="22"/>
  <c r="S2177" i="22"/>
  <c r="T2139" i="22"/>
  <c r="T2138" i="22"/>
  <c r="S2138" i="22"/>
  <c r="T2137" i="22"/>
  <c r="S2137" i="22"/>
  <c r="T2136" i="22"/>
  <c r="S2136" i="22"/>
  <c r="S2170" i="22"/>
  <c r="T2169" i="22"/>
  <c r="S2169" i="22"/>
  <c r="T2168" i="22"/>
  <c r="AL42" i="22"/>
  <c r="S2168" i="22"/>
  <c r="T2143" i="22"/>
  <c r="T2167" i="22"/>
  <c r="S2167" i="22"/>
  <c r="AK42" i="22"/>
  <c r="T2166" i="22"/>
  <c r="S2166" i="22"/>
  <c r="S2139" i="22"/>
  <c r="T2165" i="22"/>
  <c r="S2165" i="22"/>
  <c r="T2164" i="22"/>
  <c r="S2164" i="22"/>
  <c r="T2163" i="22"/>
  <c r="S2163" i="22"/>
  <c r="T2162" i="22"/>
  <c r="S2162" i="22"/>
  <c r="T2178" i="22"/>
  <c r="T2161" i="22"/>
  <c r="S2161" i="22"/>
  <c r="T2160" i="22"/>
  <c r="S2160" i="22"/>
  <c r="T2159" i="22"/>
  <c r="S2159" i="22"/>
  <c r="T2158" i="22"/>
  <c r="S2158" i="22"/>
  <c r="T2157" i="22"/>
  <c r="S2157" i="22"/>
  <c r="T2156" i="22"/>
  <c r="S2156" i="22"/>
  <c r="T2155" i="22"/>
  <c r="S2155" i="22"/>
  <c r="T2154" i="22"/>
  <c r="S2154" i="22"/>
  <c r="T2142" i="22"/>
  <c r="T2153" i="22"/>
  <c r="S2153" i="22"/>
  <c r="S2144" i="22"/>
  <c r="S2178" i="22"/>
  <c r="T2177" i="22"/>
  <c r="T2176" i="22"/>
  <c r="T2152" i="22"/>
  <c r="S2176" i="22"/>
  <c r="T2175" i="22"/>
  <c r="S2152" i="22"/>
  <c r="S2175" i="22"/>
  <c r="T2174" i="22"/>
  <c r="S2174" i="22"/>
  <c r="T2173" i="22"/>
  <c r="S2173" i="22"/>
  <c r="T2172" i="22"/>
  <c r="S2172" i="22"/>
  <c r="T2171" i="22"/>
  <c r="S2171" i="22"/>
  <c r="T2170" i="22"/>
  <c r="S2143" i="22"/>
  <c r="T2151" i="22"/>
  <c r="S2151" i="22"/>
  <c r="T2150" i="22"/>
  <c r="S2150" i="22"/>
  <c r="T2149" i="22"/>
  <c r="S2149" i="22"/>
  <c r="S2142" i="22"/>
  <c r="T2141" i="22"/>
  <c r="S2141" i="22"/>
  <c r="T2140" i="22"/>
  <c r="T2148" i="22"/>
  <c r="S2148" i="22"/>
  <c r="S2131" i="22"/>
  <c r="T2131" i="22"/>
  <c r="S2140" i="22"/>
  <c r="T2147" i="22"/>
  <c r="S2147" i="22"/>
  <c r="S2132" i="22"/>
  <c r="T2132" i="22"/>
  <c r="T2146" i="22"/>
  <c r="S2133" i="22"/>
  <c r="T2133" i="22"/>
  <c r="S2146" i="22"/>
  <c r="S2134" i="22"/>
  <c r="T2134" i="22"/>
  <c r="T2145" i="22"/>
  <c r="S2145" i="22"/>
  <c r="S2135" i="22"/>
  <c r="T2135" i="22"/>
  <c r="T2144" i="22"/>
  <c r="A2129" i="22"/>
  <c r="B2129" i="22"/>
  <c r="J2129" i="22" s="1"/>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A42" i="22"/>
  <c r="B2179" i="22"/>
  <c r="C42" i="22" s="1"/>
  <c r="K2131" i="22"/>
  <c r="L2131" i="22"/>
  <c r="L2132" i="22"/>
  <c r="G2077" i="22"/>
  <c r="C2077" i="22"/>
  <c r="K2077" i="22" s="1"/>
  <c r="E2077" i="22"/>
  <c r="F2077" i="22"/>
  <c r="B2078" i="22"/>
  <c r="L2078" i="22" s="1"/>
  <c r="I2077" i="22"/>
  <c r="CI41" i="22"/>
  <c r="T2118" i="22"/>
  <c r="T2093" i="22"/>
  <c r="S2093" i="22"/>
  <c r="T2121" i="22"/>
  <c r="T2094" i="22"/>
  <c r="S2118" i="22"/>
  <c r="S2094" i="22"/>
  <c r="S2121" i="22"/>
  <c r="T2089" i="22"/>
  <c r="T2112" i="22"/>
  <c r="S2112" i="22"/>
  <c r="S2077" i="22"/>
  <c r="T2077" i="22"/>
  <c r="T2117" i="22"/>
  <c r="S2078" i="22"/>
  <c r="T2078" i="22"/>
  <c r="S2117" i="22"/>
  <c r="AK41" i="22"/>
  <c r="S2079" i="22"/>
  <c r="T2079" i="22"/>
  <c r="T2092" i="22"/>
  <c r="S2080" i="22"/>
  <c r="T2080" i="22"/>
  <c r="T2116" i="22"/>
  <c r="S2081" i="22"/>
  <c r="T2081" i="22"/>
  <c r="S2116" i="22"/>
  <c r="S2110" i="22"/>
  <c r="S2082" i="22"/>
  <c r="T2082" i="22"/>
  <c r="S2083" i="22"/>
  <c r="T2083" i="22"/>
  <c r="T2115" i="22"/>
  <c r="S2115" i="22"/>
  <c r="S2084" i="22"/>
  <c r="T2084" i="22"/>
  <c r="T2111" i="22"/>
  <c r="S2111" i="22"/>
  <c r="S2085" i="22"/>
  <c r="T2085" i="22"/>
  <c r="T2114" i="22"/>
  <c r="S2086" i="22"/>
  <c r="T2086" i="22"/>
  <c r="S2114" i="22"/>
  <c r="T2110" i="22"/>
  <c r="S2087" i="22"/>
  <c r="T2087" i="22"/>
  <c r="T2120" i="22"/>
  <c r="S2088" i="22"/>
  <c r="T2088" i="22"/>
  <c r="T2113" i="22"/>
  <c r="S2113" i="22"/>
  <c r="S2089" i="22"/>
  <c r="S2120" i="22"/>
  <c r="T2109" i="22"/>
  <c r="S2109" i="22"/>
  <c r="S2092" i="22"/>
  <c r="T2108" i="22"/>
  <c r="S2108" i="22"/>
  <c r="T2119" i="22"/>
  <c r="T2107" i="22"/>
  <c r="S2107" i="22"/>
  <c r="T2091" i="22"/>
  <c r="T2106" i="22"/>
  <c r="S2106" i="22"/>
  <c r="S2091" i="22"/>
  <c r="AL41" i="22"/>
  <c r="T2105" i="22"/>
  <c r="S2105" i="22"/>
  <c r="S2119" i="22"/>
  <c r="T2104" i="22"/>
  <c r="S2104" i="22"/>
  <c r="T2103" i="22"/>
  <c r="T2090" i="22"/>
  <c r="S2103" i="22"/>
  <c r="S2090" i="22"/>
  <c r="T2102" i="22"/>
  <c r="S2102" i="22"/>
  <c r="T2101" i="22"/>
  <c r="S2101" i="22"/>
  <c r="T2100" i="22"/>
  <c r="S2100" i="22"/>
  <c r="T2099" i="22"/>
  <c r="S2099" i="22"/>
  <c r="T2124" i="22"/>
  <c r="S2124" i="22"/>
  <c r="T2098" i="22"/>
  <c r="S2098" i="22"/>
  <c r="T2123" i="22"/>
  <c r="T2097" i="22"/>
  <c r="S2097" i="22"/>
  <c r="S2123" i="22"/>
  <c r="T2096" i="22"/>
  <c r="S2096" i="22"/>
  <c r="T2122" i="22"/>
  <c r="S2122" i="22"/>
  <c r="T2095" i="22"/>
  <c r="S2095" i="22"/>
  <c r="A2075" i="22"/>
  <c r="B2075" i="22"/>
  <c r="J2075" i="22" s="1"/>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B2125" i="22"/>
  <c r="C41" i="22" s="1"/>
  <c r="L2077" i="22"/>
  <c r="A41" i="22"/>
  <c r="E2023" i="22"/>
  <c r="G2023" i="22"/>
  <c r="C2023" i="22"/>
  <c r="F2023" i="22" s="1"/>
  <c r="B2024" i="22"/>
  <c r="I2023" i="22"/>
  <c r="CI40" i="22"/>
  <c r="T2070" i="22"/>
  <c r="T2036" i="22"/>
  <c r="S2036" i="22"/>
  <c r="T2035" i="22"/>
  <c r="S2035" i="22"/>
  <c r="T2034" i="22"/>
  <c r="S2034" i="22"/>
  <c r="T2033" i="22"/>
  <c r="S2033" i="22"/>
  <c r="T2032" i="22"/>
  <c r="AK40" i="22"/>
  <c r="AL40" i="22"/>
  <c r="S2032" i="22"/>
  <c r="S2070" i="22"/>
  <c r="T2031" i="22"/>
  <c r="S2031" i="22"/>
  <c r="T2030" i="22"/>
  <c r="S2030" i="22"/>
  <c r="T2029" i="22"/>
  <c r="S2029" i="22"/>
  <c r="T2028" i="22"/>
  <c r="S2028" i="22"/>
  <c r="T2027" i="22"/>
  <c r="S2027" i="22"/>
  <c r="T2026" i="22"/>
  <c r="S2026" i="22"/>
  <c r="T2069" i="22"/>
  <c r="S2069" i="22"/>
  <c r="T2025" i="22"/>
  <c r="T2068" i="22"/>
  <c r="S2068" i="22"/>
  <c r="S2025" i="22"/>
  <c r="T2067" i="22"/>
  <c r="S2067" i="22"/>
  <c r="T2024" i="22"/>
  <c r="S2024" i="22"/>
  <c r="T2066" i="22"/>
  <c r="S2066" i="22"/>
  <c r="T2023" i="22"/>
  <c r="T2065" i="22"/>
  <c r="S2065" i="22"/>
  <c r="S2023" i="22"/>
  <c r="T2064" i="22"/>
  <c r="S2064" i="22"/>
  <c r="T2063" i="22"/>
  <c r="S2063" i="22"/>
  <c r="T2062" i="22"/>
  <c r="S2062" i="22"/>
  <c r="T2061" i="22"/>
  <c r="S2061" i="22"/>
  <c r="T2060" i="22"/>
  <c r="S2060" i="22"/>
  <c r="T2059" i="22"/>
  <c r="S2059" i="22"/>
  <c r="T2058" i="22"/>
  <c r="S2058" i="22"/>
  <c r="T2057" i="22"/>
  <c r="S2057" i="22"/>
  <c r="T2056" i="22"/>
  <c r="S2056" i="22"/>
  <c r="T2055" i="22"/>
  <c r="S2055" i="22"/>
  <c r="T2054" i="22"/>
  <c r="S2054" i="22"/>
  <c r="T2053" i="22"/>
  <c r="S2053" i="22"/>
  <c r="T2052" i="22"/>
  <c r="S2052" i="22"/>
  <c r="T2051" i="22"/>
  <c r="S2051" i="22"/>
  <c r="T2050" i="22"/>
  <c r="S2050" i="22"/>
  <c r="T2049" i="22"/>
  <c r="S2049" i="22"/>
  <c r="T2048" i="22"/>
  <c r="S2048" i="22"/>
  <c r="T2047" i="22"/>
  <c r="S2047" i="22"/>
  <c r="T2046" i="22"/>
  <c r="S2046" i="22"/>
  <c r="T2045" i="22"/>
  <c r="S2045" i="22"/>
  <c r="T2044" i="22"/>
  <c r="S2044" i="22"/>
  <c r="T2043" i="22"/>
  <c r="S2043" i="22"/>
  <c r="T2042" i="22"/>
  <c r="S2042" i="22"/>
  <c r="T2041" i="22"/>
  <c r="S2041" i="22"/>
  <c r="T2040" i="22"/>
  <c r="S2040" i="22"/>
  <c r="T2039" i="22"/>
  <c r="S2039" i="22"/>
  <c r="T2038" i="22"/>
  <c r="S2038" i="22"/>
  <c r="T2037" i="22"/>
  <c r="S2037" i="22"/>
  <c r="B2021" i="22"/>
  <c r="J2021" i="22" s="1"/>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L2023" i="22"/>
  <c r="K2023" i="22"/>
  <c r="A40" i="22"/>
  <c r="B2071" i="22"/>
  <c r="C40" i="22" s="1"/>
  <c r="L2024" i="22"/>
  <c r="G1969" i="22"/>
  <c r="B1970" i="22"/>
  <c r="I1969" i="22"/>
  <c r="C1969" i="22"/>
  <c r="F1969" i="22" s="1"/>
  <c r="E1969" i="22"/>
  <c r="CI39" i="22"/>
  <c r="S1974" i="22"/>
  <c r="AK39" i="22"/>
  <c r="AL39" i="22"/>
  <c r="T1973" i="22"/>
  <c r="S1971" i="22"/>
  <c r="S1973" i="22"/>
  <c r="T1970" i="22"/>
  <c r="T1972" i="22"/>
  <c r="T1971" i="22"/>
  <c r="S1972" i="22"/>
  <c r="S1969" i="22"/>
  <c r="S1970" i="22"/>
  <c r="T1969" i="22"/>
  <c r="T2016" i="22"/>
  <c r="S2016" i="22"/>
  <c r="T2015" i="22"/>
  <c r="S2015" i="22"/>
  <c r="T2014" i="22"/>
  <c r="S2014" i="22"/>
  <c r="T2013" i="22"/>
  <c r="S2013" i="22"/>
  <c r="T2012" i="22"/>
  <c r="S2012" i="22"/>
  <c r="T2011" i="22"/>
  <c r="S2011" i="22"/>
  <c r="T2010" i="22"/>
  <c r="S2010" i="22"/>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T1992" i="22"/>
  <c r="S1992" i="22"/>
  <c r="T1991" i="22"/>
  <c r="S1991" i="22"/>
  <c r="T1990" i="22"/>
  <c r="S1990" i="22"/>
  <c r="T1989" i="22"/>
  <c r="S1989" i="22"/>
  <c r="T1988" i="22"/>
  <c r="S1988" i="22"/>
  <c r="T1987" i="22"/>
  <c r="S1987" i="22"/>
  <c r="T1986" i="22"/>
  <c r="S1986" i="22"/>
  <c r="T1985" i="22"/>
  <c r="S1985" i="22"/>
  <c r="T1984" i="22"/>
  <c r="S1984" i="22"/>
  <c r="T1983" i="22"/>
  <c r="S1983" i="22"/>
  <c r="T1982" i="22"/>
  <c r="S1982" i="22"/>
  <c r="T1981" i="22"/>
  <c r="S1981" i="22"/>
  <c r="T1980" i="22"/>
  <c r="S1980" i="22"/>
  <c r="T1979" i="22"/>
  <c r="S1979" i="22"/>
  <c r="T1978" i="22"/>
  <c r="S1978" i="22"/>
  <c r="T1977" i="22"/>
  <c r="S1977" i="22"/>
  <c r="T1976" i="22"/>
  <c r="S1976" i="22"/>
  <c r="T1975" i="22"/>
  <c r="S1975" i="22"/>
  <c r="T1974" i="22"/>
  <c r="B1967" i="22"/>
  <c r="J1967" i="22" s="1"/>
  <c r="A1967" i="22"/>
  <c r="E1966" i="22"/>
  <c r="H1969" i="22"/>
  <c r="H1971" i="22"/>
  <c r="H1970"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A39" i="22"/>
  <c r="L1970" i="22"/>
  <c r="K1969" i="22"/>
  <c r="B2017" i="22"/>
  <c r="C39" i="22" s="1"/>
  <c r="L1969" i="22"/>
  <c r="B1916" i="22"/>
  <c r="C1915" i="22"/>
  <c r="F1915" i="22" s="1"/>
  <c r="G1915" i="22"/>
  <c r="E1915" i="22"/>
  <c r="I1915" i="22"/>
  <c r="S1935" i="22"/>
  <c r="T1935" i="22"/>
  <c r="S1936" i="22"/>
  <c r="T1936" i="22"/>
  <c r="S1937" i="22"/>
  <c r="T1937" i="22"/>
  <c r="S1938" i="22"/>
  <c r="T1938" i="22"/>
  <c r="S1939" i="22"/>
  <c r="T1939" i="22"/>
  <c r="S1940" i="22"/>
  <c r="T1940" i="22"/>
  <c r="S1941" i="22"/>
  <c r="S1952" i="22"/>
  <c r="S1942" i="22"/>
  <c r="T1942" i="22"/>
  <c r="S1943" i="22"/>
  <c r="T1918" i="22"/>
  <c r="T1943" i="22"/>
  <c r="S1944" i="22"/>
  <c r="T1944" i="22"/>
  <c r="S1945" i="22"/>
  <c r="S1918" i="22"/>
  <c r="T1917" i="22"/>
  <c r="S1917" i="22"/>
  <c r="T1952" i="22"/>
  <c r="T1941" i="22"/>
  <c r="T1916" i="22"/>
  <c r="T1953" i="22"/>
  <c r="S1954" i="22"/>
  <c r="T1954" i="22"/>
  <c r="S1955" i="22"/>
  <c r="T1955" i="22"/>
  <c r="S1956" i="22"/>
  <c r="T1956" i="22"/>
  <c r="S1957" i="22"/>
  <c r="T1957" i="22"/>
  <c r="S1958" i="22"/>
  <c r="T1958" i="22"/>
  <c r="S1953" i="22"/>
  <c r="T1945" i="22"/>
  <c r="S1959" i="22"/>
  <c r="T1959" i="22"/>
  <c r="S1960" i="22"/>
  <c r="T1960" i="22"/>
  <c r="S1916" i="22"/>
  <c r="T1915" i="22"/>
  <c r="S1915" i="22"/>
  <c r="T1933" i="22"/>
  <c r="S1946" i="22"/>
  <c r="T1946" i="22"/>
  <c r="S1947" i="22"/>
  <c r="T1947" i="22"/>
  <c r="S1948" i="22"/>
  <c r="T1948" i="22"/>
  <c r="S1949" i="22"/>
  <c r="T1949" i="22"/>
  <c r="S1950" i="22"/>
  <c r="T1950" i="22"/>
  <c r="S1951" i="22"/>
  <c r="T1951" i="22"/>
  <c r="T1934" i="22"/>
  <c r="S1934" i="22"/>
  <c r="S1933" i="22"/>
  <c r="T1932" i="22"/>
  <c r="S1932"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A1913" i="22"/>
  <c r="B1913" i="22"/>
  <c r="J1913" i="22" s="1"/>
  <c r="E1912" i="22"/>
  <c r="H1917" i="22"/>
  <c r="H1918" i="22"/>
  <c r="H1919" i="22"/>
  <c r="H1920" i="22"/>
  <c r="H1921" i="22"/>
  <c r="H1922" i="22"/>
  <c r="H1923" i="22"/>
  <c r="H1924" i="22"/>
  <c r="H1925" i="22"/>
  <c r="H1926" i="22"/>
  <c r="H1927" i="22"/>
  <c r="H1928" i="22"/>
  <c r="H1929" i="22"/>
  <c r="C1861" i="22"/>
  <c r="E1861" i="22"/>
  <c r="F1861" i="22"/>
  <c r="G1861" i="22"/>
  <c r="B1862" i="22"/>
  <c r="S1882" i="22"/>
  <c r="T1882" i="22"/>
  <c r="S1883" i="22"/>
  <c r="T1883" i="22"/>
  <c r="S1884" i="22"/>
  <c r="T1884" i="22"/>
  <c r="S1885" i="22"/>
  <c r="T1885" i="22"/>
  <c r="S1886" i="22"/>
  <c r="T1886" i="22"/>
  <c r="S1887" i="22"/>
  <c r="S1888" i="22"/>
  <c r="T1888" i="22"/>
  <c r="S1889" i="22"/>
  <c r="T1889" i="22"/>
  <c r="S1890" i="22"/>
  <c r="T1890" i="22"/>
  <c r="S1891" i="22"/>
  <c r="T1891" i="22"/>
  <c r="S1892" i="22"/>
  <c r="T1892" i="22"/>
  <c r="S1893" i="22"/>
  <c r="T1893" i="22"/>
  <c r="S1894" i="22"/>
  <c r="T1894" i="22"/>
  <c r="S1895" i="22"/>
  <c r="T1895" i="22"/>
  <c r="S1896" i="22"/>
  <c r="T1896" i="22"/>
  <c r="S1897" i="22"/>
  <c r="T1897" i="22"/>
  <c r="S1898" i="22"/>
  <c r="T1898" i="22"/>
  <c r="S1899" i="22"/>
  <c r="T1899" i="22"/>
  <c r="S1900" i="22"/>
  <c r="T1900" i="22"/>
  <c r="S1901" i="22"/>
  <c r="T1901" i="22"/>
  <c r="S1902" i="22"/>
  <c r="T1902" i="22"/>
  <c r="S1903" i="22"/>
  <c r="T1903" i="22"/>
  <c r="S1904" i="22"/>
  <c r="T1904" i="22"/>
  <c r="S1905" i="22"/>
  <c r="T1905" i="22"/>
  <c r="S1906" i="22"/>
  <c r="T1906" i="22"/>
  <c r="S1907" i="22"/>
  <c r="T1907" i="22"/>
  <c r="T1908" i="22"/>
  <c r="T1887" i="22"/>
  <c r="S1861" i="22"/>
  <c r="T1861" i="22"/>
  <c r="S1908" i="22"/>
  <c r="S1862" i="22"/>
  <c r="T1862" i="22"/>
  <c r="S1863" i="22"/>
  <c r="T1863" i="22"/>
  <c r="S1864" i="22"/>
  <c r="T1864" i="22"/>
  <c r="S1865" i="22"/>
  <c r="T1865" i="22"/>
  <c r="S1866" i="22"/>
  <c r="T1866" i="22"/>
  <c r="S1867" i="22"/>
  <c r="T1867" i="22"/>
  <c r="S1868" i="22"/>
  <c r="T1868" i="22"/>
  <c r="S1869" i="22"/>
  <c r="T1869" i="22"/>
  <c r="S1870" i="22"/>
  <c r="T1870" i="22"/>
  <c r="S1871" i="22"/>
  <c r="T1871" i="22"/>
  <c r="S1872" i="22"/>
  <c r="T1872" i="22"/>
  <c r="S1873" i="22"/>
  <c r="T1873" i="22"/>
  <c r="S1874" i="22"/>
  <c r="T1874" i="22"/>
  <c r="S1875" i="22"/>
  <c r="T1875" i="22"/>
  <c r="S1876" i="22"/>
  <c r="T1876" i="22"/>
  <c r="S1877" i="22"/>
  <c r="T1877" i="22"/>
  <c r="S1878" i="22"/>
  <c r="T1878" i="22"/>
  <c r="S1879" i="22"/>
  <c r="T1879" i="22"/>
  <c r="S1880" i="22"/>
  <c r="T1880" i="22"/>
  <c r="S1881" i="22"/>
  <c r="T1881" i="22"/>
  <c r="B1859" i="22"/>
  <c r="J1859" i="22" s="1"/>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E1807" i="22"/>
  <c r="C1807" i="22"/>
  <c r="B1808" i="22"/>
  <c r="G1807" i="22"/>
  <c r="F1807" i="22"/>
  <c r="S1836" i="22"/>
  <c r="T1836" i="22"/>
  <c r="S1837" i="22"/>
  <c r="T1837" i="22"/>
  <c r="S1838" i="22"/>
  <c r="T1838" i="22"/>
  <c r="T1839" i="22"/>
  <c r="S1840" i="22"/>
  <c r="T1840" i="22"/>
  <c r="S1841" i="22"/>
  <c r="T1841" i="22"/>
  <c r="S1842" i="22"/>
  <c r="T1842" i="22"/>
  <c r="T1843" i="22"/>
  <c r="S1844" i="22"/>
  <c r="T1844" i="22"/>
  <c r="S1845" i="22"/>
  <c r="T1845" i="22"/>
  <c r="S1846" i="22"/>
  <c r="T1846" i="22"/>
  <c r="S1814" i="22"/>
  <c r="T1813" i="22"/>
  <c r="S1813" i="22"/>
  <c r="T1812" i="22"/>
  <c r="S1812" i="22"/>
  <c r="T1811" i="22"/>
  <c r="S1811" i="22"/>
  <c r="T1810" i="22"/>
  <c r="S1810" i="22"/>
  <c r="T1809" i="22"/>
  <c r="S1809" i="22"/>
  <c r="T1808" i="22"/>
  <c r="S1808" i="22"/>
  <c r="T1807" i="22"/>
  <c r="T1830" i="22"/>
  <c r="S1831" i="22"/>
  <c r="T1831" i="22"/>
  <c r="S1832" i="22"/>
  <c r="T1832" i="22"/>
  <c r="S1833" i="22"/>
  <c r="T1833" i="22"/>
  <c r="S1834" i="22"/>
  <c r="T1834" i="22"/>
  <c r="S1835" i="22"/>
  <c r="T1835" i="22"/>
  <c r="S1807" i="22"/>
  <c r="S1839" i="22"/>
  <c r="S1847" i="22"/>
  <c r="S1843" i="22"/>
  <c r="T1854" i="22"/>
  <c r="S1854" i="22"/>
  <c r="T1853" i="22"/>
  <c r="S1853" i="22"/>
  <c r="T1852" i="22"/>
  <c r="S1852" i="22"/>
  <c r="T1851" i="22"/>
  <c r="S1851" i="22"/>
  <c r="T1850" i="22"/>
  <c r="S1850" i="22"/>
  <c r="T1849" i="22"/>
  <c r="S1849" i="22"/>
  <c r="T1848" i="22"/>
  <c r="S1848" i="22"/>
  <c r="T1847" i="22"/>
  <c r="T1814" i="22"/>
  <c r="S1815" i="22"/>
  <c r="T1815" i="22"/>
  <c r="S1816" i="22"/>
  <c r="T1816" i="22"/>
  <c r="S1817" i="22"/>
  <c r="T1817" i="22"/>
  <c r="S1818" i="22"/>
  <c r="T1818" i="22"/>
  <c r="S1819" i="22"/>
  <c r="T1819" i="22"/>
  <c r="S1820" i="22"/>
  <c r="T1820" i="22"/>
  <c r="S1821" i="22"/>
  <c r="T1821" i="22"/>
  <c r="S1822" i="22"/>
  <c r="T1822" i="22"/>
  <c r="S1823" i="22"/>
  <c r="T1823" i="22"/>
  <c r="S1824" i="22"/>
  <c r="T1824" i="22"/>
  <c r="S1825" i="22"/>
  <c r="T1825" i="22"/>
  <c r="S1826" i="22"/>
  <c r="T1826" i="22"/>
  <c r="S1827" i="22"/>
  <c r="T1827" i="22"/>
  <c r="S1828" i="22"/>
  <c r="T1828" i="22"/>
  <c r="S1829" i="22"/>
  <c r="T1829" i="22"/>
  <c r="S1830" i="22"/>
  <c r="B1805" i="22"/>
  <c r="J1805" i="22" s="1"/>
  <c r="A1805" i="22"/>
  <c r="E1804"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G1753" i="22"/>
  <c r="B1754" i="22"/>
  <c r="L1754" i="22" s="1"/>
  <c r="I1753" i="22"/>
  <c r="C1753" i="22"/>
  <c r="E1753" i="22"/>
  <c r="CI35" i="22"/>
  <c r="T1770" i="22"/>
  <c r="S1770" i="22"/>
  <c r="T1769" i="22"/>
  <c r="S1769" i="22"/>
  <c r="T1768" i="22"/>
  <c r="S1768" i="22"/>
  <c r="T1767" i="22"/>
  <c r="S1767" i="22"/>
  <c r="T1766" i="22"/>
  <c r="S1766" i="22"/>
  <c r="T1765" i="22"/>
  <c r="S1765" i="22"/>
  <c r="T1764" i="22"/>
  <c r="S1764" i="22"/>
  <c r="T1763" i="22"/>
  <c r="S1763" i="22"/>
  <c r="T1762" i="22"/>
  <c r="S1762" i="22"/>
  <c r="T1761" i="22"/>
  <c r="S1761" i="22"/>
  <c r="T1760" i="22"/>
  <c r="S1760" i="22"/>
  <c r="T1759" i="22"/>
  <c r="S1759" i="22"/>
  <c r="T1758" i="22"/>
  <c r="S1758" i="22"/>
  <c r="T1757" i="22"/>
  <c r="S1757" i="22"/>
  <c r="T1756" i="22"/>
  <c r="S1756" i="22"/>
  <c r="T1755" i="22"/>
  <c r="S1755" i="22"/>
  <c r="T1754" i="22"/>
  <c r="S1754" i="22"/>
  <c r="T1753" i="22"/>
  <c r="S1753" i="22"/>
  <c r="AK35" i="22"/>
  <c r="AL35" i="22"/>
  <c r="T1800" i="22"/>
  <c r="S1800" i="22"/>
  <c r="T1799" i="22"/>
  <c r="S1799" i="22"/>
  <c r="T1798" i="22"/>
  <c r="S1798" i="22"/>
  <c r="T1797" i="22"/>
  <c r="S1797" i="22"/>
  <c r="T1796" i="22"/>
  <c r="S1796" i="22"/>
  <c r="T1795" i="22"/>
  <c r="S1795" i="22"/>
  <c r="T1794" i="22"/>
  <c r="S1794" i="22"/>
  <c r="T1793" i="22"/>
  <c r="S1793" i="22"/>
  <c r="T1792" i="22"/>
  <c r="S1792" i="22"/>
  <c r="T1791" i="22"/>
  <c r="S1791" i="22"/>
  <c r="T1790" i="22"/>
  <c r="S1790" i="22"/>
  <c r="T1789" i="22"/>
  <c r="S1789" i="22"/>
  <c r="T1788" i="22"/>
  <c r="S1788" i="22"/>
  <c r="T1787" i="22"/>
  <c r="S1787" i="22"/>
  <c r="T1786" i="22"/>
  <c r="S1786" i="22"/>
  <c r="T1785" i="22"/>
  <c r="S1785" i="22"/>
  <c r="T1784" i="22"/>
  <c r="S1784" i="22"/>
  <c r="T1783" i="22"/>
  <c r="S1783" i="22"/>
  <c r="T1782" i="22"/>
  <c r="S1782" i="22"/>
  <c r="T1781" i="22"/>
  <c r="S1781" i="22"/>
  <c r="T1780" i="22"/>
  <c r="S1780" i="22"/>
  <c r="T1779" i="22"/>
  <c r="S1779" i="22"/>
  <c r="T1778" i="22"/>
  <c r="S1778" i="22"/>
  <c r="T1777" i="22"/>
  <c r="S1777" i="22"/>
  <c r="T1776" i="22"/>
  <c r="S1776" i="22"/>
  <c r="T1775" i="22"/>
  <c r="S1775" i="22"/>
  <c r="T1774" i="22"/>
  <c r="S1774" i="22"/>
  <c r="T1773" i="22"/>
  <c r="S1773" i="22"/>
  <c r="T1772" i="22"/>
  <c r="S1772" i="22"/>
  <c r="T1771" i="22"/>
  <c r="S1771"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H1779" i="22"/>
  <c r="H1780" i="22"/>
  <c r="H1781" i="22"/>
  <c r="H1782" i="22"/>
  <c r="H1783" i="22"/>
  <c r="H1784" i="22"/>
  <c r="H1785" i="22"/>
  <c r="H1786" i="22"/>
  <c r="H1787" i="22"/>
  <c r="H1788" i="22"/>
  <c r="H1789" i="22"/>
  <c r="H1790" i="22"/>
  <c r="H1791" i="22"/>
  <c r="H1792" i="22"/>
  <c r="H1793" i="22"/>
  <c r="H1794" i="22"/>
  <c r="H1795" i="22"/>
  <c r="H1796" i="22"/>
  <c r="H1797" i="22"/>
  <c r="H1798" i="22"/>
  <c r="H1799" i="22"/>
  <c r="H1800" i="22"/>
  <c r="A35" i="22"/>
  <c r="B1801" i="22"/>
  <c r="C35" i="22" s="1"/>
  <c r="L1753" i="22"/>
  <c r="C1699" i="22"/>
  <c r="I1699" i="22"/>
  <c r="G1699" i="22"/>
  <c r="F1699" i="22"/>
  <c r="E1699" i="22"/>
  <c r="B1700" i="22"/>
  <c r="CI34" i="22"/>
  <c r="S1740" i="22"/>
  <c r="T1740" i="22"/>
  <c r="S1741" i="22"/>
  <c r="T1741" i="22"/>
  <c r="S1742" i="22"/>
  <c r="T1742" i="22"/>
  <c r="S1743" i="22"/>
  <c r="T1743" i="22"/>
  <c r="S1744" i="22"/>
  <c r="T1744" i="22"/>
  <c r="S1745" i="22"/>
  <c r="S1713" i="22"/>
  <c r="AK34" i="22"/>
  <c r="S1746" i="22"/>
  <c r="T1746" i="22"/>
  <c r="T1719" i="22"/>
  <c r="S1719" i="22"/>
  <c r="T1718" i="22"/>
  <c r="S1718" i="22"/>
  <c r="T1717" i="22"/>
  <c r="S1717" i="22"/>
  <c r="AL34" i="22"/>
  <c r="T1716" i="22"/>
  <c r="S1716" i="22"/>
  <c r="T1715" i="22"/>
  <c r="S1715" i="22"/>
  <c r="T1714" i="22"/>
  <c r="S1714" i="22"/>
  <c r="T1713" i="22"/>
  <c r="T1712" i="22"/>
  <c r="S1712" i="22"/>
  <c r="T1745" i="22"/>
  <c r="T1711" i="22"/>
  <c r="S1711" i="22"/>
  <c r="T1710" i="22"/>
  <c r="S1710" i="22"/>
  <c r="S1720" i="22"/>
  <c r="T1720" i="22"/>
  <c r="S1721" i="22"/>
  <c r="T1721" i="22"/>
  <c r="S1722" i="22"/>
  <c r="T1722" i="22"/>
  <c r="S1723" i="22"/>
  <c r="T1723" i="22"/>
  <c r="S1724" i="22"/>
  <c r="T1724" i="22"/>
  <c r="S1725" i="22"/>
  <c r="S1734" i="22"/>
  <c r="T1725" i="22"/>
  <c r="S1726" i="22"/>
  <c r="T1726" i="22"/>
  <c r="S1727" i="22"/>
  <c r="T1727" i="22"/>
  <c r="S1728" i="22"/>
  <c r="T1728" i="22"/>
  <c r="S1729" i="22"/>
  <c r="T1729" i="22"/>
  <c r="S1730" i="22"/>
  <c r="T1730" i="22"/>
  <c r="S1731" i="22"/>
  <c r="T1731" i="22"/>
  <c r="S1732" i="22"/>
  <c r="T1732" i="22"/>
  <c r="S1733" i="22"/>
  <c r="T1733" i="22"/>
  <c r="S1735" i="22"/>
  <c r="T1735" i="22"/>
  <c r="S1736" i="22"/>
  <c r="T1736" i="22"/>
  <c r="S1737" i="22"/>
  <c r="T1737" i="22"/>
  <c r="S1738" i="22"/>
  <c r="T1709" i="22"/>
  <c r="S1709" i="22"/>
  <c r="T1734" i="22"/>
  <c r="S1708" i="22"/>
  <c r="T1707" i="22"/>
  <c r="S1707" i="22"/>
  <c r="T1706" i="22"/>
  <c r="S1706" i="22"/>
  <c r="T1705" i="22"/>
  <c r="S1705" i="22"/>
  <c r="T1704" i="22"/>
  <c r="S1704" i="22"/>
  <c r="T1703" i="22"/>
  <c r="S1703" i="22"/>
  <c r="T1702" i="22"/>
  <c r="S1702" i="22"/>
  <c r="T1701" i="22"/>
  <c r="S1701" i="22"/>
  <c r="T1700" i="22"/>
  <c r="S1700" i="22"/>
  <c r="T1738" i="22"/>
  <c r="T1699" i="22"/>
  <c r="S1699" i="22"/>
  <c r="S1739" i="22"/>
  <c r="T1739" i="22"/>
  <c r="T1708"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H1725" i="22"/>
  <c r="H1726" i="22"/>
  <c r="H1727" i="22"/>
  <c r="H1728" i="22"/>
  <c r="H1729" i="22"/>
  <c r="H1730" i="22"/>
  <c r="H1731" i="22"/>
  <c r="H1732" i="22"/>
  <c r="H1733" i="22"/>
  <c r="H1734" i="22"/>
  <c r="H1735" i="22"/>
  <c r="H1736" i="22"/>
  <c r="H1737" i="22"/>
  <c r="H1738" i="22"/>
  <c r="H1739" i="22"/>
  <c r="H1740" i="22"/>
  <c r="H1741" i="22"/>
  <c r="H1742" i="22"/>
  <c r="H1743" i="22"/>
  <c r="H1744" i="22"/>
  <c r="H1745" i="22"/>
  <c r="H1746" i="22"/>
  <c r="A34" i="22"/>
  <c r="K1699" i="22"/>
  <c r="L1699" i="22"/>
  <c r="L1700" i="22"/>
  <c r="B1747" i="22"/>
  <c r="C34" i="22" s="1"/>
  <c r="B1646" i="22"/>
  <c r="E1645" i="22"/>
  <c r="G1645" i="22"/>
  <c r="C1645" i="22"/>
  <c r="F1645" i="22" s="1"/>
  <c r="S1653" i="22"/>
  <c r="T1652" i="22"/>
  <c r="S1652" i="22"/>
  <c r="T1651" i="22"/>
  <c r="S1651" i="22"/>
  <c r="T1650" i="22"/>
  <c r="S1650" i="22"/>
  <c r="T1649" i="22"/>
  <c r="S1649" i="22"/>
  <c r="T1648" i="22"/>
  <c r="S1648" i="22"/>
  <c r="T1647" i="22"/>
  <c r="S1647" i="22"/>
  <c r="T1646" i="22"/>
  <c r="S1646" i="22"/>
  <c r="T1645" i="22"/>
  <c r="S1645" i="22"/>
  <c r="T1653"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H1671" i="22"/>
  <c r="H1672" i="22"/>
  <c r="H1673" i="22"/>
  <c r="H1674" i="22"/>
  <c r="H1675" i="22"/>
  <c r="H1676" i="22"/>
  <c r="H1677" i="22"/>
  <c r="H1678" i="22"/>
  <c r="H1679" i="22"/>
  <c r="H1680" i="22"/>
  <c r="H1681" i="22"/>
  <c r="H1682" i="22"/>
  <c r="H1683" i="22"/>
  <c r="H1684" i="22"/>
  <c r="H1685" i="22"/>
  <c r="H1686" i="22"/>
  <c r="H1687" i="22"/>
  <c r="H1688" i="22"/>
  <c r="H1689" i="22"/>
  <c r="H1690" i="22"/>
  <c r="H1691" i="22"/>
  <c r="H1692" i="22"/>
  <c r="G1591" i="22"/>
  <c r="E1591" i="22"/>
  <c r="B1592" i="22"/>
  <c r="C1591" i="22"/>
  <c r="F1591" i="22" s="1"/>
  <c r="T1638" i="22"/>
  <c r="S1638" i="22"/>
  <c r="S1637" i="22"/>
  <c r="T1636" i="22"/>
  <c r="S1636" i="22"/>
  <c r="T1635" i="22"/>
  <c r="S1635" i="22"/>
  <c r="T1634" i="22"/>
  <c r="S1634" i="22"/>
  <c r="T1633" i="22"/>
  <c r="S1633" i="22"/>
  <c r="T1632" i="22"/>
  <c r="S1632" i="22"/>
  <c r="T1631" i="22"/>
  <c r="T1630" i="22"/>
  <c r="S1630" i="22"/>
  <c r="T1629" i="22"/>
  <c r="S1629" i="22"/>
  <c r="T1628" i="22"/>
  <c r="S1628" i="22"/>
  <c r="T1627" i="22"/>
  <c r="S1627" i="22"/>
  <c r="T1626" i="22"/>
  <c r="S1626" i="22"/>
  <c r="T1625" i="22"/>
  <c r="S1625" i="22"/>
  <c r="T1624" i="22"/>
  <c r="S1624" i="22"/>
  <c r="T1623" i="22"/>
  <c r="S1623" i="22"/>
  <c r="T1622" i="22"/>
  <c r="S1622" i="22"/>
  <c r="T1621" i="22"/>
  <c r="S1621" i="22"/>
  <c r="T1620" i="22"/>
  <c r="S1620" i="22"/>
  <c r="T1619" i="22"/>
  <c r="S1619" i="22"/>
  <c r="S1614" i="22"/>
  <c r="S1605" i="22"/>
  <c r="T1604" i="22"/>
  <c r="S1604" i="22"/>
  <c r="T1603" i="22"/>
  <c r="T1613" i="22"/>
  <c r="S1613" i="22"/>
  <c r="S1603" i="22"/>
  <c r="T1602" i="22"/>
  <c r="T1618" i="22"/>
  <c r="S1602" i="22"/>
  <c r="T1601" i="22"/>
  <c r="T1612" i="22"/>
  <c r="S1612" i="22"/>
  <c r="S1601" i="22"/>
  <c r="T1600" i="22"/>
  <c r="T1611" i="22"/>
  <c r="S1600" i="22"/>
  <c r="S1591" i="22"/>
  <c r="S1618" i="22"/>
  <c r="S1611" i="22"/>
  <c r="T1599" i="22"/>
  <c r="S1599" i="22"/>
  <c r="T1610" i="22"/>
  <c r="T1598" i="22"/>
  <c r="S1598" i="22"/>
  <c r="T1617" i="22"/>
  <c r="T1597" i="22"/>
  <c r="S1597" i="22"/>
  <c r="S1610" i="22"/>
  <c r="T1596" i="22"/>
  <c r="S1596" i="22"/>
  <c r="T1609" i="22"/>
  <c r="S1617" i="22"/>
  <c r="T1595" i="22"/>
  <c r="S1595" i="22"/>
  <c r="S1609" i="22"/>
  <c r="T1594" i="22"/>
  <c r="S1594" i="22"/>
  <c r="T1608" i="22"/>
  <c r="T1593" i="22"/>
  <c r="S1631" i="22"/>
  <c r="T1616" i="22"/>
  <c r="S1616" i="22"/>
  <c r="T1592" i="22"/>
  <c r="S1592" i="22"/>
  <c r="S1608" i="22"/>
  <c r="T1591" i="22"/>
  <c r="T1607" i="22"/>
  <c r="T1615" i="22"/>
  <c r="S1607" i="22"/>
  <c r="T1637" i="22"/>
  <c r="T1606" i="22"/>
  <c r="S1615" i="22"/>
  <c r="S1606" i="22"/>
  <c r="T1605" i="22"/>
  <c r="T1614" i="22"/>
  <c r="S1593"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I1537" i="22"/>
  <c r="E1537" i="22"/>
  <c r="B1538" i="22"/>
  <c r="C1537" i="22"/>
  <c r="F1537" i="22"/>
  <c r="G1537" i="22"/>
  <c r="T1545" i="22"/>
  <c r="S1545" i="22"/>
  <c r="T1553" i="22"/>
  <c r="S1553" i="22"/>
  <c r="T1544" i="22"/>
  <c r="S1544" i="22"/>
  <c r="T1552" i="22"/>
  <c r="T1543" i="22"/>
  <c r="S1543" i="22"/>
  <c r="S1552" i="22"/>
  <c r="T1542" i="22"/>
  <c r="S1542" i="22"/>
  <c r="T1551" i="22"/>
  <c r="S1551" i="22"/>
  <c r="T1541" i="22"/>
  <c r="S1541" i="22"/>
  <c r="T1550" i="22"/>
  <c r="T1540" i="22"/>
  <c r="S1540" i="22"/>
  <c r="S1550" i="22"/>
  <c r="T1539" i="22"/>
  <c r="S1539" i="22"/>
  <c r="T1549" i="22"/>
  <c r="S1549" i="22"/>
  <c r="T1538" i="22"/>
  <c r="S1538" i="22"/>
  <c r="T1548" i="22"/>
  <c r="T1537" i="22"/>
  <c r="S1537" i="22"/>
  <c r="S1548" i="22"/>
  <c r="T1547" i="22"/>
  <c r="S1547" i="22"/>
  <c r="T1546" i="22"/>
  <c r="S1546" i="22"/>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T1571" i="22"/>
  <c r="S1571" i="22"/>
  <c r="T1570" i="22"/>
  <c r="S1570" i="22"/>
  <c r="T1569" i="22"/>
  <c r="S1569" i="22"/>
  <c r="T1568" i="22"/>
  <c r="S1568" i="22"/>
  <c r="T1567" i="22"/>
  <c r="S1567" i="22"/>
  <c r="T1566" i="22"/>
  <c r="S1566" i="22"/>
  <c r="T1565" i="22"/>
  <c r="S1565" i="22"/>
  <c r="T1564" i="22"/>
  <c r="S1564" i="22"/>
  <c r="T1563" i="22"/>
  <c r="S1563" i="22"/>
  <c r="T1562" i="22"/>
  <c r="S1562" i="22"/>
  <c r="T1561" i="22"/>
  <c r="S1561" i="22"/>
  <c r="T1560" i="22"/>
  <c r="S1560" i="22"/>
  <c r="T1559" i="22"/>
  <c r="S1559" i="22"/>
  <c r="T1558" i="22"/>
  <c r="S1558" i="22"/>
  <c r="T1557" i="22"/>
  <c r="S1557" i="22"/>
  <c r="T1556" i="22"/>
  <c r="S1556" i="22"/>
  <c r="T1555" i="22"/>
  <c r="S1555" i="22"/>
  <c r="T1554" i="22"/>
  <c r="S1554" i="22"/>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L1538" i="22"/>
  <c r="L1537" i="22"/>
  <c r="K1537" i="22"/>
  <c r="B1585" i="22"/>
  <c r="C31" i="22" s="1"/>
  <c r="C1483" i="22"/>
  <c r="K1483" i="22" s="1"/>
  <c r="G1483" i="22"/>
  <c r="B1484" i="22"/>
  <c r="E1483" i="22"/>
  <c r="F1483" i="22"/>
  <c r="I1483" i="22"/>
  <c r="CI30" i="22"/>
  <c r="S1517" i="22"/>
  <c r="T1517" i="22"/>
  <c r="S1518" i="22"/>
  <c r="T1518" i="22"/>
  <c r="S1519" i="22"/>
  <c r="T1519" i="22"/>
  <c r="S1520" i="22"/>
  <c r="T1520" i="22"/>
  <c r="S1521" i="22"/>
  <c r="T1521" i="22"/>
  <c r="S1522" i="22"/>
  <c r="T1522" i="22"/>
  <c r="S1523" i="22"/>
  <c r="T1523" i="22"/>
  <c r="S1524" i="22"/>
  <c r="T1524" i="22"/>
  <c r="S1525" i="22"/>
  <c r="T1525" i="22"/>
  <c r="S1526" i="22"/>
  <c r="T1526" i="22"/>
  <c r="S1527" i="22"/>
  <c r="T1527" i="22"/>
  <c r="S1528" i="22"/>
  <c r="T1528" i="22"/>
  <c r="S1529" i="22"/>
  <c r="T1529" i="22"/>
  <c r="S1530" i="22"/>
  <c r="AK30" i="22"/>
  <c r="AL30" i="22"/>
  <c r="S1486" i="22"/>
  <c r="T1486" i="22"/>
  <c r="T1530" i="22"/>
  <c r="S1487" i="22"/>
  <c r="T1487" i="22"/>
  <c r="S1483" i="22"/>
  <c r="S1488" i="22"/>
  <c r="T1488" i="22"/>
  <c r="T1483" i="22"/>
  <c r="S1484" i="22"/>
  <c r="T1484" i="22"/>
  <c r="S1485" i="22"/>
  <c r="T1485" i="22"/>
  <c r="T1504" i="22"/>
  <c r="S1489" i="22"/>
  <c r="T1489" i="22"/>
  <c r="S1490" i="22"/>
  <c r="T1490" i="22"/>
  <c r="S1491" i="22"/>
  <c r="T1491" i="22"/>
  <c r="S1492" i="22"/>
  <c r="T1492" i="22"/>
  <c r="S1493" i="22"/>
  <c r="T1493" i="22"/>
  <c r="S1494" i="22"/>
  <c r="T1494" i="22"/>
  <c r="S1495" i="22"/>
  <c r="T1495" i="22"/>
  <c r="S1496" i="22"/>
  <c r="T1496" i="22"/>
  <c r="S1497" i="22"/>
  <c r="T1497" i="22"/>
  <c r="S1498" i="22"/>
  <c r="T1498" i="22"/>
  <c r="S1499" i="22"/>
  <c r="T1499" i="22"/>
  <c r="S1500" i="22"/>
  <c r="T1500" i="22"/>
  <c r="S1501" i="22"/>
  <c r="T1501" i="22"/>
  <c r="S1502" i="22"/>
  <c r="T1502" i="22"/>
  <c r="S1503" i="22"/>
  <c r="T1503" i="22"/>
  <c r="S1504" i="22"/>
  <c r="S1505" i="22"/>
  <c r="T1505" i="22"/>
  <c r="S1506" i="22"/>
  <c r="T1506" i="22"/>
  <c r="S1507" i="22"/>
  <c r="T1507" i="22"/>
  <c r="S1508" i="22"/>
  <c r="T1508" i="22"/>
  <c r="S1509" i="22"/>
  <c r="T1509" i="22"/>
  <c r="S1510" i="22"/>
  <c r="T1510" i="22"/>
  <c r="S1511" i="22"/>
  <c r="T1511" i="22"/>
  <c r="S1512" i="22"/>
  <c r="T1512" i="22"/>
  <c r="S1513" i="22"/>
  <c r="T1513" i="22"/>
  <c r="S1514" i="22"/>
  <c r="T1514" i="22"/>
  <c r="S1515" i="22"/>
  <c r="T1515" i="22"/>
  <c r="S1516" i="22"/>
  <c r="T1516"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A30" i="22"/>
  <c r="B1531" i="22"/>
  <c r="C30" i="22" s="1"/>
  <c r="L1483" i="22"/>
  <c r="B1430" i="22"/>
  <c r="L1430" i="22" s="1"/>
  <c r="C1429" i="22"/>
  <c r="K1429" i="22" s="1"/>
  <c r="E1429" i="22"/>
  <c r="I1429" i="22"/>
  <c r="G1429" i="22"/>
  <c r="F1429" i="22"/>
  <c r="CI29" i="22"/>
  <c r="T1462" i="22"/>
  <c r="S1462" i="22"/>
  <c r="S1445" i="22"/>
  <c r="S1443" i="22"/>
  <c r="T1461" i="22"/>
  <c r="S1461" i="22"/>
  <c r="T1449" i="22"/>
  <c r="T1460" i="22"/>
  <c r="S1460" i="22"/>
  <c r="S1449" i="22"/>
  <c r="T1442" i="22"/>
  <c r="T1459" i="22"/>
  <c r="S1459" i="22"/>
  <c r="T1458" i="22"/>
  <c r="S1458" i="22"/>
  <c r="T1447" i="22"/>
  <c r="T1476" i="22"/>
  <c r="S1476" i="22"/>
  <c r="T1455" i="22"/>
  <c r="T1475" i="22"/>
  <c r="S1475" i="22"/>
  <c r="S1455" i="22"/>
  <c r="S1447" i="22"/>
  <c r="T1474" i="22"/>
  <c r="S1474" i="22"/>
  <c r="S1442" i="22"/>
  <c r="T1473" i="22"/>
  <c r="S1473" i="22"/>
  <c r="T1454" i="22"/>
  <c r="S1454" i="22"/>
  <c r="T1472" i="22"/>
  <c r="S1472" i="22"/>
  <c r="T1471" i="22"/>
  <c r="S1471" i="22"/>
  <c r="T1453" i="22"/>
  <c r="T1470" i="22"/>
  <c r="S1470" i="22"/>
  <c r="S1453" i="22"/>
  <c r="T1446" i="22"/>
  <c r="S1430" i="22"/>
  <c r="S1463" i="22"/>
  <c r="T1450" i="22"/>
  <c r="S1450" i="22"/>
  <c r="T1448" i="22"/>
  <c r="S1429" i="22"/>
  <c r="AL29" i="22"/>
  <c r="AK29" i="22"/>
  <c r="T1466" i="22"/>
  <c r="S1456" i="22"/>
  <c r="T1456" i="22"/>
  <c r="S1436" i="22"/>
  <c r="T1469" i="22"/>
  <c r="S1444" i="22"/>
  <c r="T1444" i="22"/>
  <c r="T1435" i="22"/>
  <c r="S1469" i="22"/>
  <c r="T1434" i="22"/>
  <c r="T1441" i="22"/>
  <c r="S1441" i="22"/>
  <c r="S1446" i="22"/>
  <c r="S1433" i="22"/>
  <c r="S1457" i="22"/>
  <c r="T1432" i="22"/>
  <c r="T1440" i="22"/>
  <c r="S1440" i="22"/>
  <c r="T1468" i="22"/>
  <c r="T1439" i="22"/>
  <c r="T1429" i="22"/>
  <c r="S1468" i="22"/>
  <c r="T1457" i="22"/>
  <c r="S1439" i="22"/>
  <c r="S1448" i="22"/>
  <c r="T1438" i="22"/>
  <c r="S1438" i="22"/>
  <c r="T1452" i="22"/>
  <c r="S1452" i="22"/>
  <c r="T1437" i="22"/>
  <c r="T1467" i="22"/>
  <c r="S1467" i="22"/>
  <c r="S1437" i="22"/>
  <c r="T1436" i="22"/>
  <c r="T1443" i="22"/>
  <c r="S1435" i="22"/>
  <c r="S1466" i="22"/>
  <c r="T1451" i="22"/>
  <c r="S1434" i="22"/>
  <c r="T1465" i="22"/>
  <c r="S1465" i="22"/>
  <c r="T1433" i="22"/>
  <c r="S1451" i="22"/>
  <c r="S1432" i="22"/>
  <c r="T1464" i="22"/>
  <c r="S1464" i="22"/>
  <c r="T1445" i="22"/>
  <c r="T1431" i="22"/>
  <c r="S1431" i="22"/>
  <c r="T1463" i="22"/>
  <c r="T1430" i="22"/>
  <c r="B1427" i="22"/>
  <c r="A1427" i="22"/>
  <c r="E1426" i="22"/>
  <c r="H1433" i="22"/>
  <c r="H1437" i="22"/>
  <c r="L1429" i="22"/>
  <c r="A29" i="22"/>
  <c r="B1477" i="22"/>
  <c r="C29" i="22" s="1"/>
  <c r="I1375" i="22"/>
  <c r="E1375" i="22"/>
  <c r="C1375" i="22"/>
  <c r="F1375" i="22" s="1"/>
  <c r="B1376" i="22"/>
  <c r="G1375" i="22"/>
  <c r="CI28" i="22"/>
  <c r="T1422" i="22"/>
  <c r="AK28" i="22"/>
  <c r="AL28" i="22"/>
  <c r="S1398" i="22"/>
  <c r="S1397" i="22"/>
  <c r="T1397" i="22"/>
  <c r="T1396" i="22"/>
  <c r="S1410" i="22"/>
  <c r="S1395" i="22"/>
  <c r="T1398" i="22"/>
  <c r="T1394" i="22"/>
  <c r="S1379" i="22"/>
  <c r="T1379" i="22"/>
  <c r="S1392" i="22"/>
  <c r="S1380" i="22"/>
  <c r="S1381" i="22"/>
  <c r="S1375" i="22"/>
  <c r="S1384" i="22"/>
  <c r="S1387" i="22"/>
  <c r="T1387" i="22"/>
  <c r="S1421" i="22"/>
  <c r="S1420" i="22"/>
  <c r="S1419" i="22"/>
  <c r="T1415" i="22"/>
  <c r="T1418" i="22"/>
  <c r="S1418" i="22"/>
  <c r="T1416" i="22"/>
  <c r="T1399" i="22"/>
  <c r="T1390" i="22"/>
  <c r="T1389" i="22"/>
  <c r="S1388" i="22"/>
  <c r="S1400" i="22"/>
  <c r="T1401" i="22"/>
  <c r="T1375" i="22"/>
  <c r="S1376" i="22"/>
  <c r="T1376" i="22"/>
  <c r="T1377" i="22"/>
  <c r="T1378" i="22"/>
  <c r="T1402" i="22"/>
  <c r="T1411" i="22"/>
  <c r="T1380" i="22"/>
  <c r="S1403" i="22"/>
  <c r="T1381" i="22"/>
  <c r="S1382" i="22"/>
  <c r="T1382" i="22"/>
  <c r="S1383" i="22"/>
  <c r="T1383" i="22"/>
  <c r="S1404" i="22"/>
  <c r="T1384" i="22"/>
  <c r="S1385" i="22"/>
  <c r="T1385" i="22"/>
  <c r="S1414" i="22"/>
  <c r="S1405" i="22"/>
  <c r="S1386" i="22"/>
  <c r="T1386" i="22"/>
  <c r="S1412" i="22"/>
  <c r="T1388" i="22"/>
  <c r="T1406" i="22"/>
  <c r="S1389" i="22"/>
  <c r="T1412" i="22"/>
  <c r="S1390" i="22"/>
  <c r="T1407" i="22"/>
  <c r="S1391" i="22"/>
  <c r="T1391" i="22"/>
  <c r="T1392" i="22"/>
  <c r="T1414" i="22"/>
  <c r="T1393" i="22"/>
  <c r="S1408" i="22"/>
  <c r="S1394" i="22"/>
  <c r="T1413" i="22"/>
  <c r="T1395" i="22"/>
  <c r="S1409" i="22"/>
  <c r="S1396" i="22"/>
  <c r="S1378" i="22"/>
  <c r="S1377" i="22"/>
  <c r="S1399" i="22"/>
  <c r="T1400" i="22"/>
  <c r="S1401" i="22"/>
  <c r="S1402" i="22"/>
  <c r="T1403" i="22"/>
  <c r="T1404" i="22"/>
  <c r="T1405" i="22"/>
  <c r="S1406" i="22"/>
  <c r="S1407" i="22"/>
  <c r="T1408" i="22"/>
  <c r="T1409" i="22"/>
  <c r="T1410" i="22"/>
  <c r="S1411" i="22"/>
  <c r="S1413" i="22"/>
  <c r="S1415" i="22"/>
  <c r="S1416" i="22"/>
  <c r="S1417" i="22"/>
  <c r="T1417" i="22"/>
  <c r="S1393" i="22"/>
  <c r="T1419" i="22"/>
  <c r="T1420" i="22"/>
  <c r="T1421" i="22"/>
  <c r="S1422" i="22"/>
  <c r="B1373" i="22"/>
  <c r="A1373" i="22"/>
  <c r="E1372" i="22"/>
  <c r="H1377" i="22"/>
  <c r="H1383" i="22"/>
  <c r="H1384" i="22"/>
  <c r="H1387" i="22"/>
  <c r="H1388" i="22"/>
  <c r="H1395" i="22"/>
  <c r="H1396" i="22"/>
  <c r="H1397" i="22"/>
  <c r="H1399" i="22"/>
  <c r="H1402" i="22"/>
  <c r="BZ28" i="22" s="1"/>
  <c r="H1403" i="22"/>
  <c r="CA28" i="22" s="1"/>
  <c r="H1404" i="22"/>
  <c r="CB28" i="22" s="1"/>
  <c r="H1405" i="22"/>
  <c r="CC28" i="22" s="1"/>
  <c r="H1407" i="22"/>
  <c r="CE28" i="22" s="1"/>
  <c r="H1408" i="22"/>
  <c r="CF28" i="22" s="1"/>
  <c r="H1413" i="22"/>
  <c r="H1419" i="22"/>
  <c r="H1420" i="22"/>
  <c r="H1375" i="22"/>
  <c r="H1376" i="22"/>
  <c r="H1378" i="22"/>
  <c r="H1379" i="22"/>
  <c r="H1380" i="22"/>
  <c r="H1381" i="22"/>
  <c r="H1382" i="22"/>
  <c r="H1385" i="22"/>
  <c r="H1386" i="22"/>
  <c r="H1389" i="22"/>
  <c r="H1390" i="22"/>
  <c r="H1391" i="22"/>
  <c r="H1392" i="22"/>
  <c r="H1393" i="22"/>
  <c r="H1394" i="22"/>
  <c r="H1398" i="22"/>
  <c r="H1400" i="22"/>
  <c r="BX28" i="22" s="1"/>
  <c r="H1401" i="22"/>
  <c r="BY28" i="22" s="1"/>
  <c r="H1406" i="22"/>
  <c r="CD28" i="22" s="1"/>
  <c r="H1409" i="22"/>
  <c r="CG28" i="22" s="1"/>
  <c r="H1410" i="22"/>
  <c r="CH28" i="22" s="1"/>
  <c r="H1411" i="22"/>
  <c r="H1412" i="22"/>
  <c r="H1414" i="22"/>
  <c r="H1415" i="22"/>
  <c r="H1416" i="22"/>
  <c r="H1417" i="22"/>
  <c r="H1418" i="22"/>
  <c r="H1421" i="22"/>
  <c r="H1422" i="22"/>
  <c r="B1423" i="22"/>
  <c r="C28" i="22" s="1"/>
  <c r="L1375" i="22"/>
  <c r="K1375" i="22"/>
  <c r="L1376" i="22"/>
  <c r="A28" i="22"/>
  <c r="B1322" i="22"/>
  <c r="G1321" i="22"/>
  <c r="E1321" i="22"/>
  <c r="C1321" i="22"/>
  <c r="F1321" i="22" s="1"/>
  <c r="T1336" i="22"/>
  <c r="S1336" i="22"/>
  <c r="T1339" i="22"/>
  <c r="T1341" i="22"/>
  <c r="T1335" i="22"/>
  <c r="S1339" i="22"/>
  <c r="S1335" i="22"/>
  <c r="T1334" i="22"/>
  <c r="S1334" i="22"/>
  <c r="S1341" i="22"/>
  <c r="T1338" i="22"/>
  <c r="S1338" i="22"/>
  <c r="T1333" i="22"/>
  <c r="S1333" i="22"/>
  <c r="T1340" i="22"/>
  <c r="T1332" i="22"/>
  <c r="S1332" i="22"/>
  <c r="S1331" i="22"/>
  <c r="T1330" i="22"/>
  <c r="S1330" i="22"/>
  <c r="T1329" i="22"/>
  <c r="S1329" i="22"/>
  <c r="T1328" i="22"/>
  <c r="S1328" i="22"/>
  <c r="T1327" i="22"/>
  <c r="S1327" i="22"/>
  <c r="T1326" i="22"/>
  <c r="S1326" i="22"/>
  <c r="T1325" i="22"/>
  <c r="S1325" i="22"/>
  <c r="T1324" i="22"/>
  <c r="S1324" i="22"/>
  <c r="T1337" i="22"/>
  <c r="S1323" i="22"/>
  <c r="T1322" i="22"/>
  <c r="S1322" i="22"/>
  <c r="S1340" i="22"/>
  <c r="T1321" i="22"/>
  <c r="S1321" i="22"/>
  <c r="T1323" i="22"/>
  <c r="S1337" i="22"/>
  <c r="T1331" i="22"/>
  <c r="A1319" i="22"/>
  <c r="B1319" i="22"/>
  <c r="J1319" i="22" s="1"/>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3" i="22"/>
  <c r="H1345" i="22"/>
  <c r="BW27" i="22" s="1"/>
  <c r="H1347" i="22"/>
  <c r="BY27" i="22" s="1"/>
  <c r="H1348" i="22"/>
  <c r="BZ27" i="22" s="1"/>
  <c r="H1352" i="22"/>
  <c r="CD27" i="22" s="1"/>
  <c r="H1354" i="22"/>
  <c r="CF27" i="22" s="1"/>
  <c r="H1356" i="22"/>
  <c r="CH27" i="22" s="1"/>
  <c r="H1358" i="22"/>
  <c r="H1362" i="22"/>
  <c r="H1368" i="22"/>
  <c r="H1342" i="22"/>
  <c r="H1344" i="22"/>
  <c r="H1346" i="22"/>
  <c r="BX27" i="22" s="1"/>
  <c r="H1349" i="22"/>
  <c r="CA27" i="22" s="1"/>
  <c r="H1350" i="22"/>
  <c r="CB27" i="22" s="1"/>
  <c r="H1351" i="22"/>
  <c r="CC27" i="22" s="1"/>
  <c r="H1353" i="22"/>
  <c r="CE27" i="22" s="1"/>
  <c r="H1355" i="22"/>
  <c r="CG27" i="22" s="1"/>
  <c r="H1357" i="22"/>
  <c r="H1359" i="22"/>
  <c r="H1360" i="22"/>
  <c r="H1361" i="22"/>
  <c r="H1363" i="22"/>
  <c r="H1364" i="22"/>
  <c r="H1365" i="22"/>
  <c r="H1366" i="22"/>
  <c r="H1367" i="22"/>
  <c r="G1267" i="22"/>
  <c r="B1268" i="22"/>
  <c r="E1267" i="22"/>
  <c r="C1267" i="22"/>
  <c r="F1267" i="22" s="1"/>
  <c r="S1314" i="22"/>
  <c r="T1313" i="22"/>
  <c r="S1313" i="22"/>
  <c r="T1312" i="22"/>
  <c r="S1312" i="22"/>
  <c r="T1274" i="22"/>
  <c r="T1310" i="22"/>
  <c r="S1310" i="22"/>
  <c r="T1309" i="22"/>
  <c r="S1309" i="22"/>
  <c r="T1311" i="22"/>
  <c r="T1308" i="22"/>
  <c r="S1308" i="22"/>
  <c r="T1307" i="22"/>
  <c r="S1307" i="22"/>
  <c r="T1306" i="22"/>
  <c r="S1306" i="22"/>
  <c r="T1305" i="22"/>
  <c r="S1305" i="22"/>
  <c r="T1304" i="22"/>
  <c r="S1304" i="22"/>
  <c r="T1303" i="22"/>
  <c r="S1303" i="22"/>
  <c r="T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S1302" i="22"/>
  <c r="T1289" i="22"/>
  <c r="S1289" i="22"/>
  <c r="T1288"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T1275" i="22"/>
  <c r="S1311" i="22"/>
  <c r="S1274" i="22"/>
  <c r="T1273" i="22"/>
  <c r="S1273" i="22"/>
  <c r="T1272" i="22"/>
  <c r="S1272" i="22"/>
  <c r="T1271" i="22"/>
  <c r="S1271" i="22"/>
  <c r="T1270" i="22"/>
  <c r="S1270" i="22"/>
  <c r="T1269" i="22"/>
  <c r="S1269" i="22"/>
  <c r="S1275" i="22"/>
  <c r="S1268" i="22"/>
  <c r="T1267" i="22"/>
  <c r="S1267" i="22"/>
  <c r="T1314" i="22"/>
  <c r="T1268" i="22"/>
  <c r="B1265" i="22"/>
  <c r="J1265" i="22" s="1"/>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E1213" i="22"/>
  <c r="B1214" i="22"/>
  <c r="C1213" i="22"/>
  <c r="F1213" i="22" s="1"/>
  <c r="G1213" i="22"/>
  <c r="S1260" i="22"/>
  <c r="T1259" i="22"/>
  <c r="S1259" i="22"/>
  <c r="T1258" i="22"/>
  <c r="S1258" i="22"/>
  <c r="T1257" i="22"/>
  <c r="S1257" i="22"/>
  <c r="T1256" i="22"/>
  <c r="S1256" i="22"/>
  <c r="T1255" i="22"/>
  <c r="S1255" i="22"/>
  <c r="T1254" i="22"/>
  <c r="S1254" i="22"/>
  <c r="T1253" i="22"/>
  <c r="S1253" i="22"/>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T1240" i="22"/>
  <c r="S1240" i="22"/>
  <c r="T1239" i="22"/>
  <c r="S1239" i="22"/>
  <c r="T1238" i="22"/>
  <c r="S1238" i="22"/>
  <c r="T1237" i="22"/>
  <c r="S1237" i="22"/>
  <c r="T1236" i="22"/>
  <c r="S1236" i="22"/>
  <c r="T1235" i="22"/>
  <c r="S1235" i="22"/>
  <c r="T1234" i="22"/>
  <c r="S1234" i="22"/>
  <c r="T1233" i="22"/>
  <c r="T1232" i="22"/>
  <c r="S1232" i="22"/>
  <c r="T1231" i="22"/>
  <c r="S1231" i="22"/>
  <c r="T1230" i="22"/>
  <c r="S1230" i="22"/>
  <c r="T1229" i="22"/>
  <c r="S1229" i="22"/>
  <c r="T1228" i="22"/>
  <c r="S1228" i="22"/>
  <c r="T1227" i="22"/>
  <c r="S1227" i="22"/>
  <c r="T1226" i="22"/>
  <c r="S1226" i="22"/>
  <c r="T1225" i="22"/>
  <c r="S1225" i="22"/>
  <c r="T1217" i="22"/>
  <c r="S1217" i="22"/>
  <c r="T1216" i="22"/>
  <c r="S1216" i="22"/>
  <c r="T1215" i="22"/>
  <c r="S1215" i="22"/>
  <c r="T1214" i="22"/>
  <c r="S1214" i="22"/>
  <c r="T1213" i="22"/>
  <c r="S1213" i="22"/>
  <c r="S1233" i="22"/>
  <c r="T1224" i="22"/>
  <c r="S1224" i="22"/>
  <c r="T1223" i="22"/>
  <c r="S1223" i="22"/>
  <c r="T1222" i="22"/>
  <c r="S1222" i="22"/>
  <c r="T1221" i="22"/>
  <c r="S1221" i="22"/>
  <c r="T1220" i="22"/>
  <c r="S1220" i="22"/>
  <c r="T1219" i="22"/>
  <c r="S1219" i="22"/>
  <c r="T1218" i="22"/>
  <c r="S1218" i="22"/>
  <c r="T1260" i="22"/>
  <c r="AL25" i="22"/>
  <c r="AK25" i="22"/>
  <c r="A1211" i="22"/>
  <c r="B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E1159" i="22"/>
  <c r="G1159" i="22"/>
  <c r="B1160" i="22"/>
  <c r="C1159" i="22"/>
  <c r="F1159" i="22" s="1"/>
  <c r="CI24" i="22"/>
  <c r="T1178" i="22"/>
  <c r="S1179" i="22"/>
  <c r="T1179" i="22"/>
  <c r="S1180" i="22"/>
  <c r="T1180" i="22"/>
  <c r="S1181" i="22"/>
  <c r="T1181" i="22"/>
  <c r="S1159" i="22"/>
  <c r="T1159" i="22"/>
  <c r="S1160" i="22"/>
  <c r="T1160" i="22"/>
  <c r="S1161" i="22"/>
  <c r="T1161" i="22"/>
  <c r="S1162" i="22"/>
  <c r="T1162" i="22"/>
  <c r="S1163" i="22"/>
  <c r="T1163" i="22"/>
  <c r="S1164" i="22"/>
  <c r="T1164" i="22"/>
  <c r="S1165" i="22"/>
  <c r="T1165" i="22"/>
  <c r="S1166" i="22"/>
  <c r="T1166" i="22"/>
  <c r="S1167" i="22"/>
  <c r="T1167" i="22"/>
  <c r="S1168" i="22"/>
  <c r="T1168" i="22"/>
  <c r="T1206" i="22"/>
  <c r="S1206" i="22"/>
  <c r="T1205" i="22"/>
  <c r="S1205" i="22"/>
  <c r="T1204" i="22"/>
  <c r="S1204" i="22"/>
  <c r="T1203" i="22"/>
  <c r="S1203" i="22"/>
  <c r="T1202" i="22"/>
  <c r="S1202" i="22"/>
  <c r="T1201" i="22"/>
  <c r="S1201" i="22"/>
  <c r="T1200" i="22"/>
  <c r="S1200" i="22"/>
  <c r="T1199" i="22"/>
  <c r="S1199" i="22"/>
  <c r="T1198" i="22"/>
  <c r="S1198" i="22"/>
  <c r="T1197" i="22"/>
  <c r="S1197" i="22"/>
  <c r="T1196" i="22"/>
  <c r="S1196" i="22"/>
  <c r="T1195" i="22"/>
  <c r="S1195" i="22"/>
  <c r="T1194" i="22"/>
  <c r="S1194" i="22"/>
  <c r="T1193" i="22"/>
  <c r="S1193" i="22"/>
  <c r="T1192" i="22"/>
  <c r="S1192" i="22"/>
  <c r="T1191" i="22"/>
  <c r="S1191" i="22"/>
  <c r="T1190" i="22"/>
  <c r="S1190" i="22"/>
  <c r="T1189" i="22"/>
  <c r="S1189" i="22"/>
  <c r="T1188" i="22"/>
  <c r="S1188" i="22"/>
  <c r="T1187" i="22"/>
  <c r="S1187" i="22"/>
  <c r="T1186" i="22"/>
  <c r="S1186" i="22"/>
  <c r="T1185" i="22"/>
  <c r="S1185" i="22"/>
  <c r="T1184" i="22"/>
  <c r="S1184" i="22"/>
  <c r="T1183" i="22"/>
  <c r="S1183" i="22"/>
  <c r="T1182" i="22"/>
  <c r="S1182" i="22"/>
  <c r="S1169" i="22"/>
  <c r="T1169" i="22"/>
  <c r="S1170" i="22"/>
  <c r="T1170" i="22"/>
  <c r="S1171" i="22"/>
  <c r="T1171" i="22"/>
  <c r="S1172" i="22"/>
  <c r="T1172" i="22"/>
  <c r="S1173" i="22"/>
  <c r="T1173" i="22"/>
  <c r="S1174" i="22"/>
  <c r="T1174" i="22"/>
  <c r="S1175" i="22"/>
  <c r="T1175" i="22"/>
  <c r="S1176" i="22"/>
  <c r="T1176" i="22"/>
  <c r="S1177" i="22"/>
  <c r="T1177" i="22"/>
  <c r="S1178" i="22"/>
  <c r="AL24" i="22"/>
  <c r="AK24" i="22"/>
  <c r="A1157" i="22"/>
  <c r="B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B1106" i="22"/>
  <c r="L1106" i="22" s="1"/>
  <c r="I1105" i="22"/>
  <c r="G1105" i="22"/>
  <c r="E1105" i="22"/>
  <c r="C1105" i="22"/>
  <c r="CI23" i="22"/>
  <c r="T1113" i="22"/>
  <c r="T1126" i="22"/>
  <c r="S1126" i="22"/>
  <c r="T1144" i="22"/>
  <c r="S1144" i="22"/>
  <c r="T1125" i="22"/>
  <c r="S1125" i="22"/>
  <c r="T1143" i="22"/>
  <c r="T1124" i="22"/>
  <c r="S1124" i="22"/>
  <c r="S1143" i="22"/>
  <c r="T1123" i="22"/>
  <c r="S1123" i="22"/>
  <c r="T1142" i="22"/>
  <c r="S1142" i="22"/>
  <c r="T1122" i="22"/>
  <c r="S1122" i="22"/>
  <c r="T1141" i="22"/>
  <c r="T1121" i="22"/>
  <c r="S1121" i="22"/>
  <c r="S1141" i="22"/>
  <c r="T1120" i="22"/>
  <c r="S1120" i="22"/>
  <c r="T1140" i="22"/>
  <c r="T1147" i="22"/>
  <c r="T1119" i="22"/>
  <c r="S1119" i="22"/>
  <c r="S1140" i="22"/>
  <c r="T1118" i="22"/>
  <c r="S1118" i="22"/>
  <c r="T1139" i="22"/>
  <c r="S1139" i="22"/>
  <c r="T1117" i="22"/>
  <c r="S1117" i="22"/>
  <c r="T1138" i="22"/>
  <c r="T1116" i="22"/>
  <c r="S1116" i="22"/>
  <c r="S1138" i="22"/>
  <c r="T1115" i="22"/>
  <c r="S1115" i="22"/>
  <c r="T1137" i="22"/>
  <c r="S1137" i="22"/>
  <c r="T1114" i="22"/>
  <c r="S1114" i="22"/>
  <c r="T1136" i="22"/>
  <c r="S1136" i="22"/>
  <c r="S1113" i="22"/>
  <c r="T1135" i="22"/>
  <c r="T1112" i="22"/>
  <c r="S1112" i="22"/>
  <c r="S1135" i="22"/>
  <c r="T1111" i="22"/>
  <c r="S1111" i="22"/>
  <c r="T1134" i="22"/>
  <c r="S1134" i="22"/>
  <c r="T1110" i="22"/>
  <c r="S1110" i="22"/>
  <c r="T1133" i="22"/>
  <c r="T1109" i="22"/>
  <c r="S1109" i="22"/>
  <c r="T1131" i="22"/>
  <c r="S1131" i="22"/>
  <c r="T1108" i="22"/>
  <c r="S1108" i="22"/>
  <c r="T1130" i="22"/>
  <c r="T1107" i="22"/>
  <c r="S1107" i="22"/>
  <c r="S1130" i="22"/>
  <c r="T1106" i="22"/>
  <c r="S1106" i="22"/>
  <c r="T1129" i="22"/>
  <c r="T1105" i="22"/>
  <c r="S1105" i="22"/>
  <c r="S1129" i="22"/>
  <c r="T1128" i="22"/>
  <c r="S1128" i="22"/>
  <c r="T1127" i="22"/>
  <c r="S1127" i="22"/>
  <c r="AL23" i="22"/>
  <c r="AK23" i="22"/>
  <c r="S1133" i="22"/>
  <c r="S1132" i="22"/>
  <c r="T1132" i="22"/>
  <c r="T1152" i="22"/>
  <c r="S1152" i="22"/>
  <c r="T1151" i="22"/>
  <c r="S1151" i="22"/>
  <c r="T1150" i="22"/>
  <c r="S1150" i="22"/>
  <c r="T1149" i="22"/>
  <c r="S1149" i="22"/>
  <c r="T1148" i="22"/>
  <c r="S1148" i="22"/>
  <c r="S1147" i="22"/>
  <c r="T1146" i="22"/>
  <c r="S1146" i="22"/>
  <c r="T1145" i="22"/>
  <c r="S1145" i="22"/>
  <c r="A1103" i="22"/>
  <c r="B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L1105" i="22"/>
  <c r="B1153" i="22"/>
  <c r="C23" i="22" s="1"/>
  <c r="A23" i="22"/>
  <c r="E1051" i="22"/>
  <c r="C1051" i="22"/>
  <c r="K1051" i="22" s="1"/>
  <c r="F1051" i="22"/>
  <c r="I1051" i="22"/>
  <c r="G1051" i="22"/>
  <c r="B1052" i="22"/>
  <c r="CI22" i="22"/>
  <c r="S1088" i="22"/>
  <c r="T1087" i="22"/>
  <c r="S1087"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T1098" i="22"/>
  <c r="S1098" i="22"/>
  <c r="T1097" i="22"/>
  <c r="S1097" i="22"/>
  <c r="T1096" i="22"/>
  <c r="S1096" i="22"/>
  <c r="T1095" i="22"/>
  <c r="S1095" i="22"/>
  <c r="T1094" i="22"/>
  <c r="S1094" i="22"/>
  <c r="T1093" i="22"/>
  <c r="S1093" i="22"/>
  <c r="T1092" i="22"/>
  <c r="S1092" i="22"/>
  <c r="T1091" i="22"/>
  <c r="S1091" i="22"/>
  <c r="T1090" i="22"/>
  <c r="S1090" i="22"/>
  <c r="T1089" i="22"/>
  <c r="S1089" i="22"/>
  <c r="T1088" i="22"/>
  <c r="AL22" i="22"/>
  <c r="AK22" i="22"/>
  <c r="A1049" i="22"/>
  <c r="B1049" i="22"/>
  <c r="J1049" i="22" s="1"/>
  <c r="E1048" i="22"/>
  <c r="H1051" i="22"/>
  <c r="H1052" i="22"/>
  <c r="H1053" i="22"/>
  <c r="H1054" i="22"/>
  <c r="H1055" i="22"/>
  <c r="H1056" i="22"/>
  <c r="H1057" i="22"/>
  <c r="H1058" i="22"/>
  <c r="H1059" i="22"/>
  <c r="H1060" i="22"/>
  <c r="H1061" i="22"/>
  <c r="L1051" i="22"/>
  <c r="B1099" i="22"/>
  <c r="C22" i="22" s="1"/>
  <c r="A22" i="22"/>
  <c r="B998" i="22"/>
  <c r="G997" i="22"/>
  <c r="E997" i="22"/>
  <c r="C997" i="22"/>
  <c r="F997" i="22" s="1"/>
  <c r="S1029" i="22"/>
  <c r="T1028" i="22"/>
  <c r="S1028" i="22"/>
  <c r="T1027" i="22"/>
  <c r="T1026" i="22"/>
  <c r="S1026" i="22"/>
  <c r="T1025" i="22"/>
  <c r="S1025" i="22"/>
  <c r="T1024" i="22"/>
  <c r="S1024" i="22"/>
  <c r="T1023" i="22"/>
  <c r="S1023" i="22"/>
  <c r="T1022" i="22"/>
  <c r="S1022" i="22"/>
  <c r="T1021" i="22"/>
  <c r="S1021" i="22"/>
  <c r="T1020" i="22"/>
  <c r="S1020" i="22"/>
  <c r="T1019" i="22"/>
  <c r="S1019" i="22"/>
  <c r="T1018" i="22"/>
  <c r="S1018" i="22"/>
  <c r="T1017" i="22"/>
  <c r="S1017" i="22"/>
  <c r="T1016" i="22"/>
  <c r="S1016" i="22"/>
  <c r="T1015"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S1027" i="22"/>
  <c r="T997" i="22"/>
  <c r="S997" i="22"/>
  <c r="AL21" i="22"/>
  <c r="AK21" i="22"/>
  <c r="T1029" i="22"/>
  <c r="A995" i="22"/>
  <c r="B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B944" i="22"/>
  <c r="C943" i="22"/>
  <c r="E943" i="22"/>
  <c r="F943" i="22"/>
  <c r="G943" i="22"/>
  <c r="P943" i="22" s="1"/>
  <c r="CI20" i="22"/>
  <c r="S971" i="22"/>
  <c r="T971" i="22"/>
  <c r="S972" i="22"/>
  <c r="T972" i="22"/>
  <c r="S973" i="22"/>
  <c r="T973" i="22"/>
  <c r="S974" i="22"/>
  <c r="T974" i="22"/>
  <c r="S975" i="22"/>
  <c r="T975" i="22"/>
  <c r="S976" i="22"/>
  <c r="T976" i="22"/>
  <c r="S977" i="22"/>
  <c r="T977" i="22"/>
  <c r="S978" i="22"/>
  <c r="T978" i="22"/>
  <c r="S979" i="22"/>
  <c r="T979" i="22"/>
  <c r="S980" i="22"/>
  <c r="T980" i="22"/>
  <c r="S981" i="22"/>
  <c r="T981" i="22"/>
  <c r="S982" i="22"/>
  <c r="T982" i="22"/>
  <c r="S983" i="22"/>
  <c r="T983" i="22"/>
  <c r="S984" i="22"/>
  <c r="T984" i="22"/>
  <c r="S985" i="22"/>
  <c r="T985" i="22"/>
  <c r="S986" i="22"/>
  <c r="T986" i="22"/>
  <c r="S987" i="22"/>
  <c r="T987" i="22"/>
  <c r="S988" i="22"/>
  <c r="T988" i="22"/>
  <c r="S989" i="22"/>
  <c r="T989" i="22"/>
  <c r="S990" i="22"/>
  <c r="T990" i="22"/>
  <c r="T970" i="22"/>
  <c r="S943" i="22"/>
  <c r="T943" i="22"/>
  <c r="S944" i="22"/>
  <c r="T944" i="22"/>
  <c r="S945" i="22"/>
  <c r="T945" i="22"/>
  <c r="S946" i="22"/>
  <c r="T946" i="22"/>
  <c r="S954" i="22"/>
  <c r="S947" i="22"/>
  <c r="T947" i="22"/>
  <c r="S948" i="22"/>
  <c r="T948" i="22"/>
  <c r="S949" i="22"/>
  <c r="T949" i="22"/>
  <c r="S950" i="22"/>
  <c r="T950" i="22"/>
  <c r="S951" i="22"/>
  <c r="T951" i="22"/>
  <c r="S952" i="22"/>
  <c r="T952" i="22"/>
  <c r="S953" i="22"/>
  <c r="T953" i="22"/>
  <c r="T954" i="22"/>
  <c r="S955" i="22"/>
  <c r="T955" i="22"/>
  <c r="S956" i="22"/>
  <c r="T956" i="22"/>
  <c r="S957" i="22"/>
  <c r="T957" i="22"/>
  <c r="S958" i="22"/>
  <c r="T958" i="22"/>
  <c r="S959" i="22"/>
  <c r="T959" i="22"/>
  <c r="S960" i="22"/>
  <c r="T960" i="22"/>
  <c r="S961" i="22"/>
  <c r="T961" i="22"/>
  <c r="S962" i="22"/>
  <c r="T962" i="22"/>
  <c r="S963" i="22"/>
  <c r="T963" i="22"/>
  <c r="S964" i="22"/>
  <c r="T964" i="22"/>
  <c r="S965" i="22"/>
  <c r="T965" i="22"/>
  <c r="S966" i="22"/>
  <c r="T966" i="22"/>
  <c r="S967" i="22"/>
  <c r="T967" i="22"/>
  <c r="S968" i="22"/>
  <c r="T968" i="22"/>
  <c r="AL20" i="22"/>
  <c r="AK20" i="22"/>
  <c r="S969" i="22"/>
  <c r="T969" i="22"/>
  <c r="S970"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C889" i="22"/>
  <c r="E889" i="22"/>
  <c r="G889" i="22"/>
  <c r="R889" i="22" s="1"/>
  <c r="B890" i="22"/>
  <c r="F889" i="22"/>
  <c r="CI19" i="22"/>
  <c r="S890" i="22"/>
  <c r="AL19" i="22"/>
  <c r="AK19" i="22"/>
  <c r="S917" i="22"/>
  <c r="T917" i="22"/>
  <c r="S918" i="22"/>
  <c r="T918" i="22"/>
  <c r="S919" i="22"/>
  <c r="T919" i="22"/>
  <c r="S920" i="22"/>
  <c r="T920" i="22"/>
  <c r="S921" i="22"/>
  <c r="T921" i="22"/>
  <c r="S922" i="22"/>
  <c r="T922" i="22"/>
  <c r="S923" i="22"/>
  <c r="T923" i="22"/>
  <c r="S924" i="22"/>
  <c r="T924" i="22"/>
  <c r="S925" i="22"/>
  <c r="T925" i="22"/>
  <c r="S926" i="22"/>
  <c r="T926" i="22"/>
  <c r="S927" i="22"/>
  <c r="T927" i="22"/>
  <c r="S928" i="22"/>
  <c r="T928" i="22"/>
  <c r="S929" i="22"/>
  <c r="T929" i="22"/>
  <c r="S930" i="22"/>
  <c r="T930" i="22"/>
  <c r="S931" i="22"/>
  <c r="T931" i="22"/>
  <c r="S932" i="22"/>
  <c r="T932" i="22"/>
  <c r="S933" i="22"/>
  <c r="T933" i="22"/>
  <c r="S934" i="22"/>
  <c r="T934" i="22"/>
  <c r="S935" i="22"/>
  <c r="T935" i="22"/>
  <c r="S936" i="22"/>
  <c r="T936" i="22"/>
  <c r="S889" i="22"/>
  <c r="T889" i="22"/>
  <c r="T890" i="22"/>
  <c r="S891" i="22"/>
  <c r="T891" i="22"/>
  <c r="S892" i="22"/>
  <c r="T892" i="22"/>
  <c r="S893" i="22"/>
  <c r="T893" i="22"/>
  <c r="S894" i="22"/>
  <c r="T894" i="22"/>
  <c r="S895" i="22"/>
  <c r="T895" i="22"/>
  <c r="S896" i="22"/>
  <c r="T896" i="22"/>
  <c r="S897" i="22"/>
  <c r="T897" i="22"/>
  <c r="S898" i="22"/>
  <c r="T898" i="22"/>
  <c r="S899" i="22"/>
  <c r="T899" i="22"/>
  <c r="S900" i="22"/>
  <c r="T900" i="22"/>
  <c r="S901" i="22"/>
  <c r="T901" i="22"/>
  <c r="S902" i="22"/>
  <c r="T902" i="22"/>
  <c r="S903" i="22"/>
  <c r="T903" i="22"/>
  <c r="S904" i="22"/>
  <c r="T904" i="22"/>
  <c r="S905" i="22"/>
  <c r="T905" i="22"/>
  <c r="S906" i="22"/>
  <c r="T906" i="22"/>
  <c r="S907" i="22"/>
  <c r="T907" i="22"/>
  <c r="S908" i="22"/>
  <c r="T908" i="22"/>
  <c r="S909" i="22"/>
  <c r="T909" i="22"/>
  <c r="S910" i="22"/>
  <c r="T910" i="22"/>
  <c r="S911" i="22"/>
  <c r="T911" i="22"/>
  <c r="S912" i="22"/>
  <c r="T912" i="22"/>
  <c r="S913" i="22"/>
  <c r="T913" i="22"/>
  <c r="S914" i="22"/>
  <c r="T914" i="22"/>
  <c r="S915" i="22"/>
  <c r="T915" i="22"/>
  <c r="S916" i="22"/>
  <c r="T916"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G835" i="22"/>
  <c r="R835" i="22" s="1"/>
  <c r="B836" i="22"/>
  <c r="E835" i="22"/>
  <c r="C835" i="22"/>
  <c r="F835" i="22" s="1"/>
  <c r="CI18" i="22"/>
  <c r="S835" i="22"/>
  <c r="T835" i="22"/>
  <c r="S836" i="22"/>
  <c r="T836" i="22"/>
  <c r="S837" i="22"/>
  <c r="T837" i="22"/>
  <c r="S838" i="22"/>
  <c r="T838" i="22"/>
  <c r="S839" i="22"/>
  <c r="T839" i="22"/>
  <c r="S840" i="22"/>
  <c r="T840" i="22"/>
  <c r="S841" i="22"/>
  <c r="T841" i="22"/>
  <c r="S842" i="22"/>
  <c r="T842" i="22"/>
  <c r="S843" i="22"/>
  <c r="T843" i="22"/>
  <c r="S844" i="22"/>
  <c r="T844" i="22"/>
  <c r="S845" i="22"/>
  <c r="T845" i="22"/>
  <c r="S846" i="22"/>
  <c r="T846" i="22"/>
  <c r="S847" i="22"/>
  <c r="S848" i="22"/>
  <c r="T848" i="22"/>
  <c r="S849" i="22"/>
  <c r="T849" i="22"/>
  <c r="S850" i="22"/>
  <c r="T850" i="22"/>
  <c r="S851" i="22"/>
  <c r="T851" i="22"/>
  <c r="S852" i="22"/>
  <c r="T852" i="22"/>
  <c r="S853" i="22"/>
  <c r="T853" i="22"/>
  <c r="S854" i="22"/>
  <c r="T854" i="22"/>
  <c r="S855" i="22"/>
  <c r="T855" i="22"/>
  <c r="T857" i="22"/>
  <c r="S857" i="22"/>
  <c r="T856" i="22"/>
  <c r="S856" i="22"/>
  <c r="T847" i="22"/>
  <c r="AK18" i="22"/>
  <c r="AL18" i="22"/>
  <c r="S879" i="22"/>
  <c r="T882" i="22"/>
  <c r="S882" i="22"/>
  <c r="T881" i="22"/>
  <c r="S881" i="22"/>
  <c r="T880" i="22"/>
  <c r="S880" i="22"/>
  <c r="T879" i="22"/>
  <c r="T878" i="22"/>
  <c r="S878" i="22"/>
  <c r="T877" i="22"/>
  <c r="S877" i="22"/>
  <c r="T876" i="22"/>
  <c r="S876" i="22"/>
  <c r="T875" i="22"/>
  <c r="S875" i="22"/>
  <c r="T874" i="22"/>
  <c r="S874" i="22"/>
  <c r="T873" i="22"/>
  <c r="S873"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E781" i="22"/>
  <c r="C781" i="22"/>
  <c r="G781" i="22"/>
  <c r="R781" i="22" s="1"/>
  <c r="I781" i="22"/>
  <c r="B782" i="22"/>
  <c r="L782" i="22" s="1"/>
  <c r="CI17" i="22"/>
  <c r="S789" i="22"/>
  <c r="T788" i="22"/>
  <c r="S788" i="22"/>
  <c r="T787" i="22"/>
  <c r="S787" i="22"/>
  <c r="T786" i="22"/>
  <c r="S786" i="22"/>
  <c r="T785" i="22"/>
  <c r="S785" i="22"/>
  <c r="T784" i="22"/>
  <c r="S784" i="22"/>
  <c r="T783" i="22"/>
  <c r="S783" i="22"/>
  <c r="T782" i="22"/>
  <c r="S782" i="22"/>
  <c r="T794" i="22"/>
  <c r="T781" i="22"/>
  <c r="S781" i="22"/>
  <c r="S795" i="22"/>
  <c r="T795" i="22"/>
  <c r="T792" i="22"/>
  <c r="S796" i="22"/>
  <c r="T810" i="22"/>
  <c r="T818" i="22"/>
  <c r="S818" i="22"/>
  <c r="T812" i="22"/>
  <c r="T817" i="22"/>
  <c r="S817" i="22"/>
  <c r="S812" i="22"/>
  <c r="AK17" i="22"/>
  <c r="AL17" i="22"/>
  <c r="T796" i="22"/>
  <c r="S797" i="22"/>
  <c r="T797" i="22"/>
  <c r="S798" i="22"/>
  <c r="T798" i="22"/>
  <c r="S799" i="22"/>
  <c r="T799" i="22"/>
  <c r="S800" i="22"/>
  <c r="T800" i="22"/>
  <c r="S801" i="22"/>
  <c r="T801" i="22"/>
  <c r="T793" i="22"/>
  <c r="S802" i="22"/>
  <c r="T802" i="22"/>
  <c r="S803" i="22"/>
  <c r="T803" i="22"/>
  <c r="S804" i="22"/>
  <c r="T804" i="22"/>
  <c r="S805" i="22"/>
  <c r="T805" i="22"/>
  <c r="S806" i="22"/>
  <c r="T806" i="22"/>
  <c r="S807" i="22"/>
  <c r="S819" i="22"/>
  <c r="T819" i="22"/>
  <c r="S813" i="22"/>
  <c r="T813" i="22"/>
  <c r="S820" i="22"/>
  <c r="T820" i="22"/>
  <c r="S821" i="22"/>
  <c r="T821" i="22"/>
  <c r="S809" i="22"/>
  <c r="S814" i="22"/>
  <c r="S822" i="22"/>
  <c r="T822" i="22"/>
  <c r="S793" i="22"/>
  <c r="T814" i="22"/>
  <c r="S823" i="22"/>
  <c r="T823" i="22"/>
  <c r="T808" i="22"/>
  <c r="S811" i="22"/>
  <c r="T811" i="22"/>
  <c r="S824" i="22"/>
  <c r="T824" i="22"/>
  <c r="S815" i="22"/>
  <c r="T815" i="22"/>
  <c r="S825" i="22"/>
  <c r="T825" i="22"/>
  <c r="S826" i="22"/>
  <c r="T826" i="22"/>
  <c r="T809" i="22"/>
  <c r="S816" i="22"/>
  <c r="S827" i="22"/>
  <c r="T827" i="22"/>
  <c r="T816" i="22"/>
  <c r="S828" i="22"/>
  <c r="T828" i="22"/>
  <c r="S810" i="22"/>
  <c r="S792" i="22"/>
  <c r="T791" i="22"/>
  <c r="S791" i="22"/>
  <c r="S794" i="22"/>
  <c r="T807" i="22"/>
  <c r="T790" i="22"/>
  <c r="S790" i="22"/>
  <c r="T789" i="22"/>
  <c r="S808"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L781" i="22"/>
  <c r="A17" i="22"/>
  <c r="B829" i="22"/>
  <c r="C17" i="22" s="1"/>
  <c r="B728" i="22"/>
  <c r="C727" i="22"/>
  <c r="E727" i="22"/>
  <c r="F727" i="22"/>
  <c r="G727" i="22"/>
  <c r="I727" i="22"/>
  <c r="CI16" i="22"/>
  <c r="S774" i="22"/>
  <c r="S739" i="22"/>
  <c r="T753" i="22"/>
  <c r="S753" i="22"/>
  <c r="T742" i="22"/>
  <c r="T752" i="22"/>
  <c r="S752" i="22"/>
  <c r="T738" i="22"/>
  <c r="S738" i="22"/>
  <c r="S727" i="22"/>
  <c r="T727" i="22"/>
  <c r="T751" i="22"/>
  <c r="S751" i="22"/>
  <c r="S728" i="22"/>
  <c r="T728" i="22"/>
  <c r="S733" i="22"/>
  <c r="S729" i="22"/>
  <c r="T729" i="22"/>
  <c r="T737" i="22"/>
  <c r="S730" i="22"/>
  <c r="T730" i="22"/>
  <c r="T750" i="22"/>
  <c r="S750" i="22"/>
  <c r="S731" i="22"/>
  <c r="T731" i="22"/>
  <c r="S737" i="22"/>
  <c r="S732" i="22"/>
  <c r="T732" i="22"/>
  <c r="T749" i="22"/>
  <c r="T774" i="22"/>
  <c r="S749" i="22"/>
  <c r="AL16" i="22"/>
  <c r="T773" i="22"/>
  <c r="S773" i="22"/>
  <c r="AK16" i="22"/>
  <c r="T772" i="22"/>
  <c r="S772" i="22"/>
  <c r="T748" i="22"/>
  <c r="S748" i="22"/>
  <c r="T771" i="22"/>
  <c r="S771" i="22"/>
  <c r="T770" i="22"/>
  <c r="S770" i="22"/>
  <c r="T747" i="22"/>
  <c r="T769" i="22"/>
  <c r="S769" i="22"/>
  <c r="S747" i="22"/>
  <c r="T736" i="22"/>
  <c r="S736" i="22"/>
  <c r="T768" i="22"/>
  <c r="S768" i="22"/>
  <c r="T746" i="22"/>
  <c r="T767" i="22"/>
  <c r="S767" i="22"/>
  <c r="S746" i="22"/>
  <c r="T766" i="22"/>
  <c r="S766" i="22"/>
  <c r="T735" i="22"/>
  <c r="T765" i="22"/>
  <c r="S765" i="22"/>
  <c r="T745" i="22"/>
  <c r="S745" i="22"/>
  <c r="T764" i="22"/>
  <c r="S764" i="22"/>
  <c r="S735" i="22"/>
  <c r="T734" i="22"/>
  <c r="T763" i="22"/>
  <c r="S763" i="22"/>
  <c r="T744" i="22"/>
  <c r="S744" i="22"/>
  <c r="T762" i="22"/>
  <c r="S762" i="22"/>
  <c r="S734" i="22"/>
  <c r="T761" i="22"/>
  <c r="S761" i="22"/>
  <c r="T743" i="22"/>
  <c r="T760" i="22"/>
  <c r="S760" i="22"/>
  <c r="S743" i="22"/>
  <c r="T733" i="22"/>
  <c r="T759" i="22"/>
  <c r="S759" i="22"/>
  <c r="T758" i="22"/>
  <c r="S758" i="22"/>
  <c r="S742" i="22"/>
  <c r="T757" i="22"/>
  <c r="S757" i="22"/>
  <c r="T741" i="22"/>
  <c r="S741" i="22"/>
  <c r="T756" i="22"/>
  <c r="S756" i="22"/>
  <c r="T740" i="22"/>
  <c r="T755" i="22"/>
  <c r="S755" i="22"/>
  <c r="S740" i="22"/>
  <c r="T754" i="22"/>
  <c r="S754" i="22"/>
  <c r="T739"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K727" i="22"/>
  <c r="L727" i="22"/>
  <c r="L728" i="22"/>
  <c r="B775" i="22"/>
  <c r="C16" i="22" s="1"/>
  <c r="A16" i="22"/>
  <c r="G673" i="22"/>
  <c r="B674" i="22"/>
  <c r="C673" i="22"/>
  <c r="E673" i="22"/>
  <c r="F673" i="22"/>
  <c r="T718" i="22"/>
  <c r="T717" i="22"/>
  <c r="AL15" i="22"/>
  <c r="AK15" i="22"/>
  <c r="S712" i="22"/>
  <c r="T712" i="22"/>
  <c r="S713" i="22"/>
  <c r="T713" i="22"/>
  <c r="S714" i="22"/>
  <c r="T714" i="22"/>
  <c r="S715" i="22"/>
  <c r="S718" i="22"/>
  <c r="T715" i="22"/>
  <c r="S716" i="22"/>
  <c r="T716" i="22"/>
  <c r="S717" i="22"/>
  <c r="T673" i="22"/>
  <c r="S673" i="22"/>
  <c r="S674" i="22"/>
  <c r="T674" i="22"/>
  <c r="S675" i="22"/>
  <c r="T675" i="22"/>
  <c r="S676" i="22"/>
  <c r="T676" i="22"/>
  <c r="S677" i="22"/>
  <c r="T677" i="22"/>
  <c r="S678" i="22"/>
  <c r="T678" i="22"/>
  <c r="S679" i="22"/>
  <c r="T679" i="22"/>
  <c r="S680" i="22"/>
  <c r="T680" i="22"/>
  <c r="S681" i="22"/>
  <c r="T681" i="22"/>
  <c r="S682" i="22"/>
  <c r="T682" i="22"/>
  <c r="S683" i="22"/>
  <c r="T683" i="22"/>
  <c r="S684" i="22"/>
  <c r="T684" i="22"/>
  <c r="S685" i="22"/>
  <c r="T685" i="22"/>
  <c r="S686" i="22"/>
  <c r="T686" i="22"/>
  <c r="S687" i="22"/>
  <c r="T687" i="22"/>
  <c r="S688" i="22"/>
  <c r="T688" i="22"/>
  <c r="S689" i="22"/>
  <c r="T689" i="22"/>
  <c r="S690" i="22"/>
  <c r="T690" i="22"/>
  <c r="S691" i="22"/>
  <c r="T691" i="22"/>
  <c r="S692" i="22"/>
  <c r="T692" i="22"/>
  <c r="S693" i="22"/>
  <c r="T693" i="22"/>
  <c r="S694" i="22"/>
  <c r="T694" i="22"/>
  <c r="S695" i="22"/>
  <c r="T695" i="22"/>
  <c r="S696" i="22"/>
  <c r="T696" i="22"/>
  <c r="S697" i="22"/>
  <c r="T697" i="22"/>
  <c r="S698" i="22"/>
  <c r="T698" i="22"/>
  <c r="S699" i="22"/>
  <c r="T699" i="22"/>
  <c r="S700" i="22"/>
  <c r="T700" i="22"/>
  <c r="S701" i="22"/>
  <c r="T701" i="22"/>
  <c r="S702" i="22"/>
  <c r="T702" i="22"/>
  <c r="S703" i="22"/>
  <c r="T703" i="22"/>
  <c r="S704" i="22"/>
  <c r="T704" i="22"/>
  <c r="S705" i="22"/>
  <c r="T705" i="22"/>
  <c r="S706" i="22"/>
  <c r="T706" i="22"/>
  <c r="S707" i="22"/>
  <c r="T707" i="22"/>
  <c r="S708" i="22"/>
  <c r="T708" i="22"/>
  <c r="S709" i="22"/>
  <c r="T709" i="22"/>
  <c r="S710" i="22"/>
  <c r="T710" i="22"/>
  <c r="S711" i="22"/>
  <c r="T711"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C619" i="22"/>
  <c r="K619" i="22" s="1"/>
  <c r="E619" i="22"/>
  <c r="F619" i="22"/>
  <c r="G619" i="22"/>
  <c r="I619" i="22"/>
  <c r="B620" i="22"/>
  <c r="CI14"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AL14" i="22"/>
  <c r="AK14" i="22"/>
  <c r="T622" i="22"/>
  <c r="S622" i="22"/>
  <c r="T621" i="22"/>
  <c r="S621" i="22"/>
  <c r="T620" i="22"/>
  <c r="S620" i="22"/>
  <c r="T619" i="22"/>
  <c r="S619" i="22"/>
  <c r="S642" i="22"/>
  <c r="T666" i="22"/>
  <c r="S666" i="22"/>
  <c r="T665" i="22"/>
  <c r="S665" i="22"/>
  <c r="T664" i="22"/>
  <c r="S664" i="22"/>
  <c r="T663" i="22"/>
  <c r="S663" i="22"/>
  <c r="T662" i="22"/>
  <c r="S662" i="22"/>
  <c r="T661" i="22"/>
  <c r="S661" i="22"/>
  <c r="T660" i="22"/>
  <c r="S660" i="22"/>
  <c r="T659" i="22"/>
  <c r="S659" i="22"/>
  <c r="T658" i="22"/>
  <c r="S658" i="22"/>
  <c r="T657" i="22"/>
  <c r="S657" i="22"/>
  <c r="T656" i="22"/>
  <c r="S656" i="22"/>
  <c r="T655" i="22"/>
  <c r="S655"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BW14" i="22" s="1"/>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A14" i="22"/>
  <c r="B667" i="22"/>
  <c r="C14" i="22" s="1"/>
  <c r="L619" i="22"/>
  <c r="I565" i="22"/>
  <c r="G565" i="22"/>
  <c r="B566" i="22"/>
  <c r="C565" i="22"/>
  <c r="E565" i="22"/>
  <c r="F565" i="22"/>
  <c r="CI13" i="22"/>
  <c r="S575" i="22"/>
  <c r="T579" i="22"/>
  <c r="T604" i="22"/>
  <c r="S604" i="22"/>
  <c r="S579" i="22"/>
  <c r="T603" i="22"/>
  <c r="T606" i="22"/>
  <c r="S603" i="22"/>
  <c r="T578" i="22"/>
  <c r="T602" i="22"/>
  <c r="S602" i="22"/>
  <c r="S578" i="22"/>
  <c r="S606" i="22"/>
  <c r="T601" i="22"/>
  <c r="S601" i="22"/>
  <c r="T577" i="22"/>
  <c r="S577" i="22"/>
  <c r="T600" i="22"/>
  <c r="S600" i="22"/>
  <c r="T605" i="22"/>
  <c r="S605" i="22"/>
  <c r="T576" i="22"/>
  <c r="S576" i="22"/>
  <c r="T599" i="22"/>
  <c r="S599" i="22"/>
  <c r="S565" i="22"/>
  <c r="T598" i="22"/>
  <c r="S598" i="22"/>
  <c r="T575" i="22"/>
  <c r="T565" i="22"/>
  <c r="T597" i="22"/>
  <c r="S597" i="22"/>
  <c r="T574" i="22"/>
  <c r="S574" i="22"/>
  <c r="T596" i="22"/>
  <c r="S596" i="22"/>
  <c r="T612" i="22"/>
  <c r="S612" i="22"/>
  <c r="T595" i="22"/>
  <c r="S595" i="22"/>
  <c r="T573" i="22"/>
  <c r="S573" i="22"/>
  <c r="T594" i="22"/>
  <c r="S594" i="22"/>
  <c r="T611" i="22"/>
  <c r="T593" i="22"/>
  <c r="S593" i="22"/>
  <c r="T572" i="22"/>
  <c r="T592" i="22"/>
  <c r="S592" i="22"/>
  <c r="S572" i="22"/>
  <c r="S611" i="22"/>
  <c r="T591" i="22"/>
  <c r="S591" i="22"/>
  <c r="T571" i="22"/>
  <c r="S571" i="22"/>
  <c r="T590" i="22"/>
  <c r="S590" i="22"/>
  <c r="T610" i="22"/>
  <c r="S610" i="22"/>
  <c r="T570" i="22"/>
  <c r="T589" i="22"/>
  <c r="S589" i="22"/>
  <c r="S570" i="22"/>
  <c r="T609" i="22"/>
  <c r="T588" i="22"/>
  <c r="S588" i="22"/>
  <c r="T569" i="22"/>
  <c r="T587" i="22"/>
  <c r="S587" i="22"/>
  <c r="S569" i="22"/>
  <c r="S609" i="22"/>
  <c r="T586" i="22"/>
  <c r="S586" i="22"/>
  <c r="T608" i="22"/>
  <c r="T585" i="22"/>
  <c r="S585" i="22"/>
  <c r="T568" i="22"/>
  <c r="S568" i="22"/>
  <c r="S608" i="22"/>
  <c r="T584" i="22"/>
  <c r="S584" i="22"/>
  <c r="T567" i="22"/>
  <c r="T583" i="22"/>
  <c r="S583" i="22"/>
  <c r="S567" i="22"/>
  <c r="T607" i="22"/>
  <c r="T582" i="22"/>
  <c r="S582" i="22"/>
  <c r="AL13" i="22"/>
  <c r="T581" i="22"/>
  <c r="T566" i="22"/>
  <c r="S581" i="22"/>
  <c r="S566" i="22"/>
  <c r="AK13" i="22"/>
  <c r="T580" i="22"/>
  <c r="S580" i="22"/>
  <c r="S607"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A13" i="22"/>
  <c r="L565" i="22"/>
  <c r="L566" i="22"/>
  <c r="K565" i="22"/>
  <c r="B613" i="22"/>
  <c r="C13" i="22" s="1"/>
  <c r="G511" i="22"/>
  <c r="R511" i="22" s="1"/>
  <c r="C511" i="22"/>
  <c r="K511" i="22" s="1"/>
  <c r="B512" i="22"/>
  <c r="L512" i="22" s="1"/>
  <c r="E511" i="22"/>
  <c r="F511" i="22"/>
  <c r="CI12" i="22"/>
  <c r="S511" i="22"/>
  <c r="S544" i="22"/>
  <c r="S528" i="22"/>
  <c r="S512" i="22"/>
  <c r="AK12" i="22"/>
  <c r="AL12" i="22"/>
  <c r="T543" i="22"/>
  <c r="S543" i="22"/>
  <c r="T542" i="22"/>
  <c r="T527" i="22"/>
  <c r="S527" i="22"/>
  <c r="T526" i="22"/>
  <c r="T515" i="22"/>
  <c r="S524" i="22"/>
  <c r="T522" i="22"/>
  <c r="T520" i="22"/>
  <c r="S522" i="22"/>
  <c r="T523" i="22"/>
  <c r="S521" i="22"/>
  <c r="T524" i="22"/>
  <c r="T518" i="22"/>
  <c r="T525" i="22"/>
  <c r="T517" i="22"/>
  <c r="T529" i="22"/>
  <c r="T531" i="22"/>
  <c r="T532" i="22"/>
  <c r="T534" i="22"/>
  <c r="S534" i="22"/>
  <c r="T538" i="22"/>
  <c r="S556" i="22"/>
  <c r="S541" i="22"/>
  <c r="T555" i="22"/>
  <c r="S555" i="22"/>
  <c r="T554" i="22"/>
  <c r="S533" i="22"/>
  <c r="S554" i="22"/>
  <c r="T533" i="22"/>
  <c r="T553" i="22"/>
  <c r="S553" i="22"/>
  <c r="S535" i="22"/>
  <c r="S542" i="22"/>
  <c r="S517" i="22"/>
  <c r="T516" i="22"/>
  <c r="S516" i="22"/>
  <c r="T514" i="22"/>
  <c r="S514" i="22"/>
  <c r="T513" i="22"/>
  <c r="T541" i="22"/>
  <c r="S513" i="22"/>
  <c r="T512" i="22"/>
  <c r="T535" i="22"/>
  <c r="T540" i="22"/>
  <c r="S536" i="22"/>
  <c r="T536" i="22"/>
  <c r="S540" i="22"/>
  <c r="S537" i="22"/>
  <c r="T537" i="22"/>
  <c r="T539" i="22"/>
  <c r="S539" i="22"/>
  <c r="S532" i="22"/>
  <c r="S531" i="22"/>
  <c r="S538" i="22"/>
  <c r="T530" i="22"/>
  <c r="S530" i="22"/>
  <c r="S529" i="22"/>
  <c r="S526" i="22"/>
  <c r="S552" i="22"/>
  <c r="S525" i="22"/>
  <c r="T552" i="22"/>
  <c r="S523" i="22"/>
  <c r="T521" i="22"/>
  <c r="S520" i="22"/>
  <c r="T519" i="22"/>
  <c r="S519" i="22"/>
  <c r="S518" i="22"/>
  <c r="S515" i="22"/>
  <c r="T511" i="22"/>
  <c r="T551" i="22"/>
  <c r="S551" i="22"/>
  <c r="T550" i="22"/>
  <c r="T528" i="22"/>
  <c r="S550" i="22"/>
  <c r="T549" i="22"/>
  <c r="S549" i="22"/>
  <c r="T548" i="22"/>
  <c r="S548" i="22"/>
  <c r="T558" i="22"/>
  <c r="S558" i="22"/>
  <c r="T547" i="22"/>
  <c r="S547" i="22"/>
  <c r="T546" i="22"/>
  <c r="T557" i="22"/>
  <c r="S546" i="22"/>
  <c r="S557" i="22"/>
  <c r="T545" i="22"/>
  <c r="S545" i="22"/>
  <c r="T544" i="22"/>
  <c r="T556" i="22"/>
  <c r="B509" i="22"/>
  <c r="A509" i="22"/>
  <c r="E508" i="22"/>
  <c r="H512" i="22"/>
  <c r="H516" i="22"/>
  <c r="H520" i="22"/>
  <c r="H521" i="22"/>
  <c r="H524" i="22"/>
  <c r="H526" i="22"/>
  <c r="H531" i="22"/>
  <c r="H533" i="22"/>
  <c r="H511" i="22"/>
  <c r="H522" i="22"/>
  <c r="H530" i="22"/>
  <c r="H532" i="22"/>
  <c r="H513" i="22"/>
  <c r="H514" i="22"/>
  <c r="H515" i="22"/>
  <c r="H517" i="22"/>
  <c r="H518" i="22"/>
  <c r="H519" i="22"/>
  <c r="H523" i="22"/>
  <c r="H525" i="22"/>
  <c r="H527" i="22"/>
  <c r="H528" i="22"/>
  <c r="H529"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L511" i="22"/>
  <c r="I511" i="22"/>
  <c r="A12" i="22"/>
  <c r="B559" i="22"/>
  <c r="C12" i="22" s="1"/>
  <c r="I457" i="22"/>
  <c r="B458" i="22"/>
  <c r="E457" i="22"/>
  <c r="G457" i="22"/>
  <c r="C457" i="22"/>
  <c r="F457" i="22" s="1"/>
  <c r="CI11" i="22"/>
  <c r="S467" i="22"/>
  <c r="S502" i="22"/>
  <c r="S465" i="22"/>
  <c r="S501" i="22"/>
  <c r="T504" i="22"/>
  <c r="S504" i="22"/>
  <c r="S499" i="22"/>
  <c r="S498" i="22"/>
  <c r="S503" i="22"/>
  <c r="T496" i="22"/>
  <c r="T501" i="22"/>
  <c r="T464" i="22"/>
  <c r="S491" i="22"/>
  <c r="T490" i="22"/>
  <c r="S489" i="22"/>
  <c r="T499" i="22"/>
  <c r="S481" i="22"/>
  <c r="T498" i="22"/>
  <c r="T497" i="22"/>
  <c r="T480" i="22"/>
  <c r="T463" i="22"/>
  <c r="S497" i="22"/>
  <c r="S463" i="22"/>
  <c r="S496" i="22"/>
  <c r="S480" i="22"/>
  <c r="T476" i="22"/>
  <c r="S495" i="22"/>
  <c r="S476" i="22"/>
  <c r="S475" i="22"/>
  <c r="T494" i="22"/>
  <c r="S494" i="22"/>
  <c r="T473" i="22"/>
  <c r="S464" i="22"/>
  <c r="T461" i="22"/>
  <c r="T491" i="22"/>
  <c r="T487" i="22"/>
  <c r="T459" i="22"/>
  <c r="S459" i="22"/>
  <c r="S490" i="22"/>
  <c r="T488" i="22"/>
  <c r="S457" i="22"/>
  <c r="T485" i="22"/>
  <c r="S487" i="22"/>
  <c r="T502" i="22"/>
  <c r="T457" i="22"/>
  <c r="T486" i="22"/>
  <c r="S486" i="22"/>
  <c r="T484" i="22"/>
  <c r="S485" i="22"/>
  <c r="T500" i="22"/>
  <c r="S500" i="22"/>
  <c r="S484" i="22"/>
  <c r="T495" i="22"/>
  <c r="T503" i="22"/>
  <c r="T493" i="22"/>
  <c r="S483" i="22"/>
  <c r="T481" i="22"/>
  <c r="S493" i="22"/>
  <c r="T492" i="22"/>
  <c r="T478" i="22"/>
  <c r="S492" i="22"/>
  <c r="T489" i="22"/>
  <c r="T467" i="22"/>
  <c r="S458" i="22"/>
  <c r="T482" i="22"/>
  <c r="T458" i="22"/>
  <c r="T479" i="22"/>
  <c r="S479" i="22"/>
  <c r="T475" i="22"/>
  <c r="T472" i="22"/>
  <c r="S472" i="22"/>
  <c r="T471" i="22"/>
  <c r="S471" i="22"/>
  <c r="S478" i="22"/>
  <c r="T469" i="22"/>
  <c r="S469" i="22"/>
  <c r="T466" i="22"/>
  <c r="S466" i="22"/>
  <c r="T465" i="22"/>
  <c r="T477" i="22"/>
  <c r="S477" i="22"/>
  <c r="T462" i="22"/>
  <c r="S462" i="22"/>
  <c r="S461" i="22"/>
  <c r="T460" i="22"/>
  <c r="S460" i="22"/>
  <c r="AL11" i="22"/>
  <c r="AK11" i="22"/>
  <c r="T483" i="22"/>
  <c r="S482" i="22"/>
  <c r="S488" i="22"/>
  <c r="T474" i="22"/>
  <c r="S474" i="22"/>
  <c r="S473" i="22"/>
  <c r="T470" i="22"/>
  <c r="S470" i="22"/>
  <c r="T468" i="22"/>
  <c r="S468" i="22"/>
  <c r="B455" i="22"/>
  <c r="A455" i="22"/>
  <c r="E454" i="22"/>
  <c r="H475" i="22"/>
  <c r="H477" i="22"/>
  <c r="H484" i="22"/>
  <c r="BZ11" i="22" s="1"/>
  <c r="H486" i="22"/>
  <c r="CB11" i="22" s="1"/>
  <c r="H487" i="22"/>
  <c r="CC11" i="22" s="1"/>
  <c r="H495" i="22"/>
  <c r="H498" i="22"/>
  <c r="H500" i="22"/>
  <c r="H504" i="22"/>
  <c r="H457" i="22"/>
  <c r="H458" i="22"/>
  <c r="H459" i="22"/>
  <c r="H460" i="22"/>
  <c r="H464" i="22"/>
  <c r="H465" i="22"/>
  <c r="H466" i="22"/>
  <c r="H468" i="22"/>
  <c r="H469" i="22"/>
  <c r="H471" i="22"/>
  <c r="H478" i="22"/>
  <c r="H481" i="22"/>
  <c r="H482" i="22"/>
  <c r="BX11" i="22" s="1"/>
  <c r="H485" i="22"/>
  <c r="CA11" i="22" s="1"/>
  <c r="H489" i="22"/>
  <c r="CE11" i="22" s="1"/>
  <c r="H491" i="22"/>
  <c r="CG11" i="22" s="1"/>
  <c r="H492" i="22"/>
  <c r="CH11" i="22" s="1"/>
  <c r="H497" i="22"/>
  <c r="H499" i="22"/>
  <c r="H502" i="22"/>
  <c r="H461" i="22"/>
  <c r="H462" i="22"/>
  <c r="H463" i="22"/>
  <c r="H467" i="22"/>
  <c r="H470" i="22"/>
  <c r="H472" i="22"/>
  <c r="H473" i="22"/>
  <c r="H474" i="22"/>
  <c r="H476" i="22"/>
  <c r="H479" i="22"/>
  <c r="H480" i="22"/>
  <c r="H483" i="22"/>
  <c r="BY11" i="22" s="1"/>
  <c r="H488" i="22"/>
  <c r="CD11" i="22" s="1"/>
  <c r="H490" i="22"/>
  <c r="CF11" i="22" s="1"/>
  <c r="H493" i="22"/>
  <c r="H494" i="22"/>
  <c r="H496" i="22"/>
  <c r="H501" i="22"/>
  <c r="H503" i="22"/>
  <c r="K457" i="22"/>
  <c r="L458" i="22"/>
  <c r="B505" i="22"/>
  <c r="C11" i="22" s="1"/>
  <c r="L457" i="22"/>
  <c r="A11" i="22"/>
  <c r="E403" i="22"/>
  <c r="C403" i="22"/>
  <c r="F403" i="22" s="1"/>
  <c r="B404" i="22"/>
  <c r="G403" i="22"/>
  <c r="T407" i="22"/>
  <c r="T410" i="22"/>
  <c r="S407" i="22"/>
  <c r="T406" i="22"/>
  <c r="S406" i="22"/>
  <c r="T405" i="22"/>
  <c r="S405" i="22"/>
  <c r="S404" i="22"/>
  <c r="T403" i="22"/>
  <c r="S403" i="22"/>
  <c r="T404" i="22"/>
  <c r="S410" i="22"/>
  <c r="T409" i="22"/>
  <c r="S409" i="22"/>
  <c r="T408" i="22"/>
  <c r="S408" i="22"/>
  <c r="A401" i="22"/>
  <c r="B401" i="22"/>
  <c r="E400" i="22"/>
  <c r="H403" i="22"/>
  <c r="H404" i="22"/>
  <c r="H405" i="22"/>
  <c r="H406" i="22"/>
  <c r="H407" i="22"/>
  <c r="H408" i="22"/>
  <c r="H409" i="22"/>
  <c r="H410" i="22"/>
  <c r="H411" i="22"/>
  <c r="H414" i="22"/>
  <c r="H417" i="22"/>
  <c r="H420" i="22"/>
  <c r="H421" i="22"/>
  <c r="H422" i="22"/>
  <c r="H426" i="22"/>
  <c r="H430" i="22"/>
  <c r="BZ10" i="22" s="1"/>
  <c r="H433" i="22"/>
  <c r="CC10" i="22" s="1"/>
  <c r="H434" i="22"/>
  <c r="CD10" i="22" s="1"/>
  <c r="H435" i="22"/>
  <c r="CE10" i="22" s="1"/>
  <c r="H437" i="22"/>
  <c r="CG10" i="22" s="1"/>
  <c r="H441" i="22"/>
  <c r="H447" i="22"/>
  <c r="H448" i="22"/>
  <c r="H449" i="22"/>
  <c r="H450" i="22"/>
  <c r="H412" i="22"/>
  <c r="H413" i="22"/>
  <c r="H415" i="22"/>
  <c r="H419" i="22"/>
  <c r="H424" i="22"/>
  <c r="H425" i="22"/>
  <c r="H431" i="22"/>
  <c r="CA10" i="22" s="1"/>
  <c r="H444" i="22"/>
  <c r="H445" i="22"/>
  <c r="H416" i="22"/>
  <c r="H418" i="22"/>
  <c r="H423" i="22"/>
  <c r="H427" i="22"/>
  <c r="BW10" i="22" s="1"/>
  <c r="H428" i="22"/>
  <c r="BX10" i="22" s="1"/>
  <c r="H429" i="22"/>
  <c r="BY10" i="22" s="1"/>
  <c r="H432" i="22"/>
  <c r="CB10" i="22" s="1"/>
  <c r="H436" i="22"/>
  <c r="CF10" i="22" s="1"/>
  <c r="H438" i="22"/>
  <c r="CH10" i="22" s="1"/>
  <c r="H439" i="22"/>
  <c r="H440" i="22"/>
  <c r="H442" i="22"/>
  <c r="H443" i="22"/>
  <c r="H446" i="22"/>
  <c r="E349" i="22"/>
  <c r="G349" i="22"/>
  <c r="C349" i="22"/>
  <c r="F349" i="22" s="1"/>
  <c r="B350" i="22"/>
  <c r="CI9" i="22"/>
  <c r="T393" i="22"/>
  <c r="S393" i="22"/>
  <c r="S367" i="22"/>
  <c r="T392" i="22"/>
  <c r="S392" i="22"/>
  <c r="S353" i="22"/>
  <c r="T391" i="22"/>
  <c r="S391" i="22"/>
  <c r="AK9" i="22"/>
  <c r="S352" i="22"/>
  <c r="T390" i="22"/>
  <c r="S390" i="22"/>
  <c r="T353" i="22"/>
  <c r="T389" i="22"/>
  <c r="S389" i="22"/>
  <c r="T366" i="22"/>
  <c r="T388" i="22"/>
  <c r="S388" i="22"/>
  <c r="S366" i="22"/>
  <c r="S354" i="22"/>
  <c r="T387" i="22"/>
  <c r="S387" i="22"/>
  <c r="T354" i="22"/>
  <c r="T386" i="22"/>
  <c r="S386" i="22"/>
  <c r="T359" i="22"/>
  <c r="T385" i="22"/>
  <c r="S385" i="22"/>
  <c r="S355" i="22"/>
  <c r="T384" i="22"/>
  <c r="S384" i="22"/>
  <c r="T365" i="22"/>
  <c r="T383" i="22"/>
  <c r="S383" i="22"/>
  <c r="S364" i="22"/>
  <c r="T355" i="22"/>
  <c r="T382" i="22"/>
  <c r="S382" i="22"/>
  <c r="T381" i="22"/>
  <c r="S381" i="22"/>
  <c r="S360" i="22"/>
  <c r="T360" i="22"/>
  <c r="T380" i="22"/>
  <c r="S380" i="22"/>
  <c r="S356" i="22"/>
  <c r="T356" i="22"/>
  <c r="T379" i="22"/>
  <c r="S379" i="22"/>
  <c r="T378" i="22"/>
  <c r="S378" i="22"/>
  <c r="S363" i="22"/>
  <c r="T377" i="22"/>
  <c r="S377" i="22"/>
  <c r="S357" i="22"/>
  <c r="T376" i="22"/>
  <c r="S376" i="22"/>
  <c r="S361" i="22"/>
  <c r="T375" i="22"/>
  <c r="S375" i="22"/>
  <c r="T357" i="22"/>
  <c r="T374" i="22"/>
  <c r="S374" i="22"/>
  <c r="S365" i="22"/>
  <c r="T373" i="22"/>
  <c r="S373" i="22"/>
  <c r="T361" i="22"/>
  <c r="S358" i="22"/>
  <c r="T372" i="22"/>
  <c r="S372" i="22"/>
  <c r="T358" i="22"/>
  <c r="T371" i="22"/>
  <c r="S371" i="22"/>
  <c r="T370" i="22"/>
  <c r="S370" i="22"/>
  <c r="AL9" i="22"/>
  <c r="T369" i="22"/>
  <c r="S369" i="22"/>
  <c r="T363" i="22"/>
  <c r="S349" i="22"/>
  <c r="S362" i="22"/>
  <c r="T349" i="22"/>
  <c r="T364" i="22"/>
  <c r="S350" i="22"/>
  <c r="T350" i="22"/>
  <c r="T368" i="22"/>
  <c r="S351" i="22"/>
  <c r="T351" i="22"/>
  <c r="S368" i="22"/>
  <c r="T396" i="22"/>
  <c r="S396" i="22"/>
  <c r="T362" i="22"/>
  <c r="S359" i="22"/>
  <c r="T395" i="22"/>
  <c r="S395" i="22"/>
  <c r="T352" i="22"/>
  <c r="T394" i="22"/>
  <c r="S394" i="22"/>
  <c r="T367" i="22"/>
  <c r="A347" i="22"/>
  <c r="B347" i="22"/>
  <c r="I347" i="22" s="1"/>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C295" i="22"/>
  <c r="E295" i="22"/>
  <c r="B296" i="22"/>
  <c r="G295" i="22"/>
  <c r="I295" i="22"/>
  <c r="F295" i="22"/>
  <c r="CI8" i="22"/>
  <c r="S310" i="22"/>
  <c r="T310" i="22"/>
  <c r="S311" i="22"/>
  <c r="T311" i="22"/>
  <c r="S312" i="22"/>
  <c r="T312" i="22"/>
  <c r="S313" i="22"/>
  <c r="T313" i="22"/>
  <c r="S314" i="22"/>
  <c r="AL8" i="22"/>
  <c r="T314" i="22"/>
  <c r="S315" i="22"/>
  <c r="T315" i="22"/>
  <c r="S316" i="22"/>
  <c r="T316" i="22"/>
  <c r="S317" i="22"/>
  <c r="T317" i="22"/>
  <c r="S318" i="22"/>
  <c r="T318" i="22"/>
  <c r="S319" i="22"/>
  <c r="T319" i="22"/>
  <c r="S320" i="22"/>
  <c r="T320" i="22"/>
  <c r="S321" i="22"/>
  <c r="T321" i="22"/>
  <c r="S322" i="22"/>
  <c r="T322" i="22"/>
  <c r="S323" i="22"/>
  <c r="T323" i="22"/>
  <c r="S324" i="22"/>
  <c r="T324" i="22"/>
  <c r="S325" i="22"/>
  <c r="T325" i="22"/>
  <c r="S326" i="22"/>
  <c r="T326" i="22"/>
  <c r="S327" i="22"/>
  <c r="T327" i="22"/>
  <c r="S328" i="22"/>
  <c r="T328" i="22"/>
  <c r="S329" i="22"/>
  <c r="T329" i="22"/>
  <c r="S330" i="22"/>
  <c r="T330" i="22"/>
  <c r="S331" i="22"/>
  <c r="T331" i="22"/>
  <c r="S332" i="22"/>
  <c r="T332" i="22"/>
  <c r="S333" i="22"/>
  <c r="T333" i="22"/>
  <c r="S334" i="22"/>
  <c r="T334" i="22"/>
  <c r="S335" i="22"/>
  <c r="T335" i="22"/>
  <c r="S336" i="22"/>
  <c r="T336" i="22"/>
  <c r="S337" i="22"/>
  <c r="T337" i="22"/>
  <c r="S338" i="22"/>
  <c r="T338" i="22"/>
  <c r="S339" i="22"/>
  <c r="T339" i="22"/>
  <c r="S340" i="22"/>
  <c r="T340" i="22"/>
  <c r="S341" i="22"/>
  <c r="T341" i="22"/>
  <c r="S342" i="22"/>
  <c r="AK8" i="22"/>
  <c r="S295" i="22"/>
  <c r="T295" i="22"/>
  <c r="S296" i="22"/>
  <c r="T296" i="22"/>
  <c r="S297" i="22"/>
  <c r="T297" i="22"/>
  <c r="S298" i="22"/>
  <c r="T298" i="22"/>
  <c r="S299" i="22"/>
  <c r="T299" i="22"/>
  <c r="S300" i="22"/>
  <c r="T300" i="22"/>
  <c r="S301" i="22"/>
  <c r="T301" i="22"/>
  <c r="S302" i="22"/>
  <c r="T302" i="22"/>
  <c r="S303" i="22"/>
  <c r="T303" i="22"/>
  <c r="S304" i="22"/>
  <c r="T304" i="22"/>
  <c r="S305" i="22"/>
  <c r="T305" i="22"/>
  <c r="S306" i="22"/>
  <c r="T306" i="22"/>
  <c r="S307" i="22"/>
  <c r="T307" i="22"/>
  <c r="S308" i="22"/>
  <c r="T308" i="22"/>
  <c r="S309" i="22"/>
  <c r="T309" i="22"/>
  <c r="T342" i="22"/>
  <c r="B293" i="22"/>
  <c r="J293" i="22" s="1"/>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A8" i="22"/>
  <c r="B343" i="22"/>
  <c r="C8" i="22" s="1"/>
  <c r="K295" i="22"/>
  <c r="L295" i="22"/>
  <c r="L296" i="22"/>
  <c r="G241" i="22"/>
  <c r="I241" i="22"/>
  <c r="B242" i="22"/>
  <c r="E241" i="22"/>
  <c r="C241" i="22"/>
  <c r="K241" i="22" s="1"/>
  <c r="F241" i="22"/>
  <c r="CI7" i="22"/>
  <c r="T286" i="22"/>
  <c r="S287" i="22"/>
  <c r="T287" i="22"/>
  <c r="S288" i="22"/>
  <c r="T288" i="22"/>
  <c r="S241" i="22"/>
  <c r="T241" i="22"/>
  <c r="S242" i="22"/>
  <c r="T242" i="22"/>
  <c r="S243" i="22"/>
  <c r="T243" i="22"/>
  <c r="S244" i="22"/>
  <c r="T244" i="22"/>
  <c r="S245" i="22"/>
  <c r="T245" i="22"/>
  <c r="S246" i="22"/>
  <c r="T246" i="22"/>
  <c r="S247" i="22"/>
  <c r="T247" i="22"/>
  <c r="S248" i="22"/>
  <c r="T248" i="22"/>
  <c r="S249" i="22"/>
  <c r="T249" i="22"/>
  <c r="S250" i="22"/>
  <c r="T250" i="22"/>
  <c r="S251" i="22"/>
  <c r="T251" i="22"/>
  <c r="S252" i="22"/>
  <c r="T252" i="22"/>
  <c r="S253" i="22"/>
  <c r="T253" i="22"/>
  <c r="S254" i="22"/>
  <c r="T254" i="22"/>
  <c r="S255" i="22"/>
  <c r="T255" i="22"/>
  <c r="S256" i="22"/>
  <c r="T256" i="22"/>
  <c r="S257" i="22"/>
  <c r="T257" i="22"/>
  <c r="S258" i="22"/>
  <c r="T258" i="22"/>
  <c r="S259" i="22"/>
  <c r="T259" i="22"/>
  <c r="S260" i="22"/>
  <c r="T260" i="22"/>
  <c r="S261" i="22"/>
  <c r="T261" i="22"/>
  <c r="S262" i="22"/>
  <c r="T262" i="22"/>
  <c r="S263" i="22"/>
  <c r="T263" i="22"/>
  <c r="S264" i="22"/>
  <c r="T264" i="22"/>
  <c r="S265" i="22"/>
  <c r="T265" i="22"/>
  <c r="S266" i="22"/>
  <c r="T266" i="22"/>
  <c r="S267" i="22"/>
  <c r="T267" i="22"/>
  <c r="S268" i="22"/>
  <c r="T268" i="22"/>
  <c r="S269" i="22"/>
  <c r="T269" i="22"/>
  <c r="S270" i="22"/>
  <c r="T270" i="22"/>
  <c r="S271" i="22"/>
  <c r="T271" i="22"/>
  <c r="S272" i="22"/>
  <c r="T272" i="22"/>
  <c r="S273" i="22"/>
  <c r="T273" i="22"/>
  <c r="AL7" i="22"/>
  <c r="AK7" i="22"/>
  <c r="L7" i="22"/>
  <c r="AI7" i="22" s="1"/>
  <c r="K7" i="22"/>
  <c r="S274" i="22"/>
  <c r="T274" i="22"/>
  <c r="S275" i="22"/>
  <c r="T275" i="22"/>
  <c r="S276" i="22"/>
  <c r="T276" i="22"/>
  <c r="S277" i="22"/>
  <c r="T277" i="22"/>
  <c r="S278" i="22"/>
  <c r="T278" i="22"/>
  <c r="S279" i="22"/>
  <c r="T279" i="22"/>
  <c r="S280" i="22"/>
  <c r="T280" i="22"/>
  <c r="S281" i="22"/>
  <c r="T281" i="22"/>
  <c r="S282" i="22"/>
  <c r="T282" i="22"/>
  <c r="S283" i="22"/>
  <c r="T283" i="22"/>
  <c r="S284" i="22"/>
  <c r="T284" i="22"/>
  <c r="S285" i="22"/>
  <c r="T285" i="22"/>
  <c r="S286" i="22"/>
  <c r="A239" i="22"/>
  <c r="B239" i="22"/>
  <c r="E238" i="22"/>
  <c r="H288" i="22" s="1"/>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B289" i="22"/>
  <c r="C7" i="22" s="1"/>
  <c r="L241" i="22"/>
  <c r="A7" i="22"/>
  <c r="C187" i="22"/>
  <c r="K187" i="22" s="1"/>
  <c r="I187" i="22"/>
  <c r="F187" i="22"/>
  <c r="G187" i="22"/>
  <c r="E187" i="22"/>
  <c r="B188" i="22"/>
  <c r="L188" i="22" s="1"/>
  <c r="CI6" i="22"/>
  <c r="S189" i="22"/>
  <c r="T212" i="22"/>
  <c r="T188" i="22"/>
  <c r="S188" i="22"/>
  <c r="T187" i="22"/>
  <c r="S187" i="22"/>
  <c r="S213" i="22"/>
  <c r="T213" i="22"/>
  <c r="S214" i="22"/>
  <c r="T214" i="22"/>
  <c r="S215" i="22"/>
  <c r="T215" i="22"/>
  <c r="S216" i="22"/>
  <c r="T216" i="22"/>
  <c r="T234" i="22"/>
  <c r="S234" i="22"/>
  <c r="T233" i="22"/>
  <c r="S217" i="22"/>
  <c r="T217" i="22"/>
  <c r="S233" i="22"/>
  <c r="T232" i="22"/>
  <c r="S232" i="22"/>
  <c r="S218" i="22"/>
  <c r="T218" i="22"/>
  <c r="T231" i="22"/>
  <c r="S231" i="22"/>
  <c r="S219" i="22"/>
  <c r="T219" i="22"/>
  <c r="T230" i="22"/>
  <c r="AK6" i="22"/>
  <c r="AL6" i="22"/>
  <c r="S230" i="22"/>
  <c r="T229" i="22"/>
  <c r="S229" i="22"/>
  <c r="S220" i="22"/>
  <c r="T220" i="22"/>
  <c r="S221" i="22"/>
  <c r="T221" i="22"/>
  <c r="T228" i="22"/>
  <c r="S228" i="22"/>
  <c r="T227" i="22"/>
  <c r="S227" i="22"/>
  <c r="S222" i="22"/>
  <c r="T226" i="22"/>
  <c r="T222" i="22"/>
  <c r="S226" i="22"/>
  <c r="T191" i="22"/>
  <c r="T225" i="22"/>
  <c r="S225" i="22"/>
  <c r="S223" i="22"/>
  <c r="T223" i="22"/>
  <c r="T224" i="22"/>
  <c r="S224"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S191" i="22"/>
  <c r="T190" i="22"/>
  <c r="S190" i="22"/>
  <c r="T189"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A6" i="22"/>
  <c r="L187" i="22"/>
  <c r="B235" i="22"/>
  <c r="C6" i="22" s="1"/>
  <c r="E133" i="22"/>
  <c r="C133" i="22"/>
  <c r="F133" i="22" s="1"/>
  <c r="G133" i="22"/>
  <c r="Q133" i="22" s="1"/>
  <c r="B134" i="22"/>
  <c r="CI5" i="22"/>
  <c r="S150" i="22"/>
  <c r="T150" i="22"/>
  <c r="S154" i="22"/>
  <c r="T154" i="22"/>
  <c r="S134" i="22"/>
  <c r="T134" i="22"/>
  <c r="S137" i="22"/>
  <c r="T137" i="22"/>
  <c r="T138" i="22"/>
  <c r="S140" i="22"/>
  <c r="T169" i="22"/>
  <c r="T167" i="22"/>
  <c r="S166" i="22"/>
  <c r="T162" i="22"/>
  <c r="T161" i="22"/>
  <c r="T159" i="22"/>
  <c r="S159" i="22"/>
  <c r="T158" i="22"/>
  <c r="T156" i="22"/>
  <c r="T155" i="22"/>
  <c r="S155" i="22"/>
  <c r="T133" i="22"/>
  <c r="S135" i="22"/>
  <c r="S138" i="22"/>
  <c r="S139" i="22"/>
  <c r="T140" i="22"/>
  <c r="S143" i="22"/>
  <c r="S144" i="22"/>
  <c r="S145" i="22"/>
  <c r="T146" i="22"/>
  <c r="T151" i="22"/>
  <c r="S152" i="22"/>
  <c r="S156" i="22"/>
  <c r="T157" i="22"/>
  <c r="S158" i="22"/>
  <c r="S160" i="22"/>
  <c r="S162" i="22"/>
  <c r="S163" i="22"/>
  <c r="S164" i="22"/>
  <c r="T164" i="22"/>
  <c r="S165" i="22"/>
  <c r="T166" i="22"/>
  <c r="S168" i="22"/>
  <c r="T168" i="22"/>
  <c r="S169" i="22"/>
  <c r="T152" i="22"/>
  <c r="S151" i="22"/>
  <c r="T147" i="22"/>
  <c r="S146" i="22"/>
  <c r="T142" i="22"/>
  <c r="S142" i="22"/>
  <c r="T141" i="22"/>
  <c r="T139" i="22"/>
  <c r="T136" i="22"/>
  <c r="AK5" i="22"/>
  <c r="AL5" i="22"/>
  <c r="T145" i="22"/>
  <c r="S147" i="22"/>
  <c r="T180" i="22"/>
  <c r="S180" i="22"/>
  <c r="T179" i="22"/>
  <c r="S179" i="22"/>
  <c r="T178" i="22"/>
  <c r="S178" i="22"/>
  <c r="T177" i="22"/>
  <c r="S177" i="22"/>
  <c r="T176" i="22"/>
  <c r="S176" i="22"/>
  <c r="T175" i="22"/>
  <c r="S175" i="22"/>
  <c r="T174" i="22"/>
  <c r="S174" i="22"/>
  <c r="T173" i="22"/>
  <c r="S173" i="22"/>
  <c r="T172" i="22"/>
  <c r="S172" i="22"/>
  <c r="T171" i="22"/>
  <c r="S171" i="22"/>
  <c r="T170" i="22"/>
  <c r="S170" i="22"/>
  <c r="S167" i="22"/>
  <c r="T165" i="22"/>
  <c r="T163" i="22"/>
  <c r="S161" i="22"/>
  <c r="T160" i="22"/>
  <c r="S157" i="22"/>
  <c r="T153" i="22"/>
  <c r="S153" i="22"/>
  <c r="T149" i="22"/>
  <c r="T148" i="22"/>
  <c r="S148" i="22"/>
  <c r="T144" i="22"/>
  <c r="T143" i="22"/>
  <c r="S141" i="22"/>
  <c r="S136" i="22"/>
  <c r="T135" i="22"/>
  <c r="S149" i="22"/>
  <c r="S133" i="22"/>
  <c r="B131" i="22"/>
  <c r="A131" i="22"/>
  <c r="E130" i="22"/>
  <c r="H134" i="22"/>
  <c r="H136" i="22"/>
  <c r="H138" i="22"/>
  <c r="H141" i="22"/>
  <c r="H144" i="22"/>
  <c r="H147" i="22"/>
  <c r="H152" i="22"/>
  <c r="H157" i="22"/>
  <c r="H158" i="22"/>
  <c r="BX5" i="22" s="1"/>
  <c r="H163" i="22"/>
  <c r="CC5" i="22" s="1"/>
  <c r="H166" i="22"/>
  <c r="CF5" i="22" s="1"/>
  <c r="H167" i="22"/>
  <c r="CG5" i="22" s="1"/>
  <c r="H169" i="22"/>
  <c r="H170" i="22"/>
  <c r="H133" i="22"/>
  <c r="H137" i="22"/>
  <c r="H140" i="22"/>
  <c r="H142" i="22"/>
  <c r="H148" i="22"/>
  <c r="H153" i="22"/>
  <c r="H156" i="22"/>
  <c r="H159" i="22"/>
  <c r="BY5" i="22" s="1"/>
  <c r="H160" i="22"/>
  <c r="BZ5" i="22" s="1"/>
  <c r="H135" i="22"/>
  <c r="H139" i="22"/>
  <c r="H143" i="22"/>
  <c r="H146" i="22"/>
  <c r="H150" i="22"/>
  <c r="H155" i="22"/>
  <c r="H165" i="22"/>
  <c r="CE5" i="22" s="1"/>
  <c r="K133" i="22"/>
  <c r="L133" i="22"/>
  <c r="I133" i="22"/>
  <c r="A5" i="22"/>
  <c r="L134" i="22"/>
  <c r="B181" i="22"/>
  <c r="C5" i="22" s="1"/>
  <c r="G79" i="22"/>
  <c r="E79" i="22"/>
  <c r="C79" i="22"/>
  <c r="F79" i="22" s="1"/>
  <c r="B80" i="22"/>
  <c r="T96" i="22"/>
  <c r="S96" i="22"/>
  <c r="T95" i="22"/>
  <c r="S95" i="22"/>
  <c r="T94" i="22"/>
  <c r="S94" i="22"/>
  <c r="T93" i="22"/>
  <c r="T92" i="22"/>
  <c r="S92" i="22"/>
  <c r="T91" i="22"/>
  <c r="S91" i="22"/>
  <c r="T90" i="22"/>
  <c r="S90" i="22"/>
  <c r="T89" i="22"/>
  <c r="S89" i="22"/>
  <c r="T88" i="22"/>
  <c r="S88" i="22"/>
  <c r="T87" i="22"/>
  <c r="S87" i="22"/>
  <c r="T86" i="22"/>
  <c r="S86" i="22"/>
  <c r="T85" i="22"/>
  <c r="S85" i="22"/>
  <c r="T84" i="22"/>
  <c r="S84" i="22"/>
  <c r="T83" i="22"/>
  <c r="S83" i="22"/>
  <c r="T82" i="22"/>
  <c r="S82" i="22"/>
  <c r="T81" i="22"/>
  <c r="S81" i="22"/>
  <c r="T80" i="22"/>
  <c r="S80" i="22"/>
  <c r="S93" i="22"/>
  <c r="T79" i="22"/>
  <c r="S79" i="22"/>
  <c r="T98" i="22"/>
  <c r="S98" i="22"/>
  <c r="T97" i="22"/>
  <c r="S97" i="22"/>
  <c r="B77" i="22"/>
  <c r="J77" i="22" s="1"/>
  <c r="A77" i="22"/>
  <c r="E76" i="22"/>
  <c r="H79" i="22"/>
  <c r="H80" i="22"/>
  <c r="H81" i="22"/>
  <c r="H82" i="22"/>
  <c r="H83" i="22"/>
  <c r="H84" i="22"/>
  <c r="H85" i="22"/>
  <c r="H86" i="22"/>
  <c r="H87" i="22"/>
  <c r="H88" i="22"/>
  <c r="H89" i="22"/>
  <c r="H90" i="22"/>
  <c r="H91" i="22"/>
  <c r="H92" i="22"/>
  <c r="H93" i="22"/>
  <c r="H94" i="22"/>
  <c r="H95" i="22"/>
  <c r="H96" i="22"/>
  <c r="H97" i="22"/>
  <c r="H98" i="22"/>
  <c r="H99" i="22"/>
  <c r="H100" i="22"/>
  <c r="H106" i="22"/>
  <c r="BZ4" i="22" s="1"/>
  <c r="H112" i="22"/>
  <c r="CF4" i="22" s="1"/>
  <c r="H114" i="22"/>
  <c r="CH4" i="22" s="1"/>
  <c r="H119" i="22"/>
  <c r="H121" i="22"/>
  <c r="H122" i="22"/>
  <c r="H101" i="22"/>
  <c r="H102" i="22"/>
  <c r="H104" i="22"/>
  <c r="BX4" i="22" s="1"/>
  <c r="H107" i="22"/>
  <c r="CA4" i="22" s="1"/>
  <c r="H108" i="22"/>
  <c r="CB4" i="22" s="1"/>
  <c r="H109" i="22"/>
  <c r="CC4" i="22" s="1"/>
  <c r="H111" i="22"/>
  <c r="CE4" i="22" s="1"/>
  <c r="H116" i="22"/>
  <c r="H118" i="22"/>
  <c r="H123" i="22"/>
  <c r="H105" i="22"/>
  <c r="BY4" i="22" s="1"/>
  <c r="H110" i="22"/>
  <c r="CD4" i="22" s="1"/>
  <c r="H125" i="22"/>
  <c r="H103" i="22"/>
  <c r="BW4" i="22" s="1"/>
  <c r="H113" i="22"/>
  <c r="CG4" i="22" s="1"/>
  <c r="H115" i="22"/>
  <c r="H117" i="22"/>
  <c r="H120" i="22"/>
  <c r="H124" i="22"/>
  <c r="H126" i="22"/>
  <c r="Y72" i="22"/>
  <c r="X72" i="22"/>
  <c r="W72" i="22"/>
  <c r="AE72" i="22"/>
  <c r="X71" i="22"/>
  <c r="Y71" i="22"/>
  <c r="W71" i="22"/>
  <c r="AE71" i="22"/>
  <c r="W70" i="22"/>
  <c r="Y70" i="22"/>
  <c r="X70" i="22"/>
  <c r="AE70" i="22"/>
  <c r="X69" i="22"/>
  <c r="W69" i="22"/>
  <c r="Y69" i="22"/>
  <c r="AE69" i="22"/>
  <c r="W68" i="22"/>
  <c r="X68" i="22"/>
  <c r="Y68" i="22"/>
  <c r="AE68" i="22"/>
  <c r="CM67" i="22"/>
  <c r="CT67" i="22"/>
  <c r="Y67" i="22"/>
  <c r="X67" i="22"/>
  <c r="W67" i="22"/>
  <c r="AE67" i="22"/>
  <c r="Y66" i="22"/>
  <c r="X66" i="22"/>
  <c r="W66" i="22"/>
  <c r="AE66" i="22"/>
  <c r="Y65" i="22"/>
  <c r="X65" i="22"/>
  <c r="W65" i="22"/>
  <c r="AE65" i="22"/>
  <c r="CG64" i="22"/>
  <c r="CF64" i="22"/>
  <c r="CE64" i="22"/>
  <c r="CC64" i="22"/>
  <c r="CB64" i="22"/>
  <c r="CA64" i="22"/>
  <c r="BZ64" i="22"/>
  <c r="BY64" i="22"/>
  <c r="BX64" i="22"/>
  <c r="BW64" i="22"/>
  <c r="Y64" i="22"/>
  <c r="X64" i="22"/>
  <c r="W64" i="22"/>
  <c r="CH64" i="22"/>
  <c r="CD64" i="22"/>
  <c r="AE64" i="22"/>
  <c r="CH63" i="22"/>
  <c r="CG63" i="22"/>
  <c r="CF63" i="22"/>
  <c r="CE63" i="22"/>
  <c r="CD63" i="22"/>
  <c r="CC63" i="22"/>
  <c r="CA63" i="22"/>
  <c r="BY63" i="22"/>
  <c r="BX63" i="22"/>
  <c r="BW63" i="22"/>
  <c r="Y63" i="22"/>
  <c r="X63" i="22"/>
  <c r="W63" i="22"/>
  <c r="CB63" i="22"/>
  <c r="BZ63" i="22"/>
  <c r="AE63" i="22"/>
  <c r="CG62" i="22"/>
  <c r="CF62" i="22"/>
  <c r="CE62" i="22"/>
  <c r="BY62" i="22"/>
  <c r="Y62" i="22"/>
  <c r="X62" i="22"/>
  <c r="W62" i="22"/>
  <c r="AE62" i="22"/>
  <c r="CM61" i="22"/>
  <c r="CT61" i="22"/>
  <c r="W61" i="22"/>
  <c r="X61" i="22"/>
  <c r="Y61" i="22"/>
  <c r="AE61" i="22"/>
  <c r="CT60" i="22"/>
  <c r="CM60" i="22"/>
  <c r="W60" i="22"/>
  <c r="Y60" i="22"/>
  <c r="X60" i="22"/>
  <c r="AE60" i="22"/>
  <c r="CF59" i="22"/>
  <c r="CE59" i="22"/>
  <c r="CD59" i="22"/>
  <c r="Y59" i="22"/>
  <c r="CC59" i="22"/>
  <c r="CB59" i="22"/>
  <c r="CA59" i="22"/>
  <c r="X59" i="22"/>
  <c r="BZ59" i="22"/>
  <c r="BY59" i="22"/>
  <c r="BX59" i="22"/>
  <c r="W59" i="22"/>
  <c r="BW59" i="22"/>
  <c r="CH59" i="22"/>
  <c r="CG59" i="22"/>
  <c r="AE59" i="22"/>
  <c r="CE58" i="22"/>
  <c r="CB58" i="22"/>
  <c r="BW58" i="22"/>
  <c r="CG58" i="22"/>
  <c r="CF58" i="22"/>
  <c r="BX58" i="22"/>
  <c r="BY58" i="22"/>
  <c r="BZ58" i="22"/>
  <c r="CA58" i="22"/>
  <c r="W58" i="22"/>
  <c r="X58" i="22"/>
  <c r="CD58" i="22"/>
  <c r="Y58" i="22"/>
  <c r="CH58" i="22"/>
  <c r="CC58" i="22"/>
  <c r="AE58" i="22"/>
  <c r="Y57" i="22"/>
  <c r="X57" i="22"/>
  <c r="W57" i="22"/>
  <c r="AE57" i="22"/>
  <c r="CM56" i="22"/>
  <c r="CT56" i="22"/>
  <c r="W56" i="22"/>
  <c r="Y56" i="22"/>
  <c r="X56" i="22"/>
  <c r="AE56" i="22"/>
  <c r="Y55" i="22"/>
  <c r="X55" i="22"/>
  <c r="W55" i="22"/>
  <c r="AE55" i="22"/>
  <c r="W54" i="22"/>
  <c r="X54" i="22"/>
  <c r="Y54" i="22"/>
  <c r="AE54" i="22"/>
  <c r="W53" i="22"/>
  <c r="X53" i="22"/>
  <c r="Y53" i="22"/>
  <c r="AE53" i="22"/>
  <c r="W52" i="22"/>
  <c r="X52" i="22"/>
  <c r="Y52" i="22"/>
  <c r="AE52" i="22"/>
  <c r="BY51" i="22"/>
  <c r="W51" i="22"/>
  <c r="X51" i="22"/>
  <c r="Y51" i="22"/>
  <c r="BW51" i="22"/>
  <c r="BX51" i="22"/>
  <c r="BZ51" i="22"/>
  <c r="CA51" i="22"/>
  <c r="CB51" i="22"/>
  <c r="CF51" i="22"/>
  <c r="CC51" i="22"/>
  <c r="CD51" i="22"/>
  <c r="CE51" i="22"/>
  <c r="CG51" i="22"/>
  <c r="CH51" i="22"/>
  <c r="AE51" i="22"/>
  <c r="BW50" i="22"/>
  <c r="BX50" i="22"/>
  <c r="X50" i="22"/>
  <c r="W50" i="22"/>
  <c r="Y50" i="22"/>
  <c r="BY50" i="22"/>
  <c r="BZ50" i="22"/>
  <c r="CB50" i="22"/>
  <c r="CC50" i="22"/>
  <c r="CD50" i="22"/>
  <c r="CE50" i="22"/>
  <c r="CF50" i="22"/>
  <c r="CA50" i="22"/>
  <c r="CG50" i="22"/>
  <c r="CH50" i="22"/>
  <c r="AE50" i="22"/>
  <c r="Y49" i="22"/>
  <c r="W49" i="22"/>
  <c r="X49" i="22"/>
  <c r="AE49" i="22"/>
  <c r="Y48" i="22"/>
  <c r="X48" i="22"/>
  <c r="W48" i="22"/>
  <c r="AE48" i="22"/>
  <c r="Y47" i="22"/>
  <c r="X47" i="22"/>
  <c r="W47" i="22"/>
  <c r="AE47" i="22"/>
  <c r="Y46" i="22"/>
  <c r="X46" i="22"/>
  <c r="W46" i="22"/>
  <c r="AE46" i="22"/>
  <c r="Y45" i="22"/>
  <c r="X45" i="22"/>
  <c r="W45" i="22"/>
  <c r="AE45" i="22"/>
  <c r="CT44" i="22"/>
  <c r="CM44" i="22"/>
  <c r="W44" i="22"/>
  <c r="CG44" i="22"/>
  <c r="Y44" i="22"/>
  <c r="X44" i="22"/>
  <c r="CH44" i="22"/>
  <c r="BW44" i="22"/>
  <c r="BX44" i="22"/>
  <c r="BY44" i="22"/>
  <c r="BZ44" i="22"/>
  <c r="CA44" i="22"/>
  <c r="CB44" i="22"/>
  <c r="CC44" i="22"/>
  <c r="CD44" i="22"/>
  <c r="CE44" i="22"/>
  <c r="CF44" i="22"/>
  <c r="AE44" i="22"/>
  <c r="W43" i="22"/>
  <c r="X43" i="22"/>
  <c r="Y43" i="22"/>
  <c r="AE43" i="22"/>
  <c r="Y42" i="22"/>
  <c r="X42" i="22"/>
  <c r="W42" i="22"/>
  <c r="AE42" i="22"/>
  <c r="BY41" i="22"/>
  <c r="CH41" i="22"/>
  <c r="BW41" i="22"/>
  <c r="Y41" i="22"/>
  <c r="W41" i="22"/>
  <c r="X41" i="22"/>
  <c r="CD41" i="22"/>
  <c r="BX41" i="22"/>
  <c r="CC41" i="22"/>
  <c r="CB41" i="22"/>
  <c r="CA41" i="22"/>
  <c r="CF41" i="22"/>
  <c r="CE41" i="22"/>
  <c r="CG41" i="22"/>
  <c r="BZ41" i="22"/>
  <c r="AE41" i="22"/>
  <c r="W40" i="22"/>
  <c r="Y40" i="22"/>
  <c r="X40" i="22"/>
  <c r="AE40" i="22"/>
  <c r="W39" i="22"/>
  <c r="X39" i="22"/>
  <c r="Y39" i="22"/>
  <c r="AE39" i="22"/>
  <c r="CT38" i="22"/>
  <c r="CM38" i="22"/>
  <c r="W38" i="22"/>
  <c r="X38" i="22"/>
  <c r="Y38" i="22"/>
  <c r="AE38" i="22"/>
  <c r="CT37" i="22"/>
  <c r="CM37" i="22"/>
  <c r="Y37" i="22"/>
  <c r="X37" i="22"/>
  <c r="W37" i="22"/>
  <c r="AE37" i="22"/>
  <c r="CT36" i="22"/>
  <c r="CM36" i="22"/>
  <c r="W36" i="22"/>
  <c r="Y36" i="22"/>
  <c r="X36" i="22"/>
  <c r="AE36" i="22"/>
  <c r="W35" i="22"/>
  <c r="X35" i="22"/>
  <c r="Y35" i="22"/>
  <c r="BW35" i="22"/>
  <c r="BX35" i="22"/>
  <c r="BY35" i="22"/>
  <c r="CF35" i="22"/>
  <c r="CE35" i="22"/>
  <c r="CD35" i="22"/>
  <c r="CB35" i="22"/>
  <c r="CC35" i="22"/>
  <c r="CH35" i="22"/>
  <c r="CA35" i="22"/>
  <c r="BZ35" i="22"/>
  <c r="CG35" i="22"/>
  <c r="AE35" i="22"/>
  <c r="CC34" i="22"/>
  <c r="CB34" i="22"/>
  <c r="CA34" i="22"/>
  <c r="BZ34" i="22"/>
  <c r="BY34" i="22"/>
  <c r="BX34" i="22"/>
  <c r="BW34" i="22"/>
  <c r="CD34" i="22"/>
  <c r="CE34" i="22"/>
  <c r="Y34" i="22"/>
  <c r="X34" i="22"/>
  <c r="W34" i="22"/>
  <c r="CH34" i="22"/>
  <c r="CG34" i="22"/>
  <c r="CF34" i="22"/>
  <c r="AE34" i="22"/>
  <c r="CM33" i="22"/>
  <c r="CT33" i="22"/>
  <c r="CB33" i="22"/>
  <c r="X33" i="22"/>
  <c r="BY33" i="22"/>
  <c r="BX33" i="22"/>
  <c r="BW33" i="22"/>
  <c r="W33" i="22"/>
  <c r="Y33" i="22"/>
  <c r="CE33" i="22"/>
  <c r="CG33" i="22"/>
  <c r="CA33" i="22"/>
  <c r="BZ33" i="22"/>
  <c r="CC33" i="22"/>
  <c r="CD33" i="22"/>
  <c r="CF33" i="22"/>
  <c r="CH33" i="22"/>
  <c r="AE33" i="22"/>
  <c r="CM32" i="22"/>
  <c r="CT32" i="22"/>
  <c r="BY32" i="22"/>
  <c r="BX32" i="22"/>
  <c r="BW32" i="22"/>
  <c r="Y32" i="22"/>
  <c r="X32" i="22"/>
  <c r="W32" i="22"/>
  <c r="CF32" i="22"/>
  <c r="CG32" i="22"/>
  <c r="CC32" i="22"/>
  <c r="CH32" i="22"/>
  <c r="CD32" i="22"/>
  <c r="CE32" i="22"/>
  <c r="CB32" i="22"/>
  <c r="CA32" i="22"/>
  <c r="BZ32" i="22"/>
  <c r="AE32" i="22"/>
  <c r="CT31" i="22"/>
  <c r="CM31" i="22"/>
  <c r="Y31" i="22"/>
  <c r="X31" i="22"/>
  <c r="W31" i="22"/>
  <c r="AE31" i="22"/>
  <c r="CU31" i="22"/>
  <c r="CV31" i="22"/>
  <c r="W30" i="22"/>
  <c r="Y30" i="22"/>
  <c r="X30" i="22"/>
  <c r="AE30" i="22"/>
  <c r="Y29" i="22"/>
  <c r="X29" i="22"/>
  <c r="W29" i="22"/>
  <c r="AE29" i="22"/>
  <c r="Y28" i="22"/>
  <c r="X28" i="22"/>
  <c r="W28" i="22"/>
  <c r="AE28" i="22"/>
  <c r="CT27" i="22"/>
  <c r="CM27" i="22"/>
  <c r="W27" i="22"/>
  <c r="X27" i="22"/>
  <c r="Y27" i="22"/>
  <c r="AE27" i="22"/>
  <c r="CT26" i="22"/>
  <c r="CM26" i="22"/>
  <c r="Y26" i="22"/>
  <c r="X26" i="22"/>
  <c r="W26" i="22"/>
  <c r="AE26" i="22"/>
  <c r="W25" i="22"/>
  <c r="X25" i="22"/>
  <c r="Y25" i="22"/>
  <c r="AE25" i="22"/>
  <c r="Y24" i="22"/>
  <c r="X24" i="22"/>
  <c r="W24" i="22"/>
  <c r="AE24" i="22"/>
  <c r="X23" i="22"/>
  <c r="W23" i="22"/>
  <c r="Y23" i="22"/>
  <c r="AE23" i="22"/>
  <c r="X22" i="22"/>
  <c r="W22" i="22"/>
  <c r="Y22" i="22"/>
  <c r="AE22" i="22"/>
  <c r="Y21" i="22"/>
  <c r="X21" i="22"/>
  <c r="W21" i="22"/>
  <c r="AE21" i="22"/>
  <c r="W20" i="22"/>
  <c r="Y20" i="22"/>
  <c r="X20" i="22"/>
  <c r="AE20" i="22"/>
  <c r="Y19" i="22"/>
  <c r="X19" i="22"/>
  <c r="W19" i="22"/>
  <c r="AE19" i="22"/>
  <c r="W18" i="22"/>
  <c r="Y18" i="22"/>
  <c r="X18" i="22"/>
  <c r="AE18" i="22"/>
  <c r="Y17" i="22"/>
  <c r="W17" i="22"/>
  <c r="X17" i="22"/>
  <c r="AE17" i="22"/>
  <c r="Y16" i="22"/>
  <c r="X16" i="22"/>
  <c r="W16" i="22"/>
  <c r="AE16" i="22"/>
  <c r="Y15" i="22"/>
  <c r="X15" i="22"/>
  <c r="W15" i="22"/>
  <c r="AE15" i="22"/>
  <c r="X14" i="22"/>
  <c r="W14" i="22"/>
  <c r="Y14" i="22"/>
  <c r="AE14" i="22"/>
  <c r="X13" i="22"/>
  <c r="W13" i="22"/>
  <c r="Y13" i="22"/>
  <c r="AE13" i="22"/>
  <c r="W12" i="22"/>
  <c r="Y12" i="22"/>
  <c r="X12" i="22"/>
  <c r="AE12" i="22"/>
  <c r="Y11" i="22"/>
  <c r="W11" i="22"/>
  <c r="X11" i="22"/>
  <c r="AE11" i="22"/>
  <c r="X10" i="22"/>
  <c r="W10" i="22"/>
  <c r="Y10" i="22"/>
  <c r="AE10" i="22"/>
  <c r="Y9" i="22"/>
  <c r="X9" i="22"/>
  <c r="W9" i="22"/>
  <c r="AE9" i="22"/>
  <c r="Y8" i="22"/>
  <c r="X8" i="22"/>
  <c r="W8" i="22"/>
  <c r="AE8" i="22"/>
  <c r="W7" i="22"/>
  <c r="X7" i="22"/>
  <c r="Y7" i="22"/>
  <c r="AE7" i="22"/>
  <c r="X6" i="22"/>
  <c r="W6" i="22"/>
  <c r="Y6" i="22"/>
  <c r="AE6" i="22"/>
  <c r="W5" i="22"/>
  <c r="X5" i="22"/>
  <c r="Y5" i="22"/>
  <c r="AE5" i="22"/>
  <c r="CT4" i="22"/>
  <c r="CM4" i="22"/>
  <c r="W4" i="22"/>
  <c r="X4" i="22"/>
  <c r="Y4" i="22"/>
  <c r="AE4" i="22"/>
  <c r="B47" i="21"/>
  <c r="B18" i="21"/>
  <c r="B68" i="21"/>
  <c r="B38" i="21"/>
  <c r="B42" i="21"/>
  <c r="B15" i="21"/>
  <c r="B41" i="21"/>
  <c r="B71" i="21"/>
  <c r="B52" i="21"/>
  <c r="B28" i="21"/>
  <c r="B53" i="21"/>
  <c r="B58" i="21"/>
  <c r="B14" i="21"/>
  <c r="B55" i="21"/>
  <c r="B63" i="21"/>
  <c r="B22" i="21"/>
  <c r="B56" i="21"/>
  <c r="B46" i="21"/>
  <c r="B29" i="21"/>
  <c r="B67" i="21"/>
  <c r="B23" i="21"/>
  <c r="B66" i="21"/>
  <c r="B13" i="21"/>
  <c r="B3" i="21"/>
  <c r="B60" i="21"/>
  <c r="B37" i="21"/>
  <c r="B17" i="21"/>
  <c r="B19" i="21"/>
  <c r="B35" i="21"/>
  <c r="B12" i="21"/>
  <c r="B57" i="21"/>
  <c r="B39" i="21"/>
  <c r="B25" i="21"/>
  <c r="B70" i="21"/>
  <c r="B45" i="21"/>
  <c r="B26" i="21"/>
  <c r="B50" i="21"/>
  <c r="B11" i="21"/>
  <c r="B62" i="21"/>
  <c r="B10" i="21"/>
  <c r="B43" i="21"/>
  <c r="B4" i="21"/>
  <c r="B7" i="21"/>
  <c r="B24" i="21"/>
  <c r="B36" i="21"/>
  <c r="B44" i="21"/>
  <c r="B64" i="21"/>
  <c r="B48" i="21"/>
  <c r="B9" i="21"/>
  <c r="B20" i="21"/>
  <c r="B16" i="21"/>
  <c r="B51" i="21"/>
  <c r="B31" i="21"/>
  <c r="B65" i="21"/>
  <c r="B61" i="21"/>
  <c r="B30" i="21"/>
  <c r="B6" i="21"/>
  <c r="B33" i="21"/>
  <c r="B8" i="21"/>
  <c r="B5" i="21"/>
  <c r="B27" i="21"/>
  <c r="B69" i="21"/>
  <c r="B34" i="21"/>
  <c r="B59" i="21"/>
  <c r="B49" i="21"/>
  <c r="B21" i="21"/>
  <c r="B32" i="21"/>
  <c r="B40" i="21"/>
  <c r="B54" i="21"/>
  <c r="A63" i="21"/>
  <c r="I64" i="21" s="1"/>
  <c r="A62" i="21"/>
  <c r="I63" i="21" s="1"/>
  <c r="A61" i="21"/>
  <c r="I62" i="21" s="1"/>
  <c r="A60" i="21"/>
  <c r="I61" i="21" s="1"/>
  <c r="A59" i="21"/>
  <c r="I60" i="21" s="1"/>
  <c r="A58" i="21"/>
  <c r="I59" i="21" s="1"/>
  <c r="A57" i="21"/>
  <c r="I58" i="21" s="1"/>
  <c r="A56" i="21"/>
  <c r="I57" i="21" s="1"/>
  <c r="A55" i="21"/>
  <c r="I56" i="21" s="1"/>
  <c r="A54" i="21"/>
  <c r="I55" i="21" s="1"/>
  <c r="A53" i="21"/>
  <c r="I54" i="21" s="1"/>
  <c r="A52" i="21"/>
  <c r="I53" i="21" s="1"/>
  <c r="A51" i="21"/>
  <c r="I52" i="21" s="1"/>
  <c r="A50" i="21"/>
  <c r="I51" i="21" s="1"/>
  <c r="A49" i="21"/>
  <c r="I50" i="21" s="1"/>
  <c r="A48" i="21"/>
  <c r="I49" i="21" s="1"/>
  <c r="A47" i="21"/>
  <c r="I48" i="21" s="1"/>
  <c r="A46" i="21"/>
  <c r="I47" i="21" s="1"/>
  <c r="A45" i="21"/>
  <c r="I46" i="21" s="1"/>
  <c r="A44" i="21"/>
  <c r="I45" i="21" s="1"/>
  <c r="A43" i="21"/>
  <c r="I44" i="21" s="1"/>
  <c r="A42" i="21"/>
  <c r="I43" i="21" s="1"/>
  <c r="A41" i="21"/>
  <c r="I42" i="21" s="1"/>
  <c r="A40" i="21"/>
  <c r="I41" i="21" s="1"/>
  <c r="A39" i="21"/>
  <c r="I40" i="21" s="1"/>
  <c r="A38" i="21"/>
  <c r="I39" i="21" s="1"/>
  <c r="A37" i="21"/>
  <c r="I38" i="21" s="1"/>
  <c r="A36" i="21"/>
  <c r="I37" i="21" s="1"/>
  <c r="A35" i="21"/>
  <c r="I36" i="21" s="1"/>
  <c r="A34" i="21"/>
  <c r="I35" i="21" s="1"/>
  <c r="A33" i="21"/>
  <c r="I34" i="21" s="1"/>
  <c r="A32" i="21"/>
  <c r="I33" i="21" s="1"/>
  <c r="A31" i="21"/>
  <c r="I32" i="21" s="1"/>
  <c r="A30" i="21"/>
  <c r="I31" i="21" s="1"/>
  <c r="A29" i="21"/>
  <c r="I30" i="21" s="1"/>
  <c r="A28" i="21"/>
  <c r="I29" i="21" s="1"/>
  <c r="A27" i="21"/>
  <c r="I28" i="21" s="1"/>
  <c r="A26" i="21"/>
  <c r="I27" i="21" s="1"/>
  <c r="A25" i="21"/>
  <c r="I26" i="21" s="1"/>
  <c r="A24" i="21"/>
  <c r="I25" i="21" s="1"/>
  <c r="A23" i="21"/>
  <c r="I24" i="21" s="1"/>
  <c r="A22" i="21"/>
  <c r="I23" i="21" s="1"/>
  <c r="A21" i="21"/>
  <c r="I22" i="21" s="1"/>
  <c r="A20" i="21"/>
  <c r="I21" i="21" s="1"/>
  <c r="A19" i="21"/>
  <c r="I20" i="21" s="1"/>
  <c r="A18" i="21"/>
  <c r="I19" i="21" s="1"/>
  <c r="A17" i="21"/>
  <c r="I18" i="21" s="1"/>
  <c r="A16" i="21"/>
  <c r="I17" i="21" s="1"/>
  <c r="A15" i="21"/>
  <c r="I16" i="21" s="1"/>
  <c r="A14" i="21"/>
  <c r="I15" i="21" s="1"/>
  <c r="A13" i="21"/>
  <c r="I14" i="21" s="1"/>
  <c r="A12" i="21"/>
  <c r="I13" i="21" s="1"/>
  <c r="A11" i="21"/>
  <c r="I12" i="21" s="1"/>
  <c r="A10" i="21"/>
  <c r="I11" i="21" s="1"/>
  <c r="A9" i="21"/>
  <c r="I10" i="21" s="1"/>
  <c r="A8" i="21"/>
  <c r="I9" i="21" s="1"/>
  <c r="A7" i="21"/>
  <c r="I8" i="21" s="1"/>
  <c r="A6" i="21"/>
  <c r="I7" i="21" s="1"/>
  <c r="A5" i="21"/>
  <c r="I6" i="21" s="1"/>
  <c r="A4" i="21"/>
  <c r="I5" i="21" s="1"/>
  <c r="A3" i="21"/>
  <c r="I4" i="21" s="1"/>
  <c r="A71" i="21"/>
  <c r="I72" i="21" s="1"/>
  <c r="A70" i="21"/>
  <c r="I71" i="21" s="1"/>
  <c r="A69" i="21"/>
  <c r="I70" i="21" s="1"/>
  <c r="A68" i="21"/>
  <c r="I69" i="21" s="1"/>
  <c r="A67" i="21"/>
  <c r="I68" i="21" s="1"/>
  <c r="A66" i="21"/>
  <c r="I67" i="21" s="1"/>
  <c r="A65" i="21"/>
  <c r="I66" i="21" s="1"/>
  <c r="A64" i="21"/>
  <c r="I65" i="21" s="1"/>
  <c r="I17" i="17"/>
  <c r="B18" i="17"/>
  <c r="C17" i="17"/>
  <c r="E17" i="17"/>
  <c r="F17" i="17"/>
  <c r="C17" i="18" s="1"/>
  <c r="G17" i="17"/>
  <c r="X16" i="17"/>
  <c r="B82" i="12"/>
  <c r="I82" i="12" s="1"/>
  <c r="V17" i="17"/>
  <c r="W15" i="17"/>
  <c r="R17" i="17"/>
  <c r="H17" i="18" s="1"/>
  <c r="R133" i="22"/>
  <c r="R943" i="22"/>
  <c r="R997" i="22"/>
  <c r="R2617" i="22"/>
  <c r="R2941" i="22"/>
  <c r="R2995" i="22"/>
  <c r="R4729" i="22"/>
  <c r="Q943" i="22"/>
  <c r="Q997" i="22"/>
  <c r="Q1375" i="22"/>
  <c r="Q1699" i="22"/>
  <c r="Q2617" i="22"/>
  <c r="Q2995" i="22"/>
  <c r="Q3319" i="22"/>
  <c r="Q4513" i="22"/>
  <c r="Q4729" i="22"/>
  <c r="P133" i="22"/>
  <c r="P997" i="22"/>
  <c r="P2239" i="22"/>
  <c r="P2563" i="22"/>
  <c r="P2995" i="22"/>
  <c r="P4513" i="22"/>
  <c r="P4567" i="22"/>
  <c r="P4621" i="22"/>
  <c r="P4675" i="22"/>
  <c r="P4729" i="22"/>
  <c r="F7" i="17"/>
  <c r="F8" i="17"/>
  <c r="H4601" i="22"/>
  <c r="H4600" i="22"/>
  <c r="H4599" i="22"/>
  <c r="H4607" i="22"/>
  <c r="H4598" i="22"/>
  <c r="H4627" i="22"/>
  <c r="H4597" i="22"/>
  <c r="H4201" i="22"/>
  <c r="H17" i="17"/>
  <c r="H4596" i="22"/>
  <c r="H4221" i="22"/>
  <c r="H4200" i="22"/>
  <c r="H4595" i="22"/>
  <c r="H4199" i="22"/>
  <c r="H4220" i="22"/>
  <c r="H4594" i="22"/>
  <c r="H18" i="17"/>
  <c r="D18" i="18" s="1"/>
  <c r="H4219" i="22"/>
  <c r="H4593" i="22"/>
  <c r="H4198" i="22"/>
  <c r="H19" i="17"/>
  <c r="D19" i="18" s="1"/>
  <c r="H4592" i="22"/>
  <c r="H4195" i="22"/>
  <c r="H4668" i="22"/>
  <c r="H4591" i="22"/>
  <c r="H4197" i="22"/>
  <c r="H20" i="17"/>
  <c r="D20" i="18" s="1"/>
  <c r="H4590" i="22"/>
  <c r="H4667" i="22"/>
  <c r="H4196" i="22"/>
  <c r="H4589" i="22"/>
  <c r="H21" i="17"/>
  <c r="D21" i="18" s="1"/>
  <c r="H4666" i="22"/>
  <c r="H4588" i="22"/>
  <c r="H22" i="17"/>
  <c r="D22" i="18" s="1"/>
  <c r="H4665" i="22"/>
  <c r="H4587" i="22"/>
  <c r="H23" i="17"/>
  <c r="D23" i="18" s="1"/>
  <c r="H30" i="17"/>
  <c r="D30" i="18" s="1"/>
  <c r="H4586" i="22"/>
  <c r="H4664" i="22"/>
  <c r="H24" i="17"/>
  <c r="D24" i="18" s="1"/>
  <c r="H4585" i="22"/>
  <c r="H4663" i="22"/>
  <c r="H25" i="17"/>
  <c r="D25" i="18" s="1"/>
  <c r="H4584" i="22"/>
  <c r="H4662" i="22"/>
  <c r="H26" i="17"/>
  <c r="D26" i="18" s="1"/>
  <c r="H4583" i="22"/>
  <c r="H4661" i="22"/>
  <c r="H27" i="17"/>
  <c r="D27" i="18" s="1"/>
  <c r="H4660" i="22"/>
  <c r="H4659" i="22"/>
  <c r="H28" i="17"/>
  <c r="D28" i="18" s="1"/>
  <c r="H4581" i="22"/>
  <c r="H4658" i="22"/>
  <c r="H29" i="17"/>
  <c r="D29" i="18" s="1"/>
  <c r="H4580" i="22"/>
  <c r="H4657" i="22"/>
  <c r="H4656" i="22"/>
  <c r="H4579" i="22"/>
  <c r="H31" i="17"/>
  <c r="D31" i="18" s="1"/>
  <c r="H4655" i="22"/>
  <c r="H4578" i="22"/>
  <c r="H32" i="17"/>
  <c r="D32" i="18" s="1"/>
  <c r="H4654" i="22"/>
  <c r="H4577" i="22"/>
  <c r="H4653" i="22"/>
  <c r="H4190" i="22"/>
  <c r="H4576" i="22"/>
  <c r="H4191" i="22"/>
  <c r="H4652" i="22"/>
  <c r="H4575" i="22"/>
  <c r="H4651" i="22"/>
  <c r="H4192" i="22"/>
  <c r="H4574" i="22"/>
  <c r="H4582" i="22"/>
  <c r="H4568" i="22"/>
  <c r="H4573" i="22"/>
  <c r="H4569" i="22"/>
  <c r="H4570" i="22"/>
  <c r="H4572" i="22"/>
  <c r="H4571" i="22"/>
  <c r="H4222" i="22"/>
  <c r="H4223" i="22"/>
  <c r="H4224" i="22"/>
  <c r="H4225" i="22"/>
  <c r="H4226" i="22"/>
  <c r="H4227" i="22"/>
  <c r="H4228" i="22"/>
  <c r="H4229" i="22"/>
  <c r="H4230" i="22"/>
  <c r="H4231" i="22"/>
  <c r="H4650" i="22"/>
  <c r="H4649" i="22"/>
  <c r="H4193" i="22"/>
  <c r="H4648" i="22"/>
  <c r="H4647" i="22"/>
  <c r="H4646" i="22"/>
  <c r="H4194" i="22"/>
  <c r="H4645" i="22"/>
  <c r="H4567" i="22"/>
  <c r="G10" i="15"/>
  <c r="G11" i="15"/>
  <c r="G12" i="15"/>
  <c r="G13"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D8" i="14"/>
  <c r="H6" i="14"/>
  <c r="C8" i="14"/>
  <c r="B33" i="6"/>
  <c r="AB74" i="5"/>
  <c r="AA74" i="5"/>
  <c r="Q74" i="5"/>
  <c r="P74" i="5"/>
  <c r="N74" i="5"/>
  <c r="M74" i="5"/>
  <c r="L74" i="5"/>
  <c r="K74" i="5"/>
  <c r="J74" i="5"/>
  <c r="I74" i="5"/>
  <c r="H74" i="5"/>
  <c r="D74" i="5"/>
  <c r="E74" i="5"/>
  <c r="O74" i="5"/>
  <c r="AC74" i="5" s="1"/>
  <c r="F74" i="5"/>
  <c r="G74" i="5"/>
  <c r="W246" i="4"/>
  <c r="X246" i="4"/>
  <c r="V246" i="4"/>
  <c r="W245" i="4"/>
  <c r="X245" i="4"/>
  <c r="V245" i="4"/>
  <c r="V244" i="4"/>
  <c r="X244" i="4"/>
  <c r="W244" i="4"/>
  <c r="X243" i="4"/>
  <c r="V243" i="4"/>
  <c r="W243" i="4"/>
  <c r="V242" i="4"/>
  <c r="W242" i="4"/>
  <c r="X242" i="4"/>
  <c r="W241" i="4"/>
  <c r="X241" i="4"/>
  <c r="V241" i="4"/>
  <c r="W240" i="4"/>
  <c r="V240" i="4"/>
  <c r="X240" i="4"/>
  <c r="X239" i="4"/>
  <c r="W239" i="4"/>
  <c r="V239" i="4"/>
  <c r="X238" i="4"/>
  <c r="W238" i="4"/>
  <c r="V238" i="4"/>
  <c r="V237" i="4"/>
  <c r="W237" i="4"/>
  <c r="X237" i="4"/>
  <c r="X236" i="4"/>
  <c r="W236" i="4"/>
  <c r="V236" i="4"/>
  <c r="V235" i="4"/>
  <c r="X235" i="4"/>
  <c r="W235" i="4"/>
  <c r="W234" i="4"/>
  <c r="V234" i="4"/>
  <c r="X234" i="4"/>
  <c r="W233" i="4"/>
  <c r="V233" i="4"/>
  <c r="X233" i="4"/>
  <c r="W232" i="4"/>
  <c r="V232" i="4"/>
  <c r="X232" i="4"/>
  <c r="X231" i="4"/>
  <c r="W231" i="4"/>
  <c r="V231" i="4"/>
  <c r="V230" i="4"/>
  <c r="X230" i="4"/>
  <c r="W230" i="4"/>
  <c r="X229" i="4"/>
  <c r="W229" i="4"/>
  <c r="V229" i="4"/>
  <c r="X228" i="4"/>
  <c r="W228" i="4"/>
  <c r="V228" i="4"/>
  <c r="W227" i="4"/>
  <c r="V227" i="4"/>
  <c r="X227" i="4"/>
  <c r="X226" i="4"/>
  <c r="W226" i="4"/>
  <c r="V226" i="4"/>
  <c r="X225" i="4"/>
  <c r="W225" i="4"/>
  <c r="V225" i="4"/>
  <c r="V224" i="4"/>
  <c r="W224" i="4"/>
  <c r="X224" i="4"/>
  <c r="V223" i="4"/>
  <c r="W223" i="4"/>
  <c r="X223" i="4"/>
  <c r="V222" i="4"/>
  <c r="W222" i="4"/>
  <c r="X222" i="4"/>
  <c r="V221" i="4"/>
  <c r="X221" i="4"/>
  <c r="W221" i="4"/>
  <c r="V220" i="4"/>
  <c r="X220" i="4"/>
  <c r="W220" i="4"/>
  <c r="X219" i="4"/>
  <c r="W219" i="4"/>
  <c r="V219" i="4"/>
  <c r="X218" i="4"/>
  <c r="W218" i="4"/>
  <c r="V218" i="4"/>
  <c r="X217" i="4"/>
  <c r="W217" i="4"/>
  <c r="V217" i="4"/>
  <c r="X216" i="4"/>
  <c r="W216" i="4"/>
  <c r="V216" i="4"/>
  <c r="W215" i="4"/>
  <c r="V215" i="4"/>
  <c r="X215" i="4"/>
  <c r="X214" i="4"/>
  <c r="W214" i="4"/>
  <c r="V214" i="4"/>
  <c r="X213" i="4"/>
  <c r="W213" i="4"/>
  <c r="V213" i="4"/>
  <c r="X212" i="4"/>
  <c r="W212" i="4"/>
  <c r="V212" i="4"/>
  <c r="X211" i="4"/>
  <c r="W211" i="4"/>
  <c r="V211" i="4"/>
  <c r="X210" i="4"/>
  <c r="W210" i="4"/>
  <c r="V210" i="4"/>
  <c r="X209" i="4"/>
  <c r="W209" i="4"/>
  <c r="V209" i="4"/>
  <c r="X208" i="4"/>
  <c r="W208" i="4"/>
  <c r="V208" i="4"/>
  <c r="V207" i="4"/>
  <c r="X207" i="4"/>
  <c r="W207" i="4"/>
  <c r="V206" i="4"/>
  <c r="W206" i="4"/>
  <c r="X206" i="4"/>
  <c r="V205" i="4"/>
  <c r="X205" i="4"/>
  <c r="W205" i="4"/>
  <c r="W204" i="4"/>
  <c r="V204" i="4"/>
  <c r="X204" i="4"/>
  <c r="W203" i="4"/>
  <c r="X203" i="4"/>
  <c r="V203" i="4"/>
  <c r="V202" i="4"/>
  <c r="X202" i="4"/>
  <c r="W202" i="4"/>
  <c r="X201" i="4"/>
  <c r="V201" i="4"/>
  <c r="W201" i="4"/>
  <c r="V200" i="4"/>
  <c r="W200" i="4"/>
  <c r="X200" i="4"/>
  <c r="X199" i="4"/>
  <c r="W199" i="4"/>
  <c r="V199" i="4"/>
  <c r="X198" i="4"/>
  <c r="W198" i="4"/>
  <c r="V198" i="4"/>
  <c r="V197" i="4"/>
  <c r="X197" i="4"/>
  <c r="W197" i="4"/>
  <c r="W196" i="4"/>
  <c r="X196" i="4"/>
  <c r="V196" i="4"/>
  <c r="V195" i="4"/>
  <c r="X195" i="4"/>
  <c r="W195" i="4"/>
  <c r="V194" i="4"/>
  <c r="W194" i="4"/>
  <c r="X194" i="4"/>
  <c r="W193" i="4"/>
  <c r="X193" i="4"/>
  <c r="V193" i="4"/>
  <c r="X192" i="4"/>
  <c r="V192" i="4"/>
  <c r="W192" i="4"/>
  <c r="X191" i="4"/>
  <c r="W191" i="4"/>
  <c r="V191" i="4"/>
  <c r="V190" i="4"/>
  <c r="W190" i="4"/>
  <c r="X190" i="4"/>
  <c r="W189" i="4"/>
  <c r="V189" i="4"/>
  <c r="X189" i="4"/>
  <c r="W188" i="4"/>
  <c r="X188" i="4"/>
  <c r="V188" i="4"/>
  <c r="V187" i="4"/>
  <c r="X187" i="4"/>
  <c r="W187" i="4"/>
  <c r="X186" i="4"/>
  <c r="V186" i="4"/>
  <c r="W186" i="4"/>
  <c r="X185" i="4"/>
  <c r="V185" i="4"/>
  <c r="W185" i="4"/>
  <c r="V184" i="4"/>
  <c r="X184" i="4"/>
  <c r="W184" i="4"/>
  <c r="W183" i="4"/>
  <c r="X183" i="4"/>
  <c r="V183" i="4"/>
  <c r="V182" i="4"/>
  <c r="W182" i="4"/>
  <c r="X182" i="4"/>
  <c r="W181" i="4"/>
  <c r="X181" i="4"/>
  <c r="V181" i="4"/>
  <c r="W180" i="4"/>
  <c r="X180" i="4"/>
  <c r="V180" i="4"/>
  <c r="W179" i="4"/>
  <c r="V179" i="4"/>
  <c r="X179" i="4"/>
  <c r="X178" i="4"/>
  <c r="W178" i="4"/>
  <c r="V178" i="4"/>
  <c r="W177" i="4"/>
  <c r="V177" i="4"/>
  <c r="X177" i="4"/>
  <c r="V176" i="4"/>
  <c r="X176" i="4"/>
  <c r="W176" i="4"/>
  <c r="V175" i="4"/>
  <c r="X175" i="4"/>
  <c r="W175" i="4"/>
  <c r="V174" i="4"/>
  <c r="W174" i="4"/>
  <c r="X174" i="4"/>
  <c r="W173" i="4"/>
  <c r="X173" i="4"/>
  <c r="V173" i="4"/>
  <c r="X172" i="4"/>
  <c r="W172" i="4"/>
  <c r="V172" i="4"/>
  <c r="X171" i="4"/>
  <c r="W171" i="4"/>
  <c r="V171" i="4"/>
  <c r="V170" i="4"/>
  <c r="W170" i="4"/>
  <c r="X170" i="4"/>
  <c r="V169" i="4"/>
  <c r="W169" i="4"/>
  <c r="X169" i="4"/>
  <c r="V168" i="4"/>
  <c r="X168" i="4"/>
  <c r="W168" i="4"/>
  <c r="V167" i="4"/>
  <c r="W167" i="4"/>
  <c r="X167" i="4"/>
  <c r="X166" i="4"/>
  <c r="W166" i="4"/>
  <c r="V166" i="4"/>
  <c r="V165" i="4"/>
  <c r="W165" i="4"/>
  <c r="X165" i="4"/>
  <c r="W164" i="4"/>
  <c r="X164" i="4"/>
  <c r="V164" i="4"/>
  <c r="V163" i="4"/>
  <c r="W163" i="4"/>
  <c r="X163" i="4"/>
  <c r="X162" i="4"/>
  <c r="W162" i="4"/>
  <c r="V162" i="4"/>
  <c r="W161" i="4"/>
  <c r="X161" i="4"/>
  <c r="V161" i="4"/>
  <c r="X160" i="4"/>
  <c r="W160" i="4"/>
  <c r="V160" i="4"/>
  <c r="W159" i="4"/>
  <c r="X159" i="4"/>
  <c r="V159" i="4"/>
  <c r="X158" i="4"/>
  <c r="W158" i="4"/>
  <c r="V158" i="4"/>
  <c r="W157" i="4"/>
  <c r="V157" i="4"/>
  <c r="X157" i="4"/>
  <c r="W156" i="4"/>
  <c r="V156" i="4"/>
  <c r="X156" i="4"/>
  <c r="V155" i="4"/>
  <c r="W155" i="4"/>
  <c r="X155" i="4"/>
  <c r="W154" i="4"/>
  <c r="X154" i="4"/>
  <c r="V154" i="4"/>
  <c r="V153" i="4"/>
  <c r="X153" i="4"/>
  <c r="W153" i="4"/>
  <c r="X152" i="4"/>
  <c r="W152" i="4"/>
  <c r="V152" i="4"/>
  <c r="X151" i="4"/>
  <c r="W151" i="4"/>
  <c r="V151" i="4"/>
  <c r="X150" i="4"/>
  <c r="W150" i="4"/>
  <c r="V150" i="4"/>
  <c r="X149" i="4"/>
  <c r="W149" i="4"/>
  <c r="V149" i="4"/>
  <c r="W148" i="4"/>
  <c r="V148" i="4"/>
  <c r="X148" i="4"/>
  <c r="X147" i="4"/>
  <c r="W147" i="4"/>
  <c r="V147" i="4"/>
  <c r="X146" i="4"/>
  <c r="W146" i="4"/>
  <c r="V146" i="4"/>
  <c r="X145" i="4"/>
  <c r="W145" i="4"/>
  <c r="V145" i="4"/>
  <c r="V144" i="4"/>
  <c r="X144" i="4"/>
  <c r="W144" i="4"/>
  <c r="X143" i="4"/>
  <c r="V143" i="4"/>
  <c r="W143" i="4"/>
  <c r="W142" i="4"/>
  <c r="X142" i="4"/>
  <c r="V142" i="4"/>
  <c r="X141" i="4"/>
  <c r="W141" i="4"/>
  <c r="V141" i="4"/>
  <c r="W140" i="4"/>
  <c r="X140" i="4"/>
  <c r="V140" i="4"/>
  <c r="V139" i="4"/>
  <c r="W139" i="4"/>
  <c r="X139" i="4"/>
  <c r="X138" i="4"/>
  <c r="W138" i="4"/>
  <c r="V138" i="4"/>
  <c r="X137" i="4"/>
  <c r="W137" i="4"/>
  <c r="V137" i="4"/>
  <c r="W136" i="4"/>
  <c r="V136" i="4"/>
  <c r="X136" i="4"/>
  <c r="V135" i="4"/>
  <c r="W135" i="4"/>
  <c r="X135" i="4"/>
  <c r="V134" i="4"/>
  <c r="W134" i="4"/>
  <c r="X134" i="4"/>
  <c r="X133" i="4"/>
  <c r="W133" i="4"/>
  <c r="V133" i="4"/>
  <c r="V132" i="4"/>
  <c r="X132" i="4"/>
  <c r="W132" i="4"/>
  <c r="X131" i="4"/>
  <c r="V131" i="4"/>
  <c r="W131" i="4"/>
  <c r="V130" i="4"/>
  <c r="W130" i="4"/>
  <c r="X130" i="4"/>
  <c r="V129" i="4"/>
  <c r="W129" i="4"/>
  <c r="X129" i="4"/>
  <c r="W128" i="4"/>
  <c r="X128" i="4"/>
  <c r="V128" i="4"/>
  <c r="V127" i="4"/>
  <c r="W127" i="4"/>
  <c r="X127" i="4"/>
  <c r="X126" i="4"/>
  <c r="W126" i="4"/>
  <c r="V126" i="4"/>
  <c r="W125" i="4"/>
  <c r="X125" i="4"/>
  <c r="V125" i="4"/>
  <c r="V124" i="4"/>
  <c r="X124" i="4"/>
  <c r="W124" i="4"/>
  <c r="V123" i="4"/>
  <c r="W123" i="4"/>
  <c r="X123" i="4"/>
  <c r="X122" i="4"/>
  <c r="W122" i="4"/>
  <c r="V122" i="4"/>
  <c r="W121" i="4"/>
  <c r="X121" i="4"/>
  <c r="V121" i="4"/>
  <c r="X120" i="4"/>
  <c r="W120" i="4"/>
  <c r="V120" i="4"/>
  <c r="V119" i="4"/>
  <c r="W119" i="4"/>
  <c r="X119" i="4"/>
  <c r="X118" i="4"/>
  <c r="V118" i="4"/>
  <c r="W118" i="4"/>
  <c r="W117" i="4"/>
  <c r="V117" i="4"/>
  <c r="X117" i="4"/>
  <c r="W116" i="4"/>
  <c r="X116" i="4"/>
  <c r="V116" i="4"/>
  <c r="X115" i="4"/>
  <c r="W115" i="4"/>
  <c r="V115" i="4"/>
  <c r="W114" i="4"/>
  <c r="X114" i="4"/>
  <c r="V114" i="4"/>
  <c r="X113" i="4"/>
  <c r="W113" i="4"/>
  <c r="V113" i="4"/>
  <c r="X112" i="4"/>
  <c r="V112" i="4"/>
  <c r="W112" i="4"/>
  <c r="W111" i="4"/>
  <c r="V111" i="4"/>
  <c r="X111" i="4"/>
  <c r="V110" i="4"/>
  <c r="X110" i="4"/>
  <c r="W110" i="4"/>
  <c r="X109" i="4"/>
  <c r="W109" i="4"/>
  <c r="V109" i="4"/>
  <c r="X108" i="4"/>
  <c r="W108" i="4"/>
  <c r="V108" i="4"/>
  <c r="W107" i="4"/>
  <c r="V107" i="4"/>
  <c r="X107" i="4"/>
  <c r="W106" i="4"/>
  <c r="X106" i="4"/>
  <c r="V106" i="4"/>
  <c r="X105" i="4"/>
  <c r="W105" i="4"/>
  <c r="V105" i="4"/>
  <c r="X104" i="4"/>
  <c r="W104" i="4"/>
  <c r="V104" i="4"/>
  <c r="X103" i="4"/>
  <c r="W103" i="4"/>
  <c r="V103" i="4"/>
  <c r="X102" i="4"/>
  <c r="W102" i="4"/>
  <c r="V102" i="4"/>
  <c r="V101" i="4"/>
  <c r="W101" i="4"/>
  <c r="X101" i="4"/>
  <c r="V100" i="4"/>
  <c r="W100" i="4"/>
  <c r="X100" i="4"/>
  <c r="V99" i="4"/>
  <c r="W99" i="4"/>
  <c r="X99" i="4"/>
  <c r="V98" i="4"/>
  <c r="W98" i="4"/>
  <c r="X98" i="4"/>
  <c r="W97" i="4"/>
  <c r="V97" i="4"/>
  <c r="X97" i="4"/>
  <c r="X96" i="4"/>
  <c r="W96" i="4"/>
  <c r="V96" i="4"/>
  <c r="X95" i="4"/>
  <c r="W95" i="4"/>
  <c r="V95" i="4"/>
  <c r="X94" i="4"/>
  <c r="W94" i="4"/>
  <c r="V94" i="4"/>
  <c r="W93" i="4"/>
  <c r="V93" i="4"/>
  <c r="X93" i="4"/>
  <c r="V92" i="4"/>
  <c r="W92" i="4"/>
  <c r="X92" i="4"/>
  <c r="V91" i="4"/>
  <c r="X91" i="4"/>
  <c r="W91" i="4"/>
  <c r="X90" i="4"/>
  <c r="W90" i="4"/>
  <c r="V90" i="4"/>
  <c r="V89" i="4"/>
  <c r="W89" i="4"/>
  <c r="X89" i="4"/>
  <c r="X88" i="4"/>
  <c r="V88" i="4"/>
  <c r="W88" i="4"/>
  <c r="V87" i="4"/>
  <c r="W87" i="4"/>
  <c r="X87" i="4"/>
  <c r="X86" i="4"/>
  <c r="W86" i="4"/>
  <c r="V86" i="4"/>
  <c r="X85" i="4"/>
  <c r="W85" i="4"/>
  <c r="V85" i="4"/>
  <c r="X84" i="4"/>
  <c r="V84" i="4"/>
  <c r="W84" i="4"/>
  <c r="V83" i="4"/>
  <c r="X83" i="4"/>
  <c r="W83" i="4"/>
  <c r="W82" i="4"/>
  <c r="V82" i="4"/>
  <c r="X82" i="4"/>
  <c r="V81" i="4"/>
  <c r="W81" i="4"/>
  <c r="X81" i="4"/>
  <c r="V80" i="4"/>
  <c r="W80" i="4"/>
  <c r="X80" i="4"/>
  <c r="V79" i="4"/>
  <c r="W79" i="4"/>
  <c r="X79" i="4"/>
  <c r="W78" i="4"/>
  <c r="V78" i="4"/>
  <c r="X78" i="4"/>
  <c r="X77" i="4"/>
  <c r="V77" i="4"/>
  <c r="W77" i="4"/>
  <c r="V76" i="4"/>
  <c r="W76" i="4"/>
  <c r="X76" i="4"/>
  <c r="V75" i="4"/>
  <c r="W75" i="4"/>
  <c r="X75" i="4"/>
  <c r="V74" i="4"/>
  <c r="X74" i="4"/>
  <c r="W74" i="4"/>
  <c r="V73" i="4"/>
  <c r="W73" i="4"/>
  <c r="X73" i="4"/>
  <c r="V72" i="4"/>
  <c r="X72" i="4"/>
  <c r="W72" i="4"/>
  <c r="S71" i="4"/>
  <c r="P71" i="4"/>
  <c r="O71" i="4"/>
  <c r="Q71" i="4" s="1"/>
  <c r="R71" i="4"/>
  <c r="X71" i="4"/>
  <c r="T71" i="4"/>
  <c r="O70" i="4"/>
  <c r="X70" i="4"/>
  <c r="P70" i="4"/>
  <c r="R70" i="4"/>
  <c r="S70" i="4"/>
  <c r="U70" i="4"/>
  <c r="U69" i="4"/>
  <c r="S69" i="4"/>
  <c r="R69" i="4"/>
  <c r="P69" i="4"/>
  <c r="X69" i="4"/>
  <c r="O69" i="4"/>
  <c r="Q69" i="4" s="1"/>
  <c r="X68" i="4"/>
  <c r="S68" i="4"/>
  <c r="R68" i="4"/>
  <c r="O68" i="4"/>
  <c r="U68" i="4"/>
  <c r="P68" i="4"/>
  <c r="O67" i="4"/>
  <c r="Q67" i="4" s="1"/>
  <c r="P67" i="4"/>
  <c r="X67" i="4"/>
  <c r="T67" i="4"/>
  <c r="S67" i="4"/>
  <c r="R67" i="4"/>
  <c r="X66" i="4"/>
  <c r="O66" i="4"/>
  <c r="U66" i="4"/>
  <c r="S66" i="4"/>
  <c r="R66" i="4"/>
  <c r="P66" i="4"/>
  <c r="O65" i="4"/>
  <c r="X65" i="4"/>
  <c r="U65" i="4"/>
  <c r="S65" i="4"/>
  <c r="R65" i="4"/>
  <c r="P65" i="4"/>
  <c r="S64" i="4"/>
  <c r="R64" i="4"/>
  <c r="X64" i="4"/>
  <c r="P64" i="4"/>
  <c r="U64" i="4"/>
  <c r="O64" i="4"/>
  <c r="Q64" i="4" s="1"/>
  <c r="R63" i="4"/>
  <c r="S63" i="4"/>
  <c r="T63" i="4"/>
  <c r="P63" i="4"/>
  <c r="X63" i="4"/>
  <c r="O63" i="4"/>
  <c r="Q63" i="4" s="1"/>
  <c r="S62" i="4"/>
  <c r="U62" i="4"/>
  <c r="R62" i="4"/>
  <c r="P62" i="4"/>
  <c r="O62" i="4"/>
  <c r="Q62" i="4" s="1"/>
  <c r="X62" i="4"/>
  <c r="X61" i="4"/>
  <c r="O61" i="4"/>
  <c r="Q61" i="4" s="1"/>
  <c r="P61" i="4"/>
  <c r="R61" i="4"/>
  <c r="U61" i="4"/>
  <c r="S61" i="4"/>
  <c r="T60" i="4"/>
  <c r="S60" i="4"/>
  <c r="R60" i="4"/>
  <c r="P60" i="4"/>
  <c r="O60" i="4"/>
  <c r="Q60" i="4" s="1"/>
  <c r="X60" i="4"/>
  <c r="O59" i="4"/>
  <c r="R59" i="4"/>
  <c r="S59" i="4"/>
  <c r="U59" i="4"/>
  <c r="X59" i="4"/>
  <c r="P59" i="4"/>
  <c r="O58" i="4"/>
  <c r="Q58" i="4" s="1"/>
  <c r="P58" i="4"/>
  <c r="R58" i="4"/>
  <c r="S58" i="4"/>
  <c r="T58" i="4"/>
  <c r="X58" i="4"/>
  <c r="X57" i="4"/>
  <c r="U57" i="4"/>
  <c r="S57" i="4"/>
  <c r="R57" i="4"/>
  <c r="P57" i="4"/>
  <c r="O57" i="4"/>
  <c r="Q57" i="4" s="1"/>
  <c r="X56" i="4"/>
  <c r="U56" i="4"/>
  <c r="S56" i="4"/>
  <c r="R56" i="4"/>
  <c r="P56" i="4"/>
  <c r="O56" i="4"/>
  <c r="Q56" i="4" s="1"/>
  <c r="X55" i="4"/>
  <c r="U55" i="4"/>
  <c r="S55" i="4"/>
  <c r="R55" i="4"/>
  <c r="P55" i="4"/>
  <c r="O55" i="4"/>
  <c r="Q55" i="4" s="1"/>
  <c r="X54" i="4"/>
  <c r="T54" i="4"/>
  <c r="S54" i="4"/>
  <c r="R54" i="4"/>
  <c r="P54" i="4"/>
  <c r="O54" i="4"/>
  <c r="Q54" i="4" s="1"/>
  <c r="U53" i="4"/>
  <c r="O53" i="4"/>
  <c r="Q53" i="4" s="1"/>
  <c r="P53" i="4"/>
  <c r="R53" i="4"/>
  <c r="S53" i="4"/>
  <c r="X53" i="4"/>
  <c r="U52" i="4"/>
  <c r="S52" i="4"/>
  <c r="R52" i="4"/>
  <c r="P52" i="4"/>
  <c r="O52" i="4"/>
  <c r="Q52" i="4" s="1"/>
  <c r="X52" i="4"/>
  <c r="X51" i="4"/>
  <c r="O51" i="4"/>
  <c r="Q51" i="4" s="1"/>
  <c r="P51" i="4"/>
  <c r="R51" i="4"/>
  <c r="S51" i="4"/>
  <c r="T51" i="4"/>
  <c r="X50" i="4"/>
  <c r="U50" i="4"/>
  <c r="S50" i="4"/>
  <c r="R50" i="4"/>
  <c r="O50" i="4"/>
  <c r="Q50" i="4" s="1"/>
  <c r="P50" i="4"/>
  <c r="S49" i="4"/>
  <c r="R49" i="4"/>
  <c r="P49" i="4"/>
  <c r="O49" i="4"/>
  <c r="Q49" i="4" s="1"/>
  <c r="X49" i="4"/>
  <c r="U49" i="4"/>
  <c r="P48" i="4"/>
  <c r="R48" i="4"/>
  <c r="X48" i="4"/>
  <c r="S48" i="4"/>
  <c r="U48" i="4"/>
  <c r="O48" i="4"/>
  <c r="Q48" i="4" s="1"/>
  <c r="R47" i="4"/>
  <c r="O47" i="4"/>
  <c r="Q47" i="4" s="1"/>
  <c r="P47" i="4"/>
  <c r="S47" i="4"/>
  <c r="T47" i="4"/>
  <c r="X47" i="4"/>
  <c r="U46" i="4"/>
  <c r="R46" i="4"/>
  <c r="O46" i="4"/>
  <c r="Q46" i="4" s="1"/>
  <c r="P46" i="4"/>
  <c r="S46" i="4"/>
  <c r="X46" i="4"/>
  <c r="O45" i="4"/>
  <c r="Q45" i="4" s="1"/>
  <c r="P45" i="4"/>
  <c r="R45" i="4"/>
  <c r="S45" i="4"/>
  <c r="U45" i="4"/>
  <c r="X45" i="4"/>
  <c r="O44" i="4"/>
  <c r="Q44" i="4" s="1"/>
  <c r="P44" i="4"/>
  <c r="R44" i="4"/>
  <c r="S44" i="4"/>
  <c r="U44" i="4"/>
  <c r="X44" i="4"/>
  <c r="S43" i="4"/>
  <c r="R43" i="4"/>
  <c r="P43" i="4"/>
  <c r="O43" i="4"/>
  <c r="Q43" i="4" s="1"/>
  <c r="X43" i="4"/>
  <c r="T43" i="4"/>
  <c r="U42" i="4"/>
  <c r="R42" i="4"/>
  <c r="X42" i="4"/>
  <c r="O42" i="4"/>
  <c r="Q42" i="4" s="1"/>
  <c r="P42" i="4"/>
  <c r="S42" i="4"/>
  <c r="O41" i="4"/>
  <c r="Q41" i="4" s="1"/>
  <c r="P41" i="4"/>
  <c r="R41" i="4"/>
  <c r="S41" i="4"/>
  <c r="U41" i="4"/>
  <c r="X41" i="4"/>
  <c r="T40" i="4"/>
  <c r="S40" i="4"/>
  <c r="R40" i="4"/>
  <c r="P40" i="4"/>
  <c r="O40" i="4"/>
  <c r="Q40" i="4" s="1"/>
  <c r="X40" i="4"/>
  <c r="X39" i="4"/>
  <c r="U39" i="4"/>
  <c r="R39" i="4"/>
  <c r="P39" i="4"/>
  <c r="O39" i="4"/>
  <c r="Q39" i="4" s="1"/>
  <c r="S39" i="4"/>
  <c r="U38" i="4"/>
  <c r="S38" i="4"/>
  <c r="R38" i="4"/>
  <c r="P38" i="4"/>
  <c r="O38" i="4"/>
  <c r="Q38" i="4" s="1"/>
  <c r="X38" i="4"/>
  <c r="X37" i="4"/>
  <c r="T37" i="4"/>
  <c r="S37" i="4"/>
  <c r="R37" i="4"/>
  <c r="P37" i="4"/>
  <c r="O37" i="4"/>
  <c r="Q37" i="4" s="1"/>
  <c r="P36" i="4"/>
  <c r="O36" i="4"/>
  <c r="Q36" i="4" s="1"/>
  <c r="S36" i="4"/>
  <c r="X36" i="4"/>
  <c r="U36" i="4"/>
  <c r="R36" i="4"/>
  <c r="P35" i="4"/>
  <c r="O35" i="4"/>
  <c r="Q35" i="4" s="1"/>
  <c r="X35" i="4"/>
  <c r="R35" i="4"/>
  <c r="S35" i="4"/>
  <c r="U35" i="4"/>
  <c r="X34" i="4"/>
  <c r="O34" i="4"/>
  <c r="Q34" i="4" s="1"/>
  <c r="P34" i="4"/>
  <c r="R34" i="4"/>
  <c r="S34" i="4"/>
  <c r="U34" i="4"/>
  <c r="P33" i="4"/>
  <c r="O33" i="4"/>
  <c r="S33" i="4"/>
  <c r="T33" i="4"/>
  <c r="X33" i="4"/>
  <c r="R33" i="4"/>
  <c r="S32" i="4"/>
  <c r="R32" i="4"/>
  <c r="P32" i="4"/>
  <c r="O32" i="4"/>
  <c r="Q32" i="4" s="1"/>
  <c r="X32" i="4"/>
  <c r="U32" i="4"/>
  <c r="U31" i="4"/>
  <c r="S31" i="4"/>
  <c r="R31" i="4"/>
  <c r="P31" i="4"/>
  <c r="O31" i="4"/>
  <c r="Q31" i="4" s="1"/>
  <c r="X31" i="4"/>
  <c r="O30" i="4"/>
  <c r="P30" i="4"/>
  <c r="R30" i="4"/>
  <c r="S30" i="4"/>
  <c r="T30" i="4"/>
  <c r="X30" i="4"/>
  <c r="U29" i="4"/>
  <c r="O29" i="4"/>
  <c r="P29" i="4"/>
  <c r="R29" i="4"/>
  <c r="S29" i="4"/>
  <c r="X29" i="4"/>
  <c r="X28" i="4"/>
  <c r="U28" i="4"/>
  <c r="S28" i="4"/>
  <c r="R28" i="4"/>
  <c r="O28" i="4"/>
  <c r="P28" i="4"/>
  <c r="X27" i="4"/>
  <c r="R27" i="4"/>
  <c r="O27" i="4"/>
  <c r="P27" i="4"/>
  <c r="S27" i="4"/>
  <c r="U27" i="4"/>
  <c r="O26" i="4"/>
  <c r="P26" i="4"/>
  <c r="R26" i="4"/>
  <c r="S26" i="4"/>
  <c r="X26" i="4"/>
  <c r="T26" i="4"/>
  <c r="X25" i="4"/>
  <c r="U25" i="4"/>
  <c r="S25" i="4"/>
  <c r="R25" i="4"/>
  <c r="O25" i="4"/>
  <c r="P25" i="4"/>
  <c r="U24" i="4"/>
  <c r="S24" i="4"/>
  <c r="R24" i="4"/>
  <c r="P24" i="4"/>
  <c r="O24" i="4"/>
  <c r="Q24" i="4" s="1"/>
  <c r="X24" i="4"/>
  <c r="X23" i="4"/>
  <c r="P23" i="4"/>
  <c r="O23" i="4"/>
  <c r="Q23" i="4" s="1"/>
  <c r="U23" i="4"/>
  <c r="S23" i="4"/>
  <c r="R23" i="4"/>
  <c r="S22" i="4"/>
  <c r="T22" i="4"/>
  <c r="X22" i="4"/>
  <c r="O22" i="4"/>
  <c r="P22" i="4"/>
  <c r="R22" i="4"/>
  <c r="U21" i="4"/>
  <c r="S21" i="4"/>
  <c r="R21" i="4"/>
  <c r="P21" i="4"/>
  <c r="O21" i="4"/>
  <c r="Q21" i="4" s="1"/>
  <c r="X21" i="4"/>
  <c r="X20" i="4"/>
  <c r="U20" i="4"/>
  <c r="S20" i="4"/>
  <c r="R20" i="4"/>
  <c r="O20" i="4"/>
  <c r="Q20" i="4" s="1"/>
  <c r="P20" i="4"/>
  <c r="O19" i="4"/>
  <c r="Q19" i="4" s="1"/>
  <c r="P19" i="4"/>
  <c r="R19" i="4"/>
  <c r="S19" i="4"/>
  <c r="T19" i="4"/>
  <c r="X19" i="4"/>
  <c r="P18" i="4"/>
  <c r="O18" i="4"/>
  <c r="Q18" i="4" s="1"/>
  <c r="X18" i="4"/>
  <c r="R18" i="4"/>
  <c r="U18" i="4"/>
  <c r="S18" i="4"/>
  <c r="X17" i="4"/>
  <c r="T17" i="4"/>
  <c r="S17" i="4"/>
  <c r="R17" i="4"/>
  <c r="P17" i="4"/>
  <c r="O17" i="4"/>
  <c r="Q17" i="4" s="1"/>
  <c r="X16" i="4"/>
  <c r="S16" i="4"/>
  <c r="R16" i="4"/>
  <c r="P16" i="4"/>
  <c r="O16" i="4"/>
  <c r="Q16" i="4" s="1"/>
  <c r="U16" i="4"/>
  <c r="P15" i="4"/>
  <c r="R15" i="4"/>
  <c r="S15" i="4"/>
  <c r="U15" i="4"/>
  <c r="X15" i="4"/>
  <c r="O15" i="4"/>
  <c r="Q15" i="4" s="1"/>
  <c r="X14" i="4"/>
  <c r="T14" i="4"/>
  <c r="S14" i="4"/>
  <c r="R14" i="4"/>
  <c r="P14" i="4"/>
  <c r="O14" i="4"/>
  <c r="Q14" i="4" s="1"/>
  <c r="X13" i="4"/>
  <c r="U13" i="4"/>
  <c r="S13" i="4"/>
  <c r="R13" i="4"/>
  <c r="P13" i="4"/>
  <c r="O13" i="4"/>
  <c r="Q13" i="4" s="1"/>
  <c r="T12" i="4"/>
  <c r="S12" i="4"/>
  <c r="R12" i="4"/>
  <c r="P12" i="4"/>
  <c r="O12" i="4"/>
  <c r="Q12" i="4" s="1"/>
  <c r="X12" i="4"/>
  <c r="X11" i="4"/>
  <c r="U11" i="4"/>
  <c r="S11" i="4"/>
  <c r="R11" i="4"/>
  <c r="P11" i="4"/>
  <c r="O11" i="4"/>
  <c r="Q11" i="4" s="1"/>
  <c r="X10" i="4"/>
  <c r="S10" i="4"/>
  <c r="R10" i="4"/>
  <c r="P10" i="4"/>
  <c r="O10" i="4"/>
  <c r="Q10" i="4" s="1"/>
  <c r="T9" i="4"/>
  <c r="S9" i="4"/>
  <c r="R9" i="4"/>
  <c r="P9" i="4"/>
  <c r="O9" i="4"/>
  <c r="Q9" i="4" s="1"/>
  <c r="S8" i="4"/>
  <c r="R8" i="4"/>
  <c r="P8" i="4"/>
  <c r="O8" i="4"/>
  <c r="Q8" i="4" s="1"/>
  <c r="U8" i="4"/>
  <c r="I3211" i="22"/>
  <c r="I3265" i="22"/>
  <c r="C39" i="24"/>
  <c r="D39" i="24" s="1"/>
  <c r="C42" i="24"/>
  <c r="D42" i="24" s="1"/>
  <c r="C40" i="24"/>
  <c r="D40" i="24" s="1"/>
  <c r="C43" i="24"/>
  <c r="D43" i="24" s="1"/>
  <c r="U7" i="4"/>
  <c r="S7" i="4"/>
  <c r="C41" i="24"/>
  <c r="D41" i="24" s="1"/>
  <c r="R7" i="4"/>
  <c r="E40" i="19" s="1"/>
  <c r="G40" i="19" s="1"/>
  <c r="P7" i="4"/>
  <c r="O7" i="4"/>
  <c r="Q7" i="4" s="1"/>
  <c r="C44" i="24"/>
  <c r="D44" i="24" s="1"/>
  <c r="X80" i="3"/>
  <c r="W80" i="3"/>
  <c r="V80" i="3"/>
  <c r="A3748" i="22"/>
  <c r="Y80" i="3"/>
  <c r="Y79" i="3"/>
  <c r="X79" i="3"/>
  <c r="W79" i="3"/>
  <c r="V79" i="3"/>
  <c r="B73" i="5"/>
  <c r="A73" i="5"/>
  <c r="C73" i="5"/>
  <c r="V78" i="3"/>
  <c r="C72" i="5"/>
  <c r="A72" i="5"/>
  <c r="Y78" i="3"/>
  <c r="B72" i="5"/>
  <c r="X78" i="3"/>
  <c r="W78" i="3"/>
  <c r="V77" i="3"/>
  <c r="W77" i="3"/>
  <c r="C71" i="5"/>
  <c r="B71" i="5"/>
  <c r="A71" i="5"/>
  <c r="Y77" i="3"/>
  <c r="X77" i="3"/>
  <c r="V76" i="3"/>
  <c r="X76" i="3"/>
  <c r="C70" i="5"/>
  <c r="B70" i="5"/>
  <c r="A70" i="5"/>
  <c r="W76" i="3"/>
  <c r="Y76" i="3"/>
  <c r="A69" i="5"/>
  <c r="B69" i="5"/>
  <c r="Y75" i="3"/>
  <c r="C69" i="5"/>
  <c r="X75" i="3"/>
  <c r="W75" i="3"/>
  <c r="V75" i="3"/>
  <c r="A3478" i="22"/>
  <c r="I3481" i="22" s="1"/>
  <c r="A3424" i="22"/>
  <c r="I3427" i="22" s="1"/>
  <c r="C68" i="5"/>
  <c r="B68" i="5"/>
  <c r="A68" i="5"/>
  <c r="B67" i="5"/>
  <c r="A3370" i="22"/>
  <c r="I3373" i="22" s="1"/>
  <c r="C67" i="5"/>
  <c r="A67" i="5"/>
  <c r="A66" i="5"/>
  <c r="C66" i="5"/>
  <c r="B66" i="5"/>
  <c r="C65" i="5"/>
  <c r="B65" i="5"/>
  <c r="A65" i="5"/>
  <c r="A64" i="5"/>
  <c r="B64" i="5"/>
  <c r="C64" i="5"/>
  <c r="A3154" i="22"/>
  <c r="I3157" i="22" s="1"/>
  <c r="A63" i="5"/>
  <c r="B63" i="5"/>
  <c r="C63" i="5"/>
  <c r="A3100" i="22"/>
  <c r="I3103" i="22" s="1"/>
  <c r="B62" i="5"/>
  <c r="C62" i="5"/>
  <c r="A62" i="5"/>
  <c r="A3046" i="22"/>
  <c r="I3049" i="22" s="1"/>
  <c r="B61" i="5"/>
  <c r="A61" i="5"/>
  <c r="C61" i="5"/>
  <c r="A60" i="5"/>
  <c r="B60" i="5"/>
  <c r="C60" i="5"/>
  <c r="A59" i="5"/>
  <c r="B59" i="5"/>
  <c r="C59" i="5"/>
  <c r="A58" i="5"/>
  <c r="B58" i="5"/>
  <c r="C58" i="5"/>
  <c r="A2884" i="22"/>
  <c r="I2887" i="22" s="1"/>
  <c r="A2830" i="22"/>
  <c r="I2833" i="22" s="1"/>
  <c r="B57" i="5"/>
  <c r="C57" i="5"/>
  <c r="A57" i="5"/>
  <c r="C56" i="5"/>
  <c r="A56" i="5"/>
  <c r="B56" i="5"/>
  <c r="Y62" i="3"/>
  <c r="A55" i="5"/>
  <c r="B55" i="5"/>
  <c r="C55" i="5"/>
  <c r="A54" i="5"/>
  <c r="C54" i="5"/>
  <c r="B54" i="5"/>
  <c r="A53" i="5"/>
  <c r="B53" i="5"/>
  <c r="C53" i="5"/>
  <c r="A52" i="5"/>
  <c r="C52" i="5"/>
  <c r="B52" i="5"/>
  <c r="A2560" i="22"/>
  <c r="I2563" i="22" s="1"/>
  <c r="A51" i="5"/>
  <c r="B51" i="5"/>
  <c r="C51" i="5"/>
  <c r="A50" i="5"/>
  <c r="B50" i="5"/>
  <c r="C50" i="5"/>
  <c r="C49" i="5"/>
  <c r="B49" i="5"/>
  <c r="A49" i="5"/>
  <c r="A48" i="5"/>
  <c r="C48" i="5"/>
  <c r="B48" i="5"/>
  <c r="C47" i="5"/>
  <c r="B47" i="5"/>
  <c r="A47" i="5"/>
  <c r="B46" i="5"/>
  <c r="C46" i="5"/>
  <c r="A2236" i="22"/>
  <c r="I2239" i="22" s="1"/>
  <c r="A46" i="5"/>
  <c r="A2182" i="22"/>
  <c r="I2185" i="22" s="1"/>
  <c r="B45" i="5"/>
  <c r="A45" i="5"/>
  <c r="C45" i="5"/>
  <c r="B44" i="5"/>
  <c r="C44" i="5"/>
  <c r="A44" i="5"/>
  <c r="A43" i="5"/>
  <c r="B43" i="5"/>
  <c r="C43" i="5"/>
  <c r="C42" i="5"/>
  <c r="B42" i="5"/>
  <c r="A42" i="5"/>
  <c r="A41" i="5"/>
  <c r="B41" i="5"/>
  <c r="C41" i="5"/>
  <c r="B40" i="5"/>
  <c r="C40" i="5"/>
  <c r="A40" i="5"/>
  <c r="A1912" i="22"/>
  <c r="A1858" i="22"/>
  <c r="I1861" i="22" s="1"/>
  <c r="C39" i="5"/>
  <c r="B39" i="5"/>
  <c r="A39" i="5"/>
  <c r="A1804" i="22"/>
  <c r="I1807" i="22" s="1"/>
  <c r="C38" i="5"/>
  <c r="B38" i="5"/>
  <c r="A38" i="5"/>
  <c r="C37" i="5"/>
  <c r="B37" i="5"/>
  <c r="A37" i="5"/>
  <c r="C36" i="5"/>
  <c r="B36" i="5"/>
  <c r="A36" i="5"/>
  <c r="A1642" i="22"/>
  <c r="I1645" i="22" s="1"/>
  <c r="C35" i="5"/>
  <c r="B35" i="5"/>
  <c r="A35" i="5"/>
  <c r="A34" i="5"/>
  <c r="A1588" i="22"/>
  <c r="B34" i="5"/>
  <c r="C34" i="5"/>
  <c r="B33" i="5"/>
  <c r="C33" i="5"/>
  <c r="A33" i="5"/>
  <c r="A32" i="5"/>
  <c r="B32" i="5"/>
  <c r="C32" i="5"/>
  <c r="C31" i="5"/>
  <c r="A31" i="5"/>
  <c r="B31" i="5"/>
  <c r="A30" i="5"/>
  <c r="B30" i="5"/>
  <c r="C30" i="5"/>
  <c r="A29" i="5"/>
  <c r="A1318" i="22"/>
  <c r="I1321" i="22" s="1"/>
  <c r="C29" i="5"/>
  <c r="B29" i="5"/>
  <c r="A1264" i="22"/>
  <c r="C28" i="5"/>
  <c r="B28" i="5"/>
  <c r="A28" i="5"/>
  <c r="A27" i="5"/>
  <c r="A1210" i="22"/>
  <c r="I1213" i="22" s="1"/>
  <c r="B27" i="5"/>
  <c r="C27" i="5"/>
  <c r="A1156" i="22"/>
  <c r="I1159" i="22" s="1"/>
  <c r="A26" i="5"/>
  <c r="B26" i="5"/>
  <c r="C26" i="5"/>
  <c r="A25" i="5"/>
  <c r="B25" i="5"/>
  <c r="C25" i="5"/>
  <c r="A24" i="5"/>
  <c r="B24" i="5"/>
  <c r="C24" i="5"/>
  <c r="A994" i="22"/>
  <c r="I997" i="22" s="1"/>
  <c r="B23" i="5"/>
  <c r="A23" i="5"/>
  <c r="C23" i="5"/>
  <c r="A22" i="5"/>
  <c r="B22" i="5"/>
  <c r="C22" i="5"/>
  <c r="A940" i="22"/>
  <c r="B21" i="5"/>
  <c r="C21" i="5"/>
  <c r="A886" i="22"/>
  <c r="I889" i="22" s="1"/>
  <c r="A21" i="5"/>
  <c r="C20" i="5"/>
  <c r="B20" i="5"/>
  <c r="A20" i="5"/>
  <c r="A832" i="22"/>
  <c r="I835" i="22" s="1"/>
  <c r="C19" i="5"/>
  <c r="B19" i="5"/>
  <c r="A19" i="5"/>
  <c r="C18" i="5"/>
  <c r="B18" i="5"/>
  <c r="A18" i="5"/>
  <c r="B17" i="5"/>
  <c r="A17" i="5"/>
  <c r="C17" i="5"/>
  <c r="A670" i="22"/>
  <c r="I673" i="22" s="1"/>
  <c r="A16" i="5"/>
  <c r="B16" i="5"/>
  <c r="C16" i="5"/>
  <c r="C15" i="5"/>
  <c r="A15" i="5"/>
  <c r="B15" i="5"/>
  <c r="A14" i="5"/>
  <c r="B14" i="5"/>
  <c r="C14" i="5"/>
  <c r="C13" i="5"/>
  <c r="B13" i="5"/>
  <c r="A13" i="5"/>
  <c r="C12" i="5"/>
  <c r="A400" i="22"/>
  <c r="I403" i="22" s="1"/>
  <c r="A12" i="5"/>
  <c r="B12" i="5"/>
  <c r="A346" i="22"/>
  <c r="A11" i="5"/>
  <c r="C11" i="5"/>
  <c r="B11" i="5"/>
  <c r="C10" i="5"/>
  <c r="B10" i="5"/>
  <c r="A10" i="5"/>
  <c r="A9" i="5"/>
  <c r="C9" i="5"/>
  <c r="B9" i="5"/>
  <c r="C8" i="5"/>
  <c r="B8" i="5"/>
  <c r="A8" i="5"/>
  <c r="C7" i="5"/>
  <c r="A7" i="5"/>
  <c r="B7" i="5"/>
  <c r="C6" i="5"/>
  <c r="A76" i="22"/>
  <c r="I79" i="22" s="1"/>
  <c r="A6" i="5"/>
  <c r="B6" i="5"/>
  <c r="H27" i="2"/>
  <c r="H28" i="2"/>
  <c r="H29" i="2"/>
  <c r="H30" i="2"/>
  <c r="H31" i="2"/>
  <c r="H32" i="2"/>
  <c r="H33" i="2"/>
  <c r="H34" i="2"/>
  <c r="B29" i="11"/>
  <c r="J2" i="12"/>
  <c r="C3" i="13"/>
  <c r="G4" i="15"/>
  <c r="I4675" i="22" s="1"/>
  <c r="C3" i="16"/>
  <c r="A4389" i="22"/>
  <c r="B4389" i="22" s="1"/>
  <c r="A4388" i="22"/>
  <c r="B4388" i="22" s="1"/>
  <c r="A4387" i="22"/>
  <c r="B4387" i="22" s="1"/>
  <c r="A4386" i="22"/>
  <c r="B4386" i="22" s="1"/>
  <c r="A4385" i="22"/>
  <c r="B4385" i="22" s="1"/>
  <c r="A4384" i="22"/>
  <c r="B4384" i="22" s="1"/>
  <c r="A4383" i="22"/>
  <c r="B4383" i="22" s="1"/>
  <c r="A4382" i="22"/>
  <c r="B4382" i="22" s="1"/>
  <c r="B3" i="17"/>
  <c r="C5" i="17"/>
  <c r="K17" i="17"/>
  <c r="L18" i="17"/>
  <c r="A4414" i="22"/>
  <c r="B4414" i="22" s="1"/>
  <c r="A4413" i="22"/>
  <c r="B4413" i="22" s="1"/>
  <c r="A4412" i="22"/>
  <c r="B4412" i="22" s="1"/>
  <c r="A4411" i="22"/>
  <c r="B4411" i="22" s="1"/>
  <c r="A4410" i="22"/>
  <c r="B4410" i="22" s="1"/>
  <c r="A4381" i="22"/>
  <c r="B4381" i="22" s="1"/>
  <c r="A4380" i="22"/>
  <c r="B4380" i="22" s="1"/>
  <c r="A4379" i="22"/>
  <c r="B4379" i="22" s="1"/>
  <c r="A4378" i="22"/>
  <c r="B4378" i="22" s="1"/>
  <c r="A4377" i="22"/>
  <c r="B4377" i="22" s="1"/>
  <c r="A4376" i="22"/>
  <c r="B4376" i="22" s="1"/>
  <c r="A4375" i="22"/>
  <c r="B4375" i="22" s="1"/>
  <c r="A4374" i="22"/>
  <c r="B4374" i="22" s="1"/>
  <c r="A4373" i="22"/>
  <c r="B4373" i="22" s="1"/>
  <c r="A4372" i="22"/>
  <c r="B4372" i="22" s="1"/>
  <c r="A4371" i="22"/>
  <c r="B4371" i="22" s="1"/>
  <c r="A4370" i="22"/>
  <c r="B4370" i="22" s="1"/>
  <c r="A4369" i="22"/>
  <c r="B4369" i="22" s="1"/>
  <c r="A4368" i="22"/>
  <c r="B4368" i="22" s="1"/>
  <c r="A4367" i="22"/>
  <c r="B4367" i="22" s="1"/>
  <c r="A4366" i="22"/>
  <c r="B4366" i="22" s="1"/>
  <c r="A4365" i="22"/>
  <c r="B4365" i="22" s="1"/>
  <c r="A4364" i="22"/>
  <c r="B4364" i="22" s="1"/>
  <c r="A4421" i="22"/>
  <c r="B4421" i="22" s="1"/>
  <c r="A4451" i="22"/>
  <c r="B4451" i="22" s="1"/>
  <c r="A4452" i="22"/>
  <c r="B4452" i="22" s="1"/>
  <c r="A4453" i="22"/>
  <c r="B4453" i="22" s="1"/>
  <c r="A4454" i="22"/>
  <c r="B4454" i="22" s="1"/>
  <c r="A4455" i="22"/>
  <c r="B4455" i="22" s="1"/>
  <c r="A4456" i="22"/>
  <c r="B4456" i="22" s="1"/>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C22" i="24"/>
  <c r="D22" i="24" s="1"/>
  <c r="A4445" i="22"/>
  <c r="B4445" i="22" s="1"/>
  <c r="A4444" i="22"/>
  <c r="B4444" i="22" s="1"/>
  <c r="F4" i="9"/>
  <c r="C26" i="9"/>
  <c r="D26" i="9"/>
  <c r="E26" i="9"/>
  <c r="F26" i="9"/>
  <c r="G26" i="9"/>
  <c r="C27" i="9"/>
  <c r="D27" i="9"/>
  <c r="E27" i="9"/>
  <c r="F27" i="9"/>
  <c r="G27" i="9"/>
  <c r="C28" i="9"/>
  <c r="D28" i="9"/>
  <c r="E28" i="9"/>
  <c r="F28" i="9"/>
  <c r="G28" i="9"/>
  <c r="C29" i="9"/>
  <c r="D29" i="9"/>
  <c r="E29" i="9"/>
  <c r="F29" i="9"/>
  <c r="G29" i="9"/>
  <c r="C30" i="9"/>
  <c r="D30" i="9"/>
  <c r="E30" i="9"/>
  <c r="F30" i="9"/>
  <c r="G30" i="9"/>
  <c r="C31" i="9"/>
  <c r="D31" i="9"/>
  <c r="E31" i="9"/>
  <c r="F31" i="9"/>
  <c r="G31" i="9"/>
  <c r="C32" i="9"/>
  <c r="D32" i="9"/>
  <c r="E32" i="9"/>
  <c r="F32" i="9"/>
  <c r="G32" i="9"/>
  <c r="C33" i="9"/>
  <c r="D33" i="9"/>
  <c r="E33" i="9"/>
  <c r="F33" i="9"/>
  <c r="G33" i="9"/>
  <c r="C4" i="10"/>
  <c r="A4476" i="22"/>
  <c r="B4476" i="22" s="1"/>
  <c r="C25" i="10"/>
  <c r="A4443" i="22"/>
  <c r="B4443" i="22" s="1"/>
  <c r="A4442" i="22"/>
  <c r="B4442" i="22" s="1"/>
  <c r="A4441" i="22"/>
  <c r="B4441" i="22" s="1"/>
  <c r="A4440" i="22"/>
  <c r="B4440" i="22" s="1"/>
  <c r="A4439" i="22"/>
  <c r="B4439" i="22" s="1"/>
  <c r="A4438" i="22"/>
  <c r="B4438" i="22" s="1"/>
  <c r="A4437" i="22"/>
  <c r="B4437" i="22" s="1"/>
  <c r="A4436" i="22"/>
  <c r="B4436" i="22" s="1"/>
  <c r="A4435" i="22"/>
  <c r="B4435" i="22" s="1"/>
  <c r="A4434" i="22"/>
  <c r="B4434" i="22" s="1"/>
  <c r="A4325" i="22"/>
  <c r="A4326" i="22"/>
  <c r="A4323" i="22"/>
  <c r="A4324" i="22"/>
  <c r="A4322" i="22"/>
  <c r="A4327" i="22"/>
  <c r="A4328" i="22"/>
  <c r="A4329" i="22"/>
  <c r="A4330" i="22"/>
  <c r="A4331" i="22"/>
  <c r="A4332" i="22"/>
  <c r="A4333" i="22"/>
  <c r="B4333" i="22" s="1"/>
  <c r="A4334" i="22"/>
  <c r="B4334" i="22" s="1"/>
  <c r="A4335" i="22"/>
  <c r="B4335" i="22" s="1"/>
  <c r="A4336" i="22"/>
  <c r="B4336" i="22" s="1"/>
  <c r="A4337" i="22"/>
  <c r="B4337" i="22" s="1"/>
  <c r="A4338" i="22"/>
  <c r="B4338" i="22" s="1"/>
  <c r="A4339" i="22"/>
  <c r="B4339" i="22" s="1"/>
  <c r="A4340" i="22"/>
  <c r="B4340" i="22" s="1"/>
  <c r="A4341" i="22"/>
  <c r="B4341" i="22" s="1"/>
  <c r="A4342" i="22"/>
  <c r="B4342" i="22" s="1"/>
  <c r="A4343" i="22"/>
  <c r="B4343" i="22" s="1"/>
  <c r="A4344" i="22"/>
  <c r="B4344" i="22" s="1"/>
  <c r="A4345" i="22"/>
  <c r="B4345" i="22" s="1"/>
  <c r="A4346" i="22"/>
  <c r="B4346" i="22" s="1"/>
  <c r="A4347" i="22"/>
  <c r="B4347" i="22" s="1"/>
  <c r="A4348" i="22"/>
  <c r="B4348" i="22" s="1"/>
  <c r="A4349" i="22"/>
  <c r="B4349" i="22" s="1"/>
  <c r="A4350" i="22"/>
  <c r="B4350" i="22" s="1"/>
  <c r="A4351" i="22"/>
  <c r="B4351" i="22" s="1"/>
  <c r="A4352" i="22"/>
  <c r="B4352" i="22" s="1"/>
  <c r="A4353" i="22"/>
  <c r="B4353" i="22" s="1"/>
  <c r="A4354" i="22"/>
  <c r="B4354" i="22" s="1"/>
  <c r="A4355" i="22"/>
  <c r="B4355" i="22" s="1"/>
  <c r="A4356" i="22"/>
  <c r="B4356" i="22" s="1"/>
  <c r="L4214" i="22"/>
  <c r="L4213" i="22"/>
  <c r="K4213" i="22"/>
  <c r="A4357" i="22"/>
  <c r="B4357" i="22" s="1"/>
  <c r="A4358" i="22"/>
  <c r="B4358" i="22" s="1"/>
  <c r="A4359" i="22"/>
  <c r="B4359" i="22" s="1"/>
  <c r="A4360" i="22"/>
  <c r="B4360" i="22" s="1"/>
  <c r="A4361" i="22"/>
  <c r="B4361" i="22" s="1"/>
  <c r="A4362" i="22"/>
  <c r="B4362" i="22" s="1"/>
  <c r="A4363" i="22"/>
  <c r="B4363" i="22" s="1"/>
  <c r="L4160" i="22"/>
  <c r="L4159" i="22"/>
  <c r="K4159" i="22"/>
  <c r="A4446" i="22"/>
  <c r="B4446" i="22" s="1"/>
  <c r="A4408" i="22"/>
  <c r="B4408" i="22" s="1"/>
  <c r="A4409" i="22"/>
  <c r="B4409" i="22" s="1"/>
  <c r="D25" i="10"/>
  <c r="E25" i="10"/>
  <c r="A4430" i="22"/>
  <c r="B4430" i="22" s="1"/>
  <c r="F25" i="10"/>
  <c r="A4429" i="22"/>
  <c r="B4429" i="22" s="1"/>
  <c r="A4428" i="22"/>
  <c r="B4428" i="22" s="1"/>
  <c r="A4432" i="22"/>
  <c r="B4432" i="22" s="1"/>
  <c r="A4427" i="22"/>
  <c r="B4427" i="22" s="1"/>
  <c r="A4426" i="22"/>
  <c r="B4426" i="22" s="1"/>
  <c r="A4425" i="22"/>
  <c r="B4425" i="22" s="1"/>
  <c r="A4431" i="22"/>
  <c r="B4431" i="22" s="1"/>
  <c r="A4424" i="22"/>
  <c r="B4424" i="22" s="1"/>
  <c r="G25" i="10"/>
  <c r="A4423" i="22"/>
  <c r="B4423" i="22" s="1"/>
  <c r="A4422" i="22"/>
  <c r="B4422" i="22" s="1"/>
  <c r="A4433" i="22"/>
  <c r="B4433" i="22" s="1"/>
  <c r="A4447" i="22"/>
  <c r="B4447" i="22" s="1"/>
  <c r="A4448" i="22"/>
  <c r="B4448" i="22" s="1"/>
  <c r="A4449" i="22"/>
  <c r="B4449" i="22" s="1"/>
  <c r="A4450" i="22"/>
  <c r="B4450" i="22" s="1"/>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J70" i="10"/>
  <c r="C4" i="11"/>
  <c r="C24" i="11"/>
  <c r="D24" i="11"/>
  <c r="E24" i="11"/>
  <c r="C25" i="11"/>
  <c r="D25" i="11"/>
  <c r="E25" i="11"/>
  <c r="C26" i="11"/>
  <c r="D26" i="11"/>
  <c r="E26" i="11"/>
  <c r="C27" i="11"/>
  <c r="D27" i="11"/>
  <c r="E27" i="11"/>
  <c r="C28" i="11"/>
  <c r="D28" i="11"/>
  <c r="G23" i="2"/>
  <c r="G7" i="2"/>
  <c r="A4390" i="22"/>
  <c r="B4390" i="22" s="1"/>
  <c r="A4391" i="22"/>
  <c r="B4391" i="22" s="1"/>
  <c r="A4392" i="22"/>
  <c r="B4392" i="22" s="1"/>
  <c r="A4393" i="22"/>
  <c r="B4393" i="22" s="1"/>
  <c r="A4394" i="22"/>
  <c r="B4394" i="22" s="1"/>
  <c r="A4395" i="22"/>
  <c r="B4395" i="22" s="1"/>
  <c r="A4396" i="22"/>
  <c r="B4396" i="22" s="1"/>
  <c r="A4397" i="22"/>
  <c r="B4397" i="22" s="1"/>
  <c r="A4398" i="22"/>
  <c r="B4398" i="22" s="1"/>
  <c r="A4399" i="22"/>
  <c r="B4399" i="22" s="1"/>
  <c r="A4400" i="22"/>
  <c r="B4400" i="22" s="1"/>
  <c r="A4401" i="22"/>
  <c r="B4401" i="22" s="1"/>
  <c r="A4402" i="22"/>
  <c r="B4402" i="22" s="1"/>
  <c r="A4403" i="22"/>
  <c r="B4403" i="22" s="1"/>
  <c r="A4404" i="22"/>
  <c r="B4404" i="22" s="1"/>
  <c r="A4405" i="22"/>
  <c r="B4405" i="22" s="1"/>
  <c r="A4406" i="22"/>
  <c r="B4406" i="22" s="1"/>
  <c r="A4407" i="22"/>
  <c r="B4407" i="22" s="1"/>
  <c r="A4415" i="22"/>
  <c r="B4415" i="22" s="1"/>
  <c r="A4416" i="22"/>
  <c r="B4416" i="22" s="1"/>
  <c r="A4417" i="22"/>
  <c r="B4417" i="22" s="1"/>
  <c r="A4418" i="22"/>
  <c r="B4418" i="22" s="1"/>
  <c r="A4419" i="22"/>
  <c r="B4419" i="22" s="1"/>
  <c r="A4420" i="22"/>
  <c r="B4420" i="22" s="1"/>
  <c r="L17" i="17"/>
  <c r="E2129" i="22"/>
  <c r="I2129" i="22" s="1"/>
  <c r="E1157" i="22"/>
  <c r="I1157" i="22" s="1"/>
  <c r="E1859" i="22"/>
  <c r="I1859" i="22" s="1"/>
  <c r="K3749" i="22"/>
  <c r="K3641" i="22"/>
  <c r="K3587" i="22"/>
  <c r="E2021" i="22"/>
  <c r="I2021" i="22" s="1"/>
  <c r="J1373" i="22"/>
  <c r="E3641" i="22"/>
  <c r="I3641" i="22" s="1"/>
  <c r="K3533" i="22"/>
  <c r="E2453" i="22"/>
  <c r="I2453" i="22" s="1"/>
  <c r="K2291" i="22"/>
  <c r="K2237" i="22"/>
  <c r="K2183" i="22"/>
  <c r="K3479" i="22"/>
  <c r="E3479" i="22"/>
  <c r="I3479" i="22" s="1"/>
  <c r="J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K3101" i="22"/>
  <c r="E3101" i="22"/>
  <c r="I3101" i="22" s="1"/>
  <c r="J3101" i="22"/>
  <c r="K3047" i="22"/>
  <c r="E3047" i="22"/>
  <c r="I3047" i="22" s="1"/>
  <c r="J3047" i="22"/>
  <c r="K2993" i="22"/>
  <c r="E2993" i="22"/>
  <c r="I2993" i="22" s="1"/>
  <c r="J2993" i="22"/>
  <c r="K2939" i="22"/>
  <c r="E2939" i="22"/>
  <c r="I2939" i="22" s="1"/>
  <c r="J2939" i="22"/>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345" i="22"/>
  <c r="E2291" i="22"/>
  <c r="I2291" i="22" s="1"/>
  <c r="E2237" i="22"/>
  <c r="I2237" i="22" s="1"/>
  <c r="E2183" i="22"/>
  <c r="I2183" i="22" s="1"/>
  <c r="E1967" i="22"/>
  <c r="I1967" i="22" s="1"/>
  <c r="J1481" i="22"/>
  <c r="E1319" i="22"/>
  <c r="I1319" i="22" s="1"/>
  <c r="J1157" i="22"/>
  <c r="K2615" i="22"/>
  <c r="E2615" i="22"/>
  <c r="I2615" i="22" s="1"/>
  <c r="J2615" i="22"/>
  <c r="K2561" i="22"/>
  <c r="E2561" i="22"/>
  <c r="I2561" i="22" s="1"/>
  <c r="J2561" i="22"/>
  <c r="K2507" i="22"/>
  <c r="E2507" i="22"/>
  <c r="I2507" i="22" s="1"/>
  <c r="J2507" i="22"/>
  <c r="E1913" i="22"/>
  <c r="I1913" i="22" s="1"/>
  <c r="E1103" i="22"/>
  <c r="I1103" i="22" s="1"/>
  <c r="K1751" i="22"/>
  <c r="E1751" i="22"/>
  <c r="I1751" i="22" s="1"/>
  <c r="J1751" i="22"/>
  <c r="K1697" i="22"/>
  <c r="E1697" i="22"/>
  <c r="I1697" i="22" s="1"/>
  <c r="J1697" i="22"/>
  <c r="K1643" i="22"/>
  <c r="E1643" i="22"/>
  <c r="I1643" i="22" s="1"/>
  <c r="J1643" i="22"/>
  <c r="K1589" i="22"/>
  <c r="E1589" i="22"/>
  <c r="I1589" i="22" s="1"/>
  <c r="J1589" i="22"/>
  <c r="K1535" i="22"/>
  <c r="E1535" i="22"/>
  <c r="I1535" i="22" s="1"/>
  <c r="J1535" i="22"/>
  <c r="E77" i="22"/>
  <c r="I77" i="22" s="1"/>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J239" i="22"/>
  <c r="K185" i="22"/>
  <c r="E185" i="22"/>
  <c r="I185" i="22" s="1"/>
  <c r="J185" i="22"/>
  <c r="K131" i="22"/>
  <c r="E131" i="22"/>
  <c r="I131" i="22" s="1"/>
  <c r="J131" i="22"/>
  <c r="E3533" i="22"/>
  <c r="I3533" i="22" s="1"/>
  <c r="E2399" i="22"/>
  <c r="I2399" i="22" s="1"/>
  <c r="E2345" i="22"/>
  <c r="I2345" i="22" s="1"/>
  <c r="E1805" i="22"/>
  <c r="I1805" i="22" s="1"/>
  <c r="E1211" i="22"/>
  <c r="I1211" i="22" s="1"/>
  <c r="E293" i="22"/>
  <c r="I293" i="22" s="1"/>
  <c r="E3695" i="22"/>
  <c r="I3695" i="22" s="1"/>
  <c r="E1373" i="22"/>
  <c r="I1373" i="22" s="1"/>
  <c r="J1103" i="22"/>
  <c r="J3641" i="22"/>
  <c r="E3587" i="22"/>
  <c r="I3587" i="22" s="1"/>
  <c r="K1913" i="22"/>
  <c r="E1481" i="22"/>
  <c r="I1481" i="22" s="1"/>
  <c r="E1265" i="22"/>
  <c r="I1265" i="22" s="1"/>
  <c r="J1211" i="22"/>
  <c r="K1049" i="22"/>
  <c r="J347" i="22"/>
  <c r="E1049" i="22"/>
  <c r="I1049" i="22" s="1"/>
  <c r="E3749" i="22"/>
  <c r="I3749" i="22" s="1"/>
  <c r="K2453" i="22"/>
  <c r="E2075" i="22"/>
  <c r="I2075" i="22" s="1"/>
  <c r="K1859" i="22"/>
  <c r="H35" i="23" l="1"/>
  <c r="S3817" i="22"/>
  <c r="Q3811" i="22"/>
  <c r="O3427" i="22"/>
  <c r="H3821" i="22"/>
  <c r="R3813" i="22"/>
  <c r="S3813" i="22" s="1"/>
  <c r="O3373" i="22"/>
  <c r="AC3838" i="22"/>
  <c r="G3818" i="22"/>
  <c r="G3811" i="22"/>
  <c r="O3697" i="22"/>
  <c r="O2401" i="22"/>
  <c r="Q3859" i="22"/>
  <c r="S3859" i="22" s="1"/>
  <c r="Q3821" i="22"/>
  <c r="AL3813" i="22"/>
  <c r="AL3870" i="22"/>
  <c r="AM3870" i="22" s="1"/>
  <c r="H3870" i="22"/>
  <c r="S3865" i="22"/>
  <c r="AC3864" i="22"/>
  <c r="S3864" i="22"/>
  <c r="Q3857" i="22"/>
  <c r="AK3821" i="22"/>
  <c r="AM3852" i="22"/>
  <c r="AC3852" i="22"/>
  <c r="AM3851" i="22"/>
  <c r="AC3851" i="22"/>
  <c r="I3851" i="22"/>
  <c r="S3847" i="22"/>
  <c r="AA3846" i="22"/>
  <c r="AM3845" i="22"/>
  <c r="AC3844" i="22"/>
  <c r="AA3821" i="22"/>
  <c r="O3535" i="22"/>
  <c r="O3481" i="22"/>
  <c r="O3319" i="22"/>
  <c r="O3157" i="22"/>
  <c r="O1753" i="22"/>
  <c r="O2941" i="22"/>
  <c r="O2887" i="22"/>
  <c r="O2833" i="22"/>
  <c r="O2779" i="22"/>
  <c r="O2563" i="22"/>
  <c r="O2455" i="22"/>
  <c r="O2347" i="22"/>
  <c r="O2239" i="22"/>
  <c r="O2185" i="22"/>
  <c r="O2023" i="22"/>
  <c r="O1969" i="22"/>
  <c r="O1915" i="22"/>
  <c r="O1645" i="22"/>
  <c r="O1591" i="22"/>
  <c r="O1375" i="22"/>
  <c r="O1321" i="22"/>
  <c r="O1267" i="22"/>
  <c r="O1213" i="22"/>
  <c r="O1159" i="22"/>
  <c r="O1105" i="22"/>
  <c r="O997" i="22"/>
  <c r="O835" i="22"/>
  <c r="O457" i="22"/>
  <c r="O403" i="22"/>
  <c r="O349" i="22"/>
  <c r="O133" i="22"/>
  <c r="AG33" i="6"/>
  <c r="O79" i="22"/>
  <c r="Q65" i="4"/>
  <c r="U21" i="5"/>
  <c r="Q66" i="4"/>
  <c r="Q68" i="4"/>
  <c r="CM10" i="22"/>
  <c r="CT10" i="22"/>
  <c r="B4268" i="22"/>
  <c r="C4268" i="22" s="1"/>
  <c r="D4268" i="22"/>
  <c r="K4567" i="22" s="1"/>
  <c r="J7" i="19"/>
  <c r="K7" i="19"/>
  <c r="R1594" i="23"/>
  <c r="Q1594" i="23"/>
  <c r="P1594" i="23"/>
  <c r="R1538" i="23"/>
  <c r="Q1538" i="23"/>
  <c r="P1538" i="23"/>
  <c r="R1482" i="23"/>
  <c r="P1482" i="23"/>
  <c r="Q1482" i="23"/>
  <c r="R1426" i="23"/>
  <c r="Q1426" i="23"/>
  <c r="P1426" i="23"/>
  <c r="R1370" i="23"/>
  <c r="Q1370" i="23"/>
  <c r="P1370" i="23"/>
  <c r="Q1314" i="23"/>
  <c r="P1314" i="23"/>
  <c r="R1314" i="23"/>
  <c r="P1258" i="23"/>
  <c r="Q1258" i="23"/>
  <c r="R1258" i="23"/>
  <c r="P1202" i="23"/>
  <c r="Q1202" i="23"/>
  <c r="R1202" i="23"/>
  <c r="R1146" i="23"/>
  <c r="Q1146" i="23"/>
  <c r="P1146" i="23"/>
  <c r="P1034" i="23"/>
  <c r="Q1034" i="23"/>
  <c r="R1034" i="23"/>
  <c r="P978" i="23"/>
  <c r="R978" i="23"/>
  <c r="Q978" i="23"/>
  <c r="P922" i="23"/>
  <c r="R922" i="23"/>
  <c r="Q922" i="23"/>
  <c r="P866" i="23"/>
  <c r="Q866" i="23"/>
  <c r="R866" i="23"/>
  <c r="Q698" i="23"/>
  <c r="P698" i="23"/>
  <c r="R698" i="23"/>
  <c r="Q642" i="23"/>
  <c r="P642" i="23"/>
  <c r="R642" i="23"/>
  <c r="Q586" i="23"/>
  <c r="R586" i="23"/>
  <c r="P586" i="23"/>
  <c r="Q530" i="23"/>
  <c r="R530" i="23"/>
  <c r="P530" i="23"/>
  <c r="Q474" i="23"/>
  <c r="P474" i="23"/>
  <c r="R474" i="23"/>
  <c r="F52" i="23"/>
  <c r="G52" i="23"/>
  <c r="H52" i="23" s="1"/>
  <c r="F36" i="23"/>
  <c r="G36" i="23"/>
  <c r="H36" i="23" s="1"/>
  <c r="F8" i="23"/>
  <c r="G8" i="23"/>
  <c r="H3861" i="22"/>
  <c r="G3861" i="22"/>
  <c r="I3861" i="22" s="1"/>
  <c r="R3859" i="22"/>
  <c r="R3858" i="22"/>
  <c r="S3858" i="22" s="1"/>
  <c r="AA3855" i="22"/>
  <c r="AB3855" i="22"/>
  <c r="AC3855" i="22" s="1"/>
  <c r="AB3853" i="22"/>
  <c r="AA3853" i="22"/>
  <c r="Q3853" i="22"/>
  <c r="R3853" i="22"/>
  <c r="S3853" i="22" s="1"/>
  <c r="G3853" i="22"/>
  <c r="H3853" i="22"/>
  <c r="R3837" i="22"/>
  <c r="Q3837" i="22"/>
  <c r="R3835" i="22"/>
  <c r="Q3835" i="22"/>
  <c r="AL3833" i="22"/>
  <c r="AK3833" i="22"/>
  <c r="AM3833" i="22" s="1"/>
  <c r="AA3833" i="22"/>
  <c r="AB3833" i="22"/>
  <c r="AL3832" i="22"/>
  <c r="AK3832" i="22"/>
  <c r="AM3832" i="22" s="1"/>
  <c r="AA3832" i="22"/>
  <c r="AB3832" i="22"/>
  <c r="G3832" i="22"/>
  <c r="H3832" i="22"/>
  <c r="I3832" i="22" s="1"/>
  <c r="AL3828" i="22"/>
  <c r="AK3828" i="22"/>
  <c r="AM3828" i="22" s="1"/>
  <c r="AA3827" i="22"/>
  <c r="AB3827" i="22"/>
  <c r="AC3827" i="22" s="1"/>
  <c r="Q3827" i="22"/>
  <c r="R3827" i="22"/>
  <c r="S3827" i="22" s="1"/>
  <c r="R3823" i="22"/>
  <c r="Q3823" i="22"/>
  <c r="S3823" i="22" s="1"/>
  <c r="Q3822" i="22"/>
  <c r="R3822" i="22"/>
  <c r="S3822" i="22" s="1"/>
  <c r="AL3820" i="22"/>
  <c r="AK3820" i="22"/>
  <c r="AM3820" i="22" s="1"/>
  <c r="R3820" i="22"/>
  <c r="Q3820" i="22"/>
  <c r="S3820" i="22" s="1"/>
  <c r="AK3819" i="22"/>
  <c r="AL3819" i="22"/>
  <c r="AM3819" i="22" s="1"/>
  <c r="AA3819" i="22"/>
  <c r="AB3819" i="22"/>
  <c r="AC3819" i="22" s="1"/>
  <c r="Q3819" i="22"/>
  <c r="R3819" i="22"/>
  <c r="S3819" i="22" s="1"/>
  <c r="AB3817" i="22"/>
  <c r="AA3817" i="22"/>
  <c r="AC3817" i="22" s="1"/>
  <c r="AL3815" i="22"/>
  <c r="AK3815" i="22"/>
  <c r="AM3815" i="22" s="1"/>
  <c r="G3815" i="22"/>
  <c r="H3815" i="22"/>
  <c r="G3821" i="22"/>
  <c r="G3814" i="22"/>
  <c r="H3814" i="22"/>
  <c r="AB3812" i="22"/>
  <c r="AA3812" i="22"/>
  <c r="AC3812" i="22" s="1"/>
  <c r="Q3813" i="22"/>
  <c r="Q3812" i="22"/>
  <c r="R3812" i="22"/>
  <c r="AB3810" i="22"/>
  <c r="AA3810" i="22"/>
  <c r="AC3810" i="22" s="1"/>
  <c r="AA3809" i="22"/>
  <c r="AB3809" i="22"/>
  <c r="H3809" i="22"/>
  <c r="G3809" i="22"/>
  <c r="I3809" i="22" s="1"/>
  <c r="AL3806" i="22"/>
  <c r="AK3806" i="22"/>
  <c r="AM3806" i="22" s="1"/>
  <c r="AA3806" i="22"/>
  <c r="AB3806" i="22"/>
  <c r="R3806" i="22"/>
  <c r="L4105" i="22"/>
  <c r="Q3806" i="22"/>
  <c r="H3806" i="22"/>
  <c r="G3806" i="22"/>
  <c r="I3806" i="22" s="1"/>
  <c r="L4051" i="22"/>
  <c r="F3643" i="22"/>
  <c r="K3643" i="22"/>
  <c r="R3427" i="22"/>
  <c r="P3427" i="22"/>
  <c r="Q3427" i="22"/>
  <c r="R3373" i="22"/>
  <c r="Q3373" i="22"/>
  <c r="P3373" i="22"/>
  <c r="H3387" i="22"/>
  <c r="H3403" i="22"/>
  <c r="CC65" i="22" s="1"/>
  <c r="H3388" i="22"/>
  <c r="H3389" i="22"/>
  <c r="H3390" i="22"/>
  <c r="H3391" i="22"/>
  <c r="H3392" i="22"/>
  <c r="H3393" i="22"/>
  <c r="H3394" i="22"/>
  <c r="H3395" i="22"/>
  <c r="H3396" i="22"/>
  <c r="H3397" i="22"/>
  <c r="BW65" i="22" s="1"/>
  <c r="H3398" i="22"/>
  <c r="BX65" i="22" s="1"/>
  <c r="H3399" i="22"/>
  <c r="BY65" i="22" s="1"/>
  <c r="H3400" i="22"/>
  <c r="BZ65" i="22" s="1"/>
  <c r="H3401" i="22"/>
  <c r="CA65" i="22" s="1"/>
  <c r="H3402" i="22"/>
  <c r="CB65" i="22" s="1"/>
  <c r="H3386" i="22"/>
  <c r="H3404" i="22"/>
  <c r="CD65" i="22" s="1"/>
  <c r="H3407" i="22"/>
  <c r="CG65" i="22" s="1"/>
  <c r="H3405" i="22"/>
  <c r="CE65" i="22" s="1"/>
  <c r="H3406" i="22"/>
  <c r="CF65" i="22" s="1"/>
  <c r="H3385" i="22"/>
  <c r="H3420" i="22"/>
  <c r="H3419" i="22"/>
  <c r="H3418" i="22"/>
  <c r="H3417" i="22"/>
  <c r="H3416" i="22"/>
  <c r="H3415" i="22"/>
  <c r="H3414" i="22"/>
  <c r="H3413" i="22"/>
  <c r="H3412" i="22"/>
  <c r="H3411" i="22"/>
  <c r="H3410" i="22"/>
  <c r="H3409" i="22"/>
  <c r="H3408" i="22"/>
  <c r="CH65" i="22" s="1"/>
  <c r="H2770" i="22"/>
  <c r="H2728" i="22"/>
  <c r="H2727" i="22"/>
  <c r="H2767" i="22"/>
  <c r="H2768" i="22"/>
  <c r="H2769" i="22"/>
  <c r="H2771" i="22"/>
  <c r="H2772" i="22"/>
  <c r="H2726" i="22"/>
  <c r="H2725" i="22"/>
  <c r="H2729" i="22"/>
  <c r="F2401" i="22"/>
  <c r="K2401" i="22"/>
  <c r="H2419" i="22"/>
  <c r="H2443" i="22"/>
  <c r="H2442" i="22"/>
  <c r="H2418" i="22"/>
  <c r="H2417" i="22"/>
  <c r="H2416" i="22"/>
  <c r="H2415" i="22"/>
  <c r="H2427" i="22"/>
  <c r="BY47" i="22" s="1"/>
  <c r="H2413" i="22"/>
  <c r="H2428" i="22"/>
  <c r="BZ47" i="22" s="1"/>
  <c r="H2429" i="22"/>
  <c r="CA47" i="22" s="1"/>
  <c r="H2430" i="22"/>
  <c r="CB47" i="22" s="1"/>
  <c r="H2431" i="22"/>
  <c r="CC47" i="22" s="1"/>
  <c r="H2432" i="22"/>
  <c r="CD47" i="22" s="1"/>
  <c r="H2433" i="22"/>
  <c r="CE47" i="22" s="1"/>
  <c r="H2434" i="22"/>
  <c r="CF47" i="22" s="1"/>
  <c r="H2435" i="22"/>
  <c r="CG47" i="22" s="1"/>
  <c r="H2441" i="22"/>
  <c r="H2436" i="22"/>
  <c r="CH47" i="22" s="1"/>
  <c r="H2437" i="22"/>
  <c r="H2438" i="22"/>
  <c r="H2439" i="22"/>
  <c r="H2425" i="22"/>
  <c r="H2440" i="22"/>
  <c r="H2424" i="22"/>
  <c r="H2426" i="22"/>
  <c r="BX47" i="22" s="1"/>
  <c r="H2448" i="22"/>
  <c r="H2447" i="22"/>
  <c r="H2446" i="22"/>
  <c r="H2445" i="22"/>
  <c r="H2423" i="22"/>
  <c r="H2422" i="22"/>
  <c r="H2444" i="22"/>
  <c r="H2421" i="22"/>
  <c r="H2420" i="22"/>
  <c r="H2414" i="22"/>
  <c r="H2312" i="22"/>
  <c r="H2316" i="22"/>
  <c r="H2317" i="22"/>
  <c r="H2318" i="22"/>
  <c r="BX45" i="22" s="1"/>
  <c r="H2319" i="22"/>
  <c r="BY45" i="22" s="1"/>
  <c r="H2320" i="22"/>
  <c r="BZ45" i="22" s="1"/>
  <c r="H2321" i="22"/>
  <c r="CA45" i="22" s="1"/>
  <c r="H2294" i="22"/>
  <c r="H2296" i="22"/>
  <c r="H2309" i="22"/>
  <c r="H2298" i="22"/>
  <c r="H2293" i="22"/>
  <c r="H2299" i="22"/>
  <c r="H2311" i="22"/>
  <c r="H2297" i="22"/>
  <c r="H2305" i="22"/>
  <c r="H2308" i="22"/>
  <c r="H2301" i="22"/>
  <c r="H2300" i="22"/>
  <c r="H2310" i="22"/>
  <c r="H2314" i="22"/>
  <c r="H2306" i="22"/>
  <c r="H2307" i="22"/>
  <c r="H2303" i="22"/>
  <c r="H2302" i="22"/>
  <c r="Q2239" i="22"/>
  <c r="R2239" i="22"/>
  <c r="Q1861" i="22"/>
  <c r="P1861" i="22"/>
  <c r="R1861" i="22"/>
  <c r="Q1807" i="22"/>
  <c r="R1807" i="22"/>
  <c r="P1807" i="22"/>
  <c r="H1808" i="22"/>
  <c r="H1807" i="22"/>
  <c r="R1753" i="22"/>
  <c r="P1753" i="22"/>
  <c r="Q1753" i="22"/>
  <c r="F1753" i="22"/>
  <c r="K1753" i="22"/>
  <c r="R1429" i="22"/>
  <c r="Q1429" i="22"/>
  <c r="P1429" i="22"/>
  <c r="F1105" i="22"/>
  <c r="K1105" i="22"/>
  <c r="F781" i="22"/>
  <c r="K781" i="22"/>
  <c r="R565" i="22"/>
  <c r="Q565" i="22"/>
  <c r="P565" i="22"/>
  <c r="Q187" i="22"/>
  <c r="P187" i="22"/>
  <c r="R187" i="22"/>
  <c r="DC31" i="22"/>
  <c r="DE31" i="22"/>
  <c r="DH31" i="22"/>
  <c r="DG31" i="22"/>
  <c r="DF31" i="22"/>
  <c r="DD31" i="22"/>
  <c r="DB31" i="22"/>
  <c r="DA31" i="22"/>
  <c r="CZ31" i="22"/>
  <c r="CY31" i="22"/>
  <c r="CX31" i="22"/>
  <c r="CW31" i="22"/>
  <c r="D70" i="12"/>
  <c r="E28" i="11"/>
  <c r="C63" i="12"/>
  <c r="D63" i="12"/>
  <c r="C64" i="12"/>
  <c r="D64" i="12"/>
  <c r="C65" i="12"/>
  <c r="D65" i="12"/>
  <c r="C66" i="12"/>
  <c r="D66" i="12"/>
  <c r="C67" i="12"/>
  <c r="D67" i="12"/>
  <c r="C68" i="12"/>
  <c r="D68" i="12"/>
  <c r="C69" i="12"/>
  <c r="D69" i="12"/>
  <c r="C70" i="12"/>
  <c r="C1595" i="23"/>
  <c r="J1595" i="23" s="1"/>
  <c r="E1595" i="23"/>
  <c r="F1595" i="23"/>
  <c r="G1595" i="23"/>
  <c r="B1596" i="23"/>
  <c r="I1596" i="23" s="1"/>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D1539" i="23" s="1"/>
  <c r="E1539" i="23"/>
  <c r="F1539" i="23"/>
  <c r="G1539" i="23"/>
  <c r="B1540" i="23"/>
  <c r="G1483" i="23"/>
  <c r="B1484" i="23"/>
  <c r="C1483" i="23"/>
  <c r="D1483" i="23" s="1"/>
  <c r="E1483" i="23"/>
  <c r="F1483" i="23"/>
  <c r="C1427" i="23"/>
  <c r="E1427" i="23"/>
  <c r="G1427" i="23"/>
  <c r="B1428" i="23"/>
  <c r="C1371" i="23"/>
  <c r="D1371" i="23" s="1"/>
  <c r="E1371" i="23"/>
  <c r="F1371" i="23"/>
  <c r="G1371" i="23"/>
  <c r="B1372" i="23"/>
  <c r="C1315" i="23"/>
  <c r="E1315" i="23"/>
  <c r="G1315" i="23"/>
  <c r="B1316" i="23"/>
  <c r="C1259" i="23"/>
  <c r="D1259" i="23" s="1"/>
  <c r="E1259" i="23"/>
  <c r="F1259" i="23"/>
  <c r="G1259" i="23"/>
  <c r="B1260" i="23"/>
  <c r="C1203" i="23"/>
  <c r="E1203" i="23"/>
  <c r="G1203" i="23"/>
  <c r="B1204" i="23"/>
  <c r="C1147" i="23"/>
  <c r="E1147" i="23"/>
  <c r="G1147" i="23"/>
  <c r="B1148" i="23"/>
  <c r="C1091" i="23"/>
  <c r="E1091" i="23"/>
  <c r="G1091" i="23"/>
  <c r="B1092" i="23"/>
  <c r="B1036" i="23"/>
  <c r="C1035" i="23"/>
  <c r="E1035" i="23"/>
  <c r="G1035" i="23"/>
  <c r="C979" i="23"/>
  <c r="E979" i="23"/>
  <c r="G979" i="23"/>
  <c r="B980" i="23"/>
  <c r="C923" i="23"/>
  <c r="E923" i="23"/>
  <c r="G923" i="23"/>
  <c r="B924" i="23"/>
  <c r="C867" i="23"/>
  <c r="E867" i="23"/>
  <c r="G867" i="23"/>
  <c r="B868" i="23"/>
  <c r="C811" i="23"/>
  <c r="E811" i="23"/>
  <c r="G811" i="23"/>
  <c r="B812" i="23"/>
  <c r="C755" i="23"/>
  <c r="E755" i="23"/>
  <c r="G755" i="23"/>
  <c r="B756" i="23"/>
  <c r="C699" i="23"/>
  <c r="D699" i="23" s="1"/>
  <c r="E699" i="23"/>
  <c r="F699" i="23"/>
  <c r="G699" i="23"/>
  <c r="B700" i="23"/>
  <c r="C643" i="23"/>
  <c r="E643" i="23"/>
  <c r="G643" i="23"/>
  <c r="B644" i="23"/>
  <c r="C587" i="23"/>
  <c r="D587" i="23" s="1"/>
  <c r="E587" i="23"/>
  <c r="F587" i="23"/>
  <c r="G587" i="23"/>
  <c r="B588" i="23"/>
  <c r="C531" i="23"/>
  <c r="E531" i="23"/>
  <c r="G531" i="23"/>
  <c r="B532" i="23"/>
  <c r="C475" i="23"/>
  <c r="E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I1594" i="23"/>
  <c r="J1594" i="23"/>
  <c r="N1594" i="23" s="1"/>
  <c r="I1595" i="23"/>
  <c r="M4729" i="22"/>
  <c r="J4729" i="22"/>
  <c r="N4729" i="22" s="1"/>
  <c r="D4729" i="22"/>
  <c r="G4730" i="22"/>
  <c r="I4730" i="22"/>
  <c r="C4730" i="22"/>
  <c r="K4730" i="22" s="1"/>
  <c r="E4730" i="22"/>
  <c r="F4730" i="22"/>
  <c r="L4730" i="22"/>
  <c r="B4731" i="22"/>
  <c r="C4676" i="22"/>
  <c r="K4676" i="22" s="1"/>
  <c r="E4676" i="22"/>
  <c r="F4676" i="22"/>
  <c r="G4676" i="22"/>
  <c r="I4676" i="22"/>
  <c r="B4677" i="22"/>
  <c r="L4677" i="22" s="1"/>
  <c r="D4675" i="22"/>
  <c r="J4675" i="22"/>
  <c r="C4622" i="22"/>
  <c r="E4622" i="22"/>
  <c r="G4622" i="22"/>
  <c r="B4623" i="22"/>
  <c r="C4568" i="22"/>
  <c r="E4568" i="22"/>
  <c r="G4568" i="22"/>
  <c r="B4569" i="22"/>
  <c r="I4569" i="22" s="1"/>
  <c r="C4514" i="22"/>
  <c r="F4514" i="22" s="1"/>
  <c r="E4514" i="22"/>
  <c r="G4514" i="22"/>
  <c r="I4514" i="22"/>
  <c r="B4515" i="22"/>
  <c r="D4513" i="22"/>
  <c r="J4513" i="22"/>
  <c r="N4513" i="22" s="1"/>
  <c r="E4321" i="22"/>
  <c r="F4321" i="22"/>
  <c r="E4320" i="22"/>
  <c r="G4320" i="22" s="1"/>
  <c r="I4320" i="22" s="1"/>
  <c r="F4320" i="22"/>
  <c r="H4320" i="22"/>
  <c r="E4319" i="22"/>
  <c r="F4319" i="22"/>
  <c r="E4318" i="22"/>
  <c r="F4318" i="22"/>
  <c r="G4318" i="22"/>
  <c r="I4318" i="22" s="1"/>
  <c r="H4318" i="22"/>
  <c r="E4317" i="22"/>
  <c r="F4317" i="22"/>
  <c r="G4317" i="22"/>
  <c r="I4317" i="22" s="1"/>
  <c r="H4317" i="22"/>
  <c r="E4316" i="22"/>
  <c r="F4316" i="22"/>
  <c r="G4316" i="22"/>
  <c r="I4316" i="22" s="1"/>
  <c r="H4316" i="22"/>
  <c r="E4315" i="22"/>
  <c r="F4315" i="22"/>
  <c r="G4315" i="22"/>
  <c r="I4315" i="22" s="1"/>
  <c r="H4315" i="22"/>
  <c r="E4314" i="22"/>
  <c r="F4314" i="22"/>
  <c r="G4314" i="22"/>
  <c r="I4314" i="22" s="1"/>
  <c r="H4314" i="22"/>
  <c r="E4313" i="22"/>
  <c r="F4313" i="22"/>
  <c r="G4313" i="22"/>
  <c r="I4313" i="22" s="1"/>
  <c r="H4313" i="22"/>
  <c r="E4312" i="22"/>
  <c r="F4312" i="22"/>
  <c r="E4311" i="22"/>
  <c r="F4311" i="22"/>
  <c r="G4311" i="22"/>
  <c r="I4311" i="22" s="1"/>
  <c r="H4311" i="22"/>
  <c r="E4310" i="22"/>
  <c r="F4310" i="22"/>
  <c r="G4310" i="22"/>
  <c r="I4310" i="22" s="1"/>
  <c r="H4310" i="22"/>
  <c r="E4309" i="22"/>
  <c r="F4309" i="22"/>
  <c r="G4309" i="22"/>
  <c r="I4309" i="22" s="1"/>
  <c r="H4309" i="22"/>
  <c r="E4308" i="22"/>
  <c r="F4308" i="22"/>
  <c r="E4307" i="22"/>
  <c r="F4307" i="22"/>
  <c r="E4306" i="22"/>
  <c r="F4306" i="22"/>
  <c r="E4305" i="22"/>
  <c r="F4305" i="22"/>
  <c r="E4304" i="22"/>
  <c r="F4304" i="22"/>
  <c r="E4303" i="22"/>
  <c r="F4303" i="22"/>
  <c r="E4302" i="22"/>
  <c r="F4302" i="22"/>
  <c r="E4301" i="22"/>
  <c r="F4301" i="22"/>
  <c r="E4300" i="22"/>
  <c r="F4300" i="22"/>
  <c r="E4299" i="22"/>
  <c r="F4299" i="22"/>
  <c r="E4298" i="22"/>
  <c r="F4298" i="22"/>
  <c r="E4297" i="22"/>
  <c r="F4297" i="22"/>
  <c r="E4296" i="22"/>
  <c r="F4296" i="22"/>
  <c r="E4295" i="22"/>
  <c r="F4295" i="22"/>
  <c r="E4294" i="22"/>
  <c r="F4294" i="22"/>
  <c r="E4293" i="22"/>
  <c r="F4293" i="22"/>
  <c r="E4292" i="22"/>
  <c r="F4292" i="22"/>
  <c r="G4292" i="22"/>
  <c r="H4292" i="22"/>
  <c r="I4292" i="22"/>
  <c r="E4291" i="22"/>
  <c r="F4291" i="22"/>
  <c r="E4290" i="22"/>
  <c r="F4290" i="22"/>
  <c r="G4290" i="22"/>
  <c r="H4290" i="22"/>
  <c r="I4290" i="22"/>
  <c r="E4289" i="22"/>
  <c r="F4289" i="22"/>
  <c r="G4289" i="22"/>
  <c r="H4289" i="22"/>
  <c r="I4289" i="22"/>
  <c r="E4288" i="22"/>
  <c r="F4288" i="22"/>
  <c r="G4288" i="22"/>
  <c r="H4288" i="22"/>
  <c r="I4288" i="22"/>
  <c r="E4287" i="22"/>
  <c r="F4287" i="22"/>
  <c r="E4286" i="22"/>
  <c r="F4286" i="22"/>
  <c r="G4286" i="22"/>
  <c r="H4286" i="22"/>
  <c r="I4286" i="22"/>
  <c r="E4285" i="22"/>
  <c r="F4285" i="22"/>
  <c r="G4285" i="22"/>
  <c r="H4285" i="22"/>
  <c r="I4285" i="22"/>
  <c r="E4284" i="22"/>
  <c r="F4284" i="22"/>
  <c r="G4284" i="22"/>
  <c r="H4284" i="22"/>
  <c r="I4284" i="22"/>
  <c r="E4283" i="22"/>
  <c r="F4283" i="22"/>
  <c r="E4282" i="22"/>
  <c r="F4282" i="22"/>
  <c r="G4282" i="22"/>
  <c r="H4282" i="22"/>
  <c r="I4282" i="22"/>
  <c r="E4281" i="22"/>
  <c r="F4281" i="22"/>
  <c r="G4281" i="22"/>
  <c r="H4281" i="22"/>
  <c r="I4281" i="22"/>
  <c r="E4280" i="22"/>
  <c r="F4280" i="22"/>
  <c r="E4279" i="22"/>
  <c r="F4279" i="22"/>
  <c r="G4279" i="22"/>
  <c r="H4279" i="22"/>
  <c r="I4279" i="22"/>
  <c r="E4278" i="22"/>
  <c r="F4278" i="22"/>
  <c r="E4277" i="22"/>
  <c r="F4277" i="22"/>
  <c r="G4277" i="22"/>
  <c r="H4277" i="22"/>
  <c r="I4277" i="22"/>
  <c r="E4276" i="22"/>
  <c r="F4276" i="22"/>
  <c r="G4276" i="22"/>
  <c r="H4276" i="22"/>
  <c r="I4276" i="22"/>
  <c r="E4275" i="22"/>
  <c r="F4275" i="22"/>
  <c r="E4274" i="22"/>
  <c r="F4274" i="22"/>
  <c r="G4274" i="22"/>
  <c r="H4274" i="22"/>
  <c r="I4274" i="22"/>
  <c r="E4273" i="22"/>
  <c r="F4273" i="22"/>
  <c r="E4272" i="22"/>
  <c r="F4272" i="22"/>
  <c r="G4272" i="22"/>
  <c r="H4272" i="22"/>
  <c r="I4272" i="22"/>
  <c r="E4271" i="22"/>
  <c r="F4271" i="22"/>
  <c r="G4271" i="22"/>
  <c r="H4271" i="22"/>
  <c r="I4271" i="22"/>
  <c r="E4270" i="22"/>
  <c r="F4270" i="22"/>
  <c r="E4269" i="22"/>
  <c r="F4269" i="22"/>
  <c r="E4268" i="22"/>
  <c r="F4268" i="22"/>
  <c r="G4268" i="22"/>
  <c r="H4268" i="22"/>
  <c r="I4268" i="22"/>
  <c r="C4214" i="22"/>
  <c r="F4214" i="22" s="1"/>
  <c r="E4214" i="22"/>
  <c r="G4214" i="22"/>
  <c r="I4214" i="22"/>
  <c r="B4215" i="22"/>
  <c r="D4213" i="22"/>
  <c r="J4213" i="22"/>
  <c r="N4213" i="22" s="1"/>
  <c r="C4160" i="22"/>
  <c r="F4160" i="22" s="1"/>
  <c r="E4160" i="22"/>
  <c r="G4160" i="22"/>
  <c r="I4160" i="22"/>
  <c r="B4161" i="22"/>
  <c r="D4159" i="22"/>
  <c r="J4159" i="22"/>
  <c r="N4159" i="22" s="1"/>
  <c r="C4106" i="22"/>
  <c r="E4106" i="22"/>
  <c r="G4106" i="22"/>
  <c r="I4106" i="22"/>
  <c r="L4106" i="22"/>
  <c r="B4107" i="22"/>
  <c r="D4105" i="22"/>
  <c r="J4105" i="22"/>
  <c r="D4051" i="22"/>
  <c r="J4051" i="22"/>
  <c r="G4052" i="22"/>
  <c r="L4052" i="22"/>
  <c r="B4053" i="22"/>
  <c r="C4052" i="22"/>
  <c r="E4052" i="22"/>
  <c r="I4052" i="22"/>
  <c r="G3819" i="22"/>
  <c r="I3819" i="22" s="1"/>
  <c r="H3819" i="22"/>
  <c r="D3751" i="22"/>
  <c r="J3751" i="22"/>
  <c r="C3752" i="22"/>
  <c r="E3752" i="22"/>
  <c r="G3752" i="22"/>
  <c r="I3752" i="22"/>
  <c r="B3753" i="22"/>
  <c r="CM72" i="22"/>
  <c r="CT72" i="22"/>
  <c r="C3698" i="22"/>
  <c r="F3698" i="22" s="1"/>
  <c r="O3698" i="22" s="1"/>
  <c r="E3698" i="22"/>
  <c r="G3698" i="22"/>
  <c r="I3698" i="22"/>
  <c r="B3699" i="22"/>
  <c r="D3697" i="22"/>
  <c r="J3697" i="22"/>
  <c r="N3697" i="22" s="1"/>
  <c r="U3697" i="22" s="1"/>
  <c r="CM71" i="22"/>
  <c r="CT71" i="22"/>
  <c r="Z71" i="22"/>
  <c r="CU71" i="22"/>
  <c r="CV71" i="22"/>
  <c r="CW71" i="22"/>
  <c r="CX71" i="22"/>
  <c r="CY71" i="22"/>
  <c r="CZ71" i="22"/>
  <c r="DA71" i="22"/>
  <c r="DB71" i="22"/>
  <c r="DC71" i="22"/>
  <c r="DD71" i="22"/>
  <c r="DE71" i="22"/>
  <c r="DF71" i="22"/>
  <c r="DG71" i="22"/>
  <c r="DH71" i="22"/>
  <c r="M3697" i="22"/>
  <c r="D3643" i="22"/>
  <c r="J3643" i="22"/>
  <c r="C3644" i="22"/>
  <c r="F3644" i="22" s="1"/>
  <c r="O3644" i="22" s="1"/>
  <c r="E3644" i="22"/>
  <c r="G3644" i="22"/>
  <c r="I3644" i="22"/>
  <c r="B3645" i="22"/>
  <c r="CM70" i="22"/>
  <c r="CT70" i="22"/>
  <c r="CU70" i="22"/>
  <c r="CV70" i="22"/>
  <c r="CW70" i="22"/>
  <c r="CX70" i="22"/>
  <c r="CY70" i="22"/>
  <c r="CZ70" i="22"/>
  <c r="DA70" i="22"/>
  <c r="DB70" i="22"/>
  <c r="DC70" i="22"/>
  <c r="DD70" i="22"/>
  <c r="DE70" i="22"/>
  <c r="DF70" i="22"/>
  <c r="DG70" i="22"/>
  <c r="DH70" i="22"/>
  <c r="Z70" i="22"/>
  <c r="D3589" i="22"/>
  <c r="J3589" i="22"/>
  <c r="I3590" i="22"/>
  <c r="C3590" i="22"/>
  <c r="F3590" i="22" s="1"/>
  <c r="O3590" i="22" s="1"/>
  <c r="E3590" i="22"/>
  <c r="G3590" i="22"/>
  <c r="B3591" i="22"/>
  <c r="CM69" i="22"/>
  <c r="CT69" i="22"/>
  <c r="Z69" i="22"/>
  <c r="M3589" i="22"/>
  <c r="N3589" i="22"/>
  <c r="U3589" i="22" s="1"/>
  <c r="CU69" i="22"/>
  <c r="CV69" i="22"/>
  <c r="CW69" i="22"/>
  <c r="CX69" i="22"/>
  <c r="CY69" i="22"/>
  <c r="CZ69" i="22"/>
  <c r="DA69" i="22"/>
  <c r="DB69" i="22"/>
  <c r="DC69" i="22"/>
  <c r="DD69" i="22"/>
  <c r="DE69" i="22"/>
  <c r="DF69" i="22"/>
  <c r="DG69" i="22"/>
  <c r="DH69" i="22"/>
  <c r="I3536" i="22"/>
  <c r="B3537" i="22"/>
  <c r="C3536" i="22"/>
  <c r="F3536" i="22" s="1"/>
  <c r="O3536" i="22" s="1"/>
  <c r="E3536" i="22"/>
  <c r="G3536" i="22"/>
  <c r="J3535" i="22"/>
  <c r="D3535" i="22"/>
  <c r="CM68" i="22"/>
  <c r="CT68" i="22"/>
  <c r="M3535" i="22"/>
  <c r="N3535" i="22"/>
  <c r="Z68" i="22"/>
  <c r="CU68" i="22"/>
  <c r="CV68" i="22"/>
  <c r="CW68" i="22"/>
  <c r="CX68" i="22"/>
  <c r="CY68" i="22"/>
  <c r="CZ68" i="22"/>
  <c r="DA68" i="22"/>
  <c r="DB68" i="22"/>
  <c r="DC68" i="22"/>
  <c r="DD68" i="22"/>
  <c r="DE68" i="22"/>
  <c r="DF68" i="22"/>
  <c r="DG68" i="22"/>
  <c r="DH68" i="22"/>
  <c r="C3482" i="22"/>
  <c r="E3482" i="22"/>
  <c r="G3482" i="22"/>
  <c r="I3482" i="22"/>
  <c r="B3483" i="22"/>
  <c r="D3481" i="22"/>
  <c r="J3481" i="22"/>
  <c r="C3428" i="22"/>
  <c r="K3428" i="22" s="1"/>
  <c r="E3428" i="22"/>
  <c r="F3428" i="22"/>
  <c r="O3428" i="22" s="1"/>
  <c r="G3428" i="22"/>
  <c r="I3428" i="22"/>
  <c r="B3429" i="22"/>
  <c r="D3427" i="22"/>
  <c r="J3427" i="22"/>
  <c r="CM66" i="22"/>
  <c r="CT66" i="22"/>
  <c r="C3374" i="22"/>
  <c r="E3374" i="22"/>
  <c r="G3374" i="22"/>
  <c r="I3374" i="22"/>
  <c r="B3375" i="22"/>
  <c r="D3373" i="22"/>
  <c r="J3373" i="22"/>
  <c r="CM65" i="22"/>
  <c r="CT65" i="22"/>
  <c r="C3320" i="22"/>
  <c r="F3320" i="22" s="1"/>
  <c r="O3320" i="22" s="1"/>
  <c r="E3320" i="22"/>
  <c r="G3320" i="22"/>
  <c r="I3320" i="22"/>
  <c r="B3321" i="22"/>
  <c r="D3319" i="22"/>
  <c r="J3319" i="22"/>
  <c r="N3319" i="22" s="1"/>
  <c r="CM64" i="22"/>
  <c r="CT64" i="22"/>
  <c r="Z64" i="22"/>
  <c r="CU64" i="22"/>
  <c r="CV64" i="22"/>
  <c r="CW64" i="22"/>
  <c r="CX64" i="22"/>
  <c r="CY64" i="22"/>
  <c r="CZ64" i="22"/>
  <c r="DA64" i="22"/>
  <c r="DB64" i="22"/>
  <c r="DC64" i="22"/>
  <c r="DD64" i="22"/>
  <c r="DE64" i="22"/>
  <c r="DF64" i="22"/>
  <c r="DG64" i="22"/>
  <c r="DH64" i="22"/>
  <c r="M3319" i="22"/>
  <c r="G3266" i="22"/>
  <c r="C3266" i="22"/>
  <c r="F3266" i="22" s="1"/>
  <c r="O3266" i="22" s="1"/>
  <c r="I3266" i="22"/>
  <c r="B3267" i="22"/>
  <c r="E3266" i="22"/>
  <c r="D3265" i="22"/>
  <c r="J3265" i="22"/>
  <c r="N3265" i="22" s="1"/>
  <c r="CM63" i="22"/>
  <c r="CT63" i="22"/>
  <c r="CU63" i="22"/>
  <c r="CV63" i="22"/>
  <c r="CW63" i="22"/>
  <c r="CX63" i="22"/>
  <c r="CY63" i="22"/>
  <c r="CZ63" i="22"/>
  <c r="DA63" i="22"/>
  <c r="DB63" i="22"/>
  <c r="DC63" i="22"/>
  <c r="DD63" i="22"/>
  <c r="DE63" i="22"/>
  <c r="DF63" i="22"/>
  <c r="DG63" i="22"/>
  <c r="DH63" i="22"/>
  <c r="Z63" i="22"/>
  <c r="M3265" i="22"/>
  <c r="J3211" i="22"/>
  <c r="N3211" i="22" s="1"/>
  <c r="D3211" i="22"/>
  <c r="G3212" i="22"/>
  <c r="C3212" i="22"/>
  <c r="F3212" i="22" s="1"/>
  <c r="O3212" i="22" s="1"/>
  <c r="E3212" i="22"/>
  <c r="B3213" i="22"/>
  <c r="I3212" i="22"/>
  <c r="CM62" i="22"/>
  <c r="CT62" i="22"/>
  <c r="M3211" i="22"/>
  <c r="CU62" i="22"/>
  <c r="CV62" i="22"/>
  <c r="CW62" i="22"/>
  <c r="CX62" i="22"/>
  <c r="CY62" i="22"/>
  <c r="CZ62" i="22"/>
  <c r="DA62" i="22"/>
  <c r="DB62" i="22"/>
  <c r="DC62" i="22"/>
  <c r="DD62" i="22"/>
  <c r="DE62" i="22"/>
  <c r="DF62" i="22"/>
  <c r="DG62" i="22"/>
  <c r="DH62" i="22"/>
  <c r="Z62" i="22"/>
  <c r="D3157" i="22"/>
  <c r="J3157" i="22"/>
  <c r="C3158" i="22"/>
  <c r="K3158" i="22" s="1"/>
  <c r="E3158" i="22"/>
  <c r="F3158" i="22"/>
  <c r="O3158" i="22" s="1"/>
  <c r="G3158" i="22"/>
  <c r="I3158" i="22"/>
  <c r="B3159" i="22"/>
  <c r="C3104" i="22"/>
  <c r="E3104" i="22"/>
  <c r="G3104" i="22"/>
  <c r="I3104" i="22"/>
  <c r="B3105" i="22"/>
  <c r="D3103" i="22"/>
  <c r="J3103" i="22"/>
  <c r="C3050" i="22"/>
  <c r="E3050" i="22"/>
  <c r="G3050" i="22"/>
  <c r="I3050" i="22"/>
  <c r="B3051" i="22"/>
  <c r="D3049" i="22"/>
  <c r="J3049" i="22"/>
  <c r="CM59" i="22"/>
  <c r="CT59" i="22"/>
  <c r="D2995" i="22"/>
  <c r="J2995" i="22"/>
  <c r="N2995" i="22" s="1"/>
  <c r="C2996" i="22"/>
  <c r="F2996" i="22" s="1"/>
  <c r="O2996" i="22" s="1"/>
  <c r="E2996" i="22"/>
  <c r="G2996" i="22"/>
  <c r="I2996" i="22"/>
  <c r="B2997" i="22"/>
  <c r="CM58" i="22"/>
  <c r="CT58" i="22"/>
  <c r="CU58" i="22"/>
  <c r="CV58" i="22"/>
  <c r="CW58" i="22"/>
  <c r="CX58" i="22"/>
  <c r="CY58" i="22"/>
  <c r="CZ58" i="22"/>
  <c r="DA58" i="22"/>
  <c r="DB58" i="22"/>
  <c r="DC58" i="22"/>
  <c r="DD58" i="22"/>
  <c r="DE58" i="22"/>
  <c r="DF58" i="22"/>
  <c r="DG58" i="22"/>
  <c r="DH58" i="22"/>
  <c r="M2995" i="22"/>
  <c r="Z58" i="22"/>
  <c r="C2942" i="22"/>
  <c r="E2942" i="22"/>
  <c r="F2942" i="22"/>
  <c r="O2942" i="22" s="1"/>
  <c r="G2942" i="22"/>
  <c r="I2942" i="22"/>
  <c r="B2943" i="22"/>
  <c r="D2941" i="22"/>
  <c r="J2941" i="22"/>
  <c r="CM57" i="22"/>
  <c r="CT57" i="22"/>
  <c r="Z57" i="22"/>
  <c r="M2941" i="22"/>
  <c r="N2941" i="22"/>
  <c r="CU57" i="22"/>
  <c r="CV57" i="22"/>
  <c r="CW57" i="22"/>
  <c r="CX57" i="22"/>
  <c r="CY57" i="22"/>
  <c r="CZ57" i="22"/>
  <c r="DA57" i="22"/>
  <c r="DB57" i="22"/>
  <c r="DC57" i="22"/>
  <c r="DD57" i="22"/>
  <c r="DE57" i="22"/>
  <c r="DF57" i="22"/>
  <c r="DG57" i="22"/>
  <c r="DH57" i="22"/>
  <c r="C2888" i="22"/>
  <c r="E2888" i="22"/>
  <c r="G2888" i="22"/>
  <c r="I2888" i="22"/>
  <c r="B2889" i="22"/>
  <c r="D2887" i="22"/>
  <c r="J2887" i="22"/>
  <c r="D2833" i="22"/>
  <c r="J2833" i="22"/>
  <c r="C2834" i="22"/>
  <c r="K2834" i="22" s="1"/>
  <c r="E2834" i="22"/>
  <c r="F2834" i="22"/>
  <c r="O2834" i="22" s="1"/>
  <c r="G2834" i="22"/>
  <c r="I2834" i="22"/>
  <c r="B2835" i="22"/>
  <c r="CM55" i="22"/>
  <c r="CT55" i="22"/>
  <c r="C2780" i="22"/>
  <c r="F2780" i="22" s="1"/>
  <c r="O2780" i="22" s="1"/>
  <c r="E2780" i="22"/>
  <c r="G2780" i="22"/>
  <c r="I2780" i="22"/>
  <c r="B2781" i="22"/>
  <c r="D2779" i="22"/>
  <c r="J2779" i="22"/>
  <c r="N2779" i="22" s="1"/>
  <c r="CS54" i="22"/>
  <c r="CU54" i="22"/>
  <c r="CV54" i="22"/>
  <c r="CW54" i="22"/>
  <c r="CX54" i="22"/>
  <c r="CY54" i="22"/>
  <c r="CZ54" i="22"/>
  <c r="DA54" i="22"/>
  <c r="DB54" i="22"/>
  <c r="DC54" i="22"/>
  <c r="DD54" i="22"/>
  <c r="DE54" i="22"/>
  <c r="DF54" i="22"/>
  <c r="DG54" i="22"/>
  <c r="DH54" i="22"/>
  <c r="Z54" i="22"/>
  <c r="M2779" i="22"/>
  <c r="C2726" i="22"/>
  <c r="F2726" i="22" s="1"/>
  <c r="O2726" i="22" s="1"/>
  <c r="E2726" i="22"/>
  <c r="G2726" i="22"/>
  <c r="I2726" i="22"/>
  <c r="B2727" i="22"/>
  <c r="D2725" i="22"/>
  <c r="J2725" i="22"/>
  <c r="N2725" i="22" s="1"/>
  <c r="CM53" i="22"/>
  <c r="CT53" i="22"/>
  <c r="Z53" i="22"/>
  <c r="CU53" i="22"/>
  <c r="CV53" i="22"/>
  <c r="CW53" i="22"/>
  <c r="CX53" i="22"/>
  <c r="CY53" i="22"/>
  <c r="CZ53" i="22"/>
  <c r="DA53" i="22"/>
  <c r="DB53" i="22"/>
  <c r="DC53" i="22"/>
  <c r="DD53" i="22"/>
  <c r="DE53" i="22"/>
  <c r="DF53" i="22"/>
  <c r="DG53" i="22"/>
  <c r="DH53" i="22"/>
  <c r="M2725" i="22"/>
  <c r="D2671" i="22"/>
  <c r="J2671" i="22"/>
  <c r="N2671" i="22" s="1"/>
  <c r="E2672" i="22"/>
  <c r="B2673" i="22"/>
  <c r="C2672" i="22"/>
  <c r="F2672" i="22" s="1"/>
  <c r="O2672" i="22" s="1"/>
  <c r="G2672" i="22"/>
  <c r="I2672" i="22"/>
  <c r="CM52" i="22"/>
  <c r="CT52" i="22"/>
  <c r="M2671" i="22"/>
  <c r="CU52" i="22"/>
  <c r="CV52" i="22"/>
  <c r="CW52" i="22"/>
  <c r="CX52" i="22"/>
  <c r="CY52" i="22"/>
  <c r="CZ52" i="22"/>
  <c r="DA52" i="22"/>
  <c r="DB52" i="22"/>
  <c r="DC52" i="22"/>
  <c r="DD52" i="22"/>
  <c r="DE52" i="22"/>
  <c r="DF52" i="22"/>
  <c r="DG52" i="22"/>
  <c r="DH52" i="22"/>
  <c r="Z52" i="22"/>
  <c r="D2617" i="22"/>
  <c r="J2617" i="22"/>
  <c r="N2617" i="22" s="1"/>
  <c r="C2618" i="22"/>
  <c r="F2618" i="22" s="1"/>
  <c r="O2618" i="22" s="1"/>
  <c r="E2618" i="22"/>
  <c r="G2618" i="22"/>
  <c r="I2618" i="22"/>
  <c r="B2619" i="22"/>
  <c r="CM51" i="22"/>
  <c r="CT51" i="22"/>
  <c r="CU51" i="22"/>
  <c r="CV51" i="22"/>
  <c r="CW51" i="22"/>
  <c r="CX51" i="22"/>
  <c r="CY51" i="22"/>
  <c r="CZ51" i="22"/>
  <c r="DA51" i="22"/>
  <c r="DB51" i="22"/>
  <c r="DC51" i="22"/>
  <c r="DD51" i="22"/>
  <c r="DE51" i="22"/>
  <c r="DF51" i="22"/>
  <c r="DG51" i="22"/>
  <c r="DH51" i="22"/>
  <c r="M2617" i="22"/>
  <c r="Z51" i="22"/>
  <c r="C2564" i="22"/>
  <c r="E2564" i="22"/>
  <c r="G2564" i="22"/>
  <c r="I2564" i="22"/>
  <c r="B2565" i="22"/>
  <c r="D2563" i="22"/>
  <c r="J2563" i="22"/>
  <c r="CM50" i="22"/>
  <c r="CT50" i="22"/>
  <c r="D2509" i="22"/>
  <c r="J2509" i="22"/>
  <c r="N2509" i="22" s="1"/>
  <c r="C2510" i="22"/>
  <c r="F2510" i="22" s="1"/>
  <c r="O2510" i="22" s="1"/>
  <c r="E2510" i="22"/>
  <c r="G2510" i="22"/>
  <c r="I2510" i="22"/>
  <c r="B2511" i="22"/>
  <c r="CM49" i="22"/>
  <c r="CT49" i="22"/>
  <c r="M2509" i="22"/>
  <c r="CU49" i="22"/>
  <c r="CV49" i="22"/>
  <c r="CW49" i="22"/>
  <c r="CX49" i="22"/>
  <c r="CY49" i="22"/>
  <c r="CZ49" i="22"/>
  <c r="DA49" i="22"/>
  <c r="DB49" i="22"/>
  <c r="DC49" i="22"/>
  <c r="DD49" i="22"/>
  <c r="DE49" i="22"/>
  <c r="DF49" i="22"/>
  <c r="DG49" i="22"/>
  <c r="DH49" i="22"/>
  <c r="Z49" i="22"/>
  <c r="C2456" i="22"/>
  <c r="F2456" i="22" s="1"/>
  <c r="O2456" i="22" s="1"/>
  <c r="E2456" i="22"/>
  <c r="G2456" i="22"/>
  <c r="I2456" i="22"/>
  <c r="B2457" i="22"/>
  <c r="D2455" i="22"/>
  <c r="J2455" i="22"/>
  <c r="N2455" i="22" s="1"/>
  <c r="CM48" i="22"/>
  <c r="CT48" i="22"/>
  <c r="Z48" i="22"/>
  <c r="CU48" i="22"/>
  <c r="CV48" i="22"/>
  <c r="CW48" i="22"/>
  <c r="CX48" i="22"/>
  <c r="CY48" i="22"/>
  <c r="CZ48" i="22"/>
  <c r="DA48" i="22"/>
  <c r="DB48" i="22"/>
  <c r="DC48" i="22"/>
  <c r="DD48" i="22"/>
  <c r="DE48" i="22"/>
  <c r="DF48" i="22"/>
  <c r="DG48" i="22"/>
  <c r="DH48" i="22"/>
  <c r="M2455" i="22"/>
  <c r="C2402" i="22"/>
  <c r="F2402" i="22" s="1"/>
  <c r="O2402" i="22" s="1"/>
  <c r="E2402" i="22"/>
  <c r="G2402" i="22"/>
  <c r="I2402" i="22"/>
  <c r="B2403" i="22"/>
  <c r="D2401" i="22"/>
  <c r="J2401" i="22"/>
  <c r="N2401" i="22" s="1"/>
  <c r="CM47" i="22"/>
  <c r="CT47" i="22"/>
  <c r="CU47" i="22"/>
  <c r="CV47" i="22"/>
  <c r="CW47" i="22"/>
  <c r="CX47" i="22"/>
  <c r="CY47" i="22"/>
  <c r="CZ47" i="22"/>
  <c r="DA47" i="22"/>
  <c r="DB47" i="22"/>
  <c r="DC47" i="22"/>
  <c r="DD47" i="22"/>
  <c r="DE47" i="22"/>
  <c r="DF47" i="22"/>
  <c r="DG47" i="22"/>
  <c r="DH47" i="22"/>
  <c r="Z47" i="22"/>
  <c r="M2401" i="22"/>
  <c r="C2348" i="22"/>
  <c r="E2348" i="22"/>
  <c r="F2348" i="22"/>
  <c r="O2348" i="22" s="1"/>
  <c r="G2348" i="22"/>
  <c r="I2348" i="22"/>
  <c r="B2349" i="22"/>
  <c r="D2347" i="22"/>
  <c r="J2347" i="22"/>
  <c r="N2347" i="22" s="1"/>
  <c r="U2347" i="22" s="1"/>
  <c r="CM46" i="22"/>
  <c r="CT46" i="22"/>
  <c r="CU46" i="22"/>
  <c r="CV46" i="22"/>
  <c r="CW46" i="22"/>
  <c r="CX46" i="22"/>
  <c r="CY46" i="22"/>
  <c r="CZ46" i="22"/>
  <c r="DA46" i="22"/>
  <c r="DB46" i="22"/>
  <c r="DC46" i="22"/>
  <c r="DD46" i="22"/>
  <c r="DE46" i="22"/>
  <c r="DF46" i="22"/>
  <c r="DG46" i="22"/>
  <c r="DH46" i="22"/>
  <c r="Z46" i="22"/>
  <c r="M2347" i="22"/>
  <c r="B2295" i="22"/>
  <c r="G2294" i="22"/>
  <c r="I2294" i="22"/>
  <c r="C2294" i="22"/>
  <c r="E2294" i="22"/>
  <c r="D2293" i="22"/>
  <c r="J2293" i="22"/>
  <c r="CM45" i="22"/>
  <c r="CT45" i="22"/>
  <c r="Z45" i="22"/>
  <c r="CU45" i="22"/>
  <c r="CV45" i="22"/>
  <c r="CW45" i="22"/>
  <c r="CX45" i="22"/>
  <c r="CY45" i="22"/>
  <c r="CZ45" i="22"/>
  <c r="DA45" i="22"/>
  <c r="DB45" i="22"/>
  <c r="DC45" i="22"/>
  <c r="DD45" i="22"/>
  <c r="DE45" i="22"/>
  <c r="DF45" i="22"/>
  <c r="DG45" i="22"/>
  <c r="DH45" i="22"/>
  <c r="D2239" i="22"/>
  <c r="J2239" i="22"/>
  <c r="C2240" i="22"/>
  <c r="E2240" i="22"/>
  <c r="G2240" i="22"/>
  <c r="I2240" i="22"/>
  <c r="B2241" i="22"/>
  <c r="C2186" i="22"/>
  <c r="E2186" i="22"/>
  <c r="G2186" i="22"/>
  <c r="I2186" i="22"/>
  <c r="B2187" i="22"/>
  <c r="D2185" i="22"/>
  <c r="J2185" i="22"/>
  <c r="CM43" i="22"/>
  <c r="CT43" i="22"/>
  <c r="D2131" i="22"/>
  <c r="J2131" i="22"/>
  <c r="N2131" i="22" s="1"/>
  <c r="C2132" i="22"/>
  <c r="F2132" i="22" s="1"/>
  <c r="O2132" i="22" s="1"/>
  <c r="E2132" i="22"/>
  <c r="G2132" i="22"/>
  <c r="I2132" i="22"/>
  <c r="B2133" i="22"/>
  <c r="CM42" i="22"/>
  <c r="CT42" i="22"/>
  <c r="CU42" i="22"/>
  <c r="CV42" i="22"/>
  <c r="CW42" i="22"/>
  <c r="CX42" i="22"/>
  <c r="CY42" i="22"/>
  <c r="CZ42" i="22"/>
  <c r="DA42" i="22"/>
  <c r="DB42" i="22"/>
  <c r="DC42" i="22"/>
  <c r="DD42" i="22"/>
  <c r="DE42" i="22"/>
  <c r="DF42" i="22"/>
  <c r="DG42" i="22"/>
  <c r="DH42" i="22"/>
  <c r="Z42" i="22"/>
  <c r="M2131" i="22"/>
  <c r="D2077" i="22"/>
  <c r="J2077" i="22"/>
  <c r="C2078" i="22"/>
  <c r="E2078" i="22"/>
  <c r="F2078" i="22"/>
  <c r="O2078" i="22" s="1"/>
  <c r="G2078" i="22"/>
  <c r="I2078" i="22"/>
  <c r="B2079" i="22"/>
  <c r="CM41" i="22"/>
  <c r="CT41" i="22"/>
  <c r="Z41" i="22"/>
  <c r="M2077" i="22"/>
  <c r="N2077" i="22"/>
  <c r="CU41" i="22"/>
  <c r="CV41" i="22"/>
  <c r="CW41" i="22"/>
  <c r="CX41" i="22"/>
  <c r="CY41" i="22"/>
  <c r="CZ41" i="22"/>
  <c r="DA41" i="22"/>
  <c r="DB41" i="22"/>
  <c r="DC41" i="22"/>
  <c r="DD41" i="22"/>
  <c r="DE41" i="22"/>
  <c r="DF41" i="22"/>
  <c r="DG41" i="22"/>
  <c r="DH41" i="22"/>
  <c r="D2023" i="22"/>
  <c r="J2023" i="22"/>
  <c r="N2023" i="22" s="1"/>
  <c r="C2024" i="22"/>
  <c r="F2024" i="22" s="1"/>
  <c r="O2024" i="22" s="1"/>
  <c r="E2024" i="22"/>
  <c r="G2024" i="22"/>
  <c r="I2024" i="22"/>
  <c r="B2025" i="22"/>
  <c r="CM40" i="22"/>
  <c r="CT40" i="22"/>
  <c r="M2023" i="22"/>
  <c r="CU40" i="22"/>
  <c r="CV40" i="22"/>
  <c r="CW40" i="22"/>
  <c r="CX40" i="22"/>
  <c r="CY40" i="22"/>
  <c r="CZ40" i="22"/>
  <c r="DA40" i="22"/>
  <c r="DB40" i="22"/>
  <c r="DC40" i="22"/>
  <c r="DD40" i="22"/>
  <c r="DE40" i="22"/>
  <c r="DF40" i="22"/>
  <c r="DG40" i="22"/>
  <c r="DH40" i="22"/>
  <c r="Z40" i="22"/>
  <c r="B1971" i="22"/>
  <c r="I1970" i="22"/>
  <c r="C1970" i="22"/>
  <c r="G1970" i="22"/>
  <c r="F1970" i="22"/>
  <c r="O1970" i="22" s="1"/>
  <c r="E1970" i="22"/>
  <c r="D1969" i="22"/>
  <c r="J1969" i="22"/>
  <c r="N1969" i="22" s="1"/>
  <c r="CM39" i="22"/>
  <c r="CT39" i="22"/>
  <c r="CU39" i="22"/>
  <c r="CV39" i="22"/>
  <c r="CW39" i="22"/>
  <c r="CX39" i="22"/>
  <c r="CY39" i="22"/>
  <c r="CZ39" i="22"/>
  <c r="DA39" i="22"/>
  <c r="DB39" i="22"/>
  <c r="DC39" i="22"/>
  <c r="DD39" i="22"/>
  <c r="DE39" i="22"/>
  <c r="DF39" i="22"/>
  <c r="DG39" i="22"/>
  <c r="DH39" i="22"/>
  <c r="M1969" i="22"/>
  <c r="Z39" i="22"/>
  <c r="C1916" i="22"/>
  <c r="E1916" i="22"/>
  <c r="G1916" i="22"/>
  <c r="I1916" i="22"/>
  <c r="B1917" i="22"/>
  <c r="D1915" i="22"/>
  <c r="J1915" i="22"/>
  <c r="D1861" i="22"/>
  <c r="J1861" i="22"/>
  <c r="C1862" i="22"/>
  <c r="E1862" i="22"/>
  <c r="G1862" i="22"/>
  <c r="I1862" i="22"/>
  <c r="B1863" i="22"/>
  <c r="D1807" i="22"/>
  <c r="J1807" i="22"/>
  <c r="C1808" i="22"/>
  <c r="E1808" i="22"/>
  <c r="G1808" i="22"/>
  <c r="I1808" i="22"/>
  <c r="B1809" i="22"/>
  <c r="C1754" i="22"/>
  <c r="F1754" i="22" s="1"/>
  <c r="O1754" i="22" s="1"/>
  <c r="E1754" i="22"/>
  <c r="G1754" i="22"/>
  <c r="I1754" i="22"/>
  <c r="B1755" i="22"/>
  <c r="D1753" i="22"/>
  <c r="J1753" i="22"/>
  <c r="N1753" i="22" s="1"/>
  <c r="CM35" i="22"/>
  <c r="CT35" i="22"/>
  <c r="CU35" i="22"/>
  <c r="CV35" i="22"/>
  <c r="CW35" i="22"/>
  <c r="CX35" i="22"/>
  <c r="CY35" i="22"/>
  <c r="CZ35" i="22"/>
  <c r="DA35" i="22"/>
  <c r="DB35" i="22"/>
  <c r="DC35" i="22"/>
  <c r="DD35" i="22"/>
  <c r="DE35" i="22"/>
  <c r="DF35" i="22"/>
  <c r="DG35" i="22"/>
  <c r="DH35" i="22"/>
  <c r="Z35" i="22"/>
  <c r="M1753" i="22"/>
  <c r="D1699" i="22"/>
  <c r="J1699" i="22"/>
  <c r="N1699" i="22" s="1"/>
  <c r="C1700" i="22"/>
  <c r="F1700" i="22" s="1"/>
  <c r="O1700" i="22" s="1"/>
  <c r="E1700" i="22"/>
  <c r="G1700" i="22"/>
  <c r="I1700" i="22"/>
  <c r="B1701" i="22"/>
  <c r="CM34" i="22"/>
  <c r="CT34" i="22"/>
  <c r="CU34" i="22"/>
  <c r="CV34" i="22"/>
  <c r="CW34" i="22"/>
  <c r="CX34" i="22"/>
  <c r="CY34" i="22"/>
  <c r="CZ34" i="22"/>
  <c r="DA34" i="22"/>
  <c r="DB34" i="22"/>
  <c r="DC34" i="22"/>
  <c r="DD34" i="22"/>
  <c r="DE34" i="22"/>
  <c r="DF34" i="22"/>
  <c r="DG34" i="22"/>
  <c r="DH34" i="22"/>
  <c r="M1699" i="22"/>
  <c r="Z34" i="22"/>
  <c r="C1646" i="22"/>
  <c r="E1646" i="22"/>
  <c r="G1646" i="22"/>
  <c r="I1646" i="22"/>
  <c r="B1647" i="22"/>
  <c r="D1645" i="22"/>
  <c r="J1645" i="22"/>
  <c r="C1592" i="22"/>
  <c r="E1592" i="22"/>
  <c r="G1592" i="22"/>
  <c r="I1592" i="22"/>
  <c r="B1593" i="22"/>
  <c r="D1591" i="22"/>
  <c r="J1591" i="22"/>
  <c r="C1538" i="22"/>
  <c r="F1538" i="22" s="1"/>
  <c r="O1538" i="22" s="1"/>
  <c r="E1538" i="22"/>
  <c r="G1538" i="22"/>
  <c r="I1538" i="22"/>
  <c r="B1539" i="22"/>
  <c r="D1537" i="22"/>
  <c r="J1537" i="22"/>
  <c r="N1537" i="22" s="1"/>
  <c r="M1537" i="22"/>
  <c r="Z31" i="22"/>
  <c r="D1483" i="22"/>
  <c r="J1483" i="22"/>
  <c r="N1483" i="22" s="1"/>
  <c r="C1484" i="22"/>
  <c r="E1484" i="22"/>
  <c r="G1484" i="22"/>
  <c r="I1484" i="22"/>
  <c r="B1485" i="22"/>
  <c r="CM30" i="22"/>
  <c r="CT30" i="22"/>
  <c r="CU30" i="22"/>
  <c r="CV30" i="22"/>
  <c r="CW30" i="22"/>
  <c r="CX30" i="22"/>
  <c r="CY30" i="22"/>
  <c r="CZ30" i="22"/>
  <c r="DA30" i="22"/>
  <c r="DB30" i="22"/>
  <c r="DC30" i="22"/>
  <c r="DD30" i="22"/>
  <c r="DE30" i="22"/>
  <c r="DF30" i="22"/>
  <c r="DG30" i="22"/>
  <c r="DH30" i="22"/>
  <c r="Z30" i="22"/>
  <c r="M1483" i="22"/>
  <c r="C1430" i="22"/>
  <c r="E1430" i="22"/>
  <c r="F1430" i="22"/>
  <c r="G1430" i="22"/>
  <c r="B1431" i="22"/>
  <c r="I1430" i="22"/>
  <c r="D1429" i="22"/>
  <c r="J1429" i="22"/>
  <c r="CM29" i="22"/>
  <c r="CT29" i="22"/>
  <c r="J1427" i="22"/>
  <c r="E1427" i="22"/>
  <c r="CU29" i="22"/>
  <c r="CV29" i="22"/>
  <c r="CW29" i="22"/>
  <c r="CX29" i="22"/>
  <c r="CY29" i="22"/>
  <c r="CZ29" i="22"/>
  <c r="DA29" i="22"/>
  <c r="DB29" i="22"/>
  <c r="DC29" i="22"/>
  <c r="DD29" i="22"/>
  <c r="DE29" i="22"/>
  <c r="DF29" i="22"/>
  <c r="DG29" i="22"/>
  <c r="DH29" i="22"/>
  <c r="Z29" i="22"/>
  <c r="N1429" i="22"/>
  <c r="U1429" i="22" s="1"/>
  <c r="M1429" i="22"/>
  <c r="J1375" i="22"/>
  <c r="D1375" i="22"/>
  <c r="G1376" i="22"/>
  <c r="B1377" i="22"/>
  <c r="C1376" i="22"/>
  <c r="F1376" i="22" s="1"/>
  <c r="O1376" i="22" s="1"/>
  <c r="E1376" i="22"/>
  <c r="I1376" i="22"/>
  <c r="CM28" i="22"/>
  <c r="CT28" i="22"/>
  <c r="Z28" i="22"/>
  <c r="M1375" i="22"/>
  <c r="N1375" i="22"/>
  <c r="CU28" i="22"/>
  <c r="CV28" i="22"/>
  <c r="CW28" i="22"/>
  <c r="CX28" i="22"/>
  <c r="CY28" i="22"/>
  <c r="CZ28" i="22"/>
  <c r="DA28" i="22"/>
  <c r="DB28" i="22"/>
  <c r="DC28" i="22"/>
  <c r="DD28" i="22"/>
  <c r="DE28" i="22"/>
  <c r="DF28" i="22"/>
  <c r="DG28" i="22"/>
  <c r="DH28" i="22"/>
  <c r="C1322" i="22"/>
  <c r="E1322" i="22"/>
  <c r="G1322" i="22"/>
  <c r="I1322" i="22"/>
  <c r="B1323" i="22"/>
  <c r="D1321" i="22"/>
  <c r="J1321" i="22"/>
  <c r="C1268" i="22"/>
  <c r="E1268" i="22"/>
  <c r="G1268" i="22"/>
  <c r="I1268" i="22"/>
  <c r="B1269" i="22"/>
  <c r="D1267" i="22"/>
  <c r="J1267" i="22"/>
  <c r="C1214" i="22"/>
  <c r="E1214" i="22"/>
  <c r="G1214" i="22"/>
  <c r="I1214" i="22"/>
  <c r="B1215" i="22"/>
  <c r="D1213" i="22"/>
  <c r="J1213" i="22"/>
  <c r="CM25" i="22"/>
  <c r="CT25" i="22"/>
  <c r="C1160" i="22"/>
  <c r="E1160" i="22"/>
  <c r="G1160" i="22"/>
  <c r="I1160" i="22"/>
  <c r="B1161" i="22"/>
  <c r="D1159" i="22"/>
  <c r="J1159" i="22"/>
  <c r="CM24" i="22"/>
  <c r="CT24" i="22"/>
  <c r="C1106" i="22"/>
  <c r="F1106" i="22" s="1"/>
  <c r="O1106" i="22" s="1"/>
  <c r="E1106" i="22"/>
  <c r="G1106" i="22"/>
  <c r="I1106" i="22"/>
  <c r="B1107" i="22"/>
  <c r="D1105" i="22"/>
  <c r="J1105" i="22"/>
  <c r="N1105" i="22" s="1"/>
  <c r="CM23" i="22"/>
  <c r="CT23" i="22"/>
  <c r="M1105" i="22"/>
  <c r="Z23" i="22"/>
  <c r="CU23" i="22"/>
  <c r="CV23" i="22"/>
  <c r="CW23" i="22"/>
  <c r="CX23" i="22"/>
  <c r="CY23" i="22"/>
  <c r="CZ23" i="22"/>
  <c r="DA23" i="22"/>
  <c r="DB23" i="22"/>
  <c r="DC23" i="22"/>
  <c r="DD23" i="22"/>
  <c r="DE23" i="22"/>
  <c r="DF23" i="22"/>
  <c r="DG23" i="22"/>
  <c r="DH23" i="22"/>
  <c r="D1051" i="22"/>
  <c r="J1051" i="22"/>
  <c r="N1051" i="22" s="1"/>
  <c r="C1052" i="22"/>
  <c r="E1052" i="22"/>
  <c r="G1052" i="22"/>
  <c r="I1052" i="22"/>
  <c r="B1053" i="22"/>
  <c r="CM22" i="22"/>
  <c r="CT22" i="22"/>
  <c r="M1051" i="22"/>
  <c r="Z22" i="22"/>
  <c r="CU22" i="22"/>
  <c r="CV22" i="22"/>
  <c r="CW22" i="22"/>
  <c r="CX22" i="22"/>
  <c r="CY22" i="22"/>
  <c r="CZ22" i="22"/>
  <c r="DA22" i="22"/>
  <c r="DB22" i="22"/>
  <c r="DC22" i="22"/>
  <c r="DD22" i="22"/>
  <c r="DE22" i="22"/>
  <c r="DF22" i="22"/>
  <c r="DG22" i="22"/>
  <c r="DH22" i="22"/>
  <c r="C998" i="22"/>
  <c r="E998" i="22"/>
  <c r="G998" i="22"/>
  <c r="I998" i="22"/>
  <c r="B999" i="22"/>
  <c r="D997" i="22"/>
  <c r="J997" i="22"/>
  <c r="CM21" i="22"/>
  <c r="CT21" i="22"/>
  <c r="C944" i="22"/>
  <c r="E944" i="22"/>
  <c r="G944" i="22"/>
  <c r="I944" i="22"/>
  <c r="B945" i="22"/>
  <c r="D943" i="22"/>
  <c r="J943" i="22"/>
  <c r="CM20" i="22"/>
  <c r="CT20" i="22"/>
  <c r="D889" i="22"/>
  <c r="J889" i="22"/>
  <c r="C890" i="22"/>
  <c r="E890" i="22"/>
  <c r="G890" i="22"/>
  <c r="I890" i="22"/>
  <c r="B891" i="22"/>
  <c r="CM19" i="22"/>
  <c r="CT19" i="22"/>
  <c r="C836" i="22"/>
  <c r="K836" i="22" s="1"/>
  <c r="E836" i="22"/>
  <c r="F836" i="22"/>
  <c r="O836" i="22" s="1"/>
  <c r="G836" i="22"/>
  <c r="I836" i="22"/>
  <c r="B837" i="22"/>
  <c r="D835" i="22"/>
  <c r="J835" i="22"/>
  <c r="CM18" i="22"/>
  <c r="CT18" i="22"/>
  <c r="D781" i="22"/>
  <c r="J781" i="22"/>
  <c r="C782" i="22"/>
  <c r="E782" i="22"/>
  <c r="F782" i="22"/>
  <c r="O782" i="22" s="1"/>
  <c r="G782" i="22"/>
  <c r="I782" i="22"/>
  <c r="B783" i="22"/>
  <c r="CM17" i="22"/>
  <c r="CT17" i="22"/>
  <c r="M781" i="22"/>
  <c r="N781" i="22"/>
  <c r="CU17" i="22"/>
  <c r="CV17" i="22"/>
  <c r="CW17" i="22"/>
  <c r="CX17" i="22"/>
  <c r="CY17" i="22"/>
  <c r="CZ17" i="22"/>
  <c r="DA17" i="22"/>
  <c r="DB17" i="22"/>
  <c r="DC17" i="22"/>
  <c r="DD17" i="22"/>
  <c r="DE17" i="22"/>
  <c r="DF17" i="22"/>
  <c r="DG17" i="22"/>
  <c r="DH17" i="22"/>
  <c r="Z17" i="22"/>
  <c r="C728" i="22"/>
  <c r="E728" i="22"/>
  <c r="F728" i="22"/>
  <c r="O728" i="22" s="1"/>
  <c r="G728" i="22"/>
  <c r="I728" i="22"/>
  <c r="B729" i="22"/>
  <c r="D727" i="22"/>
  <c r="J727" i="22"/>
  <c r="CM16" i="22"/>
  <c r="CT16" i="22"/>
  <c r="M727" i="22"/>
  <c r="N727" i="22"/>
  <c r="Z16" i="22"/>
  <c r="CU16" i="22"/>
  <c r="CV16" i="22"/>
  <c r="CW16" i="22"/>
  <c r="CX16" i="22"/>
  <c r="CY16" i="22"/>
  <c r="CZ16" i="22"/>
  <c r="DA16" i="22"/>
  <c r="DB16" i="22"/>
  <c r="DC16" i="22"/>
  <c r="DD16" i="22"/>
  <c r="DE16" i="22"/>
  <c r="DF16" i="22"/>
  <c r="DG16" i="22"/>
  <c r="DH16" i="22"/>
  <c r="C674" i="22"/>
  <c r="K674" i="22" s="1"/>
  <c r="E674" i="22"/>
  <c r="F674" i="22"/>
  <c r="O674" i="22" s="1"/>
  <c r="G674" i="22"/>
  <c r="I674" i="22"/>
  <c r="B675" i="22"/>
  <c r="D673" i="22"/>
  <c r="J673" i="22"/>
  <c r="CM15" i="22"/>
  <c r="CT15" i="22"/>
  <c r="D619" i="22"/>
  <c r="J619" i="22"/>
  <c r="N619" i="22" s="1"/>
  <c r="C620" i="22"/>
  <c r="E620" i="22"/>
  <c r="G620" i="22"/>
  <c r="I620" i="22"/>
  <c r="B621" i="22"/>
  <c r="CM14" i="22"/>
  <c r="CT14" i="22"/>
  <c r="CU14" i="22"/>
  <c r="CV14" i="22"/>
  <c r="CW14" i="22"/>
  <c r="CX14" i="22"/>
  <c r="CY14" i="22"/>
  <c r="CZ14" i="22"/>
  <c r="DA14" i="22"/>
  <c r="DB14" i="22"/>
  <c r="DC14" i="22"/>
  <c r="DD14" i="22"/>
  <c r="DE14" i="22"/>
  <c r="DF14" i="22"/>
  <c r="DG14" i="22"/>
  <c r="DH14" i="22"/>
  <c r="Z14" i="22"/>
  <c r="M619" i="22"/>
  <c r="C566" i="22"/>
  <c r="F566" i="22" s="1"/>
  <c r="O566" i="22" s="1"/>
  <c r="E566" i="22"/>
  <c r="G566" i="22"/>
  <c r="I566" i="22"/>
  <c r="B567" i="22"/>
  <c r="D565" i="22"/>
  <c r="J565" i="22"/>
  <c r="N565" i="22" s="1"/>
  <c r="CM13" i="22"/>
  <c r="CT13" i="22"/>
  <c r="CU13" i="22"/>
  <c r="CV13" i="22"/>
  <c r="CW13" i="22"/>
  <c r="CX13" i="22"/>
  <c r="CY13" i="22"/>
  <c r="CZ13" i="22"/>
  <c r="DA13" i="22"/>
  <c r="DB13" i="22"/>
  <c r="DC13" i="22"/>
  <c r="DD13" i="22"/>
  <c r="DE13" i="22"/>
  <c r="DF13" i="22"/>
  <c r="DG13" i="22"/>
  <c r="DH13" i="22"/>
  <c r="M565" i="22"/>
  <c r="Z13" i="22"/>
  <c r="D511" i="22"/>
  <c r="J511" i="22"/>
  <c r="N511" i="22" s="1"/>
  <c r="C512" i="22"/>
  <c r="F512" i="22" s="1"/>
  <c r="O512" i="22" s="1"/>
  <c r="E512" i="22"/>
  <c r="G512" i="22"/>
  <c r="B513" i="22"/>
  <c r="I512" i="22"/>
  <c r="CM12" i="22"/>
  <c r="CT12" i="22"/>
  <c r="M511" i="22"/>
  <c r="CU12" i="22"/>
  <c r="CV12" i="22"/>
  <c r="CW12" i="22"/>
  <c r="CX12" i="22"/>
  <c r="CY12" i="22"/>
  <c r="CZ12" i="22"/>
  <c r="DA12" i="22"/>
  <c r="DB12" i="22"/>
  <c r="DC12" i="22"/>
  <c r="DD12" i="22"/>
  <c r="DE12" i="22"/>
  <c r="DF12" i="22"/>
  <c r="DG12" i="22"/>
  <c r="DH12" i="22"/>
  <c r="Z12" i="22"/>
  <c r="C458" i="22"/>
  <c r="F458" i="22" s="1"/>
  <c r="O458" i="22" s="1"/>
  <c r="E458" i="22"/>
  <c r="G458" i="22"/>
  <c r="B459" i="22"/>
  <c r="I458" i="22"/>
  <c r="D457" i="22"/>
  <c r="J457" i="22"/>
  <c r="N457" i="22" s="1"/>
  <c r="CM11" i="22"/>
  <c r="CT11" i="22"/>
  <c r="M457" i="22"/>
  <c r="Z11" i="22"/>
  <c r="CU11" i="22"/>
  <c r="CV11" i="22"/>
  <c r="CW11" i="22"/>
  <c r="CX11" i="22"/>
  <c r="CY11" i="22"/>
  <c r="CZ11" i="22"/>
  <c r="DA11" i="22"/>
  <c r="DB11" i="22"/>
  <c r="DC11" i="22"/>
  <c r="DD11" i="22"/>
  <c r="DE11" i="22"/>
  <c r="DF11" i="22"/>
  <c r="DG11" i="22"/>
  <c r="DH11" i="22"/>
  <c r="D403" i="22"/>
  <c r="J403" i="22"/>
  <c r="C404" i="22"/>
  <c r="E404" i="22"/>
  <c r="G404" i="22"/>
  <c r="I404" i="22"/>
  <c r="B405" i="22"/>
  <c r="D349" i="22"/>
  <c r="J349" i="22"/>
  <c r="C350" i="22"/>
  <c r="E350" i="22"/>
  <c r="G350" i="22"/>
  <c r="I350" i="22"/>
  <c r="B351" i="22"/>
  <c r="CM9" i="22"/>
  <c r="CT9" i="22"/>
  <c r="D295" i="22"/>
  <c r="J295" i="22"/>
  <c r="C296" i="22"/>
  <c r="E296" i="22"/>
  <c r="F296" i="22"/>
  <c r="O296" i="22" s="1"/>
  <c r="G296" i="22"/>
  <c r="I296" i="22"/>
  <c r="B297" i="22"/>
  <c r="CM8" i="22"/>
  <c r="CT8" i="22"/>
  <c r="CU8" i="22"/>
  <c r="CV8" i="22"/>
  <c r="CW8" i="22"/>
  <c r="CX8" i="22"/>
  <c r="CY8" i="22"/>
  <c r="CZ8" i="22"/>
  <c r="DA8" i="22"/>
  <c r="DB8" i="22"/>
  <c r="DC8" i="22"/>
  <c r="DD8" i="22"/>
  <c r="DE8" i="22"/>
  <c r="DF8" i="22"/>
  <c r="DG8" i="22"/>
  <c r="DH8" i="22"/>
  <c r="Z8" i="22"/>
  <c r="M295" i="22"/>
  <c r="N295" i="22"/>
  <c r="U295" i="22" s="1"/>
  <c r="C242" i="22"/>
  <c r="K242" i="22" s="1"/>
  <c r="E242" i="22"/>
  <c r="F242" i="22"/>
  <c r="G242" i="22"/>
  <c r="I242" i="22"/>
  <c r="B243" i="22"/>
  <c r="D241" i="22"/>
  <c r="J241" i="22"/>
  <c r="CM7" i="22"/>
  <c r="CT7" i="22"/>
  <c r="Z7" i="22"/>
  <c r="M241" i="22"/>
  <c r="N241" i="22"/>
  <c r="CU7" i="22"/>
  <c r="CV7" i="22"/>
  <c r="CW7" i="22"/>
  <c r="CX7" i="22"/>
  <c r="CY7" i="22"/>
  <c r="CZ7" i="22"/>
  <c r="DA7" i="22"/>
  <c r="DB7" i="22"/>
  <c r="DC7" i="22"/>
  <c r="DD7" i="22"/>
  <c r="DE7" i="22"/>
  <c r="DF7" i="22"/>
  <c r="DG7" i="22"/>
  <c r="DH7" i="22"/>
  <c r="D187" i="22"/>
  <c r="J187" i="22"/>
  <c r="C188" i="22"/>
  <c r="E188" i="22"/>
  <c r="F188" i="22"/>
  <c r="O188" i="22" s="1"/>
  <c r="G188" i="22"/>
  <c r="I188" i="22"/>
  <c r="B189" i="22"/>
  <c r="CM6" i="22"/>
  <c r="CT6" i="22"/>
  <c r="CU6" i="22"/>
  <c r="CV6" i="22"/>
  <c r="CW6" i="22"/>
  <c r="CX6" i="22"/>
  <c r="CY6" i="22"/>
  <c r="CZ6" i="22"/>
  <c r="DA6" i="22"/>
  <c r="DB6" i="22"/>
  <c r="DC6" i="22"/>
  <c r="DD6" i="22"/>
  <c r="DE6" i="22"/>
  <c r="DF6" i="22"/>
  <c r="DG6" i="22"/>
  <c r="DH6" i="22"/>
  <c r="M187" i="22"/>
  <c r="N187" i="22"/>
  <c r="Z6" i="22"/>
  <c r="D133" i="22"/>
  <c r="J133" i="22"/>
  <c r="G134" i="22"/>
  <c r="C134" i="22"/>
  <c r="F134" i="22" s="1"/>
  <c r="O134" i="22" s="1"/>
  <c r="E134" i="22"/>
  <c r="B135" i="22"/>
  <c r="I134" i="22"/>
  <c r="CM5" i="22"/>
  <c r="CT5" i="22"/>
  <c r="A6" i="7"/>
  <c r="C34" i="7"/>
  <c r="C34" i="8"/>
  <c r="N133" i="22"/>
  <c r="M133" i="22"/>
  <c r="CU5" i="22"/>
  <c r="CV5" i="22"/>
  <c r="CW5" i="22"/>
  <c r="CX5" i="22"/>
  <c r="CY5" i="22"/>
  <c r="CZ5" i="22"/>
  <c r="DA5" i="22"/>
  <c r="DB5" i="22"/>
  <c r="DC5" i="22"/>
  <c r="DD5" i="22"/>
  <c r="DE5" i="22"/>
  <c r="DF5" i="22"/>
  <c r="DG5" i="22"/>
  <c r="DH5" i="22"/>
  <c r="Z5" i="22"/>
  <c r="D79" i="22"/>
  <c r="J79" i="22"/>
  <c r="C80" i="22"/>
  <c r="E80" i="22"/>
  <c r="G80" i="22"/>
  <c r="I80" i="22"/>
  <c r="B81" i="22"/>
  <c r="A1087" i="23"/>
  <c r="A24" i="7"/>
  <c r="A56" i="7"/>
  <c r="A87" i="7"/>
  <c r="A118" i="7"/>
  <c r="A24" i="8"/>
  <c r="A56" i="8"/>
  <c r="A86" i="8"/>
  <c r="A23" i="6"/>
  <c r="A20" i="6"/>
  <c r="A919" i="23"/>
  <c r="A21" i="7"/>
  <c r="A53" i="7"/>
  <c r="A84" i="7"/>
  <c r="A115" i="7"/>
  <c r="A21" i="8"/>
  <c r="A53" i="8"/>
  <c r="A83" i="8"/>
  <c r="A863" i="23"/>
  <c r="A19" i="6"/>
  <c r="A20" i="7"/>
  <c r="A52" i="7"/>
  <c r="A83" i="7"/>
  <c r="A114" i="7"/>
  <c r="A20" i="8"/>
  <c r="A52" i="8"/>
  <c r="A82" i="8"/>
  <c r="A1311" i="23"/>
  <c r="A27" i="6"/>
  <c r="A28" i="7"/>
  <c r="A60" i="7"/>
  <c r="A91" i="7"/>
  <c r="A122" i="7"/>
  <c r="A28" i="8"/>
  <c r="A60" i="8"/>
  <c r="A90" i="8"/>
  <c r="A1367" i="23"/>
  <c r="A29" i="7"/>
  <c r="A61" i="7"/>
  <c r="A92" i="7"/>
  <c r="A123" i="7"/>
  <c r="A29" i="8"/>
  <c r="A61" i="8"/>
  <c r="A91" i="8"/>
  <c r="A28" i="6"/>
  <c r="A807" i="23"/>
  <c r="A19" i="7"/>
  <c r="A51" i="7"/>
  <c r="A82" i="7"/>
  <c r="A113" i="7"/>
  <c r="A19" i="8"/>
  <c r="A51" i="8"/>
  <c r="A81" i="8"/>
  <c r="A18" i="6"/>
  <c r="A247" i="23"/>
  <c r="A9" i="7"/>
  <c r="A41" i="7"/>
  <c r="A72" i="7"/>
  <c r="A103" i="7"/>
  <c r="A9" i="8"/>
  <c r="A41" i="8"/>
  <c r="A71" i="8"/>
  <c r="A8" i="6"/>
  <c r="A1031" i="23"/>
  <c r="A22" i="6"/>
  <c r="A23" i="7"/>
  <c r="A55" i="7"/>
  <c r="A86" i="7"/>
  <c r="A117" i="7"/>
  <c r="A23" i="8"/>
  <c r="A55" i="8"/>
  <c r="A85" i="8"/>
  <c r="A1143" i="23"/>
  <c r="A25" i="7"/>
  <c r="A57" i="7"/>
  <c r="A88" i="7"/>
  <c r="A119" i="7"/>
  <c r="A25" i="8"/>
  <c r="A57" i="8"/>
  <c r="A87" i="8"/>
  <c r="A24" i="6"/>
  <c r="A17" i="6"/>
  <c r="A751" i="23"/>
  <c r="A18" i="7"/>
  <c r="A50" i="7"/>
  <c r="A81" i="7"/>
  <c r="A112" i="7"/>
  <c r="A18" i="8"/>
  <c r="A50" i="8"/>
  <c r="A80" i="8"/>
  <c r="A1479" i="23"/>
  <c r="A30" i="6"/>
  <c r="A31" i="7"/>
  <c r="A63" i="7"/>
  <c r="A94" i="7"/>
  <c r="A125" i="7"/>
  <c r="A31" i="8"/>
  <c r="A63" i="8"/>
  <c r="A93" i="8"/>
  <c r="A1535" i="23"/>
  <c r="A31" i="6"/>
  <c r="A32" i="7"/>
  <c r="A64" i="7"/>
  <c r="A95" i="7"/>
  <c r="A126" i="7"/>
  <c r="A32" i="8"/>
  <c r="A64" i="8"/>
  <c r="A94" i="8"/>
  <c r="A695" i="23"/>
  <c r="A17" i="7"/>
  <c r="A49" i="7"/>
  <c r="A80" i="7"/>
  <c r="A111" i="7"/>
  <c r="A17" i="8"/>
  <c r="A49" i="8"/>
  <c r="A79" i="8"/>
  <c r="A16" i="6"/>
  <c r="A639" i="23"/>
  <c r="A16" i="7"/>
  <c r="A48" i="7"/>
  <c r="A79" i="7"/>
  <c r="A110" i="7"/>
  <c r="A16" i="8"/>
  <c r="A48" i="8"/>
  <c r="A78" i="8"/>
  <c r="A15" i="6"/>
  <c r="A303" i="23"/>
  <c r="A10" i="7"/>
  <c r="A42" i="7"/>
  <c r="A73" i="7"/>
  <c r="A104" i="7"/>
  <c r="A10" i="8"/>
  <c r="A42" i="8"/>
  <c r="A72" i="8"/>
  <c r="A9" i="6"/>
  <c r="A471" i="23"/>
  <c r="A13" i="7"/>
  <c r="A45" i="7"/>
  <c r="A76" i="7"/>
  <c r="A107" i="7"/>
  <c r="A13" i="8"/>
  <c r="A45" i="8"/>
  <c r="A75" i="8"/>
  <c r="A12" i="6"/>
  <c r="A1423" i="23"/>
  <c r="A30" i="7"/>
  <c r="A62" i="7"/>
  <c r="A93" i="7"/>
  <c r="A124" i="7"/>
  <c r="A30" i="8"/>
  <c r="A62" i="8"/>
  <c r="A92" i="8"/>
  <c r="A29" i="6"/>
  <c r="A583" i="23"/>
  <c r="A15" i="7"/>
  <c r="A47" i="7"/>
  <c r="A78" i="7"/>
  <c r="A109" i="7"/>
  <c r="A15" i="8"/>
  <c r="A47" i="8"/>
  <c r="A77" i="8"/>
  <c r="A14" i="6"/>
  <c r="A1199" i="23"/>
  <c r="A25" i="6"/>
  <c r="A26" i="7"/>
  <c r="A58" i="7"/>
  <c r="A89" i="7"/>
  <c r="A120" i="7"/>
  <c r="A26" i="8"/>
  <c r="A58" i="8"/>
  <c r="A88" i="8"/>
  <c r="A975" i="23"/>
  <c r="A21" i="6"/>
  <c r="A22" i="7"/>
  <c r="A54" i="7"/>
  <c r="A85" i="7"/>
  <c r="A116" i="7"/>
  <c r="A22" i="8"/>
  <c r="A54" i="8"/>
  <c r="A84" i="8"/>
  <c r="A415" i="23"/>
  <c r="A12" i="7"/>
  <c r="A44" i="7"/>
  <c r="A75" i="7"/>
  <c r="A106" i="7"/>
  <c r="A12" i="8"/>
  <c r="A44" i="8"/>
  <c r="A74" i="8"/>
  <c r="A11" i="6"/>
  <c r="A527" i="23"/>
  <c r="A14" i="7"/>
  <c r="A46" i="7"/>
  <c r="A77" i="7"/>
  <c r="A108" i="7"/>
  <c r="A14" i="8"/>
  <c r="A46" i="8"/>
  <c r="A76" i="8"/>
  <c r="A13" i="6"/>
  <c r="A359" i="23"/>
  <c r="A11" i="7"/>
  <c r="A43" i="7"/>
  <c r="A74" i="7"/>
  <c r="A105" i="7"/>
  <c r="A11" i="8"/>
  <c r="A43" i="8"/>
  <c r="A73" i="8"/>
  <c r="A10" i="6"/>
  <c r="A26" i="6"/>
  <c r="A1255" i="23"/>
  <c r="A27" i="7"/>
  <c r="A59" i="7"/>
  <c r="A90" i="7"/>
  <c r="A121" i="7"/>
  <c r="A27" i="8"/>
  <c r="A59" i="8"/>
  <c r="A89" i="8"/>
  <c r="C18" i="17"/>
  <c r="F18" i="17" s="1"/>
  <c r="C18" i="18" s="1"/>
  <c r="E18" i="17"/>
  <c r="G18" i="17"/>
  <c r="I18" i="17"/>
  <c r="B19" i="17"/>
  <c r="B18" i="18"/>
  <c r="D17" i="17"/>
  <c r="J17" i="17"/>
  <c r="N17" i="17" s="1"/>
  <c r="Y16" i="17"/>
  <c r="B83" i="12"/>
  <c r="I83" i="12" s="1"/>
  <c r="X15" i="17"/>
  <c r="W17" i="17"/>
  <c r="W18" i="17"/>
  <c r="H45" i="17"/>
  <c r="D45" i="18" s="1"/>
  <c r="H52" i="17"/>
  <c r="D52" i="18" s="1"/>
  <c r="H56" i="17"/>
  <c r="D56" i="18" s="1"/>
  <c r="H57" i="17"/>
  <c r="D57" i="18" s="1"/>
  <c r="H64" i="17"/>
  <c r="D64" i="18" s="1"/>
  <c r="H33" i="17"/>
  <c r="D33" i="18" s="1"/>
  <c r="H34" i="17"/>
  <c r="D34" i="18" s="1"/>
  <c r="H35" i="17"/>
  <c r="H36" i="17"/>
  <c r="D36" i="18" s="1"/>
  <c r="H37" i="17"/>
  <c r="D37" i="18" s="1"/>
  <c r="H38" i="17"/>
  <c r="D38" i="18" s="1"/>
  <c r="H39" i="17"/>
  <c r="D39" i="18" s="1"/>
  <c r="H40" i="17"/>
  <c r="D40" i="18" s="1"/>
  <c r="H41" i="17"/>
  <c r="H42" i="17"/>
  <c r="D42" i="18" s="1"/>
  <c r="H43" i="17"/>
  <c r="D43" i="18" s="1"/>
  <c r="H44" i="17"/>
  <c r="D44" i="18" s="1"/>
  <c r="H46" i="17"/>
  <c r="D46" i="18" s="1"/>
  <c r="H47" i="17"/>
  <c r="H48" i="17"/>
  <c r="D48" i="18" s="1"/>
  <c r="H49" i="17"/>
  <c r="D49" i="18" s="1"/>
  <c r="H50" i="17"/>
  <c r="D50" i="18" s="1"/>
  <c r="H51" i="17"/>
  <c r="D51" i="18" s="1"/>
  <c r="H53" i="17"/>
  <c r="D53" i="18" s="1"/>
  <c r="H54" i="17"/>
  <c r="D54" i="18" s="1"/>
  <c r="H55" i="17"/>
  <c r="D55" i="18" s="1"/>
  <c r="H58" i="17"/>
  <c r="D58" i="18" s="1"/>
  <c r="H59" i="17"/>
  <c r="D59" i="18" s="1"/>
  <c r="H60" i="17"/>
  <c r="D60" i="18" s="1"/>
  <c r="H61" i="17"/>
  <c r="D61" i="18" s="1"/>
  <c r="H62" i="17"/>
  <c r="D62" i="18" s="1"/>
  <c r="H63" i="17"/>
  <c r="D63" i="18" s="1"/>
  <c r="H4072" i="22"/>
  <c r="H4077" i="22"/>
  <c r="H4078" i="22"/>
  <c r="H4079" i="22"/>
  <c r="H4080" i="22"/>
  <c r="H4081" i="22"/>
  <c r="H4082"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3" i="22"/>
  <c r="H4074" i="22"/>
  <c r="H4075" i="22"/>
  <c r="H4076" i="22"/>
  <c r="H4083" i="22"/>
  <c r="H4084" i="22"/>
  <c r="H4085" i="22"/>
  <c r="H4086" i="22"/>
  <c r="H4087" i="22"/>
  <c r="H4088" i="22"/>
  <c r="H4089" i="22"/>
  <c r="H4090" i="22"/>
  <c r="H4091" i="22"/>
  <c r="H4092" i="22"/>
  <c r="H4093" i="22"/>
  <c r="H4094" i="22"/>
  <c r="H4232" i="22"/>
  <c r="H4233" i="22"/>
  <c r="H4234" i="22"/>
  <c r="H4235" i="22"/>
  <c r="H4236" i="22"/>
  <c r="H4237" i="22"/>
  <c r="H4238" i="22"/>
  <c r="H4239" i="22"/>
  <c r="H4240" i="22"/>
  <c r="H4241" i="22"/>
  <c r="H4242" i="22"/>
  <c r="H4243" i="22"/>
  <c r="H4244" i="22"/>
  <c r="H4245" i="22"/>
  <c r="H4246" i="22"/>
  <c r="H4247" i="22"/>
  <c r="H4248" i="22"/>
  <c r="H4249"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730" i="22"/>
  <c r="H4746" i="22"/>
  <c r="H4748" i="22"/>
  <c r="H4749" i="22"/>
  <c r="H4752" i="22"/>
  <c r="H4753" i="22"/>
  <c r="H4754" i="22"/>
  <c r="H4755" i="22"/>
  <c r="H4756" i="22"/>
  <c r="H4757" i="22"/>
  <c r="H4759" i="22"/>
  <c r="H4760" i="22"/>
  <c r="H4763" i="22"/>
  <c r="H4766" i="22"/>
  <c r="H4767" i="22"/>
  <c r="H4768" i="22"/>
  <c r="H4769" i="22"/>
  <c r="H4772" i="22"/>
  <c r="H4776" i="22"/>
  <c r="H4729" i="22"/>
  <c r="H4731" i="22"/>
  <c r="H4732" i="22"/>
  <c r="H4733" i="22"/>
  <c r="H4734" i="22"/>
  <c r="H4735" i="22"/>
  <c r="H4736" i="22"/>
  <c r="H4737" i="22"/>
  <c r="H4738" i="22"/>
  <c r="H4739" i="22"/>
  <c r="H4740" i="22"/>
  <c r="H4741" i="22"/>
  <c r="H4742" i="22"/>
  <c r="H4743" i="22"/>
  <c r="H4744" i="22"/>
  <c r="H4745" i="22"/>
  <c r="H4747" i="22"/>
  <c r="H4750" i="22"/>
  <c r="H4751" i="22"/>
  <c r="H4758" i="22"/>
  <c r="H4761" i="22"/>
  <c r="H4762" i="22"/>
  <c r="H4764" i="22"/>
  <c r="H4765" i="22"/>
  <c r="H4770" i="22"/>
  <c r="H4771" i="22"/>
  <c r="H4773" i="22"/>
  <c r="H4774" i="22"/>
  <c r="H4775" i="22"/>
  <c r="C37" i="24"/>
  <c r="D37" i="24" s="1"/>
  <c r="D17" i="18"/>
  <c r="D9" i="14"/>
  <c r="D10" i="14"/>
  <c r="D11" i="14"/>
  <c r="D12" i="14"/>
  <c r="D13" i="14"/>
  <c r="D14" i="14"/>
  <c r="D15" i="14"/>
  <c r="D16" i="14"/>
  <c r="D17" i="14"/>
  <c r="D18" i="14"/>
  <c r="D19" i="14"/>
  <c r="D20" i="14"/>
  <c r="D21" i="14"/>
  <c r="D22" i="14"/>
  <c r="D23" i="14"/>
  <c r="D24" i="14"/>
  <c r="D25" i="14"/>
  <c r="D26" i="14"/>
  <c r="D27" i="14"/>
  <c r="D28" i="14"/>
  <c r="C33" i="6"/>
  <c r="D33" i="6"/>
  <c r="E33" i="6"/>
  <c r="W33" i="6"/>
  <c r="Z33" i="6"/>
  <c r="AC33" i="6"/>
  <c r="K3751" i="22"/>
  <c r="L3751" i="22"/>
  <c r="L3752" i="22"/>
  <c r="A72" i="22"/>
  <c r="D73" i="5"/>
  <c r="E73" i="5"/>
  <c r="F73" i="5"/>
  <c r="G73" i="5"/>
  <c r="H73" i="5"/>
  <c r="I73" i="5"/>
  <c r="J73" i="5"/>
  <c r="K73" i="5"/>
  <c r="L73" i="5"/>
  <c r="M73" i="5"/>
  <c r="N73" i="5"/>
  <c r="O73" i="5"/>
  <c r="P73" i="5"/>
  <c r="Q73" i="5"/>
  <c r="AA73" i="5"/>
  <c r="AB73" i="5"/>
  <c r="AC73" i="5"/>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P71" i="5"/>
  <c r="Q71" i="5"/>
  <c r="AA71" i="5"/>
  <c r="AB71" i="5"/>
  <c r="AC71" i="5"/>
  <c r="D70" i="5"/>
  <c r="E70" i="5"/>
  <c r="F70" i="5"/>
  <c r="G70" i="5"/>
  <c r="H70" i="5"/>
  <c r="I70" i="5"/>
  <c r="J70" i="5"/>
  <c r="K70" i="5"/>
  <c r="L70" i="5"/>
  <c r="M70" i="5"/>
  <c r="N70" i="5"/>
  <c r="O70" i="5"/>
  <c r="P70" i="5"/>
  <c r="Q70" i="5"/>
  <c r="AA70" i="5"/>
  <c r="AB70" i="5"/>
  <c r="AC70" i="5"/>
  <c r="D69" i="5"/>
  <c r="E69" i="5"/>
  <c r="F69" i="5"/>
  <c r="G69" i="5"/>
  <c r="H69" i="5"/>
  <c r="I69" i="5"/>
  <c r="J69" i="5"/>
  <c r="K69" i="5"/>
  <c r="L69" i="5"/>
  <c r="M69" i="5"/>
  <c r="N69" i="5"/>
  <c r="O69" i="5"/>
  <c r="P69" i="5"/>
  <c r="Q69" i="5"/>
  <c r="AA69" i="5"/>
  <c r="AB69" i="5"/>
  <c r="AC69" i="5"/>
  <c r="K3481" i="22"/>
  <c r="L3481" i="22"/>
  <c r="L3482" i="22"/>
  <c r="B3529" i="22"/>
  <c r="C67" i="22" s="1"/>
  <c r="A67" i="22"/>
  <c r="K3427" i="22"/>
  <c r="L3427" i="22"/>
  <c r="L3428" i="22"/>
  <c r="B3475" i="22"/>
  <c r="C66" i="22" s="1"/>
  <c r="A66" i="22"/>
  <c r="D68" i="5"/>
  <c r="E68" i="5"/>
  <c r="F68" i="5"/>
  <c r="N68" i="5"/>
  <c r="Q68" i="5"/>
  <c r="K3373" i="22"/>
  <c r="L3373" i="22"/>
  <c r="L3374" i="22"/>
  <c r="B3421" i="22"/>
  <c r="C65" i="22" s="1"/>
  <c r="A65" i="22"/>
  <c r="D67" i="5"/>
  <c r="E67" i="5"/>
  <c r="F67" i="5"/>
  <c r="N67" i="5"/>
  <c r="Q67" i="5"/>
  <c r="D66" i="5"/>
  <c r="E66" i="5"/>
  <c r="F66" i="5"/>
  <c r="N66" i="5"/>
  <c r="Q66" i="5"/>
  <c r="D65" i="5"/>
  <c r="E65" i="5"/>
  <c r="F65" i="5"/>
  <c r="N65" i="5"/>
  <c r="Q65" i="5"/>
  <c r="D64" i="5"/>
  <c r="E64" i="5"/>
  <c r="F64" i="5"/>
  <c r="N64" i="5"/>
  <c r="Q64" i="5"/>
  <c r="K3157" i="22"/>
  <c r="L3157" i="22"/>
  <c r="L3158" i="22"/>
  <c r="B3205" i="22"/>
  <c r="C61" i="22" s="1"/>
  <c r="A61" i="22"/>
  <c r="D63" i="5"/>
  <c r="E63" i="5"/>
  <c r="F63" i="5"/>
  <c r="N63" i="5"/>
  <c r="Q63" i="5"/>
  <c r="K3103" i="22"/>
  <c r="L3103" i="22"/>
  <c r="L3104" i="22"/>
  <c r="B3151" i="22"/>
  <c r="C60" i="22" s="1"/>
  <c r="A60" i="22"/>
  <c r="D62" i="5"/>
  <c r="E62" i="5"/>
  <c r="F62" i="5"/>
  <c r="N62" i="5"/>
  <c r="Q62" i="5"/>
  <c r="K3049" i="22"/>
  <c r="L3049" i="22"/>
  <c r="L3050" i="22"/>
  <c r="B3097" i="22"/>
  <c r="C59" i="22" s="1"/>
  <c r="A59" i="22"/>
  <c r="D61" i="5"/>
  <c r="E61" i="5"/>
  <c r="F61" i="5"/>
  <c r="N61" i="5"/>
  <c r="Q61" i="5"/>
  <c r="D60" i="5"/>
  <c r="E60" i="5"/>
  <c r="F60" i="5"/>
  <c r="N60" i="5"/>
  <c r="Q60" i="5"/>
  <c r="D59" i="5"/>
  <c r="E59" i="5"/>
  <c r="F59" i="5"/>
  <c r="N59" i="5"/>
  <c r="Q59" i="5"/>
  <c r="D58" i="5"/>
  <c r="E58" i="5"/>
  <c r="F58" i="5"/>
  <c r="N58" i="5"/>
  <c r="Q58" i="5"/>
  <c r="K2887" i="22"/>
  <c r="L2887" i="22"/>
  <c r="L2888" i="22"/>
  <c r="B2935" i="22"/>
  <c r="C56" i="22" s="1"/>
  <c r="A56" i="22"/>
  <c r="K2833" i="22"/>
  <c r="L2833" i="22"/>
  <c r="L2834" i="22"/>
  <c r="B2881" i="22"/>
  <c r="C55" i="22" s="1"/>
  <c r="A55" i="22"/>
  <c r="D57" i="5"/>
  <c r="E57" i="5"/>
  <c r="F57" i="5"/>
  <c r="N57" i="5"/>
  <c r="Q57" i="5"/>
  <c r="D56" i="5"/>
  <c r="E56" i="5"/>
  <c r="F56" i="5"/>
  <c r="J56" i="5"/>
  <c r="N56" i="5"/>
  <c r="D55" i="5"/>
  <c r="E55" i="5"/>
  <c r="F55" i="5"/>
  <c r="N55" i="5"/>
  <c r="Q55" i="5"/>
  <c r="D54" i="5"/>
  <c r="E54" i="5"/>
  <c r="F54" i="5"/>
  <c r="N54" i="5"/>
  <c r="Q54" i="5"/>
  <c r="D53" i="5"/>
  <c r="E53" i="5"/>
  <c r="F53" i="5"/>
  <c r="N53" i="5"/>
  <c r="Q53" i="5"/>
  <c r="D52" i="5"/>
  <c r="E52" i="5"/>
  <c r="F52" i="5"/>
  <c r="N52" i="5"/>
  <c r="Q52" i="5"/>
  <c r="K2563" i="22"/>
  <c r="L2563" i="22"/>
  <c r="L2564" i="22"/>
  <c r="B2611" i="22"/>
  <c r="C50" i="22" s="1"/>
  <c r="A50" i="22"/>
  <c r="D51" i="5"/>
  <c r="E51" i="5"/>
  <c r="F51" i="5"/>
  <c r="N51" i="5"/>
  <c r="Q51" i="5"/>
  <c r="D50" i="5"/>
  <c r="E50" i="5"/>
  <c r="F50" i="5"/>
  <c r="N50" i="5"/>
  <c r="Q50" i="5"/>
  <c r="D49" i="5"/>
  <c r="E49" i="5"/>
  <c r="F49" i="5"/>
  <c r="N49" i="5"/>
  <c r="Q49" i="5"/>
  <c r="D48" i="5"/>
  <c r="E48" i="5"/>
  <c r="F48" i="5"/>
  <c r="N48" i="5"/>
  <c r="Q48" i="5"/>
  <c r="D47" i="5"/>
  <c r="E47" i="5"/>
  <c r="F47" i="5"/>
  <c r="N47" i="5"/>
  <c r="Q47" i="5"/>
  <c r="D46" i="5"/>
  <c r="E46" i="5"/>
  <c r="F46" i="5"/>
  <c r="N46" i="5"/>
  <c r="Q46" i="5"/>
  <c r="K2239" i="22"/>
  <c r="L2239" i="22"/>
  <c r="L2240" i="22"/>
  <c r="A44" i="22"/>
  <c r="B2287" i="22"/>
  <c r="C44" i="22" s="1"/>
  <c r="K2185" i="22"/>
  <c r="L2185" i="22"/>
  <c r="L2186" i="22"/>
  <c r="B2233" i="22"/>
  <c r="C43" i="22" s="1"/>
  <c r="A43" i="22"/>
  <c r="D45" i="5"/>
  <c r="E45" i="5"/>
  <c r="F45" i="5"/>
  <c r="N45" i="5"/>
  <c r="Q45" i="5"/>
  <c r="D44" i="5"/>
  <c r="E44" i="5"/>
  <c r="F44" i="5"/>
  <c r="N44" i="5"/>
  <c r="Q44" i="5"/>
  <c r="D43" i="5"/>
  <c r="E43" i="5"/>
  <c r="F43" i="5"/>
  <c r="N43" i="5"/>
  <c r="Q43" i="5"/>
  <c r="D42" i="5"/>
  <c r="E42" i="5"/>
  <c r="F42" i="5"/>
  <c r="N42" i="5"/>
  <c r="Q42" i="5"/>
  <c r="D41" i="5"/>
  <c r="E41" i="5"/>
  <c r="F41" i="5"/>
  <c r="N41" i="5"/>
  <c r="Q41" i="5"/>
  <c r="D40" i="5"/>
  <c r="E40" i="5"/>
  <c r="F40" i="5"/>
  <c r="N40" i="5"/>
  <c r="Q40" i="5"/>
  <c r="K1915" i="22"/>
  <c r="L1915" i="22"/>
  <c r="L1916" i="22"/>
  <c r="B1963" i="22"/>
  <c r="C38" i="22" s="1"/>
  <c r="A38" i="22"/>
  <c r="K1861" i="22"/>
  <c r="L1861" i="22"/>
  <c r="L1862" i="22"/>
  <c r="B1909" i="22"/>
  <c r="C37" i="22" s="1"/>
  <c r="A37" i="22"/>
  <c r="D39" i="5"/>
  <c r="E39" i="5"/>
  <c r="F39" i="5"/>
  <c r="N39" i="5"/>
  <c r="Q39" i="5"/>
  <c r="K1807" i="22"/>
  <c r="L1807" i="22"/>
  <c r="L1808" i="22"/>
  <c r="B1855" i="22"/>
  <c r="C36" i="22" s="1"/>
  <c r="A36" i="22"/>
  <c r="D38" i="5"/>
  <c r="E38" i="5"/>
  <c r="F38" i="5"/>
  <c r="N38" i="5"/>
  <c r="Q38" i="5"/>
  <c r="D37" i="5"/>
  <c r="E37" i="5"/>
  <c r="F37" i="5"/>
  <c r="N37" i="5"/>
  <c r="Q37" i="5"/>
  <c r="D36" i="5"/>
  <c r="E36" i="5"/>
  <c r="F36" i="5"/>
  <c r="N36" i="5"/>
  <c r="Q36" i="5"/>
  <c r="K1645" i="22"/>
  <c r="L1645" i="22"/>
  <c r="L1646" i="22"/>
  <c r="B1693" i="22"/>
  <c r="C33" i="22" s="1"/>
  <c r="A33" i="22"/>
  <c r="D35" i="5"/>
  <c r="E35" i="5"/>
  <c r="F35" i="5"/>
  <c r="N35" i="5"/>
  <c r="Q35" i="5"/>
  <c r="K1591" i="22"/>
  <c r="L1591" i="22"/>
  <c r="L1592" i="22"/>
  <c r="A32" i="22"/>
  <c r="D34" i="5"/>
  <c r="E34" i="5"/>
  <c r="F34" i="5"/>
  <c r="N34" i="5"/>
  <c r="Q34" i="5"/>
  <c r="D33" i="5"/>
  <c r="E33" i="5"/>
  <c r="F33" i="5"/>
  <c r="N33" i="5"/>
  <c r="Q33" i="5"/>
  <c r="D32" i="5"/>
  <c r="E32" i="5"/>
  <c r="F32" i="5"/>
  <c r="N32" i="5"/>
  <c r="Q32" i="5"/>
  <c r="D31" i="5"/>
  <c r="E31" i="5"/>
  <c r="F31" i="5"/>
  <c r="N31" i="5"/>
  <c r="Q31" i="5"/>
  <c r="D30" i="5"/>
  <c r="E30" i="5"/>
  <c r="F30" i="5"/>
  <c r="N30" i="5"/>
  <c r="Q30" i="5"/>
  <c r="K1321" i="22"/>
  <c r="L1321" i="22"/>
  <c r="L1322" i="22"/>
  <c r="B1369" i="22"/>
  <c r="C27" i="22" s="1"/>
  <c r="A27" i="22"/>
  <c r="D29" i="5"/>
  <c r="E29" i="5"/>
  <c r="F29" i="5"/>
  <c r="N29" i="5"/>
  <c r="Q29" i="5"/>
  <c r="K1267" i="22"/>
  <c r="L1267" i="22"/>
  <c r="L1268" i="22"/>
  <c r="A26" i="22"/>
  <c r="D28" i="5"/>
  <c r="E28" i="5"/>
  <c r="F28" i="5"/>
  <c r="N28" i="5"/>
  <c r="Q28" i="5"/>
  <c r="K1213" i="22"/>
  <c r="L1213" i="22"/>
  <c r="L1214" i="22"/>
  <c r="B1261" i="22"/>
  <c r="C25" i="22" s="1"/>
  <c r="A25" i="22"/>
  <c r="D27" i="5"/>
  <c r="E27" i="5"/>
  <c r="F27" i="5"/>
  <c r="N27" i="5"/>
  <c r="Q27" i="5"/>
  <c r="K1159" i="22"/>
  <c r="L1159" i="22"/>
  <c r="L1160" i="22"/>
  <c r="B1207" i="22"/>
  <c r="C24" i="22" s="1"/>
  <c r="A24" i="22"/>
  <c r="D26" i="5"/>
  <c r="E26" i="5"/>
  <c r="F26" i="5"/>
  <c r="N26" i="5"/>
  <c r="Q26" i="5"/>
  <c r="D25" i="5"/>
  <c r="E25" i="5"/>
  <c r="F25" i="5"/>
  <c r="N25" i="5"/>
  <c r="Q25" i="5"/>
  <c r="D24" i="5"/>
  <c r="E24" i="5"/>
  <c r="F24" i="5"/>
  <c r="N24" i="5"/>
  <c r="Q24" i="5"/>
  <c r="K997" i="22"/>
  <c r="L997" i="22"/>
  <c r="L998" i="22"/>
  <c r="B1045" i="22"/>
  <c r="C21" i="22" s="1"/>
  <c r="A21" i="22"/>
  <c r="D23" i="5"/>
  <c r="E23" i="5"/>
  <c r="F23" i="5"/>
  <c r="N23" i="5"/>
  <c r="Q23" i="5"/>
  <c r="D22" i="5"/>
  <c r="E22" i="5"/>
  <c r="F22" i="5"/>
  <c r="N22" i="5"/>
  <c r="Q22" i="5"/>
  <c r="K943" i="22"/>
  <c r="L943" i="22"/>
  <c r="L944" i="22"/>
  <c r="A20" i="22"/>
  <c r="D21" i="5"/>
  <c r="E21" i="5"/>
  <c r="F21" i="5"/>
  <c r="N21" i="5"/>
  <c r="Q21" i="5"/>
  <c r="K889" i="22"/>
  <c r="L889" i="22"/>
  <c r="L890" i="22"/>
  <c r="B937" i="22"/>
  <c r="C19" i="22" s="1"/>
  <c r="A19" i="22"/>
  <c r="G19" i="15" s="1"/>
  <c r="D20" i="5"/>
  <c r="E20" i="5"/>
  <c r="F20" i="5"/>
  <c r="N20" i="5"/>
  <c r="O22" i="5" s="1"/>
  <c r="Q20" i="5"/>
  <c r="K835" i="22"/>
  <c r="L835" i="22"/>
  <c r="L836" i="22"/>
  <c r="B883" i="22"/>
  <c r="C18" i="22" s="1"/>
  <c r="A18" i="22"/>
  <c r="D19" i="5"/>
  <c r="E19" i="5"/>
  <c r="F19" i="5"/>
  <c r="N19" i="5"/>
  <c r="Q19" i="5"/>
  <c r="D18" i="5"/>
  <c r="E18" i="5"/>
  <c r="F18" i="5"/>
  <c r="N18" i="5"/>
  <c r="Q18" i="5"/>
  <c r="D17" i="5"/>
  <c r="E17" i="5"/>
  <c r="F17" i="5"/>
  <c r="N17" i="5"/>
  <c r="Q17" i="5"/>
  <c r="K673" i="22"/>
  <c r="L673" i="22"/>
  <c r="L674" i="22"/>
  <c r="B721" i="22"/>
  <c r="C15" i="22" s="1"/>
  <c r="A15" i="22"/>
  <c r="D16" i="5"/>
  <c r="E16" i="5"/>
  <c r="F16" i="5"/>
  <c r="N16" i="5"/>
  <c r="Q16" i="5"/>
  <c r="D15" i="5"/>
  <c r="E15" i="5"/>
  <c r="F15" i="5"/>
  <c r="N15" i="5"/>
  <c r="Q15" i="5"/>
  <c r="D14" i="5"/>
  <c r="E14" i="5"/>
  <c r="F14" i="5"/>
  <c r="N14" i="5"/>
  <c r="Q14" i="5"/>
  <c r="D13" i="5"/>
  <c r="E13" i="5"/>
  <c r="F13" i="5"/>
  <c r="N13" i="5"/>
  <c r="Q13" i="5"/>
  <c r="D12" i="5"/>
  <c r="E12" i="5"/>
  <c r="F12" i="5"/>
  <c r="N12" i="5"/>
  <c r="Q12" i="5"/>
  <c r="K403" i="22"/>
  <c r="L403" i="22"/>
  <c r="L404" i="22"/>
  <c r="B451" i="22"/>
  <c r="C10" i="22" s="1"/>
  <c r="A10" i="22"/>
  <c r="K349" i="22"/>
  <c r="L349" i="22"/>
  <c r="L350" i="22"/>
  <c r="A9" i="22"/>
  <c r="D11" i="5"/>
  <c r="E11" i="5"/>
  <c r="F11" i="5"/>
  <c r="N11" i="5"/>
  <c r="Q11" i="5"/>
  <c r="D10" i="5"/>
  <c r="E10" i="5"/>
  <c r="F10" i="5"/>
  <c r="N10" i="5"/>
  <c r="Q10" i="5"/>
  <c r="D9" i="5"/>
  <c r="E9" i="5"/>
  <c r="F9" i="5"/>
  <c r="J9" i="5"/>
  <c r="N9" i="5"/>
  <c r="Q9" i="5"/>
  <c r="D8" i="5"/>
  <c r="E8" i="5"/>
  <c r="F8" i="5"/>
  <c r="N8" i="5"/>
  <c r="Q8" i="5"/>
  <c r="D7" i="5"/>
  <c r="E7" i="5"/>
  <c r="F7" i="5"/>
  <c r="N7" i="5"/>
  <c r="Q7" i="5"/>
  <c r="D6" i="5"/>
  <c r="E6" i="5"/>
  <c r="F6" i="5"/>
  <c r="N6" i="5"/>
  <c r="Q6" i="5"/>
  <c r="K79" i="22"/>
  <c r="L79" i="22"/>
  <c r="L80" i="22"/>
  <c r="B127" i="22"/>
  <c r="C4" i="22" s="1"/>
  <c r="A4" i="22"/>
  <c r="E66" i="12"/>
  <c r="F66" i="12"/>
  <c r="G66" i="12"/>
  <c r="H66" i="12"/>
  <c r="E67" i="12"/>
  <c r="F67" i="12"/>
  <c r="G67" i="12"/>
  <c r="H67" i="12"/>
  <c r="E68" i="12"/>
  <c r="F68" i="12"/>
  <c r="G68" i="12"/>
  <c r="H68" i="12"/>
  <c r="K4675" i="22"/>
  <c r="L4675" i="22"/>
  <c r="L4676" i="22"/>
  <c r="C3" i="15"/>
  <c r="E17" i="19"/>
  <c r="H33" i="10"/>
  <c r="M17" i="17"/>
  <c r="M4513" i="22"/>
  <c r="M4567" i="22"/>
  <c r="B4325" i="22"/>
  <c r="C4325" i="22" s="1"/>
  <c r="D4325" i="22"/>
  <c r="B4326" i="22"/>
  <c r="C4326" i="22" s="1"/>
  <c r="D4326" i="22"/>
  <c r="B4323" i="22"/>
  <c r="C4323" i="22" s="1"/>
  <c r="D4323" i="22"/>
  <c r="B4324" i="22"/>
  <c r="C4324" i="22" s="1"/>
  <c r="D4324" i="22"/>
  <c r="B4322" i="22"/>
  <c r="C4322" i="22" s="1"/>
  <c r="D4322" i="22"/>
  <c r="B4327" i="22"/>
  <c r="C4327" i="22" s="1"/>
  <c r="D4327" i="22"/>
  <c r="B4328" i="22"/>
  <c r="C4328" i="22" s="1"/>
  <c r="D4328" i="22"/>
  <c r="B4329" i="22"/>
  <c r="C4329" i="22" s="1"/>
  <c r="D4329" i="22"/>
  <c r="B4330" i="22"/>
  <c r="C4330" i="22" s="1"/>
  <c r="D4330" i="22"/>
  <c r="B4331" i="22"/>
  <c r="C4331" i="22" s="1"/>
  <c r="D4331" i="22"/>
  <c r="B4332" i="22"/>
  <c r="C4332" i="22" s="1"/>
  <c r="D4332" i="22"/>
  <c r="M4213" i="22"/>
  <c r="M4159" i="22"/>
  <c r="B16" i="2"/>
  <c r="G32" i="2"/>
  <c r="F36" i="9"/>
  <c r="E48" i="19"/>
  <c r="G48" i="19" s="1"/>
  <c r="F7" i="2"/>
  <c r="O3643" i="22"/>
  <c r="O3589" i="22"/>
  <c r="O3751" i="22"/>
  <c r="O3265" i="22"/>
  <c r="O3211" i="22"/>
  <c r="O3103" i="22"/>
  <c r="O3049" i="22"/>
  <c r="O2671" i="22"/>
  <c r="O2995" i="22"/>
  <c r="O2725" i="22"/>
  <c r="O2617" i="22"/>
  <c r="O2509" i="22"/>
  <c r="O2131" i="22"/>
  <c r="O2077" i="22"/>
  <c r="O1861" i="22"/>
  <c r="O1807" i="22"/>
  <c r="O1699" i="22"/>
  <c r="O1537" i="22"/>
  <c r="O1483" i="22"/>
  <c r="O1051" i="22"/>
  <c r="E239" i="22"/>
  <c r="O943" i="22"/>
  <c r="O889" i="22"/>
  <c r="O781" i="22"/>
  <c r="O727" i="22"/>
  <c r="O673" i="22"/>
  <c r="O619" i="22"/>
  <c r="O565" i="22"/>
  <c r="O511" i="22"/>
  <c r="O295" i="22"/>
  <c r="O187" i="22"/>
  <c r="Q70" i="4"/>
  <c r="Q59" i="4"/>
  <c r="Q33" i="4"/>
  <c r="Q30" i="4"/>
  <c r="Q29" i="4"/>
  <c r="Q28" i="4"/>
  <c r="Q27" i="4"/>
  <c r="Q26" i="4"/>
  <c r="Q25" i="4"/>
  <c r="Q22" i="4"/>
  <c r="D1538" i="23"/>
  <c r="F1538" i="23"/>
  <c r="D1482" i="23"/>
  <c r="F1482" i="23"/>
  <c r="D1426" i="23"/>
  <c r="F1426" i="23"/>
  <c r="D1146" i="23"/>
  <c r="F1146" i="23"/>
  <c r="Q1090" i="23"/>
  <c r="R1090" i="23"/>
  <c r="D1090" i="23"/>
  <c r="F1090" i="23"/>
  <c r="D978" i="23"/>
  <c r="F978" i="23"/>
  <c r="D922" i="23"/>
  <c r="F922" i="23"/>
  <c r="P810" i="23"/>
  <c r="Q810" i="23"/>
  <c r="P754" i="23"/>
  <c r="Q754" i="23"/>
  <c r="D530" i="23"/>
  <c r="F530" i="23"/>
  <c r="Q418" i="23"/>
  <c r="R418" i="23"/>
  <c r="Q362" i="23"/>
  <c r="R362" i="23"/>
  <c r="R306" i="23"/>
  <c r="Q306" i="23"/>
  <c r="D306" i="23"/>
  <c r="F306" i="23"/>
  <c r="Q250" i="23"/>
  <c r="R250" i="23"/>
  <c r="G67" i="23"/>
  <c r="F67" i="23"/>
  <c r="H67" i="23" s="1"/>
  <c r="G66" i="23"/>
  <c r="F66" i="23"/>
  <c r="H66" i="23" s="1"/>
  <c r="F65" i="23"/>
  <c r="G65" i="23"/>
  <c r="F63" i="23"/>
  <c r="G63" i="23"/>
  <c r="F62" i="23"/>
  <c r="G62" i="23"/>
  <c r="F59" i="23"/>
  <c r="G59" i="23"/>
  <c r="F58" i="23"/>
  <c r="G58" i="23"/>
  <c r="F54" i="23"/>
  <c r="G54" i="23"/>
  <c r="F53" i="23"/>
  <c r="G53" i="23"/>
  <c r="G50" i="23"/>
  <c r="F50" i="23"/>
  <c r="H50" i="23" s="1"/>
  <c r="F49" i="23"/>
  <c r="G49" i="23"/>
  <c r="G47" i="23"/>
  <c r="F47" i="23"/>
  <c r="H47" i="23" s="1"/>
  <c r="F46" i="23"/>
  <c r="G46" i="23"/>
  <c r="G45" i="23"/>
  <c r="F45" i="23"/>
  <c r="H45" i="23" s="1"/>
  <c r="G43" i="23"/>
  <c r="F43" i="23"/>
  <c r="H43" i="23" s="1"/>
  <c r="G42" i="23"/>
  <c r="F42" i="23"/>
  <c r="H42" i="23" s="1"/>
  <c r="G41" i="23"/>
  <c r="F41" i="23"/>
  <c r="H41" i="23" s="1"/>
  <c r="F39" i="23"/>
  <c r="G39" i="23"/>
  <c r="G38" i="23"/>
  <c r="F38" i="23"/>
  <c r="H38" i="23" s="1"/>
  <c r="F33" i="23"/>
  <c r="G33" i="23"/>
  <c r="G29" i="23"/>
  <c r="F29" i="23"/>
  <c r="H29" i="23" s="1"/>
  <c r="F28" i="23"/>
  <c r="G28" i="23"/>
  <c r="F26" i="23"/>
  <c r="G26" i="23"/>
  <c r="G25" i="23"/>
  <c r="F25" i="23"/>
  <c r="H25" i="23" s="1"/>
  <c r="F24" i="23"/>
  <c r="G24" i="23"/>
  <c r="G22" i="23"/>
  <c r="F22" i="23"/>
  <c r="H22" i="23" s="1"/>
  <c r="F21" i="23"/>
  <c r="G21" i="23"/>
  <c r="G20" i="23"/>
  <c r="F20" i="23"/>
  <c r="H20" i="23" s="1"/>
  <c r="F18" i="23"/>
  <c r="G18" i="23"/>
  <c r="G17" i="23"/>
  <c r="F17" i="23"/>
  <c r="H17" i="23" s="1"/>
  <c r="F15" i="23"/>
  <c r="H15" i="23" s="1"/>
  <c r="G15" i="23"/>
  <c r="L1594" i="23"/>
  <c r="L1595" i="23"/>
  <c r="G13" i="23"/>
  <c r="F13" i="23"/>
  <c r="H13" i="23" s="1"/>
  <c r="F12" i="23"/>
  <c r="H12" i="23" s="1"/>
  <c r="G12" i="23"/>
  <c r="F10" i="23"/>
  <c r="H10" i="23" s="1"/>
  <c r="G10" i="23"/>
  <c r="G7" i="23"/>
  <c r="F7" i="23"/>
  <c r="H7" i="23" s="1"/>
  <c r="G4" i="23"/>
  <c r="F5" i="23"/>
  <c r="H5" i="23" s="1"/>
  <c r="G5" i="23"/>
  <c r="F4" i="23"/>
  <c r="H4" i="23" s="1"/>
  <c r="R4675" i="22"/>
  <c r="Q4675" i="22"/>
  <c r="R4621" i="22"/>
  <c r="Q4621" i="22"/>
  <c r="D4621" i="22"/>
  <c r="F4621" i="22"/>
  <c r="Q4567" i="22"/>
  <c r="R4567" i="22"/>
  <c r="R4213" i="22"/>
  <c r="P4213" i="22"/>
  <c r="Q4213" i="22"/>
  <c r="Q4159" i="22"/>
  <c r="P4159" i="22"/>
  <c r="R4159" i="22"/>
  <c r="R4105" i="22"/>
  <c r="Q4105" i="22"/>
  <c r="P4105" i="22"/>
  <c r="K4105" i="22"/>
  <c r="F4105" i="22"/>
  <c r="R4051" i="22"/>
  <c r="Q4051" i="22"/>
  <c r="P4051" i="22"/>
  <c r="F4051" i="22"/>
  <c r="K4051" i="22"/>
  <c r="AB3870" i="22"/>
  <c r="AA3870" i="22"/>
  <c r="AC3870" i="22" s="1"/>
  <c r="AA3869" i="22"/>
  <c r="AC3869" i="22" s="1"/>
  <c r="AB3869" i="22"/>
  <c r="Q3869" i="22"/>
  <c r="S3869" i="22" s="1"/>
  <c r="R3869" i="22"/>
  <c r="Q3870" i="22"/>
  <c r="S3870" i="22" s="1"/>
  <c r="R3870" i="22"/>
  <c r="H3869" i="22"/>
  <c r="G3869" i="22"/>
  <c r="I3869" i="22" s="1"/>
  <c r="G3870" i="22"/>
  <c r="I3870" i="22" s="1"/>
  <c r="Q3868" i="22"/>
  <c r="S3868" i="22" s="1"/>
  <c r="R3868" i="22"/>
  <c r="H3868" i="22"/>
  <c r="G3868" i="22"/>
  <c r="I3868" i="22" s="1"/>
  <c r="AB3867" i="22"/>
  <c r="AA3867" i="22"/>
  <c r="AC3867" i="22" s="1"/>
  <c r="Q3867" i="22"/>
  <c r="S3867" i="22" s="1"/>
  <c r="R3867" i="22"/>
  <c r="AL3866" i="22"/>
  <c r="AK3866" i="22"/>
  <c r="AM3866" i="22" s="1"/>
  <c r="AB3866" i="22"/>
  <c r="AA3866" i="22"/>
  <c r="AC3866" i="22" s="1"/>
  <c r="R3866" i="22"/>
  <c r="Q3866" i="22"/>
  <c r="S3866" i="22" s="1"/>
  <c r="G3866" i="22"/>
  <c r="H3866" i="22"/>
  <c r="AK3865" i="22"/>
  <c r="AL3865" i="22"/>
  <c r="AB3865" i="22"/>
  <c r="AA3865" i="22"/>
  <c r="AC3865" i="22" s="1"/>
  <c r="H3865" i="22"/>
  <c r="G3865" i="22"/>
  <c r="I3865" i="22" s="1"/>
  <c r="AK3864" i="22"/>
  <c r="AL3864" i="22"/>
  <c r="G3864" i="22"/>
  <c r="H3864" i="22"/>
  <c r="AK3863" i="22"/>
  <c r="AL3863" i="22"/>
  <c r="Q3863" i="22"/>
  <c r="R3863" i="22"/>
  <c r="AA3862" i="22"/>
  <c r="AB3862" i="22"/>
  <c r="AL3861" i="22"/>
  <c r="AK3861" i="22"/>
  <c r="AM3861" i="22" s="1"/>
  <c r="AB3861" i="22"/>
  <c r="AA3861" i="22"/>
  <c r="AC3861" i="22" s="1"/>
  <c r="Q3861" i="22"/>
  <c r="R3861" i="22"/>
  <c r="AB3860" i="22"/>
  <c r="AA3860" i="22"/>
  <c r="AC3860" i="22" s="1"/>
  <c r="R3860" i="22"/>
  <c r="Q3860" i="22"/>
  <c r="S3860" i="22" s="1"/>
  <c r="AA3859" i="22"/>
  <c r="AB3859" i="22"/>
  <c r="G3859" i="22"/>
  <c r="H3859" i="22"/>
  <c r="AL3858" i="22"/>
  <c r="AM3858" i="22" s="1"/>
  <c r="AK3859" i="22"/>
  <c r="AL3859" i="22"/>
  <c r="AB3858" i="22"/>
  <c r="AA3858" i="22"/>
  <c r="AC3858" i="22" s="1"/>
  <c r="AL3857" i="22"/>
  <c r="AK3857" i="22"/>
  <c r="AM3857" i="22" s="1"/>
  <c r="AA3857" i="22"/>
  <c r="AB3857" i="22"/>
  <c r="H3857" i="22"/>
  <c r="G3857" i="22"/>
  <c r="I3857" i="22" s="1"/>
  <c r="R3857" i="22"/>
  <c r="S3857" i="22" s="1"/>
  <c r="R3856" i="22"/>
  <c r="Q3856" i="22"/>
  <c r="S3856" i="22" s="1"/>
  <c r="G3856" i="22"/>
  <c r="H3856" i="22"/>
  <c r="AK3855" i="22"/>
  <c r="AL3855" i="22"/>
  <c r="H3855" i="22"/>
  <c r="G3855" i="22"/>
  <c r="I3855" i="22" s="1"/>
  <c r="H3854" i="22"/>
  <c r="G3854" i="22"/>
  <c r="I3854" i="22" s="1"/>
  <c r="AL3853" i="22"/>
  <c r="AK3853" i="22"/>
  <c r="AM3853" i="22" s="1"/>
  <c r="R3851" i="22"/>
  <c r="Q3851" i="22"/>
  <c r="S3851" i="22" s="1"/>
  <c r="AK3850" i="22"/>
  <c r="AL3850" i="22"/>
  <c r="AB3850" i="22"/>
  <c r="AA3850" i="22"/>
  <c r="AC3850" i="22" s="1"/>
  <c r="R3850" i="22"/>
  <c r="Q3850" i="22"/>
  <c r="S3850" i="22" s="1"/>
  <c r="AL3849" i="22"/>
  <c r="AK3849" i="22"/>
  <c r="AM3849" i="22" s="1"/>
  <c r="AB3849" i="22"/>
  <c r="AA3849" i="22"/>
  <c r="AC3849" i="22" s="1"/>
  <c r="R3849" i="22"/>
  <c r="Q3849" i="22"/>
  <c r="S3849" i="22" s="1"/>
  <c r="H3849" i="22"/>
  <c r="I3849" i="22" s="1"/>
  <c r="G3850" i="22"/>
  <c r="I3850" i="22" s="1"/>
  <c r="H3850" i="22"/>
  <c r="AB3848" i="22"/>
  <c r="AA3848" i="22"/>
  <c r="AC3848" i="22" s="1"/>
  <c r="H3848" i="22"/>
  <c r="G3848" i="22"/>
  <c r="I3848" i="22" s="1"/>
  <c r="AL3847" i="22"/>
  <c r="AK3847" i="22"/>
  <c r="AM3847" i="22" s="1"/>
  <c r="G3847" i="22"/>
  <c r="H3847" i="22"/>
  <c r="AL3846" i="22"/>
  <c r="AK3846" i="22"/>
  <c r="AM3846" i="22" s="1"/>
  <c r="AB3846" i="22"/>
  <c r="AC3846" i="22" s="1"/>
  <c r="AB3845" i="22"/>
  <c r="AC3845" i="22" s="1"/>
  <c r="R3845" i="22"/>
  <c r="S3845" i="22" s="1"/>
  <c r="Q3846" i="22"/>
  <c r="R3846" i="22"/>
  <c r="G3845" i="22"/>
  <c r="I3845" i="22" s="1"/>
  <c r="H3846" i="22"/>
  <c r="G3846" i="22"/>
  <c r="I3846" i="22" s="1"/>
  <c r="AB3843" i="22"/>
  <c r="AA3843" i="22"/>
  <c r="AC3843" i="22" s="1"/>
  <c r="H3843" i="22"/>
  <c r="G3843" i="22"/>
  <c r="I3843" i="22" s="1"/>
  <c r="AL3842" i="22"/>
  <c r="AK3842" i="22"/>
  <c r="AM3842" i="22" s="1"/>
  <c r="AB3842" i="22"/>
  <c r="AA3842" i="22"/>
  <c r="AC3842" i="22" s="1"/>
  <c r="R3842" i="22"/>
  <c r="Q3842" i="22"/>
  <c r="S3842" i="22" s="1"/>
  <c r="G3842" i="22"/>
  <c r="H3842" i="22"/>
  <c r="AK3841" i="22"/>
  <c r="AL3841" i="22"/>
  <c r="AB3841" i="22"/>
  <c r="AA3841" i="22"/>
  <c r="AC3841" i="22" s="1"/>
  <c r="Q3841" i="22"/>
  <c r="R3841" i="22"/>
  <c r="H3841" i="22"/>
  <c r="G3841" i="22"/>
  <c r="I3841" i="22" s="1"/>
  <c r="AK3840" i="22"/>
  <c r="AL3840" i="22"/>
  <c r="AB3840" i="22"/>
  <c r="AA3840" i="22"/>
  <c r="AC3840" i="22" s="1"/>
  <c r="R3840" i="22"/>
  <c r="Q3840" i="22"/>
  <c r="S3840" i="22" s="1"/>
  <c r="H3840" i="22"/>
  <c r="G3840" i="22"/>
  <c r="I3840" i="22" s="1"/>
  <c r="AL3839" i="22"/>
  <c r="AK3839" i="22"/>
  <c r="AM3839" i="22" s="1"/>
  <c r="AA3839" i="22"/>
  <c r="AB3839" i="22"/>
  <c r="R3839" i="22"/>
  <c r="Q3839" i="22"/>
  <c r="S3839" i="22" s="1"/>
  <c r="G3839" i="22"/>
  <c r="H3839" i="22"/>
  <c r="AK3838" i="22"/>
  <c r="AL3838" i="22"/>
  <c r="R3838" i="22"/>
  <c r="Q3838" i="22"/>
  <c r="S3838" i="22" s="1"/>
  <c r="G3838" i="22"/>
  <c r="H3838" i="22"/>
  <c r="AK3837" i="22"/>
  <c r="AL3837" i="22"/>
  <c r="AA3837" i="22"/>
  <c r="AB3837" i="22"/>
  <c r="G3837" i="22"/>
  <c r="H3837" i="22"/>
  <c r="AL3836" i="22"/>
  <c r="AK3836" i="22"/>
  <c r="AM3836" i="22" s="1"/>
  <c r="AA3836" i="22"/>
  <c r="AB3836" i="22"/>
  <c r="R3836" i="22"/>
  <c r="Q3836" i="22"/>
  <c r="S3836" i="22" s="1"/>
  <c r="G3836" i="22"/>
  <c r="H3836" i="22"/>
  <c r="AK3835" i="22"/>
  <c r="AL3835" i="22"/>
  <c r="AA3835" i="22"/>
  <c r="AB3835" i="22"/>
  <c r="G3835" i="22"/>
  <c r="H3835" i="22"/>
  <c r="AK3834" i="22"/>
  <c r="AL3834" i="22"/>
  <c r="R3834" i="22"/>
  <c r="Q3834" i="22"/>
  <c r="S3834" i="22" s="1"/>
  <c r="G3834" i="22"/>
  <c r="H3834" i="22"/>
  <c r="Q3833" i="22"/>
  <c r="R3833" i="22"/>
  <c r="Q3832" i="22"/>
  <c r="R3832" i="22"/>
  <c r="AK3831" i="22"/>
  <c r="AL3831" i="22"/>
  <c r="AB3831" i="22"/>
  <c r="AA3831" i="22"/>
  <c r="AC3831" i="22" s="1"/>
  <c r="R3831" i="22"/>
  <c r="Q3831" i="22"/>
  <c r="S3831" i="22" s="1"/>
  <c r="G3831" i="22"/>
  <c r="H3831" i="22"/>
  <c r="AK3830" i="22"/>
  <c r="AL3830" i="22"/>
  <c r="AA3830" i="22"/>
  <c r="AB3830" i="22"/>
  <c r="R3830" i="22"/>
  <c r="Q3830" i="22"/>
  <c r="S3830" i="22" s="1"/>
  <c r="H3830" i="22"/>
  <c r="G3830" i="22"/>
  <c r="I3830" i="22" s="1"/>
  <c r="AK3829" i="22"/>
  <c r="AL3829" i="22"/>
  <c r="AA3829" i="22"/>
  <c r="AB3829" i="22"/>
  <c r="Q3829" i="22"/>
  <c r="R3829" i="22"/>
  <c r="H3829" i="22"/>
  <c r="G3829" i="22"/>
  <c r="I3829" i="22" s="1"/>
  <c r="AB3828" i="22"/>
  <c r="AA3828" i="22"/>
  <c r="AC3828" i="22" s="1"/>
  <c r="Q3828" i="22"/>
  <c r="R3828" i="22"/>
  <c r="G3828" i="22"/>
  <c r="H3828" i="22"/>
  <c r="AK3827" i="22"/>
  <c r="AL3827" i="22"/>
  <c r="G3827" i="22"/>
  <c r="H3827" i="22"/>
  <c r="AL3826" i="22"/>
  <c r="AK3826" i="22"/>
  <c r="AM3826" i="22" s="1"/>
  <c r="AA3826" i="22"/>
  <c r="AB3826" i="22"/>
  <c r="Q3826" i="22"/>
  <c r="R3826" i="22"/>
  <c r="H3826" i="22"/>
  <c r="G3826" i="22"/>
  <c r="I3826" i="22" s="1"/>
  <c r="AL3825" i="22"/>
  <c r="AK3825" i="22"/>
  <c r="AM3825" i="22" s="1"/>
  <c r="H3825" i="22"/>
  <c r="G3825" i="22"/>
  <c r="I3825" i="22" s="1"/>
  <c r="AL3824" i="22"/>
  <c r="AK3824" i="22"/>
  <c r="AM3824" i="22" s="1"/>
  <c r="AA3824" i="22"/>
  <c r="AB3824" i="22"/>
  <c r="AA3825" i="22"/>
  <c r="AB3825" i="22"/>
  <c r="Q3824" i="22"/>
  <c r="R3825" i="22"/>
  <c r="S3825" i="22" s="1"/>
  <c r="R3824" i="22"/>
  <c r="H3824" i="22"/>
  <c r="G3824" i="22"/>
  <c r="I3824" i="22" s="1"/>
  <c r="AK3823" i="22"/>
  <c r="AM3823" i="22" s="1"/>
  <c r="AL3823" i="22"/>
  <c r="AB3823" i="22"/>
  <c r="AA3823" i="22"/>
  <c r="AC3823" i="22" s="1"/>
  <c r="G3823" i="22"/>
  <c r="I3823" i="22" s="1"/>
  <c r="H3823" i="22"/>
  <c r="AL3822" i="22"/>
  <c r="AK3822" i="22"/>
  <c r="AM3822" i="22" s="1"/>
  <c r="AA3822" i="22"/>
  <c r="AC3822" i="22" s="1"/>
  <c r="AB3822" i="22"/>
  <c r="H3822" i="22"/>
  <c r="G3822" i="22"/>
  <c r="I3822" i="22" s="1"/>
  <c r="AA3820" i="22"/>
  <c r="AC3820" i="22" s="1"/>
  <c r="AB3820" i="22"/>
  <c r="H3820" i="22"/>
  <c r="G3820" i="22"/>
  <c r="I3820" i="22" s="1"/>
  <c r="AK3818" i="22"/>
  <c r="AM3818" i="22" s="1"/>
  <c r="AL3818" i="22"/>
  <c r="AB3818" i="22"/>
  <c r="AA3818" i="22"/>
  <c r="AC3818" i="22" s="1"/>
  <c r="R3818" i="22"/>
  <c r="Q3818" i="22"/>
  <c r="S3818" i="22" s="1"/>
  <c r="H3818" i="22"/>
  <c r="I3818" i="22" s="1"/>
  <c r="G3817" i="22"/>
  <c r="I3817" i="22" s="1"/>
  <c r="AK3816" i="22"/>
  <c r="AM3816" i="22" s="1"/>
  <c r="AL3816" i="22"/>
  <c r="AB3816" i="22"/>
  <c r="AA3816" i="22"/>
  <c r="AC3816" i="22" s="1"/>
  <c r="H3816" i="22"/>
  <c r="G3816" i="22"/>
  <c r="I3816" i="22" s="1"/>
  <c r="R3816" i="22"/>
  <c r="Q3815" i="22"/>
  <c r="S3815" i="22" s="1"/>
  <c r="R3815" i="22"/>
  <c r="Q3816" i="22"/>
  <c r="S3816" i="22" s="1"/>
  <c r="AL3814" i="22"/>
  <c r="AK3814" i="22"/>
  <c r="AM3814" i="22" s="1"/>
  <c r="AL3821" i="22"/>
  <c r="AM3821" i="22" s="1"/>
  <c r="AA3814" i="22"/>
  <c r="AC3814" i="22" s="1"/>
  <c r="AB3814" i="22"/>
  <c r="AB3821" i="22"/>
  <c r="AC3821" i="22" s="1"/>
  <c r="R3814" i="22"/>
  <c r="Q3814" i="22"/>
  <c r="S3814" i="22" s="1"/>
  <c r="R3821" i="22"/>
  <c r="S3821" i="22" s="1"/>
  <c r="AA3813" i="22"/>
  <c r="AC3813" i="22" s="1"/>
  <c r="AB3813" i="22"/>
  <c r="AK3813" i="22"/>
  <c r="AM3813" i="22" s="1"/>
  <c r="AL3812" i="22"/>
  <c r="AK3812" i="22"/>
  <c r="AM3812" i="22" s="1"/>
  <c r="G3813" i="22"/>
  <c r="I3813" i="22" s="1"/>
  <c r="H3812" i="22"/>
  <c r="H3813" i="22"/>
  <c r="G3812" i="22"/>
  <c r="AK3811" i="22"/>
  <c r="AL3811" i="22"/>
  <c r="AA3811" i="22"/>
  <c r="AB3811" i="22"/>
  <c r="Q3810" i="22"/>
  <c r="S3810" i="22" s="1"/>
  <c r="R3811" i="22"/>
  <c r="S3811" i="22" s="1"/>
  <c r="G3810" i="22"/>
  <c r="H3811" i="22"/>
  <c r="I3811" i="22" s="1"/>
  <c r="H3810" i="22"/>
  <c r="AL3809" i="22"/>
  <c r="AK3809" i="22"/>
  <c r="AM3809" i="22" s="1"/>
  <c r="Q3809" i="22"/>
  <c r="R3809" i="22"/>
  <c r="AA3808" i="22"/>
  <c r="AB3808" i="22"/>
  <c r="Q3808" i="22"/>
  <c r="R3808" i="22"/>
  <c r="H3808" i="22"/>
  <c r="G3808" i="22"/>
  <c r="I3808" i="22" s="1"/>
  <c r="AA3807" i="22"/>
  <c r="AB3807" i="22"/>
  <c r="Q3807" i="22"/>
  <c r="R3807" i="22"/>
  <c r="H3807" i="22"/>
  <c r="G3807" i="22"/>
  <c r="I3807" i="22" s="1"/>
  <c r="AK3808" i="22"/>
  <c r="AL3808" i="22"/>
  <c r="AL3807" i="22"/>
  <c r="AK3807" i="22"/>
  <c r="AM3807" i="22" s="1"/>
  <c r="P3751" i="22"/>
  <c r="Q3751" i="22"/>
  <c r="R3751" i="22"/>
  <c r="P3697" i="22"/>
  <c r="R3697" i="22"/>
  <c r="Q3697" i="22"/>
  <c r="P3643" i="22"/>
  <c r="Q3643" i="22"/>
  <c r="R3643" i="22"/>
  <c r="H3643" i="22"/>
  <c r="H3644" i="22"/>
  <c r="P3589" i="22"/>
  <c r="Q3589" i="22"/>
  <c r="R3589" i="22"/>
  <c r="R3535" i="22"/>
  <c r="Q3535" i="22"/>
  <c r="P3535" i="22"/>
  <c r="R3481" i="22"/>
  <c r="P3481" i="22"/>
  <c r="Q3481" i="22"/>
  <c r="H3481" i="22"/>
  <c r="H3491" i="22"/>
  <c r="H3492" i="22"/>
  <c r="H3493" i="22"/>
  <c r="H3494" i="22"/>
  <c r="H3495" i="22"/>
  <c r="H3496" i="22"/>
  <c r="H3497" i="22"/>
  <c r="H3498" i="22"/>
  <c r="H3499" i="22"/>
  <c r="H3501" i="22"/>
  <c r="H3503" i="22"/>
  <c r="H3504" i="22"/>
  <c r="H3505" i="22"/>
  <c r="H3506" i="22"/>
  <c r="BX67" i="22" s="1"/>
  <c r="H3507" i="22"/>
  <c r="BY67" i="22" s="1"/>
  <c r="H3508" i="22"/>
  <c r="BZ67" i="22" s="1"/>
  <c r="H3509" i="22"/>
  <c r="CA67" i="22" s="1"/>
  <c r="H3520" i="22"/>
  <c r="H3511" i="22"/>
  <c r="CC67" i="22" s="1"/>
  <c r="H3512" i="22"/>
  <c r="CD67" i="22" s="1"/>
  <c r="H3513" i="22"/>
  <c r="CE67" i="22" s="1"/>
  <c r="H3514" i="22"/>
  <c r="CF67" i="22" s="1"/>
  <c r="H3515" i="22"/>
  <c r="CG67" i="22" s="1"/>
  <c r="H3521" i="22"/>
  <c r="H3526" i="22"/>
  <c r="H3527" i="22"/>
  <c r="H3525" i="22"/>
  <c r="H3523" i="22"/>
  <c r="H3517" i="22"/>
  <c r="H3518" i="22"/>
  <c r="H3519" i="22"/>
  <c r="H3524" i="22"/>
  <c r="H3522" i="22"/>
  <c r="H3516" i="22"/>
  <c r="CH67" i="22" s="1"/>
  <c r="H3528" i="22"/>
  <c r="H3510" i="22"/>
  <c r="CB67" i="22" s="1"/>
  <c r="H3500" i="22"/>
  <c r="H3502" i="22"/>
  <c r="P3319" i="22"/>
  <c r="R3319" i="22"/>
  <c r="R3265" i="22"/>
  <c r="P3265" i="22"/>
  <c r="Q3265" i="22"/>
  <c r="P3211" i="22"/>
  <c r="Q3211" i="22"/>
  <c r="R3211" i="22"/>
  <c r="H3217" i="22"/>
  <c r="H3213" i="22"/>
  <c r="H3236" i="22"/>
  <c r="BX62" i="22" s="1"/>
  <c r="H3227" i="22"/>
  <c r="H3233" i="22"/>
  <c r="H3239" i="22"/>
  <c r="CA62" i="22" s="1"/>
  <c r="H3248" i="22"/>
  <c r="P3157" i="22"/>
  <c r="R3157" i="22"/>
  <c r="Q3157" i="22"/>
  <c r="R3103" i="22"/>
  <c r="P3103" i="22"/>
  <c r="Q3103" i="22"/>
  <c r="Q3049" i="22"/>
  <c r="P3049" i="22"/>
  <c r="R3049" i="22"/>
  <c r="Q2941" i="22"/>
  <c r="P2941" i="22"/>
  <c r="Q2887" i="22"/>
  <c r="R2887" i="22"/>
  <c r="P2887" i="22"/>
  <c r="Q2833" i="22"/>
  <c r="R2833" i="22"/>
  <c r="P2833" i="22"/>
  <c r="Q2779" i="22"/>
  <c r="P2779" i="22"/>
  <c r="R2779" i="22"/>
  <c r="BW54" i="22"/>
  <c r="R2725" i="22"/>
  <c r="P2725" i="22"/>
  <c r="Q2725" i="22"/>
  <c r="BW53" i="22"/>
  <c r="R2671" i="22"/>
  <c r="P2671" i="22"/>
  <c r="Q2671" i="22"/>
  <c r="BW52" i="22"/>
  <c r="Q2563" i="22"/>
  <c r="R2563" i="22"/>
  <c r="P2509" i="22"/>
  <c r="Q2509" i="22"/>
  <c r="R2509" i="22"/>
  <c r="P2455" i="22"/>
  <c r="Q2455" i="22"/>
  <c r="R2455" i="22"/>
  <c r="P2401" i="22"/>
  <c r="Q2401" i="22"/>
  <c r="R2401" i="22"/>
  <c r="BW47" i="22"/>
  <c r="Q2347" i="22"/>
  <c r="P2347" i="22"/>
  <c r="R2347" i="22"/>
  <c r="BW46" i="22"/>
  <c r="L2294" i="22"/>
  <c r="K2293" i="22"/>
  <c r="F2293" i="22"/>
  <c r="O2293" i="22" s="1"/>
  <c r="P2293" i="22"/>
  <c r="R2293" i="22"/>
  <c r="Q2293" i="22"/>
  <c r="BW45" i="22"/>
  <c r="H2340" i="22"/>
  <c r="H2335" i="22"/>
  <c r="H2334" i="22"/>
  <c r="H2336" i="22"/>
  <c r="H2333" i="22"/>
  <c r="H2322" i="22"/>
  <c r="CB45" i="22" s="1"/>
  <c r="H2332" i="22"/>
  <c r="H2339" i="22"/>
  <c r="H2331" i="22"/>
  <c r="H2330" i="22"/>
  <c r="H2329" i="22"/>
  <c r="H2328" i="22"/>
  <c r="CH45" i="22" s="1"/>
  <c r="H2326" i="22"/>
  <c r="CF45" i="22" s="1"/>
  <c r="H2325" i="22"/>
  <c r="CE45" i="22" s="1"/>
  <c r="H2315" i="22"/>
  <c r="H2323" i="22"/>
  <c r="CC45" i="22" s="1"/>
  <c r="H2324" i="22"/>
  <c r="CD45" i="22" s="1"/>
  <c r="H2338" i="22"/>
  <c r="H2337" i="22"/>
  <c r="H2327" i="22"/>
  <c r="CG45" i="22" s="1"/>
  <c r="Q2185" i="22"/>
  <c r="R2185" i="22"/>
  <c r="P2131" i="22"/>
  <c r="R2131" i="22"/>
  <c r="Q2131" i="22"/>
  <c r="R2077" i="22"/>
  <c r="P2077" i="22"/>
  <c r="Q2077" i="22"/>
  <c r="R2023" i="22"/>
  <c r="P2023" i="22"/>
  <c r="Q2023" i="22"/>
  <c r="BW40" i="22"/>
  <c r="R1969" i="22"/>
  <c r="Q1969" i="22"/>
  <c r="P1969" i="22"/>
  <c r="BW39" i="22"/>
  <c r="Q1915" i="22"/>
  <c r="R1915" i="22"/>
  <c r="P1915" i="22"/>
  <c r="H1943" i="22"/>
  <c r="CA38" i="22" s="1"/>
  <c r="H1942" i="22"/>
  <c r="BZ38" i="22" s="1"/>
  <c r="H1941" i="22"/>
  <c r="BY38" i="22" s="1"/>
  <c r="H1939" i="22"/>
  <c r="H1938" i="22"/>
  <c r="H1937" i="22"/>
  <c r="H1936" i="22"/>
  <c r="H1940" i="22"/>
  <c r="BX38" i="22" s="1"/>
  <c r="H1935" i="22"/>
  <c r="H1934" i="22"/>
  <c r="H1933" i="22"/>
  <c r="H1932" i="22"/>
  <c r="H1916" i="22"/>
  <c r="H1948" i="22"/>
  <c r="CF38" i="22" s="1"/>
  <c r="H1930" i="22"/>
  <c r="H1915" i="22"/>
  <c r="H1962" i="22"/>
  <c r="H1961" i="22"/>
  <c r="H1960" i="22"/>
  <c r="H1959" i="22"/>
  <c r="H1958" i="22"/>
  <c r="H1957" i="22"/>
  <c r="H1956" i="22"/>
  <c r="H1955" i="22"/>
  <c r="H1954" i="22"/>
  <c r="H1953" i="22"/>
  <c r="H1952" i="22"/>
  <c r="H1951" i="22"/>
  <c r="H1950" i="22"/>
  <c r="CH38" i="22" s="1"/>
  <c r="H1949" i="22"/>
  <c r="CG38" i="22" s="1"/>
  <c r="H1931" i="22"/>
  <c r="H1947" i="22"/>
  <c r="CE38" i="22" s="1"/>
  <c r="H1946" i="22"/>
  <c r="CD38" i="22" s="1"/>
  <c r="H1945" i="22"/>
  <c r="CC38" i="22" s="1"/>
  <c r="H1944" i="22"/>
  <c r="CB38" i="22" s="1"/>
  <c r="P1699" i="22"/>
  <c r="R1699" i="22"/>
  <c r="P1645" i="22"/>
  <c r="Q1645" i="22"/>
  <c r="R1645" i="22"/>
  <c r="Q1591" i="22"/>
  <c r="P1591" i="22"/>
  <c r="R1591" i="22"/>
  <c r="Q1537" i="22"/>
  <c r="P1537" i="22"/>
  <c r="R1537" i="22"/>
  <c r="Q1483" i="22"/>
  <c r="P1483" i="22"/>
  <c r="R1483" i="22"/>
  <c r="L1484" i="22"/>
  <c r="H1474" i="22"/>
  <c r="H1473" i="22"/>
  <c r="H1472" i="22"/>
  <c r="H1471" i="22"/>
  <c r="H1470" i="22"/>
  <c r="H1469" i="22"/>
  <c r="H1468" i="22"/>
  <c r="H1467" i="22"/>
  <c r="H1466" i="22"/>
  <c r="H1464" i="22"/>
  <c r="CH29" i="22" s="1"/>
  <c r="H1463" i="22"/>
  <c r="CG29" i="22" s="1"/>
  <c r="H1462" i="22"/>
  <c r="CF29" i="22" s="1"/>
  <c r="H1461" i="22"/>
  <c r="CE29" i="22" s="1"/>
  <c r="H1460" i="22"/>
  <c r="CD29" i="22" s="1"/>
  <c r="H1459" i="22"/>
  <c r="CC29" i="22" s="1"/>
  <c r="H1458" i="22"/>
  <c r="CB29" i="22" s="1"/>
  <c r="H1457" i="22"/>
  <c r="CA29" i="22" s="1"/>
  <c r="H1456" i="22"/>
  <c r="BZ29" i="22" s="1"/>
  <c r="H1455" i="22"/>
  <c r="BY29" i="22" s="1"/>
  <c r="H1454" i="22"/>
  <c r="BX29" i="22" s="1"/>
  <c r="H1453" i="22"/>
  <c r="H1452" i="22"/>
  <c r="H1451" i="22"/>
  <c r="H1450" i="22"/>
  <c r="H1449" i="22"/>
  <c r="H1448" i="22"/>
  <c r="H1447" i="22"/>
  <c r="H1446" i="22"/>
  <c r="H1445" i="22"/>
  <c r="H1444" i="22"/>
  <c r="H1443" i="22"/>
  <c r="H1442" i="22"/>
  <c r="H1441" i="22"/>
  <c r="H1440" i="22"/>
  <c r="H1439" i="22"/>
  <c r="H1438" i="22"/>
  <c r="H1436" i="22"/>
  <c r="H1435" i="22"/>
  <c r="H1434" i="22"/>
  <c r="H1432" i="22"/>
  <c r="H1431" i="22"/>
  <c r="H1430" i="22"/>
  <c r="H1429" i="22"/>
  <c r="H1465" i="22"/>
  <c r="H1476" i="22"/>
  <c r="H1475" i="22"/>
  <c r="P1375" i="22"/>
  <c r="R1375" i="22"/>
  <c r="BW28" i="22"/>
  <c r="P1321" i="22"/>
  <c r="Q1321" i="22"/>
  <c r="R1321" i="22"/>
  <c r="R1267" i="22"/>
  <c r="P1267" i="22"/>
  <c r="Q1267" i="22"/>
  <c r="P1213" i="22"/>
  <c r="Q1213" i="22"/>
  <c r="R1213" i="22"/>
  <c r="Q1159" i="22"/>
  <c r="P1159" i="22"/>
  <c r="R1159" i="22"/>
  <c r="BW24" i="22"/>
  <c r="R1105" i="22"/>
  <c r="P1105" i="22"/>
  <c r="Q1105" i="22"/>
  <c r="BW23" i="22"/>
  <c r="P1051" i="22"/>
  <c r="Q1051" i="22"/>
  <c r="R1051" i="22"/>
  <c r="L1052" i="22"/>
  <c r="H1076" i="22"/>
  <c r="BX22" i="22" s="1"/>
  <c r="H1077" i="22"/>
  <c r="BY22" i="22" s="1"/>
  <c r="H1078" i="22"/>
  <c r="BZ22" i="22" s="1"/>
  <c r="H1079" i="22"/>
  <c r="CA22" i="22" s="1"/>
  <c r="H1080" i="22"/>
  <c r="CB22" i="22" s="1"/>
  <c r="H1083" i="22"/>
  <c r="CE22" i="22" s="1"/>
  <c r="H1081" i="22"/>
  <c r="CC22" i="22" s="1"/>
  <c r="H1082" i="22"/>
  <c r="CD22" i="22" s="1"/>
  <c r="H1084" i="22"/>
  <c r="CF22" i="22" s="1"/>
  <c r="H1090" i="22"/>
  <c r="H1089" i="22"/>
  <c r="H1088" i="22"/>
  <c r="H1087" i="22"/>
  <c r="H1086" i="22"/>
  <c r="CH22" i="22" s="1"/>
  <c r="H1085" i="22"/>
  <c r="CG22" i="22" s="1"/>
  <c r="H1094" i="22"/>
  <c r="H1098" i="22"/>
  <c r="H1097" i="22"/>
  <c r="H1096" i="22"/>
  <c r="H1095" i="22"/>
  <c r="H1093" i="22"/>
  <c r="H1092" i="22"/>
  <c r="H1091" i="22"/>
  <c r="H1062" i="22"/>
  <c r="H1063" i="22"/>
  <c r="H1064" i="22"/>
  <c r="H1065" i="22"/>
  <c r="H1066" i="22"/>
  <c r="H1067" i="22"/>
  <c r="H1068" i="22"/>
  <c r="H1069" i="22"/>
  <c r="H1070" i="22"/>
  <c r="H1071" i="22"/>
  <c r="H1072" i="22"/>
  <c r="H1073" i="22"/>
  <c r="H1074" i="22"/>
  <c r="H1075" i="22"/>
  <c r="BW20" i="22"/>
  <c r="Q889" i="22"/>
  <c r="P889" i="22"/>
  <c r="BW19" i="22"/>
  <c r="P835" i="22"/>
  <c r="Q835" i="22"/>
  <c r="BW18" i="22"/>
  <c r="Q781" i="22"/>
  <c r="P781" i="22"/>
  <c r="BW17" i="22"/>
  <c r="R727" i="22"/>
  <c r="P727" i="22"/>
  <c r="Q727" i="22"/>
  <c r="BW16" i="22"/>
  <c r="P673" i="22"/>
  <c r="Q673" i="22"/>
  <c r="R673" i="22"/>
  <c r="R619" i="22"/>
  <c r="P619" i="22"/>
  <c r="Q619" i="22"/>
  <c r="L620" i="22"/>
  <c r="BW13" i="22"/>
  <c r="P511" i="22"/>
  <c r="Q511" i="22"/>
  <c r="BW12" i="22"/>
  <c r="P457" i="22"/>
  <c r="Q457" i="22"/>
  <c r="R457" i="22"/>
  <c r="BW11" i="22"/>
  <c r="Q403" i="22"/>
  <c r="R403" i="22"/>
  <c r="P403" i="22"/>
  <c r="Q349" i="22"/>
  <c r="R349" i="22"/>
  <c r="P349" i="22"/>
  <c r="BW9" i="22"/>
  <c r="P295" i="22"/>
  <c r="Q295" i="22"/>
  <c r="R295" i="22"/>
  <c r="BW8" i="22"/>
  <c r="Q241" i="22"/>
  <c r="R241" i="22"/>
  <c r="P241" i="22"/>
  <c r="L242" i="22"/>
  <c r="AD7" i="22"/>
  <c r="Y15" i="3"/>
  <c r="BW6" i="22"/>
  <c r="H175" i="22"/>
  <c r="H174" i="22"/>
  <c r="H168" i="22"/>
  <c r="CH5" i="22" s="1"/>
  <c r="H173" i="22"/>
  <c r="H172" i="22"/>
  <c r="H171" i="22"/>
  <c r="H154" i="22"/>
  <c r="H161" i="22"/>
  <c r="CA5" i="22" s="1"/>
  <c r="H162" i="22"/>
  <c r="CB5" i="22" s="1"/>
  <c r="H164" i="22"/>
  <c r="CD5" i="22" s="1"/>
  <c r="H180" i="22"/>
  <c r="H179" i="22"/>
  <c r="H178" i="22"/>
  <c r="H177" i="22"/>
  <c r="H176" i="22"/>
  <c r="H145" i="22"/>
  <c r="H149" i="22"/>
  <c r="H151" i="22"/>
  <c r="BW5" i="22"/>
  <c r="Q79" i="22"/>
  <c r="P79" i="22"/>
  <c r="R79" i="22"/>
  <c r="Q17" i="17"/>
  <c r="P17" i="17"/>
  <c r="F17" i="18" s="1"/>
  <c r="H4633" i="22"/>
  <c r="H4632" i="22"/>
  <c r="H4631" i="22"/>
  <c r="H4630" i="22"/>
  <c r="H4629" i="22"/>
  <c r="H4628" i="22"/>
  <c r="H4602" i="22"/>
  <c r="H4626" i="22"/>
  <c r="H4625" i="22"/>
  <c r="H4624" i="22"/>
  <c r="H4623" i="22"/>
  <c r="H4622" i="22"/>
  <c r="H4621" i="22"/>
  <c r="H4218" i="22"/>
  <c r="H4217" i="22"/>
  <c r="H4614" i="22"/>
  <c r="H4216" i="22"/>
  <c r="H4215" i="22"/>
  <c r="H4613" i="22"/>
  <c r="H4214" i="22"/>
  <c r="H4213" i="22"/>
  <c r="H4612" i="22"/>
  <c r="H4205" i="22"/>
  <c r="H4611" i="22"/>
  <c r="H4642" i="22"/>
  <c r="H4203" i="22"/>
  <c r="H4202" i="22"/>
  <c r="H4610" i="22"/>
  <c r="H4609" i="22"/>
  <c r="H4608" i="22"/>
  <c r="H4606" i="22"/>
  <c r="H4605" i="22"/>
  <c r="H4604" i="22"/>
  <c r="H4603" i="22"/>
  <c r="H4206" i="22"/>
  <c r="H4204" i="22"/>
  <c r="H4644" i="22"/>
  <c r="H4643" i="22"/>
  <c r="H4641" i="22"/>
  <c r="H4640" i="22"/>
  <c r="H4639" i="22"/>
  <c r="H4638" i="22"/>
  <c r="H4637" i="22"/>
  <c r="H4636" i="22"/>
  <c r="H4635" i="22"/>
  <c r="H4634" i="22"/>
  <c r="B3799" i="22"/>
  <c r="C72" i="22" s="1"/>
  <c r="I3751" i="22"/>
  <c r="B1639" i="22"/>
  <c r="C32" i="22" s="1"/>
  <c r="I1591" i="22"/>
  <c r="B1315" i="22"/>
  <c r="C26" i="22" s="1"/>
  <c r="I1267" i="22"/>
  <c r="I943" i="22"/>
  <c r="B991" i="22"/>
  <c r="C20" i="22" s="1"/>
  <c r="B397" i="22"/>
  <c r="C9" i="22" s="1"/>
  <c r="I349" i="22"/>
  <c r="C20" i="16"/>
  <c r="D20" i="16" s="1"/>
  <c r="C16" i="16"/>
  <c r="D16" i="16" s="1"/>
  <c r="C14" i="16"/>
  <c r="D14" i="16" s="1"/>
  <c r="C15" i="16"/>
  <c r="D15" i="16" s="1"/>
  <c r="C21" i="16"/>
  <c r="D21" i="16" s="1"/>
  <c r="C19" i="16"/>
  <c r="D19" i="16" s="1"/>
  <c r="C17" i="16"/>
  <c r="D17" i="16" s="1"/>
  <c r="C18" i="16"/>
  <c r="D18" i="16" s="1"/>
  <c r="I31" i="2"/>
  <c r="I28" i="2"/>
  <c r="I30" i="2"/>
  <c r="I33" i="2"/>
  <c r="I27" i="2"/>
  <c r="I29" i="2"/>
  <c r="I32" i="2"/>
  <c r="I34" i="2"/>
  <c r="S3852" i="22"/>
  <c r="S3848" i="22"/>
  <c r="AC3853" i="22"/>
  <c r="S3806" i="22"/>
  <c r="S3837" i="22"/>
  <c r="S3835" i="22"/>
  <c r="I3852" i="22"/>
  <c r="I3821" i="22"/>
  <c r="H8" i="23" l="1"/>
  <c r="I3853" i="22"/>
  <c r="AC3833" i="22"/>
  <c r="AC3832" i="22"/>
  <c r="I3815" i="22"/>
  <c r="I3814" i="22"/>
  <c r="S3812" i="22"/>
  <c r="AC3809" i="22"/>
  <c r="AC3806" i="22"/>
  <c r="F77" i="5"/>
  <c r="H39" i="23"/>
  <c r="H33" i="23"/>
  <c r="H28" i="23"/>
  <c r="H26" i="23"/>
  <c r="H24" i="23"/>
  <c r="H21" i="23"/>
  <c r="H18" i="23"/>
  <c r="I3866" i="22"/>
  <c r="AM3865" i="22"/>
  <c r="AM3864" i="22"/>
  <c r="I3864" i="22"/>
  <c r="AM3863" i="22"/>
  <c r="S3863" i="22"/>
  <c r="AC3862" i="22"/>
  <c r="S3861" i="22"/>
  <c r="AC3859" i="22"/>
  <c r="I3859" i="22"/>
  <c r="AM3859" i="22"/>
  <c r="AC3857" i="22"/>
  <c r="I3856" i="22"/>
  <c r="AM3855" i="22"/>
  <c r="AM3850" i="22"/>
  <c r="S3829" i="22"/>
  <c r="S3828" i="22"/>
  <c r="I3828" i="22"/>
  <c r="AM3827" i="22"/>
  <c r="I3827" i="22"/>
  <c r="AC3826" i="22"/>
  <c r="S3826" i="22"/>
  <c r="AC3824" i="22"/>
  <c r="AC3825" i="22"/>
  <c r="S3824" i="22"/>
  <c r="I3812" i="22"/>
  <c r="AM3811" i="22"/>
  <c r="AC3811" i="22"/>
  <c r="I3810" i="22"/>
  <c r="S3809" i="22"/>
  <c r="AC3808" i="22"/>
  <c r="S3808" i="22"/>
  <c r="AC3807" i="22"/>
  <c r="S3807" i="22"/>
  <c r="AM3808" i="22"/>
  <c r="N3643" i="22"/>
  <c r="U3643" i="22" s="1"/>
  <c r="M3643" i="22"/>
  <c r="F69" i="12"/>
  <c r="H69" i="12"/>
  <c r="G69" i="12"/>
  <c r="E69" i="12"/>
  <c r="F70" i="12"/>
  <c r="G70" i="12"/>
  <c r="E70" i="12"/>
  <c r="H70" i="12"/>
  <c r="D1315" i="23"/>
  <c r="F1315" i="23"/>
  <c r="D1203" i="23"/>
  <c r="F1203" i="23"/>
  <c r="D1091" i="23"/>
  <c r="F1091" i="23"/>
  <c r="D979" i="23"/>
  <c r="F979" i="23"/>
  <c r="D923" i="23"/>
  <c r="F923" i="23"/>
  <c r="D867" i="23"/>
  <c r="F867" i="23"/>
  <c r="D811" i="23"/>
  <c r="F811" i="23"/>
  <c r="D755" i="23"/>
  <c r="F755" i="23"/>
  <c r="D643" i="23"/>
  <c r="F643" i="23"/>
  <c r="D531" i="23"/>
  <c r="F531" i="23"/>
  <c r="D475" i="23"/>
  <c r="F475" i="23"/>
  <c r="D4622" i="22"/>
  <c r="F4622" i="22"/>
  <c r="J4568" i="22"/>
  <c r="F4568" i="22"/>
  <c r="H4307" i="22"/>
  <c r="G4307" i="22"/>
  <c r="I4307" i="22" s="1"/>
  <c r="H4306" i="22"/>
  <c r="G4306" i="22"/>
  <c r="I4306" i="22" s="1"/>
  <c r="G4305" i="22"/>
  <c r="H4305" i="22"/>
  <c r="H4304" i="22"/>
  <c r="G4304" i="22"/>
  <c r="I4304" i="22" s="1"/>
  <c r="G4303" i="22"/>
  <c r="H4303" i="22"/>
  <c r="G4302" i="22"/>
  <c r="H4302" i="22"/>
  <c r="H4300" i="22"/>
  <c r="G4300" i="22"/>
  <c r="I4300" i="22" s="1"/>
  <c r="G4299" i="22"/>
  <c r="I4299" i="22" s="1"/>
  <c r="H4299" i="22"/>
  <c r="G4297" i="22"/>
  <c r="H4297" i="22"/>
  <c r="H4296" i="22"/>
  <c r="G4296" i="22"/>
  <c r="I4296" i="22" s="1"/>
  <c r="H4295" i="22"/>
  <c r="G4295" i="22"/>
  <c r="I4295" i="22" s="1"/>
  <c r="H4294" i="22"/>
  <c r="G4294" i="22"/>
  <c r="I4294" i="22" s="1"/>
  <c r="H4293" i="22"/>
  <c r="G4293" i="22"/>
  <c r="I4293" i="22" s="1"/>
  <c r="K3482" i="22"/>
  <c r="F3482" i="22"/>
  <c r="O3482" i="22" s="1"/>
  <c r="K3374" i="22"/>
  <c r="F3374" i="22"/>
  <c r="O3374" i="22" s="1"/>
  <c r="K2888" i="22"/>
  <c r="F2888" i="22"/>
  <c r="O2888" i="22" s="1"/>
  <c r="K2240" i="22"/>
  <c r="F2240" i="22"/>
  <c r="O2240" i="22" s="1"/>
  <c r="K2186" i="22"/>
  <c r="F2186" i="22"/>
  <c r="O2186" i="22" s="1"/>
  <c r="K1646" i="22"/>
  <c r="F1646" i="22"/>
  <c r="O1646" i="22" s="1"/>
  <c r="K1592" i="22"/>
  <c r="F1592" i="22"/>
  <c r="O1592" i="22" s="1"/>
  <c r="K1484" i="22"/>
  <c r="F1484" i="22"/>
  <c r="O1484" i="22" s="1"/>
  <c r="K1322" i="22"/>
  <c r="F1322" i="22"/>
  <c r="O1322" i="22" s="1"/>
  <c r="K944" i="22"/>
  <c r="F944" i="22"/>
  <c r="O944" i="22" s="1"/>
  <c r="K890" i="22"/>
  <c r="F890" i="22"/>
  <c r="O890" i="22" s="1"/>
  <c r="K620" i="22"/>
  <c r="F620" i="22"/>
  <c r="O620" i="22" s="1"/>
  <c r="K80" i="22"/>
  <c r="F80" i="22"/>
  <c r="O80" i="22" s="1"/>
  <c r="I4568" i="22"/>
  <c r="J4567" i="22"/>
  <c r="N4567" i="22" s="1"/>
  <c r="I4567" i="22"/>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F1540" i="23" s="1"/>
  <c r="E1540" i="23"/>
  <c r="G1540" i="23"/>
  <c r="B1541" i="23"/>
  <c r="P1483" i="23"/>
  <c r="Q1483" i="23"/>
  <c r="R1483" i="23"/>
  <c r="B1485" i="23"/>
  <c r="C1484" i="23"/>
  <c r="F1484" i="23" s="1"/>
  <c r="E1484" i="23"/>
  <c r="G1484" i="23"/>
  <c r="P1427" i="23"/>
  <c r="Q1427" i="23"/>
  <c r="R1427" i="23"/>
  <c r="E1428" i="23"/>
  <c r="G1428" i="23"/>
  <c r="C1428" i="23"/>
  <c r="F1428" i="23" s="1"/>
  <c r="B1429" i="23"/>
  <c r="P1371" i="23"/>
  <c r="Q1371" i="23"/>
  <c r="R1371" i="23"/>
  <c r="G1372" i="23"/>
  <c r="C1372" i="23"/>
  <c r="F1372" i="23" s="1"/>
  <c r="E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F1148" i="23" s="1"/>
  <c r="E1148" i="23"/>
  <c r="G1148" i="23"/>
  <c r="B1149" i="23"/>
  <c r="P1091" i="23"/>
  <c r="Q1091" i="23"/>
  <c r="R1091" i="23"/>
  <c r="E1092" i="23"/>
  <c r="B1093" i="23"/>
  <c r="C1092" i="23"/>
  <c r="F1092" i="23" s="1"/>
  <c r="G1092" i="23"/>
  <c r="B1037" i="23"/>
  <c r="C1036" i="23"/>
  <c r="F1036" i="23" s="1"/>
  <c r="E1036" i="23"/>
  <c r="G1036" i="23"/>
  <c r="P1035" i="23"/>
  <c r="Q1035" i="23"/>
  <c r="R1035" i="23"/>
  <c r="P979" i="23"/>
  <c r="Q979" i="23"/>
  <c r="R979" i="23"/>
  <c r="C980" i="23"/>
  <c r="F980" i="23" s="1"/>
  <c r="E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P4730" i="22"/>
  <c r="Q4730" i="22"/>
  <c r="R4730" i="22"/>
  <c r="M4730" i="22"/>
  <c r="J4730" i="22"/>
  <c r="N4730" i="22" s="1"/>
  <c r="D4730" i="22"/>
  <c r="G4731" i="22"/>
  <c r="I4731" i="22"/>
  <c r="L4731" i="22"/>
  <c r="B4732" i="22"/>
  <c r="C4731" i="22"/>
  <c r="E4731" i="22"/>
  <c r="F4731" i="22"/>
  <c r="K4731" i="22"/>
  <c r="D4676" i="22"/>
  <c r="J4676" i="22"/>
  <c r="P4676" i="22"/>
  <c r="Q4676" i="22"/>
  <c r="R4676" i="22"/>
  <c r="C4677" i="22"/>
  <c r="F4677" i="22" s="1"/>
  <c r="E4677" i="22"/>
  <c r="G4677" i="22"/>
  <c r="I4677" i="22"/>
  <c r="B4678" i="22"/>
  <c r="P4622" i="22"/>
  <c r="Q4622" i="22"/>
  <c r="R4622" i="22"/>
  <c r="C4623" i="22"/>
  <c r="D4623" i="22" s="1"/>
  <c r="E4623" i="22"/>
  <c r="F4623" i="22"/>
  <c r="G4623" i="22"/>
  <c r="B4624" i="22"/>
  <c r="K4568" i="22"/>
  <c r="D4568" i="22"/>
  <c r="P4568" i="22"/>
  <c r="Q4568" i="22"/>
  <c r="R4568" i="22"/>
  <c r="L4569" i="22"/>
  <c r="C4569" i="22"/>
  <c r="K4569" i="22" s="1"/>
  <c r="E4569" i="22"/>
  <c r="F4569" i="22"/>
  <c r="G4569" i="22"/>
  <c r="B4570" i="22"/>
  <c r="K4514" i="22"/>
  <c r="D4514" i="22"/>
  <c r="J4514" i="22"/>
  <c r="P4514" i="22"/>
  <c r="Q4514" i="22"/>
  <c r="R4514" i="22"/>
  <c r="L4515" i="22"/>
  <c r="C4515" i="22"/>
  <c r="E4515" i="22"/>
  <c r="G4515" i="22"/>
  <c r="I4515" i="22"/>
  <c r="B4516" i="22"/>
  <c r="L4568" i="22"/>
  <c r="L4567"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E4161" i="22"/>
  <c r="G4161" i="22"/>
  <c r="I4161" i="22"/>
  <c r="B4162" i="22"/>
  <c r="D4106" i="22"/>
  <c r="J4106" i="22"/>
  <c r="P4106" i="22"/>
  <c r="Q4106" i="22"/>
  <c r="R4106" i="22"/>
  <c r="C4107" i="22"/>
  <c r="E4107" i="22"/>
  <c r="F4107" i="22"/>
  <c r="G4107" i="22"/>
  <c r="I4107" i="22"/>
  <c r="K4107" i="22"/>
  <c r="L4107" i="22"/>
  <c r="B4108" i="22"/>
  <c r="P4052" i="22"/>
  <c r="R4052" i="22"/>
  <c r="Q4052" i="22"/>
  <c r="E4053" i="22"/>
  <c r="G4053" i="22"/>
  <c r="L4053" i="22"/>
  <c r="C4053" i="22"/>
  <c r="F4053" i="22"/>
  <c r="I4053" i="22"/>
  <c r="K4053" i="22"/>
  <c r="B4054" i="22"/>
  <c r="D4052" i="22"/>
  <c r="J4052" i="22"/>
  <c r="D3752" i="22"/>
  <c r="J3752" i="22"/>
  <c r="P3752" i="22"/>
  <c r="Q3752" i="22"/>
  <c r="R3752" i="22"/>
  <c r="C3753" i="22"/>
  <c r="K3753" i="22" s="1"/>
  <c r="E3753" i="22"/>
  <c r="F3753" i="22"/>
  <c r="O3753" i="22" s="1"/>
  <c r="G3753" i="22"/>
  <c r="I3753" i="22"/>
  <c r="B3754" i="22"/>
  <c r="K3698" i="22"/>
  <c r="D3698" i="22"/>
  <c r="J3698" i="22"/>
  <c r="P3698" i="22"/>
  <c r="Q3698" i="22"/>
  <c r="R3698" i="22"/>
  <c r="L3699" i="22"/>
  <c r="C3699" i="22"/>
  <c r="K3699" i="22" s="1"/>
  <c r="E3699" i="22"/>
  <c r="F3699" i="22"/>
  <c r="O3699" i="22" s="1"/>
  <c r="G3699" i="22"/>
  <c r="I3699" i="22"/>
  <c r="B3700" i="22"/>
  <c r="K3644" i="22"/>
  <c r="D3644" i="22"/>
  <c r="J3644" i="22"/>
  <c r="P3644" i="22"/>
  <c r="Q3644" i="22"/>
  <c r="R3644" i="22"/>
  <c r="L3645" i="22"/>
  <c r="C3645" i="22"/>
  <c r="E3645" i="22"/>
  <c r="G3645" i="22"/>
  <c r="I3645" i="22"/>
  <c r="B3646" i="22"/>
  <c r="K3590" i="22"/>
  <c r="J3590" i="22"/>
  <c r="D3590" i="22"/>
  <c r="P3590" i="22"/>
  <c r="Q3590" i="22"/>
  <c r="R3590" i="22"/>
  <c r="L3591" i="22"/>
  <c r="G3591" i="22"/>
  <c r="I3591" i="22"/>
  <c r="B3592" i="22"/>
  <c r="C3591" i="22"/>
  <c r="E3591" i="22"/>
  <c r="L3537" i="22"/>
  <c r="B3538" i="22"/>
  <c r="C3537" i="22"/>
  <c r="E3537" i="22"/>
  <c r="G3537" i="22"/>
  <c r="I3537" i="22"/>
  <c r="K3536" i="22"/>
  <c r="J3536" i="22"/>
  <c r="D3536" i="22"/>
  <c r="P3536" i="22"/>
  <c r="Q3536" i="22"/>
  <c r="R3536" i="22"/>
  <c r="D3482" i="22"/>
  <c r="J3482" i="22"/>
  <c r="N3482" i="22" s="1"/>
  <c r="U3482" i="22" s="1"/>
  <c r="P3482" i="22"/>
  <c r="Q3482" i="22"/>
  <c r="R3482" i="22"/>
  <c r="C3483" i="22"/>
  <c r="K3483" i="22" s="1"/>
  <c r="E3483" i="22"/>
  <c r="F3483" i="22"/>
  <c r="O3483" i="22" s="1"/>
  <c r="G3483" i="22"/>
  <c r="I3483" i="22"/>
  <c r="B3484" i="22"/>
  <c r="D3428" i="22"/>
  <c r="J3428" i="22"/>
  <c r="N3428" i="22" s="1"/>
  <c r="U3428" i="22" s="1"/>
  <c r="P3428" i="22"/>
  <c r="Q3428" i="22"/>
  <c r="R3428" i="22"/>
  <c r="C3429" i="22"/>
  <c r="E3429" i="22"/>
  <c r="G3429" i="22"/>
  <c r="I3429" i="22"/>
  <c r="B3430" i="22"/>
  <c r="D3374" i="22"/>
  <c r="J3374" i="22"/>
  <c r="N3374" i="22" s="1"/>
  <c r="U3374" i="22" s="1"/>
  <c r="P3374" i="22"/>
  <c r="Q3374" i="22"/>
  <c r="R3374" i="22"/>
  <c r="C3375" i="22"/>
  <c r="E3375" i="22"/>
  <c r="G3375" i="22"/>
  <c r="I3375" i="22"/>
  <c r="B3376" i="22"/>
  <c r="K3320" i="22"/>
  <c r="D3320" i="22"/>
  <c r="J3320" i="22"/>
  <c r="P3320" i="22"/>
  <c r="Q3320" i="22"/>
  <c r="R3320" i="22"/>
  <c r="L3321" i="22"/>
  <c r="C3321" i="22"/>
  <c r="K3321" i="22" s="1"/>
  <c r="E3321" i="22"/>
  <c r="F3321" i="22"/>
  <c r="O3321" i="22" s="1"/>
  <c r="G3321" i="22"/>
  <c r="I3321" i="22"/>
  <c r="B3322" i="22"/>
  <c r="P3266" i="22"/>
  <c r="R3266" i="22"/>
  <c r="Q3266" i="22"/>
  <c r="K3266" i="22"/>
  <c r="J3266" i="22"/>
  <c r="D3266" i="22"/>
  <c r="L3267" i="22"/>
  <c r="I3267" i="22"/>
  <c r="B3268" i="22"/>
  <c r="C3267" i="22"/>
  <c r="E3267" i="22"/>
  <c r="G3267" i="22"/>
  <c r="P3212" i="22"/>
  <c r="Q3212" i="22"/>
  <c r="R3212" i="22"/>
  <c r="K3212" i="22"/>
  <c r="J3212" i="22"/>
  <c r="D3212" i="22"/>
  <c r="L3213" i="22"/>
  <c r="E3213" i="22"/>
  <c r="C3213" i="22"/>
  <c r="G3213" i="22"/>
  <c r="B3214" i="22"/>
  <c r="I3213" i="22"/>
  <c r="D3158" i="22"/>
  <c r="J3158" i="22"/>
  <c r="N3158" i="22" s="1"/>
  <c r="U3158" i="22" s="1"/>
  <c r="P3158" i="22"/>
  <c r="Q3158" i="22"/>
  <c r="R3158" i="22"/>
  <c r="C3159" i="22"/>
  <c r="K3159" i="22" s="1"/>
  <c r="E3159" i="22"/>
  <c r="F3159" i="22"/>
  <c r="O3159" i="22" s="1"/>
  <c r="G3159" i="22"/>
  <c r="I3159" i="22"/>
  <c r="B3160" i="22"/>
  <c r="D3104" i="22"/>
  <c r="J3104" i="22"/>
  <c r="P3104" i="22"/>
  <c r="Q3104" i="22"/>
  <c r="R3104" i="22"/>
  <c r="C3105" i="22"/>
  <c r="E3105" i="22"/>
  <c r="G3105" i="22"/>
  <c r="I3105" i="22"/>
  <c r="B3106" i="22"/>
  <c r="D3050" i="22"/>
  <c r="J3050" i="22"/>
  <c r="P3050" i="22"/>
  <c r="Q3050" i="22"/>
  <c r="R3050" i="22"/>
  <c r="C3051" i="22"/>
  <c r="K3051" i="22" s="1"/>
  <c r="E3051" i="22"/>
  <c r="F3051" i="22"/>
  <c r="O3051" i="22" s="1"/>
  <c r="G3051" i="22"/>
  <c r="I3051" i="22"/>
  <c r="B3052" i="22"/>
  <c r="K2996" i="22"/>
  <c r="D2996" i="22"/>
  <c r="J2996" i="22"/>
  <c r="P2996" i="22"/>
  <c r="Q2996" i="22"/>
  <c r="R2996" i="22"/>
  <c r="L2997" i="22"/>
  <c r="C2997" i="22"/>
  <c r="K2997" i="22" s="1"/>
  <c r="E2997" i="22"/>
  <c r="F2997" i="22"/>
  <c r="O2997" i="22" s="1"/>
  <c r="G2997" i="22"/>
  <c r="I2997" i="22"/>
  <c r="B2998" i="22"/>
  <c r="K2942" i="22"/>
  <c r="D2942" i="22"/>
  <c r="J2942" i="22"/>
  <c r="P2942" i="22"/>
  <c r="Q2942" i="22"/>
  <c r="R2942" i="22"/>
  <c r="L2943" i="22"/>
  <c r="C2943" i="22"/>
  <c r="E2943" i="22"/>
  <c r="G2943" i="22"/>
  <c r="I2943" i="22"/>
  <c r="B2944"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E2835" i="22"/>
  <c r="G2835" i="22"/>
  <c r="I2835" i="22"/>
  <c r="B2836" i="22"/>
  <c r="K2780" i="22"/>
  <c r="D2780" i="22"/>
  <c r="J2780" i="22"/>
  <c r="P2780" i="22"/>
  <c r="Q2780" i="22"/>
  <c r="R2780" i="22"/>
  <c r="L2781" i="22"/>
  <c r="C2781" i="22"/>
  <c r="E2781" i="22"/>
  <c r="G2781" i="22"/>
  <c r="I2781" i="22"/>
  <c r="B2782" i="22"/>
  <c r="K2726" i="22"/>
  <c r="D2726" i="22"/>
  <c r="J2726" i="22"/>
  <c r="P2726" i="22"/>
  <c r="Q2726" i="22"/>
  <c r="R2726" i="22"/>
  <c r="L2727" i="22"/>
  <c r="C2727" i="22"/>
  <c r="K2727" i="22" s="1"/>
  <c r="E2727" i="22"/>
  <c r="F2727" i="22"/>
  <c r="O2727" i="22" s="1"/>
  <c r="G2727" i="22"/>
  <c r="I2727" i="22"/>
  <c r="B2728" i="22"/>
  <c r="L2673" i="22"/>
  <c r="I2673" i="22"/>
  <c r="C2673" i="22"/>
  <c r="E2673" i="22"/>
  <c r="G2673" i="22"/>
  <c r="B2674" i="22"/>
  <c r="K2672" i="22"/>
  <c r="D2672" i="22"/>
  <c r="J2672" i="22"/>
  <c r="P2672" i="22"/>
  <c r="Q2672" i="22"/>
  <c r="R2672" i="22"/>
  <c r="K2618" i="22"/>
  <c r="D2618" i="22"/>
  <c r="J2618" i="22"/>
  <c r="P2618" i="22"/>
  <c r="Q2618" i="22"/>
  <c r="R2618" i="22"/>
  <c r="L2619" i="22"/>
  <c r="G2619" i="22"/>
  <c r="C2619" i="22"/>
  <c r="E2619" i="22"/>
  <c r="I2619" i="22"/>
  <c r="B2620" i="22"/>
  <c r="D2564" i="22"/>
  <c r="J2564" i="22"/>
  <c r="P2564" i="22"/>
  <c r="Q2564" i="22"/>
  <c r="R2564" i="22"/>
  <c r="C2565" i="22"/>
  <c r="E2565" i="22"/>
  <c r="F2565" i="22"/>
  <c r="O2565" i="22" s="1"/>
  <c r="G2565" i="22"/>
  <c r="I2565" i="22"/>
  <c r="B2566" i="22"/>
  <c r="K2510" i="22"/>
  <c r="D2510" i="22"/>
  <c r="J2510" i="22"/>
  <c r="P2510" i="22"/>
  <c r="Q2510" i="22"/>
  <c r="R2510" i="22"/>
  <c r="L2511" i="22"/>
  <c r="C2511" i="22"/>
  <c r="K2511" i="22" s="1"/>
  <c r="E2511" i="22"/>
  <c r="F2511" i="22"/>
  <c r="O2511" i="22" s="1"/>
  <c r="G2511" i="22"/>
  <c r="I2511" i="22"/>
  <c r="B2512" i="22"/>
  <c r="K2456" i="22"/>
  <c r="D2456" i="22"/>
  <c r="J2456" i="22"/>
  <c r="P2456" i="22"/>
  <c r="Q2456" i="22"/>
  <c r="R2456" i="22"/>
  <c r="L2457" i="22"/>
  <c r="C2457" i="22"/>
  <c r="K2457" i="22" s="1"/>
  <c r="E2457" i="22"/>
  <c r="F2457" i="22"/>
  <c r="O2457" i="22" s="1"/>
  <c r="G2457" i="22"/>
  <c r="I2457" i="22"/>
  <c r="B2458" i="22"/>
  <c r="K2402" i="22"/>
  <c r="D2402" i="22"/>
  <c r="J2402" i="22"/>
  <c r="P2402" i="22"/>
  <c r="Q2402" i="22"/>
  <c r="R2402" i="22"/>
  <c r="L2403" i="22"/>
  <c r="C2403" i="22"/>
  <c r="E2403" i="22"/>
  <c r="G2403" i="22"/>
  <c r="I2403" i="22"/>
  <c r="B2404" i="22"/>
  <c r="K2348" i="22"/>
  <c r="D2348" i="22"/>
  <c r="J2348" i="22"/>
  <c r="P2348" i="22"/>
  <c r="Q2348" i="22"/>
  <c r="R2348" i="22"/>
  <c r="L2349" i="22"/>
  <c r="C2349" i="22"/>
  <c r="K2349" i="22" s="1"/>
  <c r="E2349" i="22"/>
  <c r="F2349" i="22"/>
  <c r="O2349" i="22" s="1"/>
  <c r="G2349" i="22"/>
  <c r="I2349" i="22"/>
  <c r="B2350" i="22"/>
  <c r="L2295" i="22"/>
  <c r="B2296" i="22"/>
  <c r="C2295" i="22"/>
  <c r="I2295" i="22"/>
  <c r="G2295" i="22"/>
  <c r="E2295" i="22"/>
  <c r="P2294" i="22"/>
  <c r="Q2294" i="22"/>
  <c r="R2294" i="22"/>
  <c r="J2294" i="22"/>
  <c r="D2294" i="22"/>
  <c r="D2240" i="22"/>
  <c r="J2240" i="22"/>
  <c r="N2240" i="22" s="1"/>
  <c r="U2240" i="22" s="1"/>
  <c r="P2240" i="22"/>
  <c r="Q2240" i="22"/>
  <c r="R2240" i="22"/>
  <c r="C2241" i="22"/>
  <c r="E2241" i="22"/>
  <c r="G2241" i="22"/>
  <c r="I2241" i="22"/>
  <c r="B2242" i="22"/>
  <c r="D2186" i="22"/>
  <c r="J2186" i="22"/>
  <c r="N2186" i="22" s="1"/>
  <c r="U2186" i="22" s="1"/>
  <c r="P2186" i="22"/>
  <c r="Q2186" i="22"/>
  <c r="R2186" i="22"/>
  <c r="C2187" i="22"/>
  <c r="E2187" i="22"/>
  <c r="G2187" i="22"/>
  <c r="I2187" i="22"/>
  <c r="B2188" i="22"/>
  <c r="K2132" i="22"/>
  <c r="D2132" i="22"/>
  <c r="J2132" i="22"/>
  <c r="P2132" i="22"/>
  <c r="Q2132" i="22"/>
  <c r="R2132" i="22"/>
  <c r="L2133" i="22"/>
  <c r="C2133" i="22"/>
  <c r="K2133" i="22" s="1"/>
  <c r="E2133" i="22"/>
  <c r="F2133" i="22"/>
  <c r="O2133" i="22" s="1"/>
  <c r="G2133" i="22"/>
  <c r="I2133" i="22"/>
  <c r="B2134" i="22"/>
  <c r="K2078" i="22"/>
  <c r="D2078" i="22"/>
  <c r="J2078" i="22"/>
  <c r="P2078" i="22"/>
  <c r="Q2078" i="22"/>
  <c r="R2078" i="22"/>
  <c r="L2079" i="22"/>
  <c r="C2079" i="22"/>
  <c r="K2079" i="22" s="1"/>
  <c r="E2079" i="22"/>
  <c r="F2079" i="22"/>
  <c r="O2079" i="22" s="1"/>
  <c r="G2079" i="22"/>
  <c r="I2079" i="22"/>
  <c r="B2080" i="22"/>
  <c r="K2024" i="22"/>
  <c r="D2024" i="22"/>
  <c r="J2024" i="22"/>
  <c r="P2024" i="22"/>
  <c r="Q2024" i="22"/>
  <c r="R2024" i="22"/>
  <c r="L2025" i="22"/>
  <c r="C2025" i="22"/>
  <c r="K2025" i="22" s="1"/>
  <c r="E2025" i="22"/>
  <c r="F2025" i="22"/>
  <c r="O2025" i="22" s="1"/>
  <c r="G2025" i="22"/>
  <c r="I2025" i="22"/>
  <c r="B2026" i="22"/>
  <c r="L1971" i="22"/>
  <c r="G1971" i="22"/>
  <c r="I1971" i="22"/>
  <c r="B1972" i="22"/>
  <c r="C1971" i="22"/>
  <c r="K1971" i="22" s="1"/>
  <c r="F1971" i="22"/>
  <c r="O1971" i="22" s="1"/>
  <c r="E1971" i="22"/>
  <c r="K1970" i="22"/>
  <c r="D1970" i="22"/>
  <c r="J1970" i="22"/>
  <c r="P1970" i="22"/>
  <c r="Q1970" i="22"/>
  <c r="R1970" i="22"/>
  <c r="D1916" i="22"/>
  <c r="J1916" i="22"/>
  <c r="P1916" i="22"/>
  <c r="Q1916" i="22"/>
  <c r="R1916" i="22"/>
  <c r="C1917" i="22"/>
  <c r="K1917" i="22" s="1"/>
  <c r="E1917" i="22"/>
  <c r="F1917" i="22"/>
  <c r="O1917" i="22" s="1"/>
  <c r="G1917" i="22"/>
  <c r="I1917" i="22"/>
  <c r="B1918" i="22"/>
  <c r="D1862" i="22"/>
  <c r="J1862" i="22"/>
  <c r="P1862" i="22"/>
  <c r="Q1862" i="22"/>
  <c r="R1862" i="22"/>
  <c r="C1863" i="22"/>
  <c r="E1863" i="22"/>
  <c r="G1863" i="22"/>
  <c r="I1863" i="22"/>
  <c r="B1864" i="22"/>
  <c r="D1808" i="22"/>
  <c r="J1808" i="22"/>
  <c r="P1808" i="22"/>
  <c r="Q1808" i="22"/>
  <c r="R1808" i="22"/>
  <c r="C1809" i="22"/>
  <c r="K1809" i="22" s="1"/>
  <c r="E1809" i="22"/>
  <c r="F1809" i="22"/>
  <c r="O1809" i="22" s="1"/>
  <c r="G1809" i="22"/>
  <c r="I1809" i="22"/>
  <c r="B1810" i="22"/>
  <c r="K1754" i="22"/>
  <c r="D1754" i="22"/>
  <c r="J1754" i="22"/>
  <c r="P1754" i="22"/>
  <c r="Q1754" i="22"/>
  <c r="R1754" i="22"/>
  <c r="L1755" i="22"/>
  <c r="C1755" i="22"/>
  <c r="E1755" i="22"/>
  <c r="G1755" i="22"/>
  <c r="I1755" i="22"/>
  <c r="B1756" i="22"/>
  <c r="K1700" i="22"/>
  <c r="D1700" i="22"/>
  <c r="J1700" i="22"/>
  <c r="P1700" i="22"/>
  <c r="Q1700" i="22"/>
  <c r="R1700" i="22"/>
  <c r="L1701" i="22"/>
  <c r="C1701" i="22"/>
  <c r="K1701" i="22" s="1"/>
  <c r="E1701" i="22"/>
  <c r="F1701" i="22"/>
  <c r="O1701" i="22" s="1"/>
  <c r="G1701" i="22"/>
  <c r="I1701" i="22"/>
  <c r="B1702" i="22"/>
  <c r="D1646" i="22"/>
  <c r="J1646" i="22"/>
  <c r="N1646" i="22" s="1"/>
  <c r="U1646" i="22" s="1"/>
  <c r="P1646" i="22"/>
  <c r="Q1646" i="22"/>
  <c r="R1646" i="22"/>
  <c r="C1647" i="22"/>
  <c r="E1647" i="22"/>
  <c r="G1647" i="22"/>
  <c r="I1647" i="22"/>
  <c r="B1648" i="22"/>
  <c r="D1592" i="22"/>
  <c r="J1592" i="22"/>
  <c r="P1592" i="22"/>
  <c r="Q1592" i="22"/>
  <c r="R1592" i="22"/>
  <c r="C1593" i="22"/>
  <c r="E1593" i="22"/>
  <c r="F1593" i="22"/>
  <c r="O1593" i="22" s="1"/>
  <c r="G1593" i="22"/>
  <c r="I1593" i="22"/>
  <c r="B1594" i="22"/>
  <c r="K1538" i="22"/>
  <c r="D1538" i="22"/>
  <c r="J1538" i="22"/>
  <c r="P1538" i="22"/>
  <c r="Q1538" i="22"/>
  <c r="R1538" i="22"/>
  <c r="L1539" i="22"/>
  <c r="C1539" i="22"/>
  <c r="K1539" i="22" s="1"/>
  <c r="E1539" i="22"/>
  <c r="F1539" i="22"/>
  <c r="O1539" i="22" s="1"/>
  <c r="G1539" i="22"/>
  <c r="I1539" i="22"/>
  <c r="B1540" i="22"/>
  <c r="D1484" i="22"/>
  <c r="J1484" i="22"/>
  <c r="N1484" i="22" s="1"/>
  <c r="U1484" i="22" s="1"/>
  <c r="P1484" i="22"/>
  <c r="Q1484" i="22"/>
  <c r="R1484" i="22"/>
  <c r="L1485" i="22"/>
  <c r="C1485" i="22"/>
  <c r="K1485" i="22" s="1"/>
  <c r="E1485" i="22"/>
  <c r="F1485" i="22"/>
  <c r="O1485" i="22" s="1"/>
  <c r="G1485" i="22"/>
  <c r="I1485" i="22"/>
  <c r="B1486" i="22"/>
  <c r="K1430" i="22"/>
  <c r="D1430" i="22"/>
  <c r="J1430" i="22"/>
  <c r="P1430" i="22"/>
  <c r="Q1430" i="22"/>
  <c r="R1430" i="22"/>
  <c r="L1431" i="22"/>
  <c r="C1431" i="22"/>
  <c r="K1431" i="22" s="1"/>
  <c r="E1431" i="22"/>
  <c r="F1431" i="22"/>
  <c r="O1431" i="22" s="1"/>
  <c r="G1431" i="22"/>
  <c r="I1431" i="22"/>
  <c r="B1432" i="22"/>
  <c r="P1376" i="22"/>
  <c r="Q1376" i="22"/>
  <c r="R1376" i="22"/>
  <c r="L1377" i="22"/>
  <c r="I1377" i="22"/>
  <c r="B1378" i="22"/>
  <c r="C1377" i="22"/>
  <c r="E1377" i="22"/>
  <c r="G1377" i="22"/>
  <c r="K1376" i="22"/>
  <c r="D1376" i="22"/>
  <c r="J1376" i="22"/>
  <c r="D1322" i="22"/>
  <c r="J1322" i="22"/>
  <c r="N1322" i="22" s="1"/>
  <c r="U1322" i="22" s="1"/>
  <c r="P1322" i="22"/>
  <c r="Q1322" i="22"/>
  <c r="R1322" i="22"/>
  <c r="C1323" i="22"/>
  <c r="E1323" i="22"/>
  <c r="G1323" i="22"/>
  <c r="I1323" i="22"/>
  <c r="B1324" i="22"/>
  <c r="D1268" i="22"/>
  <c r="J1268" i="22"/>
  <c r="P1268" i="22"/>
  <c r="Q1268" i="22"/>
  <c r="R1268" i="22"/>
  <c r="C1269" i="22"/>
  <c r="E1269" i="22"/>
  <c r="G1269" i="22"/>
  <c r="I1269" i="22"/>
  <c r="B1270" i="22"/>
  <c r="D1214" i="22"/>
  <c r="J1214" i="22"/>
  <c r="P1214" i="22"/>
  <c r="Q1214" i="22"/>
  <c r="R1214" i="22"/>
  <c r="C1215" i="22"/>
  <c r="E1215" i="22"/>
  <c r="G1215" i="22"/>
  <c r="I1215" i="22"/>
  <c r="B1216" i="22"/>
  <c r="D1160" i="22"/>
  <c r="J1160" i="22"/>
  <c r="P1160" i="22"/>
  <c r="Q1160" i="22"/>
  <c r="R1160" i="22"/>
  <c r="C1161" i="22"/>
  <c r="K1161" i="22" s="1"/>
  <c r="E1161" i="22"/>
  <c r="F1161" i="22"/>
  <c r="O1161" i="22" s="1"/>
  <c r="G1161" i="22"/>
  <c r="I1161" i="22"/>
  <c r="B1162" i="22"/>
  <c r="K1106" i="22"/>
  <c r="D1106" i="22"/>
  <c r="J1106" i="22"/>
  <c r="P1106" i="22"/>
  <c r="Q1106" i="22"/>
  <c r="R1106" i="22"/>
  <c r="L1107" i="22"/>
  <c r="C1107" i="22"/>
  <c r="K1107" i="22" s="1"/>
  <c r="E1107" i="22"/>
  <c r="F1107" i="22"/>
  <c r="O1107" i="22" s="1"/>
  <c r="G1107" i="22"/>
  <c r="I1107" i="22"/>
  <c r="B1108" i="22"/>
  <c r="D1052" i="22"/>
  <c r="J1052" i="22"/>
  <c r="P1052" i="22"/>
  <c r="Q1052" i="22"/>
  <c r="R1052" i="22"/>
  <c r="L1053" i="22"/>
  <c r="C1053" i="22"/>
  <c r="K1053" i="22" s="1"/>
  <c r="E1053" i="22"/>
  <c r="F1053" i="22"/>
  <c r="O1053" i="22" s="1"/>
  <c r="G1053" i="22"/>
  <c r="I1053" i="22"/>
  <c r="B1054" i="22"/>
  <c r="D998" i="22"/>
  <c r="J998" i="22"/>
  <c r="P998" i="22"/>
  <c r="Q998" i="22"/>
  <c r="R998" i="22"/>
  <c r="C999" i="22"/>
  <c r="K999" i="22" s="1"/>
  <c r="E999" i="22"/>
  <c r="F999" i="22"/>
  <c r="O999" i="22" s="1"/>
  <c r="G999" i="22"/>
  <c r="I999" i="22"/>
  <c r="B1000" i="22"/>
  <c r="D944" i="22"/>
  <c r="J944" i="22"/>
  <c r="N944" i="22" s="1"/>
  <c r="U944" i="22" s="1"/>
  <c r="P944" i="22"/>
  <c r="Q944" i="22"/>
  <c r="R944" i="22"/>
  <c r="C945" i="22"/>
  <c r="E945" i="22"/>
  <c r="G945" i="22"/>
  <c r="I945" i="22"/>
  <c r="B946" i="22"/>
  <c r="D890" i="22"/>
  <c r="J890" i="22"/>
  <c r="N890" i="22" s="1"/>
  <c r="U890" i="22" s="1"/>
  <c r="P890" i="22"/>
  <c r="Q890" i="22"/>
  <c r="R890" i="22"/>
  <c r="C891" i="22"/>
  <c r="E891" i="22"/>
  <c r="G891" i="22"/>
  <c r="I891" i="22"/>
  <c r="B892" i="22"/>
  <c r="D836" i="22"/>
  <c r="J836" i="22"/>
  <c r="N836" i="22" s="1"/>
  <c r="U836" i="22" s="1"/>
  <c r="P836" i="22"/>
  <c r="Q836" i="22"/>
  <c r="R836" i="22"/>
  <c r="C837" i="22"/>
  <c r="K837" i="22" s="1"/>
  <c r="E837" i="22"/>
  <c r="F837" i="22"/>
  <c r="O837" i="22" s="1"/>
  <c r="G837" i="22"/>
  <c r="I837" i="22"/>
  <c r="B838" i="22"/>
  <c r="K782" i="22"/>
  <c r="D782" i="22"/>
  <c r="J782" i="22"/>
  <c r="P782" i="22"/>
  <c r="Q782" i="22"/>
  <c r="R782" i="22"/>
  <c r="L783" i="22"/>
  <c r="C783" i="22"/>
  <c r="K783" i="22" s="1"/>
  <c r="E783" i="22"/>
  <c r="F783" i="22"/>
  <c r="O783" i="22" s="1"/>
  <c r="G783" i="22"/>
  <c r="I783" i="22"/>
  <c r="B784" i="22"/>
  <c r="K728" i="22"/>
  <c r="D728" i="22"/>
  <c r="J728" i="22"/>
  <c r="P728" i="22"/>
  <c r="Q728" i="22"/>
  <c r="R728" i="22"/>
  <c r="L729" i="22"/>
  <c r="C729" i="22"/>
  <c r="K729" i="22" s="1"/>
  <c r="E729" i="22"/>
  <c r="F729" i="22"/>
  <c r="O729" i="22" s="1"/>
  <c r="G729" i="22"/>
  <c r="I729" i="22"/>
  <c r="B730" i="22"/>
  <c r="D674" i="22"/>
  <c r="J674" i="22"/>
  <c r="N674" i="22" s="1"/>
  <c r="U674" i="22" s="1"/>
  <c r="P674" i="22"/>
  <c r="Q674" i="22"/>
  <c r="R674" i="22"/>
  <c r="C675" i="22"/>
  <c r="E675" i="22"/>
  <c r="G675" i="22"/>
  <c r="I675" i="22"/>
  <c r="B676" i="22"/>
  <c r="D620" i="22"/>
  <c r="J620" i="22"/>
  <c r="N620" i="22" s="1"/>
  <c r="U620" i="22" s="1"/>
  <c r="P620" i="22"/>
  <c r="Q620" i="22"/>
  <c r="R620" i="22"/>
  <c r="L621" i="22"/>
  <c r="C621" i="22"/>
  <c r="E621" i="22"/>
  <c r="G621" i="22"/>
  <c r="I621" i="22"/>
  <c r="B622" i="22"/>
  <c r="K566" i="22"/>
  <c r="D566" i="22"/>
  <c r="J566" i="22"/>
  <c r="P566" i="22"/>
  <c r="Q566" i="22"/>
  <c r="R566" i="22"/>
  <c r="L567" i="22"/>
  <c r="C567" i="22"/>
  <c r="K567" i="22" s="1"/>
  <c r="E567" i="22"/>
  <c r="F567" i="22"/>
  <c r="O567" i="22" s="1"/>
  <c r="G567" i="22"/>
  <c r="I567" i="22"/>
  <c r="B568" i="22"/>
  <c r="K512" i="22"/>
  <c r="D512" i="22"/>
  <c r="J512" i="22"/>
  <c r="P512" i="22"/>
  <c r="Q512" i="22"/>
  <c r="R512" i="22"/>
  <c r="L513" i="22"/>
  <c r="I513" i="22"/>
  <c r="C513" i="22"/>
  <c r="K513" i="22" s="1"/>
  <c r="E513" i="22"/>
  <c r="F513" i="22"/>
  <c r="O513" i="22" s="1"/>
  <c r="G513" i="22"/>
  <c r="B514" i="22"/>
  <c r="K458" i="22"/>
  <c r="D458" i="22"/>
  <c r="J458" i="22"/>
  <c r="P458" i="22"/>
  <c r="Q458" i="22"/>
  <c r="R458" i="22"/>
  <c r="L459" i="22"/>
  <c r="C459" i="22"/>
  <c r="K459" i="22" s="1"/>
  <c r="E459" i="22"/>
  <c r="F459" i="22"/>
  <c r="O459" i="22" s="1"/>
  <c r="G459" i="22"/>
  <c r="B460" i="22"/>
  <c r="I459" i="22"/>
  <c r="D404" i="22"/>
  <c r="J404" i="22"/>
  <c r="P404" i="22"/>
  <c r="Q404" i="22"/>
  <c r="R404" i="22"/>
  <c r="C405" i="22"/>
  <c r="E405" i="22"/>
  <c r="G405" i="22"/>
  <c r="I405" i="22"/>
  <c r="B406" i="22"/>
  <c r="D350" i="22"/>
  <c r="J350" i="22"/>
  <c r="P350" i="22"/>
  <c r="Q350" i="22"/>
  <c r="R350" i="22"/>
  <c r="C351" i="22"/>
  <c r="E351" i="22"/>
  <c r="F351" i="22"/>
  <c r="O351" i="22" s="1"/>
  <c r="G351" i="22"/>
  <c r="I351" i="22"/>
  <c r="B352" i="22"/>
  <c r="K296" i="22"/>
  <c r="D296" i="22"/>
  <c r="J296" i="22"/>
  <c r="P296" i="22"/>
  <c r="Q296" i="22"/>
  <c r="R296" i="22"/>
  <c r="L297" i="22"/>
  <c r="C297" i="22"/>
  <c r="K297" i="22" s="1"/>
  <c r="E297" i="22"/>
  <c r="F297" i="22"/>
  <c r="O297" i="22" s="1"/>
  <c r="G297" i="22"/>
  <c r="I297" i="22"/>
  <c r="B298" i="22"/>
  <c r="D242" i="22"/>
  <c r="J242" i="22"/>
  <c r="N242" i="22" s="1"/>
  <c r="U242" i="22" s="1"/>
  <c r="P242" i="22"/>
  <c r="Q242" i="22"/>
  <c r="R242" i="22"/>
  <c r="L243" i="22"/>
  <c r="C243" i="22"/>
  <c r="K243" i="22" s="1"/>
  <c r="E243" i="22"/>
  <c r="F243" i="22"/>
  <c r="G243" i="22"/>
  <c r="I243" i="22"/>
  <c r="B244" i="22"/>
  <c r="K188" i="22"/>
  <c r="D188" i="22"/>
  <c r="J188" i="22"/>
  <c r="P188" i="22"/>
  <c r="Q188" i="22"/>
  <c r="R188" i="22"/>
  <c r="L189" i="22"/>
  <c r="C189" i="22"/>
  <c r="K189" i="22" s="1"/>
  <c r="E189" i="22"/>
  <c r="F189" i="22"/>
  <c r="O189" i="22" s="1"/>
  <c r="G189" i="22"/>
  <c r="I189" i="22"/>
  <c r="B190" i="22"/>
  <c r="P134" i="22"/>
  <c r="Q134" i="22"/>
  <c r="R134" i="22"/>
  <c r="K134" i="22"/>
  <c r="J134" i="22"/>
  <c r="D134" i="22"/>
  <c r="L135" i="22"/>
  <c r="G135" i="22"/>
  <c r="C135" i="22"/>
  <c r="E135" i="22"/>
  <c r="I135" i="22"/>
  <c r="B136" i="22"/>
  <c r="D80" i="22"/>
  <c r="J80" i="22"/>
  <c r="N80" i="22" s="1"/>
  <c r="U80" i="22" s="1"/>
  <c r="P80" i="22"/>
  <c r="Q80" i="22"/>
  <c r="R80" i="22"/>
  <c r="C81" i="22"/>
  <c r="E81" i="22"/>
  <c r="G81" i="22"/>
  <c r="I81" i="22"/>
  <c r="B82" i="22"/>
  <c r="M1087" i="23"/>
  <c r="B1087" i="23"/>
  <c r="B24" i="7"/>
  <c r="O24" i="7"/>
  <c r="P24" i="7" s="1"/>
  <c r="B24" i="8"/>
  <c r="AN23" i="6"/>
  <c r="AL23" i="6"/>
  <c r="AN20" i="6"/>
  <c r="AL20" i="6"/>
  <c r="B919" i="23"/>
  <c r="M919" i="23"/>
  <c r="B21" i="7"/>
  <c r="O21" i="7"/>
  <c r="P21" i="7" s="1"/>
  <c r="B21" i="8"/>
  <c r="B863" i="23"/>
  <c r="M863" i="23"/>
  <c r="AN19" i="6"/>
  <c r="AL19" i="6"/>
  <c r="B20" i="7"/>
  <c r="O20" i="7"/>
  <c r="P20" i="7" s="1"/>
  <c r="B20" i="8"/>
  <c r="B1311" i="23"/>
  <c r="M1311" i="23"/>
  <c r="AN27" i="6"/>
  <c r="AL27" i="6"/>
  <c r="B28" i="7"/>
  <c r="O28" i="7"/>
  <c r="P28" i="7" s="1"/>
  <c r="B28" i="8"/>
  <c r="B1367" i="23"/>
  <c r="M1367" i="23"/>
  <c r="B29" i="7"/>
  <c r="O29" i="7"/>
  <c r="P29" i="7" s="1"/>
  <c r="B29" i="8"/>
  <c r="AL28" i="6"/>
  <c r="AN28" i="6"/>
  <c r="B807" i="23"/>
  <c r="M807" i="23"/>
  <c r="B19" i="7"/>
  <c r="O19" i="7"/>
  <c r="P19" i="7" s="1"/>
  <c r="B19" i="8"/>
  <c r="AN18" i="6"/>
  <c r="AL18" i="6"/>
  <c r="B247" i="23"/>
  <c r="M247" i="23"/>
  <c r="B9" i="7"/>
  <c r="O9" i="7"/>
  <c r="P9" i="7" s="1"/>
  <c r="V1591" i="23"/>
  <c r="F1642" i="23" s="1"/>
  <c r="O1591" i="23"/>
  <c r="B9" i="8"/>
  <c r="AL8" i="6"/>
  <c r="AN8" i="6"/>
  <c r="M1031" i="23"/>
  <c r="B1031" i="23"/>
  <c r="J1035" i="23" s="1"/>
  <c r="AN22" i="6"/>
  <c r="AL22" i="6"/>
  <c r="B23" i="7"/>
  <c r="O23" i="7"/>
  <c r="P23" i="7" s="1"/>
  <c r="B23" i="8"/>
  <c r="B1143" i="23"/>
  <c r="M1143" i="23"/>
  <c r="B25" i="7"/>
  <c r="O25" i="7"/>
  <c r="P25" i="7" s="1"/>
  <c r="B25" i="8"/>
  <c r="AN24" i="6"/>
  <c r="AL24" i="6"/>
  <c r="AL17" i="6"/>
  <c r="AN17" i="6"/>
  <c r="B751" i="23"/>
  <c r="M751" i="23"/>
  <c r="B18" i="7"/>
  <c r="O18" i="7"/>
  <c r="P18" i="7" s="1"/>
  <c r="B18" i="8"/>
  <c r="B1479" i="23"/>
  <c r="M1479" i="23"/>
  <c r="AL30" i="6"/>
  <c r="AN30" i="6"/>
  <c r="B31" i="7"/>
  <c r="C31" i="7"/>
  <c r="D31" i="7"/>
  <c r="E31" i="7"/>
  <c r="F31" i="7"/>
  <c r="G31" i="7"/>
  <c r="H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1535" i="23"/>
  <c r="M1535" i="23"/>
  <c r="AL31" i="6"/>
  <c r="AN31" i="6"/>
  <c r="B32" i="7"/>
  <c r="C32" i="7"/>
  <c r="D32" i="7"/>
  <c r="E32" i="7"/>
  <c r="F32" i="7"/>
  <c r="G32" i="7"/>
  <c r="H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695" i="23"/>
  <c r="M695" i="23"/>
  <c r="B17" i="7"/>
  <c r="O17" i="7"/>
  <c r="P17" i="7" s="1"/>
  <c r="B17" i="8"/>
  <c r="AN16" i="6"/>
  <c r="AL16" i="6"/>
  <c r="B639" i="23"/>
  <c r="M639" i="23"/>
  <c r="B16" i="7"/>
  <c r="O16" i="7"/>
  <c r="P16" i="7" s="1"/>
  <c r="B16" i="8"/>
  <c r="AL15" i="6"/>
  <c r="AN15" i="6"/>
  <c r="B303" i="23"/>
  <c r="M303" i="23"/>
  <c r="B10" i="7"/>
  <c r="O10" i="7"/>
  <c r="P10" i="7" s="1"/>
  <c r="B10" i="8"/>
  <c r="AL9" i="6"/>
  <c r="AN9" i="6"/>
  <c r="B471" i="23"/>
  <c r="M471" i="23"/>
  <c r="B13" i="7"/>
  <c r="O13" i="7"/>
  <c r="P13" i="7" s="1"/>
  <c r="B13" i="8"/>
  <c r="AL12" i="6"/>
  <c r="AN12" i="6"/>
  <c r="M1423" i="23"/>
  <c r="B1423" i="23"/>
  <c r="B30" i="7"/>
  <c r="C30" i="7"/>
  <c r="D30" i="7"/>
  <c r="E30" i="7"/>
  <c r="F30" i="7"/>
  <c r="G30" i="7"/>
  <c r="H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AL29" i="6"/>
  <c r="AN29" i="6"/>
  <c r="B583" i="23"/>
  <c r="M583" i="23"/>
  <c r="B15" i="7"/>
  <c r="O15" i="7"/>
  <c r="P15" i="7" s="1"/>
  <c r="B15" i="8"/>
  <c r="AL14" i="6"/>
  <c r="AN14" i="6"/>
  <c r="B1199" i="23"/>
  <c r="M1199" i="23"/>
  <c r="AN25" i="6"/>
  <c r="AL25" i="6"/>
  <c r="B26" i="7"/>
  <c r="O26" i="7"/>
  <c r="P26" i="7" s="1"/>
  <c r="B26" i="8"/>
  <c r="B975" i="23"/>
  <c r="M975" i="23"/>
  <c r="AN21" i="6"/>
  <c r="AL21" i="6"/>
  <c r="B22" i="7"/>
  <c r="O22" i="7"/>
  <c r="P22" i="7" s="1"/>
  <c r="B22" i="8"/>
  <c r="B415" i="23"/>
  <c r="M415" i="23"/>
  <c r="B12" i="7"/>
  <c r="O12" i="7"/>
  <c r="P12" i="7" s="1"/>
  <c r="B12" i="8"/>
  <c r="AL11" i="6"/>
  <c r="AN11" i="6"/>
  <c r="B527" i="23"/>
  <c r="M527" i="23"/>
  <c r="B14" i="7"/>
  <c r="O14" i="7"/>
  <c r="P14" i="7" s="1"/>
  <c r="B14" i="8"/>
  <c r="AL13" i="6"/>
  <c r="AN13" i="6"/>
  <c r="B359" i="23"/>
  <c r="M359" i="23"/>
  <c r="B11" i="7"/>
  <c r="O11" i="7"/>
  <c r="P11" i="7" s="1"/>
  <c r="B11" i="8"/>
  <c r="AL10" i="6"/>
  <c r="AN10" i="6"/>
  <c r="AL26" i="6"/>
  <c r="AN26" i="6"/>
  <c r="B1255" i="23"/>
  <c r="M1255" i="23"/>
  <c r="B27" i="7"/>
  <c r="O27" i="7"/>
  <c r="P27" i="7" s="1"/>
  <c r="B27"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E38" i="10"/>
  <c r="D47" i="18"/>
  <c r="M3751" i="22"/>
  <c r="N3751" i="22"/>
  <c r="CU72" i="22"/>
  <c r="CV72" i="22"/>
  <c r="CW72" i="22"/>
  <c r="CX72" i="22"/>
  <c r="CY72" i="22"/>
  <c r="CZ72" i="22"/>
  <c r="DA72" i="22"/>
  <c r="DB72" i="22"/>
  <c r="DC72" i="22"/>
  <c r="DD72" i="22"/>
  <c r="DE72" i="22"/>
  <c r="DF72" i="22"/>
  <c r="DG72" i="22"/>
  <c r="DH72" i="22"/>
  <c r="M3481" i="22"/>
  <c r="N3481" i="22"/>
  <c r="M3482" i="22"/>
  <c r="Z67" i="22"/>
  <c r="CU67" i="22"/>
  <c r="CV67" i="22"/>
  <c r="CW67" i="22"/>
  <c r="CX67" i="22"/>
  <c r="CY67" i="22"/>
  <c r="CZ67" i="22"/>
  <c r="DA67" i="22"/>
  <c r="DB67" i="22"/>
  <c r="DC67" i="22"/>
  <c r="DD67" i="22"/>
  <c r="DE67" i="22"/>
  <c r="DF67" i="22"/>
  <c r="DG67" i="22"/>
  <c r="DH67" i="22"/>
  <c r="M3427" i="22"/>
  <c r="N3427" i="22"/>
  <c r="M3428" i="22"/>
  <c r="Z66" i="22"/>
  <c r="CU66" i="22"/>
  <c r="CV66" i="22"/>
  <c r="CW66" i="22"/>
  <c r="CX66" i="22"/>
  <c r="CY66" i="22"/>
  <c r="CZ66" i="22"/>
  <c r="DA66" i="22"/>
  <c r="DB66" i="22"/>
  <c r="DC66" i="22"/>
  <c r="DD66" i="22"/>
  <c r="DE66" i="22"/>
  <c r="DF66" i="22"/>
  <c r="DG66" i="22"/>
  <c r="DH66" i="22"/>
  <c r="M3373" i="22"/>
  <c r="N3373" i="22"/>
  <c r="M3374" i="22"/>
  <c r="Z65" i="22"/>
  <c r="CU65" i="22"/>
  <c r="CV65" i="22"/>
  <c r="CW65" i="22"/>
  <c r="CX65" i="22"/>
  <c r="CY65" i="22"/>
  <c r="CZ65" i="22"/>
  <c r="DA65" i="22"/>
  <c r="DB65" i="22"/>
  <c r="DC65" i="22"/>
  <c r="DD65" i="22"/>
  <c r="DE65" i="22"/>
  <c r="DF65" i="22"/>
  <c r="DG65" i="22"/>
  <c r="DH65" i="22"/>
  <c r="M3157" i="22"/>
  <c r="N3157" i="22"/>
  <c r="M3158" i="22"/>
  <c r="Z61" i="22"/>
  <c r="CU61" i="22"/>
  <c r="CV61" i="22"/>
  <c r="CW61" i="22"/>
  <c r="CX61" i="22"/>
  <c r="CY61" i="22"/>
  <c r="CZ61" i="22"/>
  <c r="DA61" i="22"/>
  <c r="DB61" i="22"/>
  <c r="DC61" i="22"/>
  <c r="DD61" i="22"/>
  <c r="DE61" i="22"/>
  <c r="DF61" i="22"/>
  <c r="DG61" i="22"/>
  <c r="DH61" i="22"/>
  <c r="M3103" i="22"/>
  <c r="N3103" i="22"/>
  <c r="Z60" i="22"/>
  <c r="CU60" i="22"/>
  <c r="CV60" i="22"/>
  <c r="CW60" i="22"/>
  <c r="CX60" i="22"/>
  <c r="CY60" i="22"/>
  <c r="CZ60" i="22"/>
  <c r="DA60" i="22"/>
  <c r="DB60" i="22"/>
  <c r="DC60" i="22"/>
  <c r="DD60" i="22"/>
  <c r="DE60" i="22"/>
  <c r="DF60" i="22"/>
  <c r="DG60" i="22"/>
  <c r="DH60" i="22"/>
  <c r="M3049" i="22"/>
  <c r="N3049" i="22"/>
  <c r="Z59" i="22"/>
  <c r="CU59" i="22"/>
  <c r="CV59" i="22"/>
  <c r="CW59" i="22"/>
  <c r="CX59" i="22"/>
  <c r="CY59" i="22"/>
  <c r="CZ59" i="22"/>
  <c r="DA59" i="22"/>
  <c r="DB59" i="22"/>
  <c r="DC59" i="22"/>
  <c r="DD59" i="22"/>
  <c r="DE59" i="22"/>
  <c r="DF59" i="22"/>
  <c r="DG59" i="22"/>
  <c r="DH59" i="22"/>
  <c r="M2887" i="22"/>
  <c r="N2887" i="22"/>
  <c r="M2888" i="22"/>
  <c r="Z56" i="22"/>
  <c r="CU56" i="22"/>
  <c r="CV56" i="22"/>
  <c r="CW56" i="22"/>
  <c r="CX56" i="22"/>
  <c r="CY56" i="22"/>
  <c r="CZ56" i="22"/>
  <c r="DA56" i="22"/>
  <c r="DB56" i="22"/>
  <c r="DC56" i="22"/>
  <c r="DD56" i="22"/>
  <c r="DE56" i="22"/>
  <c r="DF56" i="22"/>
  <c r="DG56" i="22"/>
  <c r="DH56" i="22"/>
  <c r="M2833" i="22"/>
  <c r="N2833" i="22"/>
  <c r="M2834" i="22"/>
  <c r="Z55" i="22"/>
  <c r="CU55" i="22"/>
  <c r="CV55" i="22"/>
  <c r="CW55" i="22"/>
  <c r="CX55" i="22"/>
  <c r="CY55" i="22"/>
  <c r="CZ55" i="22"/>
  <c r="DA55" i="22"/>
  <c r="DB55" i="22"/>
  <c r="DC55" i="22"/>
  <c r="DD55" i="22"/>
  <c r="DE55" i="22"/>
  <c r="DF55" i="22"/>
  <c r="DG55" i="22"/>
  <c r="DH55" i="22"/>
  <c r="M2563" i="22"/>
  <c r="N2563" i="22"/>
  <c r="Z50" i="22"/>
  <c r="CU50" i="22"/>
  <c r="CV50" i="22"/>
  <c r="CW50" i="22"/>
  <c r="CX50" i="22"/>
  <c r="CY50" i="22"/>
  <c r="CZ50" i="22"/>
  <c r="DA50" i="22"/>
  <c r="DB50" i="22"/>
  <c r="DC50" i="22"/>
  <c r="DD50" i="22"/>
  <c r="DE50" i="22"/>
  <c r="DF50" i="22"/>
  <c r="DG50" i="22"/>
  <c r="DH50" i="22"/>
  <c r="M2239" i="22"/>
  <c r="N2239" i="22"/>
  <c r="M2240" i="22"/>
  <c r="CU44" i="22"/>
  <c r="CV44" i="22"/>
  <c r="CW44" i="22"/>
  <c r="CX44" i="22"/>
  <c r="CY44" i="22"/>
  <c r="CZ44" i="22"/>
  <c r="DA44" i="22"/>
  <c r="DB44" i="22"/>
  <c r="DC44" i="22"/>
  <c r="DD44" i="22"/>
  <c r="DE44" i="22"/>
  <c r="DF44" i="22"/>
  <c r="DG44" i="22"/>
  <c r="DH44" i="22"/>
  <c r="Z44" i="22"/>
  <c r="M2185" i="22"/>
  <c r="N2185" i="22"/>
  <c r="M2186" i="22"/>
  <c r="Z43" i="22"/>
  <c r="CU43" i="22"/>
  <c r="CV43" i="22"/>
  <c r="CW43" i="22"/>
  <c r="CX43" i="22"/>
  <c r="CY43" i="22"/>
  <c r="CZ43" i="22"/>
  <c r="DA43" i="22"/>
  <c r="DB43" i="22"/>
  <c r="DC43" i="22"/>
  <c r="DD43" i="22"/>
  <c r="DE43" i="22"/>
  <c r="DF43" i="22"/>
  <c r="DG43" i="22"/>
  <c r="DH43" i="22"/>
  <c r="M1915" i="22"/>
  <c r="N1915" i="22"/>
  <c r="Z38" i="22"/>
  <c r="CU38" i="22"/>
  <c r="CV38" i="22"/>
  <c r="CW38" i="22"/>
  <c r="CX38" i="22"/>
  <c r="CY38" i="22"/>
  <c r="CZ38" i="22"/>
  <c r="DA38" i="22"/>
  <c r="DB38" i="22"/>
  <c r="DC38" i="22"/>
  <c r="DD38" i="22"/>
  <c r="DE38" i="22"/>
  <c r="DF38" i="22"/>
  <c r="DG38" i="22"/>
  <c r="DH38" i="22"/>
  <c r="M1861" i="22"/>
  <c r="N1861" i="22"/>
  <c r="Z37" i="22"/>
  <c r="CU37" i="22"/>
  <c r="CV37" i="22"/>
  <c r="CW37" i="22"/>
  <c r="CX37" i="22"/>
  <c r="CY37" i="22"/>
  <c r="CZ37" i="22"/>
  <c r="DA37" i="22"/>
  <c r="DB37" i="22"/>
  <c r="DC37" i="22"/>
  <c r="DD37" i="22"/>
  <c r="DE37" i="22"/>
  <c r="DF37" i="22"/>
  <c r="DG37" i="22"/>
  <c r="DH37" i="22"/>
  <c r="M1807" i="22"/>
  <c r="N1807" i="22"/>
  <c r="Z36" i="22"/>
  <c r="CU36" i="22"/>
  <c r="CV36" i="22"/>
  <c r="CW36" i="22"/>
  <c r="CX36" i="22"/>
  <c r="CY36" i="22"/>
  <c r="CZ36" i="22"/>
  <c r="DA36" i="22"/>
  <c r="DB36" i="22"/>
  <c r="DC36" i="22"/>
  <c r="DD36" i="22"/>
  <c r="DE36" i="22"/>
  <c r="DF36" i="22"/>
  <c r="DG36" i="22"/>
  <c r="DH36" i="22"/>
  <c r="M1645" i="22"/>
  <c r="N1645" i="22"/>
  <c r="M1646" i="22"/>
  <c r="Z33" i="22"/>
  <c r="CU33" i="22"/>
  <c r="CV33" i="22"/>
  <c r="CW33" i="22"/>
  <c r="CX33" i="22"/>
  <c r="CY33" i="22"/>
  <c r="CZ33" i="22"/>
  <c r="DA33" i="22"/>
  <c r="DB33" i="22"/>
  <c r="DC33" i="22"/>
  <c r="DD33" i="22"/>
  <c r="DE33" i="22"/>
  <c r="DF33" i="22"/>
  <c r="DG33" i="22"/>
  <c r="DH33" i="22"/>
  <c r="M1591" i="22"/>
  <c r="N1591" i="22"/>
  <c r="M1592" i="22"/>
  <c r="N1592" i="22"/>
  <c r="U1592" i="22" s="1"/>
  <c r="CU32" i="22"/>
  <c r="CV32" i="22"/>
  <c r="CW32" i="22"/>
  <c r="CX32" i="22"/>
  <c r="CY32" i="22"/>
  <c r="CZ32" i="22"/>
  <c r="DA32" i="22"/>
  <c r="DB32" i="22"/>
  <c r="DC32" i="22"/>
  <c r="DD32" i="22"/>
  <c r="DE32" i="22"/>
  <c r="DF32" i="22"/>
  <c r="DG32" i="22"/>
  <c r="DH32" i="22"/>
  <c r="M1321" i="22"/>
  <c r="N1321" i="22"/>
  <c r="M1322" i="22"/>
  <c r="Z27" i="22"/>
  <c r="CU27" i="22"/>
  <c r="CV27" i="22"/>
  <c r="CW27" i="22"/>
  <c r="CX27" i="22"/>
  <c r="CY27" i="22"/>
  <c r="CZ27" i="22"/>
  <c r="DA27" i="22"/>
  <c r="DB27" i="22"/>
  <c r="DC27" i="22"/>
  <c r="DD27" i="22"/>
  <c r="DE27" i="22"/>
  <c r="DF27" i="22"/>
  <c r="DG27" i="22"/>
  <c r="DH27" i="22"/>
  <c r="M1267" i="22"/>
  <c r="N1267" i="22"/>
  <c r="CU26" i="22"/>
  <c r="CV26" i="22"/>
  <c r="CW26" i="22"/>
  <c r="CX26" i="22"/>
  <c r="CY26" i="22"/>
  <c r="CZ26" i="22"/>
  <c r="DA26" i="22"/>
  <c r="DB26" i="22"/>
  <c r="DC26" i="22"/>
  <c r="DD26" i="22"/>
  <c r="DE26" i="22"/>
  <c r="DF26" i="22"/>
  <c r="DG26" i="22"/>
  <c r="DH26" i="22"/>
  <c r="M1213" i="22"/>
  <c r="N1213" i="22"/>
  <c r="Z25" i="22"/>
  <c r="CU25" i="22"/>
  <c r="CV25" i="22"/>
  <c r="CW25" i="22"/>
  <c r="CX25" i="22"/>
  <c r="CY25" i="22"/>
  <c r="CZ25" i="22"/>
  <c r="DA25" i="22"/>
  <c r="DB25" i="22"/>
  <c r="DC25" i="22"/>
  <c r="DD25" i="22"/>
  <c r="DE25" i="22"/>
  <c r="DF25" i="22"/>
  <c r="DG25" i="22"/>
  <c r="DH25" i="22"/>
  <c r="M1159" i="22"/>
  <c r="N1159" i="22"/>
  <c r="Z24" i="22"/>
  <c r="CU24" i="22"/>
  <c r="CV24" i="22"/>
  <c r="CW24" i="22"/>
  <c r="CX24" i="22"/>
  <c r="CY24" i="22"/>
  <c r="CZ24" i="22"/>
  <c r="DA24" i="22"/>
  <c r="DB24" i="22"/>
  <c r="DC24" i="22"/>
  <c r="DD24" i="22"/>
  <c r="DE24" i="22"/>
  <c r="DF24" i="22"/>
  <c r="DG24" i="22"/>
  <c r="DH24" i="22"/>
  <c r="M997" i="22"/>
  <c r="N997" i="22"/>
  <c r="Z21" i="22"/>
  <c r="CU21" i="22"/>
  <c r="CV21" i="22"/>
  <c r="CW21" i="22"/>
  <c r="CX21" i="22"/>
  <c r="CY21" i="22"/>
  <c r="CZ21" i="22"/>
  <c r="DA21" i="22"/>
  <c r="DB21" i="22"/>
  <c r="DC21" i="22"/>
  <c r="DD21" i="22"/>
  <c r="DE21" i="22"/>
  <c r="DF21" i="22"/>
  <c r="DG21" i="22"/>
  <c r="DH21" i="22"/>
  <c r="M943" i="22"/>
  <c r="N943" i="22"/>
  <c r="M944" i="22"/>
  <c r="CU20" i="22"/>
  <c r="CV20" i="22"/>
  <c r="CW20" i="22"/>
  <c r="CX20" i="22"/>
  <c r="CY20" i="22"/>
  <c r="CZ20" i="22"/>
  <c r="DA20" i="22"/>
  <c r="DB20" i="22"/>
  <c r="DC20" i="22"/>
  <c r="DD20" i="22"/>
  <c r="DE20" i="22"/>
  <c r="DF20" i="22"/>
  <c r="DG20" i="22"/>
  <c r="DH20" i="22"/>
  <c r="M889" i="22"/>
  <c r="N889" i="22"/>
  <c r="M890" i="22"/>
  <c r="Z19" i="22"/>
  <c r="CU19" i="22"/>
  <c r="CV19" i="22"/>
  <c r="CW19" i="22"/>
  <c r="CX19" i="22"/>
  <c r="CY19" i="22"/>
  <c r="CZ19" i="22"/>
  <c r="DA19" i="22"/>
  <c r="DB19" i="22"/>
  <c r="DC19" i="22"/>
  <c r="DD19" i="22"/>
  <c r="DE19" i="22"/>
  <c r="DF19" i="22"/>
  <c r="DG19" i="22"/>
  <c r="DH19" i="22"/>
  <c r="M835" i="22"/>
  <c r="N835" i="22"/>
  <c r="M836" i="22"/>
  <c r="Z18" i="22"/>
  <c r="CU18" i="22"/>
  <c r="CV18" i="22"/>
  <c r="CW18" i="22"/>
  <c r="CX18" i="22"/>
  <c r="CY18" i="22"/>
  <c r="CZ18" i="22"/>
  <c r="DA18" i="22"/>
  <c r="DB18" i="22"/>
  <c r="DC18" i="22"/>
  <c r="DD18" i="22"/>
  <c r="DE18" i="22"/>
  <c r="DF18" i="22"/>
  <c r="DG18" i="22"/>
  <c r="DH18" i="22"/>
  <c r="M673" i="22"/>
  <c r="N673" i="22"/>
  <c r="M674" i="22"/>
  <c r="Z15" i="22"/>
  <c r="CU15" i="22"/>
  <c r="CV15" i="22"/>
  <c r="CW15" i="22"/>
  <c r="CX15" i="22"/>
  <c r="CY15" i="22"/>
  <c r="CZ15" i="22"/>
  <c r="DA15" i="22"/>
  <c r="DB15" i="22"/>
  <c r="DC15" i="22"/>
  <c r="DD15" i="22"/>
  <c r="DE15" i="22"/>
  <c r="DF15" i="22"/>
  <c r="DG15" i="22"/>
  <c r="DH15" i="22"/>
  <c r="M403" i="22"/>
  <c r="N403" i="22"/>
  <c r="Z10" i="22"/>
  <c r="CU10" i="22"/>
  <c r="CV10" i="22"/>
  <c r="CW10" i="22"/>
  <c r="CX10" i="22"/>
  <c r="CY10" i="22"/>
  <c r="CZ10" i="22"/>
  <c r="DA10" i="22"/>
  <c r="DB10" i="22"/>
  <c r="DC10" i="22"/>
  <c r="DD10" i="22"/>
  <c r="DE10" i="22"/>
  <c r="DF10" i="22"/>
  <c r="DG10" i="22"/>
  <c r="DH10" i="22"/>
  <c r="M349" i="22"/>
  <c r="N349" i="22"/>
  <c r="CU9" i="22"/>
  <c r="CV9" i="22"/>
  <c r="CW9" i="22"/>
  <c r="CX9" i="22"/>
  <c r="CY9" i="22"/>
  <c r="CZ9" i="22"/>
  <c r="DA9" i="22"/>
  <c r="DB9" i="22"/>
  <c r="DC9" i="22"/>
  <c r="DD9" i="22"/>
  <c r="DE9" i="22"/>
  <c r="DF9" i="22"/>
  <c r="DG9" i="22"/>
  <c r="DH9" i="22"/>
  <c r="F76" i="5"/>
  <c r="N76" i="5"/>
  <c r="M79" i="22"/>
  <c r="N79" i="22"/>
  <c r="M80" i="22"/>
  <c r="Z4" i="22"/>
  <c r="T33" i="6" s="1"/>
  <c r="H5" i="14"/>
  <c r="CU4" i="22"/>
  <c r="CV4" i="22"/>
  <c r="CW4" i="22"/>
  <c r="CX4" i="22"/>
  <c r="CY4" i="22"/>
  <c r="CZ4" i="22"/>
  <c r="DA4" i="22"/>
  <c r="DB4" i="22"/>
  <c r="DC4" i="22"/>
  <c r="DD4" i="22"/>
  <c r="DE4" i="22"/>
  <c r="DF4" i="22"/>
  <c r="DG4" i="22"/>
  <c r="DH4" i="22"/>
  <c r="G20" i="15"/>
  <c r="G21" i="15"/>
  <c r="G23" i="15"/>
  <c r="B24" i="15"/>
  <c r="M4675" i="22"/>
  <c r="N4675" i="22"/>
  <c r="M4676" i="22"/>
  <c r="N4676" i="22"/>
  <c r="E4325" i="22"/>
  <c r="F4325" i="22"/>
  <c r="E4326" i="22"/>
  <c r="F4326" i="22"/>
  <c r="E4323" i="22"/>
  <c r="F4323" i="22"/>
  <c r="E4324" i="22"/>
  <c r="F4324" i="22"/>
  <c r="E4322" i="22"/>
  <c r="F4322" i="22"/>
  <c r="E4327" i="22"/>
  <c r="F4327" i="22"/>
  <c r="E4328" i="22"/>
  <c r="F4328" i="22"/>
  <c r="E4329" i="22"/>
  <c r="F4329" i="22"/>
  <c r="E4330" i="22"/>
  <c r="F4330" i="22"/>
  <c r="G4330" i="22"/>
  <c r="H4330" i="22"/>
  <c r="I4330" i="22"/>
  <c r="E4331" i="22"/>
  <c r="F4331" i="22"/>
  <c r="H4331" i="22"/>
  <c r="E4332" i="22"/>
  <c r="G4331" i="22" s="1"/>
  <c r="I4331" i="22" s="1"/>
  <c r="F4332" i="22"/>
  <c r="G4332" i="22"/>
  <c r="H4332" i="22"/>
  <c r="I4332"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N4105" i="22"/>
  <c r="M4105" i="22"/>
  <c r="N4051" i="22"/>
  <c r="M4051" i="22"/>
  <c r="BW67" i="22"/>
  <c r="N2293" i="22"/>
  <c r="M2293" i="22"/>
  <c r="BW38" i="22"/>
  <c r="M1484" i="22"/>
  <c r="BW29" i="22"/>
  <c r="BW22" i="22"/>
  <c r="M620" i="22"/>
  <c r="M242" i="22"/>
  <c r="G17" i="18"/>
  <c r="Z72" i="22"/>
  <c r="Z32" i="22"/>
  <c r="Z26" i="22"/>
  <c r="Z20" i="22"/>
  <c r="Z9" i="22"/>
  <c r="I4513" i="22"/>
  <c r="H65" i="23"/>
  <c r="H63" i="23"/>
  <c r="H62" i="23"/>
  <c r="H59" i="23"/>
  <c r="H58" i="23"/>
  <c r="H54" i="23"/>
  <c r="H53" i="23"/>
  <c r="H49" i="23"/>
  <c r="H46" i="23"/>
  <c r="I3847" i="22"/>
  <c r="S3846" i="22"/>
  <c r="I3842" i="22"/>
  <c r="AM3841" i="22"/>
  <c r="S3841" i="22"/>
  <c r="AM3840" i="22"/>
  <c r="AC3839" i="22"/>
  <c r="I3839" i="22"/>
  <c r="AM3838" i="22"/>
  <c r="I3838" i="22"/>
  <c r="AM3837" i="22"/>
  <c r="AC3837" i="22"/>
  <c r="I3837" i="22"/>
  <c r="AC3836" i="22"/>
  <c r="I3836" i="22"/>
  <c r="AM3835" i="22"/>
  <c r="AC3835" i="22"/>
  <c r="I3835" i="22"/>
  <c r="AM3834" i="22"/>
  <c r="I3834" i="22"/>
  <c r="S3833" i="22"/>
  <c r="S3832" i="22"/>
  <c r="AM3831" i="22"/>
  <c r="I3831" i="22"/>
  <c r="AM3830" i="22"/>
  <c r="AC3830" i="22"/>
  <c r="AM3829" i="22"/>
  <c r="AC3829" i="22"/>
  <c r="D1427" i="23"/>
  <c r="F1427" i="23"/>
  <c r="D1147" i="23"/>
  <c r="F1147" i="23"/>
  <c r="D1035" i="23"/>
  <c r="F1035" i="23"/>
  <c r="G4321" i="22"/>
  <c r="H4321" i="22"/>
  <c r="G4319" i="22"/>
  <c r="H4319" i="22"/>
  <c r="G4312" i="22"/>
  <c r="H4312" i="22"/>
  <c r="G4308" i="22"/>
  <c r="H4308" i="22"/>
  <c r="G4301" i="22"/>
  <c r="H4301" i="22"/>
  <c r="G4298" i="22"/>
  <c r="H4298" i="22"/>
  <c r="G4291" i="22"/>
  <c r="H4291" i="22"/>
  <c r="G4287" i="22"/>
  <c r="H4287" i="22"/>
  <c r="G4280" i="22"/>
  <c r="H4280" i="22"/>
  <c r="G4278" i="22"/>
  <c r="H4278" i="22"/>
  <c r="H4283" i="22"/>
  <c r="G4283" i="22"/>
  <c r="I4283" i="22" s="1"/>
  <c r="H4275" i="22"/>
  <c r="G4275" i="22"/>
  <c r="I4275" i="22" s="1"/>
  <c r="G4273" i="22"/>
  <c r="H4273" i="22"/>
  <c r="G4270" i="22"/>
  <c r="H4270" i="22"/>
  <c r="G4269" i="22"/>
  <c r="H4269" i="22"/>
  <c r="K4106" i="22"/>
  <c r="F4106" i="22"/>
  <c r="F4052" i="22"/>
  <c r="K4052" i="22"/>
  <c r="K3752" i="22"/>
  <c r="F3752" i="22"/>
  <c r="O3752" i="22" s="1"/>
  <c r="L3753" i="22"/>
  <c r="U3535" i="22"/>
  <c r="L3483" i="22"/>
  <c r="L3429" i="22"/>
  <c r="L3375" i="22"/>
  <c r="U3319" i="22"/>
  <c r="U3265" i="22"/>
  <c r="U3211" i="22"/>
  <c r="L3159" i="22"/>
  <c r="K3104" i="22"/>
  <c r="F3104" i="22"/>
  <c r="O3104" i="22" s="1"/>
  <c r="L3105" i="22"/>
  <c r="F3050" i="22"/>
  <c r="O3050" i="22" s="1"/>
  <c r="K3050" i="22"/>
  <c r="L3051" i="22"/>
  <c r="U2995" i="22"/>
  <c r="U2941" i="22"/>
  <c r="L2889" i="22"/>
  <c r="L2835" i="22"/>
  <c r="S2779" i="22"/>
  <c r="T2779" i="22" s="1"/>
  <c r="U2779" i="22" s="1"/>
  <c r="U2725" i="22"/>
  <c r="U2671" i="22"/>
  <c r="U2617" i="22"/>
  <c r="K2564" i="22"/>
  <c r="F2564" i="22"/>
  <c r="O2564" i="22" s="1"/>
  <c r="K2565" i="22"/>
  <c r="L2565" i="22"/>
  <c r="U2509" i="22"/>
  <c r="U2455" i="22"/>
  <c r="U2401" i="22"/>
  <c r="K2294" i="22"/>
  <c r="F2294" i="22"/>
  <c r="O2294" i="22" s="1"/>
  <c r="L2241" i="22"/>
  <c r="L2187" i="22"/>
  <c r="U2131" i="22"/>
  <c r="U2077" i="22"/>
  <c r="U2023" i="22"/>
  <c r="U1969" i="22"/>
  <c r="F1916" i="22"/>
  <c r="O1916" i="22" s="1"/>
  <c r="K1916" i="22"/>
  <c r="L1917" i="22"/>
  <c r="K1862" i="22"/>
  <c r="F1862" i="22"/>
  <c r="O1862" i="22" s="1"/>
  <c r="L1863" i="22"/>
  <c r="K1808" i="22"/>
  <c r="F1808" i="22"/>
  <c r="O1808" i="22" s="1"/>
  <c r="L1809" i="22"/>
  <c r="U1753" i="22"/>
  <c r="U1699" i="22"/>
  <c r="L1647" i="22"/>
  <c r="L1593" i="22"/>
  <c r="K1593" i="22"/>
  <c r="U1537" i="22"/>
  <c r="U1483" i="22"/>
  <c r="I1427" i="22"/>
  <c r="O1430" i="22" s="1"/>
  <c r="O1429" i="22"/>
  <c r="U1375" i="22"/>
  <c r="L1323" i="22"/>
  <c r="F1268" i="22"/>
  <c r="O1268" i="22" s="1"/>
  <c r="K1268" i="22"/>
  <c r="L1269" i="22"/>
  <c r="F1214" i="22"/>
  <c r="O1214" i="22" s="1"/>
  <c r="K1214" i="22"/>
  <c r="L1215" i="22"/>
  <c r="F1160" i="22"/>
  <c r="O1160" i="22" s="1"/>
  <c r="K1160" i="22"/>
  <c r="L1161" i="22"/>
  <c r="U1105" i="22"/>
  <c r="U1051" i="22"/>
  <c r="K1052" i="22"/>
  <c r="F1052" i="22"/>
  <c r="O1052" i="22" s="1"/>
  <c r="K998" i="22"/>
  <c r="F998" i="22"/>
  <c r="O998" i="22" s="1"/>
  <c r="L999" i="22"/>
  <c r="L945" i="22"/>
  <c r="L891" i="22"/>
  <c r="L837" i="22"/>
  <c r="U781" i="22"/>
  <c r="U727" i="22"/>
  <c r="L675" i="22"/>
  <c r="U619" i="22"/>
  <c r="U565" i="22"/>
  <c r="U511" i="22"/>
  <c r="U457" i="22"/>
  <c r="K404" i="22"/>
  <c r="F404" i="22"/>
  <c r="O404" i="22" s="1"/>
  <c r="L405" i="22"/>
  <c r="K350" i="22"/>
  <c r="F350" i="22"/>
  <c r="O350" i="22" s="1"/>
  <c r="K351" i="22"/>
  <c r="L351" i="22"/>
  <c r="U241" i="22"/>
  <c r="U187" i="22"/>
  <c r="U133" i="22"/>
  <c r="L81" i="22"/>
  <c r="O23" i="5"/>
  <c r="O47" i="5"/>
  <c r="O26" i="5"/>
  <c r="O25" i="5"/>
  <c r="O24" i="5"/>
  <c r="O46" i="5"/>
  <c r="O15" i="5"/>
  <c r="O68" i="5"/>
  <c r="O59" i="5"/>
  <c r="O50" i="5"/>
  <c r="O6" i="5"/>
  <c r="O58" i="5"/>
  <c r="O51" i="5"/>
  <c r="O34" i="5"/>
  <c r="O33" i="5"/>
  <c r="O32" i="5"/>
  <c r="O31" i="5"/>
  <c r="O30" i="5"/>
  <c r="O27" i="5"/>
  <c r="O48" i="5"/>
  <c r="O49" i="5"/>
  <c r="O16" i="5"/>
  <c r="O18" i="5"/>
  <c r="O17" i="5"/>
  <c r="O60" i="5"/>
  <c r="O61" i="5"/>
  <c r="O62" i="5"/>
  <c r="O39" i="5"/>
  <c r="O65" i="5"/>
  <c r="O7" i="5"/>
  <c r="O66" i="5"/>
  <c r="O8" i="5"/>
  <c r="O9" i="5"/>
  <c r="O10" i="5"/>
  <c r="O67" i="5"/>
  <c r="O11" i="5"/>
  <c r="O56" i="5"/>
  <c r="O13" i="5"/>
  <c r="O44" i="5"/>
  <c r="O52" i="5"/>
  <c r="O21" i="5"/>
  <c r="O12" i="5"/>
  <c r="O14" i="5"/>
  <c r="O53" i="5"/>
  <c r="O20" i="5"/>
  <c r="O54" i="5"/>
  <c r="O55" i="5"/>
  <c r="O38" i="5"/>
  <c r="O19" i="5"/>
  <c r="O36" i="5"/>
  <c r="O35" i="5"/>
  <c r="O43" i="5"/>
  <c r="O42" i="5"/>
  <c r="O41" i="5"/>
  <c r="O40" i="5"/>
  <c r="O37" i="5"/>
  <c r="O29" i="5"/>
  <c r="O57" i="5"/>
  <c r="O63" i="5"/>
  <c r="O64" i="5"/>
  <c r="O28" i="5"/>
  <c r="O45" i="5"/>
  <c r="I239" i="22"/>
  <c r="O242" i="22" s="1"/>
  <c r="O241" i="22"/>
  <c r="U4675" i="22"/>
  <c r="I4305" i="22" l="1"/>
  <c r="I4303" i="22"/>
  <c r="I4302" i="22"/>
  <c r="I4297" i="22"/>
  <c r="O243" i="22"/>
  <c r="K4515" i="22"/>
  <c r="F4515" i="22"/>
  <c r="K3645" i="22"/>
  <c r="F3645" i="22"/>
  <c r="O3645" i="22" s="1"/>
  <c r="K3375" i="22"/>
  <c r="F3375" i="22"/>
  <c r="O3375" i="22" s="1"/>
  <c r="F3105" i="22"/>
  <c r="O3105" i="22" s="1"/>
  <c r="K3105" i="22"/>
  <c r="K2835" i="22"/>
  <c r="F2835" i="22"/>
  <c r="O2835" i="22" s="1"/>
  <c r="K1269" i="22"/>
  <c r="F1269" i="22"/>
  <c r="O1269" i="22" s="1"/>
  <c r="F945" i="22"/>
  <c r="O945" i="22" s="1"/>
  <c r="K945" i="22"/>
  <c r="M945" i="22" s="1"/>
  <c r="F891" i="22"/>
  <c r="O891" i="22" s="1"/>
  <c r="K891" i="22"/>
  <c r="M891" i="22" s="1"/>
  <c r="F405" i="22"/>
  <c r="O405" i="22" s="1"/>
  <c r="K405" i="22"/>
  <c r="M405" i="22" s="1"/>
  <c r="G4326" i="22"/>
  <c r="H4326" i="22"/>
  <c r="G4329" i="22"/>
  <c r="H4329" i="22"/>
  <c r="N1595" i="23"/>
  <c r="M1595" i="23"/>
  <c r="M1596" i="23"/>
  <c r="J1596" i="23"/>
  <c r="N1596" i="23" s="1"/>
  <c r="D1596" i="23"/>
  <c r="P1596" i="23"/>
  <c r="Q1596" i="23"/>
  <c r="R1596" i="23"/>
  <c r="I1597" i="23"/>
  <c r="L1597" i="23"/>
  <c r="C1597" i="23"/>
  <c r="E1597" i="23"/>
  <c r="G1597" i="23"/>
  <c r="B1598" i="23"/>
  <c r="E1592" i="23"/>
  <c r="J1592" i="23"/>
  <c r="O1595" i="23"/>
  <c r="O1594" i="23"/>
  <c r="AE1594" i="23" s="1"/>
  <c r="J1540" i="23"/>
  <c r="D1540" i="23"/>
  <c r="P1540" i="23"/>
  <c r="Q1540" i="23"/>
  <c r="R1540" i="23"/>
  <c r="I1541" i="23"/>
  <c r="C1541" i="23"/>
  <c r="E1541" i="23"/>
  <c r="F1541" i="23"/>
  <c r="G1541" i="23"/>
  <c r="B1542" i="23"/>
  <c r="I1485" i="23"/>
  <c r="C1485" i="23"/>
  <c r="E1485" i="23"/>
  <c r="F1485" i="23"/>
  <c r="G1485" i="23"/>
  <c r="B1486" i="23"/>
  <c r="J1484" i="23"/>
  <c r="D1484" i="23"/>
  <c r="P1484" i="23"/>
  <c r="Q1484" i="23"/>
  <c r="R1484" i="23"/>
  <c r="P1428" i="23"/>
  <c r="Q1428" i="23"/>
  <c r="R1428" i="23"/>
  <c r="J1428" i="23"/>
  <c r="D1428" i="23"/>
  <c r="I1429" i="23"/>
  <c r="B1430" i="23"/>
  <c r="C1429" i="23"/>
  <c r="F1429" i="23" s="1"/>
  <c r="E1429" i="23"/>
  <c r="G1429" i="23"/>
  <c r="P1372" i="23"/>
  <c r="Q1372" i="23"/>
  <c r="R1372" i="23"/>
  <c r="J1372" i="23"/>
  <c r="D1372" i="23"/>
  <c r="I1373" i="23"/>
  <c r="C1373" i="23"/>
  <c r="F1373" i="23" s="1"/>
  <c r="E1373" i="23"/>
  <c r="G1373" i="23"/>
  <c r="B1374" i="23"/>
  <c r="J1316" i="23"/>
  <c r="D1316" i="23"/>
  <c r="P1316" i="23"/>
  <c r="Q1316" i="23"/>
  <c r="R1316" i="23"/>
  <c r="I1317" i="23"/>
  <c r="C1317" i="23"/>
  <c r="E1317" i="23"/>
  <c r="G1317" i="23"/>
  <c r="B1318" i="23"/>
  <c r="L1318" i="23" s="1"/>
  <c r="J1260" i="23"/>
  <c r="D1260" i="23"/>
  <c r="P1260" i="23"/>
  <c r="Q1260" i="23"/>
  <c r="R1260" i="23"/>
  <c r="I1261" i="23"/>
  <c r="C1261" i="23"/>
  <c r="K1261" i="23" s="1"/>
  <c r="E1261" i="23"/>
  <c r="F1261" i="23"/>
  <c r="G1261" i="23"/>
  <c r="B1262" i="23"/>
  <c r="J1204" i="23"/>
  <c r="D1204" i="23"/>
  <c r="P1204" i="23"/>
  <c r="Q1204" i="23"/>
  <c r="R1204" i="23"/>
  <c r="I1205" i="23"/>
  <c r="C1205" i="23"/>
  <c r="E1205" i="23"/>
  <c r="F1205" i="23"/>
  <c r="G1205" i="23"/>
  <c r="B1206" i="23"/>
  <c r="J1148" i="23"/>
  <c r="D1148" i="23"/>
  <c r="P1148" i="23"/>
  <c r="Q1148" i="23"/>
  <c r="R1148" i="23"/>
  <c r="I1149" i="23"/>
  <c r="G1149" i="23"/>
  <c r="C1149" i="23"/>
  <c r="E1149" i="23"/>
  <c r="B1150" i="23"/>
  <c r="L1150" i="23" s="1"/>
  <c r="I1093" i="23"/>
  <c r="C1093" i="23"/>
  <c r="F1093" i="23" s="1"/>
  <c r="E1093" i="23"/>
  <c r="G1093" i="23"/>
  <c r="B1094" i="23"/>
  <c r="L1094" i="23" s="1"/>
  <c r="J1092" i="23"/>
  <c r="D1092" i="23"/>
  <c r="P1092" i="23"/>
  <c r="Q1092" i="23"/>
  <c r="R1092" i="23"/>
  <c r="I1037" i="23"/>
  <c r="B1038" i="23"/>
  <c r="L1038" i="23" s="1"/>
  <c r="C1037" i="23"/>
  <c r="E1037" i="23"/>
  <c r="G1037" i="23"/>
  <c r="J1036" i="23"/>
  <c r="D1036" i="23"/>
  <c r="P1036" i="23"/>
  <c r="Q1036" i="23"/>
  <c r="R1036" i="23"/>
  <c r="J980" i="23"/>
  <c r="D980" i="23"/>
  <c r="P980" i="23"/>
  <c r="Q980" i="23"/>
  <c r="R980" i="23"/>
  <c r="I981" i="23"/>
  <c r="C981" i="23"/>
  <c r="K981" i="23" s="1"/>
  <c r="E981" i="23"/>
  <c r="F981" i="23"/>
  <c r="G981" i="23"/>
  <c r="B982" i="23"/>
  <c r="J924" i="23"/>
  <c r="D924" i="23"/>
  <c r="P924" i="23"/>
  <c r="Q924" i="23"/>
  <c r="R924" i="23"/>
  <c r="I925" i="23"/>
  <c r="C925" i="23"/>
  <c r="E925" i="23"/>
  <c r="F925" i="23"/>
  <c r="G925" i="23"/>
  <c r="B926" i="23"/>
  <c r="J868" i="23"/>
  <c r="D868" i="23"/>
  <c r="P868" i="23"/>
  <c r="Q868" i="23"/>
  <c r="R868" i="23"/>
  <c r="I869" i="23"/>
  <c r="C869" i="23"/>
  <c r="K869" i="23" s="1"/>
  <c r="E869" i="23"/>
  <c r="F869" i="23"/>
  <c r="G869" i="23"/>
  <c r="B870" i="23"/>
  <c r="J812" i="23"/>
  <c r="D812" i="23"/>
  <c r="P812" i="23"/>
  <c r="Q812" i="23"/>
  <c r="R812" i="23"/>
  <c r="I813" i="23"/>
  <c r="C813" i="23"/>
  <c r="E813" i="23"/>
  <c r="F813" i="23"/>
  <c r="G813" i="23"/>
  <c r="B814" i="23"/>
  <c r="J756" i="23"/>
  <c r="D756" i="23"/>
  <c r="P756" i="23"/>
  <c r="Q756" i="23"/>
  <c r="R756" i="23"/>
  <c r="I757" i="23"/>
  <c r="C757" i="23"/>
  <c r="K757" i="23" s="1"/>
  <c r="E757" i="23"/>
  <c r="F757" i="23"/>
  <c r="G757" i="23"/>
  <c r="B758" i="23"/>
  <c r="L758" i="23" s="1"/>
  <c r="J700" i="23"/>
  <c r="D700" i="23"/>
  <c r="P700" i="23"/>
  <c r="Q700" i="23"/>
  <c r="R700" i="23"/>
  <c r="I701" i="23"/>
  <c r="C701" i="23"/>
  <c r="K701" i="23" s="1"/>
  <c r="E701" i="23"/>
  <c r="F701" i="23"/>
  <c r="G701" i="23"/>
  <c r="B702" i="23"/>
  <c r="J644" i="23"/>
  <c r="D644" i="23"/>
  <c r="P644" i="23"/>
  <c r="Q644" i="23"/>
  <c r="R644" i="23"/>
  <c r="I645" i="23"/>
  <c r="C645" i="23"/>
  <c r="K645" i="23" s="1"/>
  <c r="E645" i="23"/>
  <c r="F645" i="23"/>
  <c r="G645" i="23"/>
  <c r="B646" i="23"/>
  <c r="L646" i="23" s="1"/>
  <c r="J588" i="23"/>
  <c r="D588" i="23"/>
  <c r="P588" i="23"/>
  <c r="Q588" i="23"/>
  <c r="R588" i="23"/>
  <c r="I589" i="23"/>
  <c r="C589" i="23"/>
  <c r="K589" i="23" s="1"/>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K477" i="23" s="1"/>
  <c r="E477" i="23"/>
  <c r="F477" i="23"/>
  <c r="G477" i="23"/>
  <c r="B478" i="23"/>
  <c r="J420" i="23"/>
  <c r="D420" i="23"/>
  <c r="P420" i="23"/>
  <c r="Q420" i="23"/>
  <c r="R420" i="23"/>
  <c r="I421" i="23"/>
  <c r="C421" i="23"/>
  <c r="K421" i="23" s="1"/>
  <c r="E421" i="23"/>
  <c r="F421" i="23"/>
  <c r="G421" i="23"/>
  <c r="B422" i="23"/>
  <c r="L422" i="23" s="1"/>
  <c r="J364" i="23"/>
  <c r="D364" i="23"/>
  <c r="P364" i="23"/>
  <c r="Q364" i="23"/>
  <c r="R364" i="23"/>
  <c r="I365" i="23"/>
  <c r="C365" i="23"/>
  <c r="E365" i="23"/>
  <c r="F365" i="23"/>
  <c r="G365" i="23"/>
  <c r="B366" i="23"/>
  <c r="J308" i="23"/>
  <c r="D308" i="23"/>
  <c r="P308" i="23"/>
  <c r="Q308" i="23"/>
  <c r="R308" i="23"/>
  <c r="I309" i="23"/>
  <c r="C309" i="23"/>
  <c r="E309" i="23"/>
  <c r="G309" i="23"/>
  <c r="B310" i="23"/>
  <c r="J252" i="23"/>
  <c r="D252" i="23"/>
  <c r="P252" i="23"/>
  <c r="Q252" i="23"/>
  <c r="R252" i="23"/>
  <c r="I253" i="23"/>
  <c r="C253" i="23"/>
  <c r="K253" i="23" s="1"/>
  <c r="E253" i="23"/>
  <c r="F253" i="23"/>
  <c r="G253" i="23"/>
  <c r="B254" i="23"/>
  <c r="P4731" i="22"/>
  <c r="Q4731" i="22"/>
  <c r="R4731" i="22"/>
  <c r="E4732" i="22"/>
  <c r="I4732" i="22"/>
  <c r="B4733" i="22"/>
  <c r="C4732" i="22"/>
  <c r="G4732" i="22"/>
  <c r="L4732" i="22"/>
  <c r="J4731" i="22"/>
  <c r="N4731" i="22" s="1"/>
  <c r="D4731" i="22"/>
  <c r="M4731" i="22"/>
  <c r="U4676" i="22"/>
  <c r="S4676" i="22"/>
  <c r="K4677" i="22"/>
  <c r="D4677" i="22"/>
  <c r="J4677" i="22"/>
  <c r="P4677" i="22"/>
  <c r="Q4677" i="22"/>
  <c r="R4677" i="22"/>
  <c r="L4678" i="22"/>
  <c r="C4678" i="22"/>
  <c r="E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D4161" i="22"/>
  <c r="J4161" i="22"/>
  <c r="P4161" i="22"/>
  <c r="Q4161" i="22"/>
  <c r="R4161" i="22"/>
  <c r="L4162" i="22"/>
  <c r="C4162" i="22"/>
  <c r="K4162" i="22" s="1"/>
  <c r="E4162" i="22"/>
  <c r="F4162" i="22"/>
  <c r="G4162" i="22"/>
  <c r="I4162" i="22"/>
  <c r="B4163" i="22"/>
  <c r="D4107" i="22"/>
  <c r="J4107" i="22"/>
  <c r="N4107" i="22" s="1"/>
  <c r="U4107" i="22" s="1"/>
  <c r="P4107" i="22"/>
  <c r="Q4107" i="22"/>
  <c r="R4107" i="22"/>
  <c r="M4107" i="22"/>
  <c r="C4108" i="22"/>
  <c r="F4108" i="22" s="1"/>
  <c r="E4108" i="22"/>
  <c r="G4108" i="22"/>
  <c r="I4108" i="22"/>
  <c r="K4108" i="22"/>
  <c r="L4108" i="22"/>
  <c r="B4109" i="22"/>
  <c r="P4053" i="22"/>
  <c r="Q4053" i="22"/>
  <c r="R4053" i="22"/>
  <c r="D4053" i="22"/>
  <c r="J4053" i="22"/>
  <c r="N4053" i="22" s="1"/>
  <c r="U4053" i="22" s="1"/>
  <c r="M4053" i="22"/>
  <c r="B4055" i="22"/>
  <c r="C4054" i="22"/>
  <c r="K4054" i="22" s="1"/>
  <c r="E4054" i="22"/>
  <c r="F4054" i="22"/>
  <c r="G4054" i="22"/>
  <c r="I4054" i="22"/>
  <c r="L4054" i="22"/>
  <c r="D3753" i="22"/>
  <c r="J3753" i="22"/>
  <c r="N3753" i="22" s="1"/>
  <c r="U3753" i="22" s="1"/>
  <c r="P3753" i="22"/>
  <c r="Q3753" i="22"/>
  <c r="R3753" i="22"/>
  <c r="L3754" i="22"/>
  <c r="C3754" i="22"/>
  <c r="K3754" i="22" s="1"/>
  <c r="E3754" i="22"/>
  <c r="F3754" i="22"/>
  <c r="O3754" i="22" s="1"/>
  <c r="G3754" i="22"/>
  <c r="I3754" i="22"/>
  <c r="B3755" i="22"/>
  <c r="N3698" i="22"/>
  <c r="U3698" i="22" s="1"/>
  <c r="M3698" i="22"/>
  <c r="M3699" i="22"/>
  <c r="D3699" i="22"/>
  <c r="J3699" i="22"/>
  <c r="N3699" i="22" s="1"/>
  <c r="U3699" i="22" s="1"/>
  <c r="P3699" i="22"/>
  <c r="Q3699" i="22"/>
  <c r="R3699" i="22"/>
  <c r="L3700" i="22"/>
  <c r="C3700" i="22"/>
  <c r="K3700" i="22" s="1"/>
  <c r="E3700" i="22"/>
  <c r="F3700" i="22"/>
  <c r="O3700" i="22" s="1"/>
  <c r="G3700" i="22"/>
  <c r="I3700" i="22"/>
  <c r="B3701" i="22"/>
  <c r="N3644" i="22"/>
  <c r="U3644" i="22" s="1"/>
  <c r="M3644" i="22"/>
  <c r="M3645" i="22"/>
  <c r="D3645" i="22"/>
  <c r="J3645" i="22"/>
  <c r="N3645" i="22" s="1"/>
  <c r="U3645" i="22" s="1"/>
  <c r="P3645" i="22"/>
  <c r="Q3645" i="22"/>
  <c r="R3645" i="22"/>
  <c r="L3646" i="22"/>
  <c r="C3646" i="22"/>
  <c r="E3646" i="22"/>
  <c r="G3646" i="22"/>
  <c r="I3646" i="22"/>
  <c r="B3647" i="22"/>
  <c r="N3590" i="22"/>
  <c r="U3590" i="22" s="1"/>
  <c r="M3590" i="22"/>
  <c r="P3591" i="22"/>
  <c r="Q3591" i="22"/>
  <c r="R3591" i="22"/>
  <c r="L3592" i="22"/>
  <c r="G3592" i="22"/>
  <c r="I3592" i="22"/>
  <c r="C3592" i="22"/>
  <c r="E3592" i="22"/>
  <c r="B3593" i="22"/>
  <c r="J3591" i="22"/>
  <c r="D3591" i="22"/>
  <c r="L3538" i="22"/>
  <c r="I3538" i="22"/>
  <c r="B3539" i="22"/>
  <c r="C3538" i="22"/>
  <c r="E3538" i="22"/>
  <c r="G3538" i="22"/>
  <c r="D3537" i="22"/>
  <c r="J3537" i="22"/>
  <c r="P3537" i="22"/>
  <c r="Q3537" i="22"/>
  <c r="R3537" i="22"/>
  <c r="N3536" i="22"/>
  <c r="U3536" i="22" s="1"/>
  <c r="M3536" i="22"/>
  <c r="D3483" i="22"/>
  <c r="J3483" i="22"/>
  <c r="N3483" i="22" s="1"/>
  <c r="U3483" i="22" s="1"/>
  <c r="P3483" i="22"/>
  <c r="Q3483" i="22"/>
  <c r="R3483" i="22"/>
  <c r="L3484" i="22"/>
  <c r="C3484" i="22"/>
  <c r="E3484" i="22"/>
  <c r="G3484" i="22"/>
  <c r="I3484" i="22"/>
  <c r="B3485" i="22"/>
  <c r="D3429" i="22"/>
  <c r="J3429" i="22"/>
  <c r="P3429" i="22"/>
  <c r="Q3429" i="22"/>
  <c r="R3429" i="22"/>
  <c r="L3430" i="22"/>
  <c r="C3430" i="22"/>
  <c r="E3430" i="22"/>
  <c r="G3430" i="22"/>
  <c r="I3430" i="22"/>
  <c r="B3431" i="22"/>
  <c r="D3375" i="22"/>
  <c r="J3375" i="22"/>
  <c r="N3375" i="22" s="1"/>
  <c r="U3375" i="22" s="1"/>
  <c r="P3375" i="22"/>
  <c r="Q3375" i="22"/>
  <c r="R3375" i="22"/>
  <c r="L3376" i="22"/>
  <c r="C3376" i="22"/>
  <c r="E3376" i="22"/>
  <c r="G3376" i="22"/>
  <c r="I3376" i="22"/>
  <c r="B3377" i="22"/>
  <c r="N3320" i="22"/>
  <c r="U3320" i="22" s="1"/>
  <c r="M3320" i="22"/>
  <c r="M3321" i="22"/>
  <c r="D3321" i="22"/>
  <c r="J3321" i="22"/>
  <c r="N3321" i="22" s="1"/>
  <c r="U3321" i="22" s="1"/>
  <c r="P3321" i="22"/>
  <c r="Q3321" i="22"/>
  <c r="R3321" i="22"/>
  <c r="L3322" i="22"/>
  <c r="C3322" i="22"/>
  <c r="E3322" i="22"/>
  <c r="G3322" i="22"/>
  <c r="I3322" i="22"/>
  <c r="B3323" i="22"/>
  <c r="N3266" i="22"/>
  <c r="U3266" i="22" s="1"/>
  <c r="M3266" i="22"/>
  <c r="L3268" i="22"/>
  <c r="E3268" i="22"/>
  <c r="G3268" i="22"/>
  <c r="B3269" i="22"/>
  <c r="I3268" i="22"/>
  <c r="C3268" i="22"/>
  <c r="D3267" i="22"/>
  <c r="J3267" i="22"/>
  <c r="P3267" i="22"/>
  <c r="Q3267" i="22"/>
  <c r="R3267" i="22"/>
  <c r="M3212" i="22"/>
  <c r="N3212" i="22"/>
  <c r="U3212" i="22" s="1"/>
  <c r="D3213" i="22"/>
  <c r="J3213" i="22"/>
  <c r="P3213" i="22"/>
  <c r="Q3213" i="22"/>
  <c r="R3213" i="22"/>
  <c r="L3214" i="22"/>
  <c r="G3214" i="22"/>
  <c r="B3215" i="22"/>
  <c r="I3214" i="22"/>
  <c r="C3214" i="22"/>
  <c r="E3214" i="22"/>
  <c r="D3159" i="22"/>
  <c r="J3159" i="22"/>
  <c r="N3159" i="22" s="1"/>
  <c r="U3159" i="22" s="1"/>
  <c r="P3159" i="22"/>
  <c r="Q3159" i="22"/>
  <c r="R3159" i="22"/>
  <c r="L3160" i="22"/>
  <c r="C3160" i="22"/>
  <c r="E3160" i="22"/>
  <c r="G3160" i="22"/>
  <c r="I3160" i="22"/>
  <c r="B3161" i="22"/>
  <c r="D3105" i="22"/>
  <c r="J3105" i="22"/>
  <c r="P3105" i="22"/>
  <c r="Q3105" i="22"/>
  <c r="R3105" i="22"/>
  <c r="L3106" i="22"/>
  <c r="C3106" i="22"/>
  <c r="K3106" i="22" s="1"/>
  <c r="E3106" i="22"/>
  <c r="F3106" i="22"/>
  <c r="O3106" i="22" s="1"/>
  <c r="G3106" i="22"/>
  <c r="I3106" i="22"/>
  <c r="B3107" i="22"/>
  <c r="D3051" i="22"/>
  <c r="J3051" i="22"/>
  <c r="N3051" i="22" s="1"/>
  <c r="U3051" i="22" s="1"/>
  <c r="P3051" i="22"/>
  <c r="Q3051" i="22"/>
  <c r="R3051" i="22"/>
  <c r="L3052" i="22"/>
  <c r="C3052" i="22"/>
  <c r="K3052" i="22" s="1"/>
  <c r="E3052" i="22"/>
  <c r="F3052" i="22"/>
  <c r="O3052" i="22" s="1"/>
  <c r="G3052" i="22"/>
  <c r="I3052" i="22"/>
  <c r="B3053" i="22"/>
  <c r="N2996" i="22"/>
  <c r="U2996" i="22" s="1"/>
  <c r="M2996" i="22"/>
  <c r="M2997" i="22"/>
  <c r="D2997" i="22"/>
  <c r="J2997" i="22"/>
  <c r="N2997" i="22" s="1"/>
  <c r="U2997" i="22" s="1"/>
  <c r="P2997" i="22"/>
  <c r="Q2997" i="22"/>
  <c r="R2997" i="22"/>
  <c r="L2998" i="22"/>
  <c r="C2998" i="22"/>
  <c r="K2998" i="22" s="1"/>
  <c r="E2998" i="22"/>
  <c r="F2998" i="22"/>
  <c r="O2998" i="22" s="1"/>
  <c r="G2998" i="22"/>
  <c r="I2998" i="22"/>
  <c r="B2999" i="22"/>
  <c r="N2942" i="22"/>
  <c r="U2942" i="22" s="1"/>
  <c r="M2942" i="22"/>
  <c r="D2943" i="22"/>
  <c r="J2943" i="22"/>
  <c r="P2943" i="22"/>
  <c r="Q2943" i="22"/>
  <c r="R2943" i="22"/>
  <c r="L2944" i="22"/>
  <c r="C2944" i="22"/>
  <c r="K2944" i="22" s="1"/>
  <c r="E2944" i="22"/>
  <c r="F2944" i="22"/>
  <c r="O2944" i="22" s="1"/>
  <c r="G2944" i="22"/>
  <c r="I2944" i="22"/>
  <c r="B2945" i="22"/>
  <c r="D2889" i="22"/>
  <c r="J2889" i="22"/>
  <c r="P2889" i="22"/>
  <c r="Q2889" i="22"/>
  <c r="R2889" i="22"/>
  <c r="L2890" i="22"/>
  <c r="C2890" i="22"/>
  <c r="E2890" i="22"/>
  <c r="G2890" i="22"/>
  <c r="I2890" i="22"/>
  <c r="B2891" i="22"/>
  <c r="D2835" i="22"/>
  <c r="J2835" i="22"/>
  <c r="N2835" i="22" s="1"/>
  <c r="U2835" i="22" s="1"/>
  <c r="P2835" i="22"/>
  <c r="Q2835" i="22"/>
  <c r="R2835" i="22"/>
  <c r="L2836" i="22"/>
  <c r="C2836" i="22"/>
  <c r="K2836" i="22" s="1"/>
  <c r="E2836" i="22"/>
  <c r="F2836" i="22"/>
  <c r="O2836" i="22" s="1"/>
  <c r="G2836" i="22"/>
  <c r="I2836" i="22"/>
  <c r="B2837" i="22"/>
  <c r="N2780" i="22"/>
  <c r="S2780" i="22" s="1"/>
  <c r="T2780" i="22" s="1"/>
  <c r="U2780" i="22" s="1"/>
  <c r="M2780" i="22"/>
  <c r="D2781" i="22"/>
  <c r="J2781" i="22"/>
  <c r="P2781" i="22"/>
  <c r="Q2781" i="22"/>
  <c r="R2781" i="22"/>
  <c r="L2782" i="22"/>
  <c r="C2782" i="22"/>
  <c r="K2782" i="22" s="1"/>
  <c r="E2782" i="22"/>
  <c r="F2782" i="22"/>
  <c r="O2782" i="22" s="1"/>
  <c r="G2782" i="22"/>
  <c r="I2782" i="22"/>
  <c r="B2783" i="22"/>
  <c r="N2726" i="22"/>
  <c r="U2726" i="22" s="1"/>
  <c r="M2726" i="22"/>
  <c r="M2727" i="22"/>
  <c r="D2727" i="22"/>
  <c r="J2727" i="22"/>
  <c r="N2727" i="22" s="1"/>
  <c r="U2727" i="22" s="1"/>
  <c r="P2727" i="22"/>
  <c r="Q2727" i="22"/>
  <c r="R2727" i="22"/>
  <c r="L2728" i="22"/>
  <c r="C2728" i="22"/>
  <c r="E2728" i="22"/>
  <c r="G2728" i="22"/>
  <c r="I2728" i="22"/>
  <c r="B2729" i="22"/>
  <c r="J2673" i="22"/>
  <c r="D2673" i="22"/>
  <c r="P2673" i="22"/>
  <c r="Q2673" i="22"/>
  <c r="R2673" i="22"/>
  <c r="L2674" i="22"/>
  <c r="I2674" i="22"/>
  <c r="B2675" i="22"/>
  <c r="C2674" i="22"/>
  <c r="E2674" i="22"/>
  <c r="G2674" i="22"/>
  <c r="N2672" i="22"/>
  <c r="U2672" i="22" s="1"/>
  <c r="M2672" i="22"/>
  <c r="N2618" i="22"/>
  <c r="U2618" i="22" s="1"/>
  <c r="M2618" i="22"/>
  <c r="P2619" i="22"/>
  <c r="Q2619" i="22"/>
  <c r="R2619" i="22"/>
  <c r="D2619" i="22"/>
  <c r="J2619" i="22"/>
  <c r="L2620" i="22"/>
  <c r="C2620" i="22"/>
  <c r="E2620" i="22"/>
  <c r="G2620" i="22"/>
  <c r="I2620" i="22"/>
  <c r="B2621" i="22"/>
  <c r="D2565" i="22"/>
  <c r="J2565" i="22"/>
  <c r="N2565" i="22" s="1"/>
  <c r="U2565" i="22" s="1"/>
  <c r="P2565" i="22"/>
  <c r="Q2565" i="22"/>
  <c r="R2565" i="22"/>
  <c r="L2566" i="22"/>
  <c r="C2566" i="22"/>
  <c r="E2566" i="22"/>
  <c r="G2566" i="22"/>
  <c r="I2566" i="22"/>
  <c r="B2567" i="22"/>
  <c r="N2510" i="22"/>
  <c r="U2510" i="22" s="1"/>
  <c r="M2510" i="22"/>
  <c r="M2511" i="22"/>
  <c r="D2511" i="22"/>
  <c r="J2511" i="22"/>
  <c r="N2511" i="22" s="1"/>
  <c r="U2511" i="22" s="1"/>
  <c r="P2511" i="22"/>
  <c r="Q2511" i="22"/>
  <c r="R2511" i="22"/>
  <c r="L2512" i="22"/>
  <c r="C2512" i="22"/>
  <c r="E2512" i="22"/>
  <c r="G2512" i="22"/>
  <c r="I2512" i="22"/>
  <c r="B2513" i="22"/>
  <c r="N2456" i="22"/>
  <c r="U2456" i="22" s="1"/>
  <c r="M2456" i="22"/>
  <c r="M2457" i="22"/>
  <c r="D2457" i="22"/>
  <c r="J2457" i="22"/>
  <c r="N2457" i="22" s="1"/>
  <c r="U2457" i="22" s="1"/>
  <c r="P2457" i="22"/>
  <c r="Q2457" i="22"/>
  <c r="R2457" i="22"/>
  <c r="L2458" i="22"/>
  <c r="C2458" i="22"/>
  <c r="E2458" i="22"/>
  <c r="G2458" i="22"/>
  <c r="I2458" i="22"/>
  <c r="B2459" i="22"/>
  <c r="N2402" i="22"/>
  <c r="U2402" i="22" s="1"/>
  <c r="M2402" i="22"/>
  <c r="D2403" i="22"/>
  <c r="J2403" i="22"/>
  <c r="P2403" i="22"/>
  <c r="Q2403" i="22"/>
  <c r="R2403" i="22"/>
  <c r="L2404" i="22"/>
  <c r="C2404" i="22"/>
  <c r="E2404" i="22"/>
  <c r="G2404" i="22"/>
  <c r="I2404" i="22"/>
  <c r="B2405" i="22"/>
  <c r="N2348" i="22"/>
  <c r="U2348" i="22" s="1"/>
  <c r="M2348" i="22"/>
  <c r="M2349" i="22"/>
  <c r="D2349" i="22"/>
  <c r="J2349" i="22"/>
  <c r="N2349" i="22" s="1"/>
  <c r="U2349" i="22" s="1"/>
  <c r="P2349" i="22"/>
  <c r="Q2349" i="22"/>
  <c r="R2349" i="22"/>
  <c r="L2350" i="22"/>
  <c r="C2350" i="22"/>
  <c r="K2350" i="22" s="1"/>
  <c r="E2350" i="22"/>
  <c r="F2350" i="22"/>
  <c r="O2350" i="22" s="1"/>
  <c r="G2350" i="22"/>
  <c r="I2350" i="22"/>
  <c r="B2351" i="22"/>
  <c r="L2296" i="22"/>
  <c r="G2296" i="22"/>
  <c r="E2296" i="22"/>
  <c r="C2296" i="22"/>
  <c r="B2297" i="22"/>
  <c r="I2296" i="22"/>
  <c r="D2295" i="22"/>
  <c r="J2295" i="22"/>
  <c r="P2295" i="22"/>
  <c r="Q2295" i="22"/>
  <c r="R2295" i="22"/>
  <c r="D2241" i="22"/>
  <c r="J2241" i="22"/>
  <c r="P2241" i="22"/>
  <c r="Q2241" i="22"/>
  <c r="R2241" i="22"/>
  <c r="L2242" i="22"/>
  <c r="C2242" i="22"/>
  <c r="K2242" i="22" s="1"/>
  <c r="E2242" i="22"/>
  <c r="F2242" i="22"/>
  <c r="O2242" i="22" s="1"/>
  <c r="G2242" i="22"/>
  <c r="I2242" i="22"/>
  <c r="B2243" i="22"/>
  <c r="D2187" i="22"/>
  <c r="J2187" i="22"/>
  <c r="P2187" i="22"/>
  <c r="Q2187" i="22"/>
  <c r="R2187" i="22"/>
  <c r="L2188" i="22"/>
  <c r="C2188" i="22"/>
  <c r="E2188" i="22"/>
  <c r="G2188" i="22"/>
  <c r="I2188" i="22"/>
  <c r="B2189" i="22"/>
  <c r="N2132" i="22"/>
  <c r="U2132" i="22" s="1"/>
  <c r="M2132" i="22"/>
  <c r="M2133" i="22"/>
  <c r="D2133" i="22"/>
  <c r="J2133" i="22"/>
  <c r="N2133" i="22" s="1"/>
  <c r="U2133" i="22" s="1"/>
  <c r="P2133" i="22"/>
  <c r="Q2133" i="22"/>
  <c r="R2133" i="22"/>
  <c r="L2134" i="22"/>
  <c r="C2134" i="22"/>
  <c r="K2134" i="22" s="1"/>
  <c r="E2134" i="22"/>
  <c r="F2134" i="22"/>
  <c r="O2134" i="22" s="1"/>
  <c r="G2134" i="22"/>
  <c r="I2134" i="22"/>
  <c r="B2135" i="22"/>
  <c r="N2078" i="22"/>
  <c r="U2078" i="22" s="1"/>
  <c r="M2078" i="22"/>
  <c r="M2079" i="22"/>
  <c r="D2079" i="22"/>
  <c r="J2079" i="22"/>
  <c r="N2079" i="22" s="1"/>
  <c r="U2079" i="22" s="1"/>
  <c r="P2079" i="22"/>
  <c r="Q2079" i="22"/>
  <c r="R2079" i="22"/>
  <c r="L2080" i="22"/>
  <c r="C2080" i="22"/>
  <c r="K2080" i="22" s="1"/>
  <c r="E2080" i="22"/>
  <c r="F2080" i="22"/>
  <c r="O2080" i="22" s="1"/>
  <c r="G2080" i="22"/>
  <c r="I2080" i="22"/>
  <c r="B2081" i="22"/>
  <c r="N2024" i="22"/>
  <c r="U2024" i="22" s="1"/>
  <c r="M2024" i="22"/>
  <c r="M2025" i="22"/>
  <c r="D2025" i="22"/>
  <c r="J2025" i="22"/>
  <c r="N2025" i="22" s="1"/>
  <c r="U2025" i="22" s="1"/>
  <c r="P2025" i="22"/>
  <c r="Q2025" i="22"/>
  <c r="R2025" i="22"/>
  <c r="L2026" i="22"/>
  <c r="C2026" i="22"/>
  <c r="K2026" i="22" s="1"/>
  <c r="E2026" i="22"/>
  <c r="F2026" i="22"/>
  <c r="O2026" i="22" s="1"/>
  <c r="G2026" i="22"/>
  <c r="I2026" i="22"/>
  <c r="B2027" i="22"/>
  <c r="M1971" i="22"/>
  <c r="P1971" i="22"/>
  <c r="Q1971" i="22"/>
  <c r="R1971" i="22"/>
  <c r="L1972" i="22"/>
  <c r="C1972" i="22"/>
  <c r="K1972" i="22" s="1"/>
  <c r="E1972" i="22"/>
  <c r="F1972" i="22"/>
  <c r="O1972" i="22" s="1"/>
  <c r="G1972" i="22"/>
  <c r="I1972" i="22"/>
  <c r="B1973" i="22"/>
  <c r="J1971" i="22"/>
  <c r="N1971" i="22" s="1"/>
  <c r="U1971" i="22" s="1"/>
  <c r="D1971" i="22"/>
  <c r="N1970" i="22"/>
  <c r="U1970" i="22" s="1"/>
  <c r="M1970" i="22"/>
  <c r="D1917" i="22"/>
  <c r="J1917" i="22"/>
  <c r="N1917" i="22" s="1"/>
  <c r="U1917" i="22" s="1"/>
  <c r="P1917" i="22"/>
  <c r="Q1917" i="22"/>
  <c r="R1917" i="22"/>
  <c r="L1918" i="22"/>
  <c r="C1918" i="22"/>
  <c r="K1918" i="22" s="1"/>
  <c r="E1918" i="22"/>
  <c r="F1918" i="22"/>
  <c r="O1918" i="22" s="1"/>
  <c r="G1918" i="22"/>
  <c r="I1918" i="22"/>
  <c r="B1919" i="22"/>
  <c r="D1863" i="22"/>
  <c r="J1863" i="22"/>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K1810" i="22" s="1"/>
  <c r="E1810" i="22"/>
  <c r="F1810" i="22"/>
  <c r="O1810" i="22" s="1"/>
  <c r="G1810" i="22"/>
  <c r="I1810" i="22"/>
  <c r="B1811" i="22"/>
  <c r="N1754" i="22"/>
  <c r="U1754" i="22" s="1"/>
  <c r="M1754" i="22"/>
  <c r="D1755" i="22"/>
  <c r="J1755" i="22"/>
  <c r="P1755" i="22"/>
  <c r="Q1755" i="22"/>
  <c r="R1755" i="22"/>
  <c r="L1756" i="22"/>
  <c r="C1756" i="22"/>
  <c r="K1756" i="22" s="1"/>
  <c r="E1756" i="22"/>
  <c r="F1756" i="22"/>
  <c r="O1756" i="22" s="1"/>
  <c r="G1756" i="22"/>
  <c r="I1756" i="22"/>
  <c r="B1757" i="22"/>
  <c r="N1700" i="22"/>
  <c r="U1700" i="22" s="1"/>
  <c r="M1700" i="22"/>
  <c r="M1701" i="22"/>
  <c r="D1701" i="22"/>
  <c r="J1701" i="22"/>
  <c r="N1701" i="22" s="1"/>
  <c r="U1701" i="22" s="1"/>
  <c r="P1701" i="22"/>
  <c r="Q1701" i="22"/>
  <c r="R1701" i="22"/>
  <c r="L1702" i="22"/>
  <c r="C1702" i="22"/>
  <c r="E1702" i="22"/>
  <c r="G1702" i="22"/>
  <c r="I1702" i="22"/>
  <c r="B1703" i="22"/>
  <c r="D1647" i="22"/>
  <c r="J1647" i="22"/>
  <c r="P1647" i="22"/>
  <c r="Q1647" i="22"/>
  <c r="R1647" i="22"/>
  <c r="L1648" i="22"/>
  <c r="C1648" i="22"/>
  <c r="K1648" i="22" s="1"/>
  <c r="E1648" i="22"/>
  <c r="F1648" i="22"/>
  <c r="O1648" i="22" s="1"/>
  <c r="G1648" i="22"/>
  <c r="I1648" i="22"/>
  <c r="B1649" i="22"/>
  <c r="D1593" i="22"/>
  <c r="J1593" i="22"/>
  <c r="N1593" i="22" s="1"/>
  <c r="U1593" i="22" s="1"/>
  <c r="P1593" i="22"/>
  <c r="Q1593" i="22"/>
  <c r="R1593" i="22"/>
  <c r="L1594" i="22"/>
  <c r="C1594" i="22"/>
  <c r="E1594" i="22"/>
  <c r="G1594" i="22"/>
  <c r="I1594" i="22"/>
  <c r="B1595" i="22"/>
  <c r="N1538" i="22"/>
  <c r="U1538" i="22" s="1"/>
  <c r="M1538" i="22"/>
  <c r="M1539" i="22"/>
  <c r="D1539" i="22"/>
  <c r="J1539" i="22"/>
  <c r="N1539" i="22" s="1"/>
  <c r="U1539" i="22" s="1"/>
  <c r="P1539" i="22"/>
  <c r="Q1539" i="22"/>
  <c r="R1539" i="22"/>
  <c r="L1540" i="22"/>
  <c r="C1540" i="22"/>
  <c r="E1540" i="22"/>
  <c r="G1540" i="22"/>
  <c r="I1540" i="22"/>
  <c r="B1541" i="22"/>
  <c r="M1485" i="22"/>
  <c r="D1485" i="22"/>
  <c r="J1485" i="22"/>
  <c r="N1485" i="22" s="1"/>
  <c r="U1485" i="22" s="1"/>
  <c r="P1485" i="22"/>
  <c r="Q1485" i="22"/>
  <c r="R1485" i="22"/>
  <c r="L1486" i="22"/>
  <c r="C1486" i="22"/>
  <c r="E1486" i="22"/>
  <c r="G1486" i="22"/>
  <c r="I1486" i="22"/>
  <c r="B1487" i="22"/>
  <c r="M1430" i="22"/>
  <c r="N1430" i="22"/>
  <c r="U1430" i="22" s="1"/>
  <c r="M1431" i="22"/>
  <c r="D1431" i="22"/>
  <c r="J1431" i="22"/>
  <c r="N1431" i="22" s="1"/>
  <c r="U1431" i="22" s="1"/>
  <c r="P1431" i="22"/>
  <c r="Q1431" i="22"/>
  <c r="R1431" i="22"/>
  <c r="L1432" i="22"/>
  <c r="C1432" i="22"/>
  <c r="E1432" i="22"/>
  <c r="G1432" i="22"/>
  <c r="I1432" i="22"/>
  <c r="B1433" i="22"/>
  <c r="L1378" i="22"/>
  <c r="G1378" i="22"/>
  <c r="C1378" i="22"/>
  <c r="E1378" i="22"/>
  <c r="I1378" i="22"/>
  <c r="B1379" i="22"/>
  <c r="J1377" i="22"/>
  <c r="D1377" i="22"/>
  <c r="P1377" i="22"/>
  <c r="Q1377" i="22"/>
  <c r="R1377" i="22"/>
  <c r="N1376" i="22"/>
  <c r="U1376" i="22" s="1"/>
  <c r="M1376" i="22"/>
  <c r="D1323" i="22"/>
  <c r="J1323" i="22"/>
  <c r="P1323" i="22"/>
  <c r="Q1323" i="22"/>
  <c r="R1323" i="22"/>
  <c r="L1324" i="22"/>
  <c r="C1324" i="22"/>
  <c r="K1324" i="22" s="1"/>
  <c r="E1324" i="22"/>
  <c r="F1324" i="22"/>
  <c r="O1324" i="22" s="1"/>
  <c r="G1324" i="22"/>
  <c r="I1324" i="22"/>
  <c r="B1325" i="22"/>
  <c r="D1269" i="22"/>
  <c r="J1269" i="22"/>
  <c r="N1269" i="22" s="1"/>
  <c r="U1269" i="22" s="1"/>
  <c r="P1269" i="22"/>
  <c r="Q1269" i="22"/>
  <c r="R1269" i="22"/>
  <c r="L1270" i="22"/>
  <c r="C1270" i="22"/>
  <c r="K1270" i="22" s="1"/>
  <c r="E1270" i="22"/>
  <c r="F1270" i="22"/>
  <c r="O1270" i="22" s="1"/>
  <c r="G1270" i="22"/>
  <c r="I1270" i="22"/>
  <c r="B1271" i="22"/>
  <c r="D1215" i="22"/>
  <c r="J1215" i="22"/>
  <c r="P1215" i="22"/>
  <c r="Q1215" i="22"/>
  <c r="R1215" i="22"/>
  <c r="L1216" i="22"/>
  <c r="C1216" i="22"/>
  <c r="K1216" i="22" s="1"/>
  <c r="E1216" i="22"/>
  <c r="F1216" i="22"/>
  <c r="O1216" i="22" s="1"/>
  <c r="G1216" i="22"/>
  <c r="I1216" i="22"/>
  <c r="B1217" i="22"/>
  <c r="D1161" i="22"/>
  <c r="J1161" i="22"/>
  <c r="N1161" i="22" s="1"/>
  <c r="U1161" i="22" s="1"/>
  <c r="P1161" i="22"/>
  <c r="Q1161" i="22"/>
  <c r="R1161" i="22"/>
  <c r="L1162" i="22"/>
  <c r="C1162" i="22"/>
  <c r="E1162" i="22"/>
  <c r="G1162" i="22"/>
  <c r="I1162" i="22"/>
  <c r="B1163" i="22"/>
  <c r="N1106" i="22"/>
  <c r="U1106" i="22" s="1"/>
  <c r="M1106" i="22"/>
  <c r="M1107" i="22"/>
  <c r="D1107" i="22"/>
  <c r="J1107" i="22"/>
  <c r="N1107" i="22" s="1"/>
  <c r="U1107" i="22" s="1"/>
  <c r="P1107" i="22"/>
  <c r="Q1107" i="22"/>
  <c r="R1107" i="22"/>
  <c r="L1108" i="22"/>
  <c r="C1108" i="22"/>
  <c r="E1108" i="22"/>
  <c r="G1108" i="22"/>
  <c r="I1108" i="22"/>
  <c r="B1109" i="22"/>
  <c r="M1053" i="22"/>
  <c r="D1053" i="22"/>
  <c r="J1053" i="22"/>
  <c r="N1053" i="22" s="1"/>
  <c r="U1053" i="22" s="1"/>
  <c r="P1053" i="22"/>
  <c r="Q1053" i="22"/>
  <c r="R1053" i="22"/>
  <c r="L1054" i="22"/>
  <c r="C1054" i="22"/>
  <c r="E1054" i="22"/>
  <c r="G1054" i="22"/>
  <c r="I1054" i="22"/>
  <c r="B1055" i="22"/>
  <c r="D999" i="22"/>
  <c r="J999" i="22"/>
  <c r="N999" i="22" s="1"/>
  <c r="U999" i="22" s="1"/>
  <c r="P999" i="22"/>
  <c r="Q999" i="22"/>
  <c r="R999" i="22"/>
  <c r="L1000" i="22"/>
  <c r="C1000" i="22"/>
  <c r="K1000" i="22" s="1"/>
  <c r="E1000" i="22"/>
  <c r="F1000" i="22"/>
  <c r="O1000" i="22" s="1"/>
  <c r="G1000" i="22"/>
  <c r="I1000" i="22"/>
  <c r="B1001" i="22"/>
  <c r="D945" i="22"/>
  <c r="J945" i="22"/>
  <c r="N945" i="22" s="1"/>
  <c r="U945" i="22" s="1"/>
  <c r="P945" i="22"/>
  <c r="Q945" i="22"/>
  <c r="R945" i="22"/>
  <c r="L946" i="22"/>
  <c r="C946" i="22"/>
  <c r="K946" i="22" s="1"/>
  <c r="E946" i="22"/>
  <c r="F946" i="22"/>
  <c r="O946" i="22" s="1"/>
  <c r="G946" i="22"/>
  <c r="I946" i="22"/>
  <c r="B947" i="22"/>
  <c r="D891" i="22"/>
  <c r="J891" i="22"/>
  <c r="N891" i="22" s="1"/>
  <c r="U891" i="22" s="1"/>
  <c r="P891" i="22"/>
  <c r="Q891" i="22"/>
  <c r="R891" i="22"/>
  <c r="L892" i="22"/>
  <c r="C892" i="22"/>
  <c r="K892" i="22" s="1"/>
  <c r="E892" i="22"/>
  <c r="F892" i="22"/>
  <c r="O892" i="22" s="1"/>
  <c r="G892" i="22"/>
  <c r="I892" i="22"/>
  <c r="B893" i="22"/>
  <c r="D837" i="22"/>
  <c r="J837" i="22"/>
  <c r="N837" i="22" s="1"/>
  <c r="U837" i="22" s="1"/>
  <c r="P837" i="22"/>
  <c r="Q837" i="22"/>
  <c r="R837" i="22"/>
  <c r="L838" i="22"/>
  <c r="C838" i="22"/>
  <c r="K838" i="22" s="1"/>
  <c r="E838" i="22"/>
  <c r="F838" i="22"/>
  <c r="O838" i="22" s="1"/>
  <c r="G838" i="22"/>
  <c r="I838" i="22"/>
  <c r="B839" i="22"/>
  <c r="N782" i="22"/>
  <c r="U782" i="22" s="1"/>
  <c r="M782" i="22"/>
  <c r="M783" i="22"/>
  <c r="D783" i="22"/>
  <c r="J783" i="22"/>
  <c r="N783" i="22" s="1"/>
  <c r="U783" i="22" s="1"/>
  <c r="P783" i="22"/>
  <c r="Q783" i="22"/>
  <c r="R783" i="22"/>
  <c r="L784" i="22"/>
  <c r="C784" i="22"/>
  <c r="K784" i="22" s="1"/>
  <c r="E784" i="22"/>
  <c r="F784" i="22"/>
  <c r="O784" i="22" s="1"/>
  <c r="G784" i="22"/>
  <c r="I784" i="22"/>
  <c r="B785" i="22"/>
  <c r="N728" i="22"/>
  <c r="U728" i="22" s="1"/>
  <c r="M728" i="22"/>
  <c r="M729" i="22"/>
  <c r="D729" i="22"/>
  <c r="J729" i="22"/>
  <c r="N729" i="22" s="1"/>
  <c r="U729" i="22" s="1"/>
  <c r="P729" i="22"/>
  <c r="Q729" i="22"/>
  <c r="R729" i="22"/>
  <c r="L730" i="22"/>
  <c r="C730" i="22"/>
  <c r="K730" i="22" s="1"/>
  <c r="E730" i="22"/>
  <c r="F730" i="22"/>
  <c r="O730" i="22" s="1"/>
  <c r="G730" i="22"/>
  <c r="I730" i="22"/>
  <c r="B731" i="22"/>
  <c r="D675" i="22"/>
  <c r="J675" i="22"/>
  <c r="P675" i="22"/>
  <c r="Q675" i="22"/>
  <c r="R675" i="22"/>
  <c r="L676" i="22"/>
  <c r="C676" i="22"/>
  <c r="K676" i="22" s="1"/>
  <c r="E676" i="22"/>
  <c r="F676" i="22"/>
  <c r="O676" i="22" s="1"/>
  <c r="G676" i="22"/>
  <c r="I676" i="22"/>
  <c r="B677" i="22"/>
  <c r="D621" i="22"/>
  <c r="J621" i="22"/>
  <c r="P621" i="22"/>
  <c r="Q621" i="22"/>
  <c r="R621" i="22"/>
  <c r="L622" i="22"/>
  <c r="C622" i="22"/>
  <c r="K622" i="22" s="1"/>
  <c r="E622" i="22"/>
  <c r="F622" i="22"/>
  <c r="O622" i="22" s="1"/>
  <c r="G622" i="22"/>
  <c r="I622" i="22"/>
  <c r="B623" i="22"/>
  <c r="N566" i="22"/>
  <c r="U566" i="22" s="1"/>
  <c r="M566" i="22"/>
  <c r="M567" i="22"/>
  <c r="D567" i="22"/>
  <c r="J567" i="22"/>
  <c r="N567" i="22" s="1"/>
  <c r="U567" i="22" s="1"/>
  <c r="P567" i="22"/>
  <c r="Q567" i="22"/>
  <c r="R567" i="22"/>
  <c r="L568" i="22"/>
  <c r="C568" i="22"/>
  <c r="E568" i="22"/>
  <c r="G568" i="22"/>
  <c r="I568" i="22"/>
  <c r="B569" i="22"/>
  <c r="N512" i="22"/>
  <c r="U512" i="22" s="1"/>
  <c r="M512" i="22"/>
  <c r="M513" i="22"/>
  <c r="D513" i="22"/>
  <c r="J513" i="22"/>
  <c r="N513" i="22" s="1"/>
  <c r="U513" i="22" s="1"/>
  <c r="P513" i="22"/>
  <c r="Q513" i="22"/>
  <c r="R513" i="22"/>
  <c r="L514" i="22"/>
  <c r="C514" i="22"/>
  <c r="E514" i="22"/>
  <c r="G514" i="22"/>
  <c r="B515" i="22"/>
  <c r="I514" i="22"/>
  <c r="M458" i="22"/>
  <c r="N458" i="22"/>
  <c r="U458" i="22" s="1"/>
  <c r="M459" i="22"/>
  <c r="D459" i="22"/>
  <c r="J459" i="22"/>
  <c r="N459" i="22" s="1"/>
  <c r="U459" i="22" s="1"/>
  <c r="P459" i="22"/>
  <c r="Q459" i="22"/>
  <c r="R459" i="22"/>
  <c r="L460" i="22"/>
  <c r="C460" i="22"/>
  <c r="E460" i="22"/>
  <c r="G460" i="22"/>
  <c r="B461" i="22"/>
  <c r="I460" i="22"/>
  <c r="D405" i="22"/>
  <c r="J405" i="22"/>
  <c r="N405" i="22" s="1"/>
  <c r="U405" i="22" s="1"/>
  <c r="P405" i="22"/>
  <c r="Q405" i="22"/>
  <c r="R405" i="22"/>
  <c r="L406" i="22"/>
  <c r="C406" i="22"/>
  <c r="K406" i="22" s="1"/>
  <c r="E406" i="22"/>
  <c r="F406" i="22"/>
  <c r="O406" i="22" s="1"/>
  <c r="G406" i="22"/>
  <c r="I406" i="22"/>
  <c r="B407" i="22"/>
  <c r="D351" i="22"/>
  <c r="J351" i="22"/>
  <c r="N351" i="22" s="1"/>
  <c r="U351" i="22" s="1"/>
  <c r="P351" i="22"/>
  <c r="Q351" i="22"/>
  <c r="R351" i="22"/>
  <c r="L352" i="22"/>
  <c r="C352" i="22"/>
  <c r="K352" i="22" s="1"/>
  <c r="E352" i="22"/>
  <c r="F352" i="22"/>
  <c r="O352" i="22" s="1"/>
  <c r="G352" i="22"/>
  <c r="I352" i="22"/>
  <c r="B353" i="22"/>
  <c r="N296" i="22"/>
  <c r="U296" i="22" s="1"/>
  <c r="M296" i="22"/>
  <c r="M297" i="22"/>
  <c r="D297" i="22"/>
  <c r="J297" i="22"/>
  <c r="N297" i="22" s="1"/>
  <c r="U297" i="22" s="1"/>
  <c r="P297" i="22"/>
  <c r="Q297" i="22"/>
  <c r="R297" i="22"/>
  <c r="L298" i="22"/>
  <c r="C298" i="22"/>
  <c r="E298" i="22"/>
  <c r="G298" i="22"/>
  <c r="I298" i="22"/>
  <c r="B299" i="22"/>
  <c r="M243" i="22"/>
  <c r="D243" i="22"/>
  <c r="J243" i="22"/>
  <c r="N243" i="22" s="1"/>
  <c r="U243" i="22" s="1"/>
  <c r="P243" i="22"/>
  <c r="Q243" i="22"/>
  <c r="R243" i="22"/>
  <c r="L244" i="22"/>
  <c r="C244" i="22"/>
  <c r="E244" i="22"/>
  <c r="G244" i="22"/>
  <c r="I244" i="22"/>
  <c r="B245" i="22"/>
  <c r="N188" i="22"/>
  <c r="U188" i="22" s="1"/>
  <c r="M188" i="22"/>
  <c r="M189" i="22"/>
  <c r="D189" i="22"/>
  <c r="J189" i="22"/>
  <c r="N189" i="22" s="1"/>
  <c r="U189" i="22" s="1"/>
  <c r="P189" i="22"/>
  <c r="Q189" i="22"/>
  <c r="R189" i="22"/>
  <c r="L190" i="22"/>
  <c r="C190" i="22"/>
  <c r="E190" i="22"/>
  <c r="G190" i="22"/>
  <c r="I190" i="22"/>
  <c r="B191" i="22"/>
  <c r="N134" i="22"/>
  <c r="U134" i="22" s="1"/>
  <c r="M134" i="22"/>
  <c r="P135" i="22"/>
  <c r="Q135" i="22"/>
  <c r="R135" i="22"/>
  <c r="J135" i="22"/>
  <c r="D135" i="22"/>
  <c r="L136" i="22"/>
  <c r="E136" i="22"/>
  <c r="G136" i="22"/>
  <c r="B137" i="22"/>
  <c r="C136" i="22"/>
  <c r="K136" i="22" s="1"/>
  <c r="F136" i="22"/>
  <c r="O136" i="22" s="1"/>
  <c r="I136" i="22"/>
  <c r="D81" i="22"/>
  <c r="J81" i="22"/>
  <c r="P81" i="22"/>
  <c r="Q81" i="22"/>
  <c r="R81" i="22"/>
  <c r="L82" i="22"/>
  <c r="C82" i="22"/>
  <c r="E82" i="22"/>
  <c r="G82" i="22"/>
  <c r="I82" i="22"/>
  <c r="B83" i="22"/>
  <c r="N1087" i="23"/>
  <c r="H1095" i="23"/>
  <c r="H1099" i="23"/>
  <c r="H1100" i="23"/>
  <c r="H1103" i="23"/>
  <c r="H1110" i="23"/>
  <c r="H1111" i="23"/>
  <c r="H1113" i="23"/>
  <c r="H1115" i="23"/>
  <c r="H1117" i="23"/>
  <c r="H1118" i="23"/>
  <c r="H1119" i="23"/>
  <c r="H1120" i="23"/>
  <c r="H1122" i="23"/>
  <c r="H1124" i="23"/>
  <c r="H1094" i="23"/>
  <c r="H1097" i="23"/>
  <c r="H1098" i="23"/>
  <c r="H1104" i="23"/>
  <c r="H1109" i="23"/>
  <c r="H1123" i="23"/>
  <c r="H1125" i="23"/>
  <c r="H1126" i="23"/>
  <c r="H1127" i="23"/>
  <c r="H1128" i="23"/>
  <c r="H1129" i="23"/>
  <c r="H1130" i="23"/>
  <c r="H1131" i="23"/>
  <c r="H1132" i="23"/>
  <c r="H1133" i="23"/>
  <c r="H1136" i="23"/>
  <c r="H1137" i="23"/>
  <c r="H1091" i="23"/>
  <c r="H1092" i="23"/>
  <c r="H1096" i="23"/>
  <c r="H1102" i="23"/>
  <c r="H1106" i="23"/>
  <c r="H1107" i="23"/>
  <c r="H1108" i="23"/>
  <c r="H1112" i="23"/>
  <c r="H1114" i="23"/>
  <c r="H1116" i="23"/>
  <c r="H1121" i="23"/>
  <c r="H1134" i="23"/>
  <c r="H1135" i="23"/>
  <c r="H1090" i="23"/>
  <c r="H1093" i="23"/>
  <c r="H1101" i="23"/>
  <c r="H1105" i="23"/>
  <c r="J1091" i="23"/>
  <c r="J1090" i="23"/>
  <c r="I1092" i="23"/>
  <c r="I1091" i="23"/>
  <c r="I1090" i="23"/>
  <c r="W1087" i="23"/>
  <c r="K1093" i="23"/>
  <c r="L1090" i="23"/>
  <c r="K1091" i="23"/>
  <c r="L1093" i="23"/>
  <c r="K1090" i="23"/>
  <c r="L1092" i="23"/>
  <c r="C1087" i="23"/>
  <c r="L1091" i="23"/>
  <c r="K1092" i="23"/>
  <c r="AO23" i="6"/>
  <c r="R23" i="6"/>
  <c r="AG23" i="6"/>
  <c r="AI23" i="6"/>
  <c r="AH23" i="6"/>
  <c r="B23" i="6"/>
  <c r="S23" i="6"/>
  <c r="AO20" i="6"/>
  <c r="B20" i="6"/>
  <c r="E20" i="6"/>
  <c r="R20" i="6"/>
  <c r="W20" i="6"/>
  <c r="AI20" i="6"/>
  <c r="D20" i="6"/>
  <c r="S20" i="6"/>
  <c r="AC20" i="6"/>
  <c r="AG20" i="6"/>
  <c r="C20" i="6"/>
  <c r="T20" i="6"/>
  <c r="Z20" i="6"/>
  <c r="AH20" i="6"/>
  <c r="I924" i="23"/>
  <c r="J923" i="23"/>
  <c r="I923" i="23"/>
  <c r="J922" i="23"/>
  <c r="I922" i="23"/>
  <c r="C919" i="23"/>
  <c r="W919" i="23"/>
  <c r="K922" i="23"/>
  <c r="L922" i="23"/>
  <c r="K923" i="23"/>
  <c r="L923" i="23"/>
  <c r="K924" i="23"/>
  <c r="L924" i="23"/>
  <c r="K925" i="23"/>
  <c r="L925" i="23"/>
  <c r="L926"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I866" i="23"/>
  <c r="I867" i="23"/>
  <c r="I868" i="23"/>
  <c r="J866" i="23"/>
  <c r="J867"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19" i="6"/>
  <c r="S19" i="6"/>
  <c r="AC19" i="6"/>
  <c r="AG19" i="6"/>
  <c r="AI19" i="6"/>
  <c r="C19" i="6"/>
  <c r="E19" i="6"/>
  <c r="T19" i="6"/>
  <c r="Z19" i="6"/>
  <c r="AO19" i="6"/>
  <c r="D19" i="6"/>
  <c r="R19" i="6"/>
  <c r="W19" i="6"/>
  <c r="AH19" i="6"/>
  <c r="I1315" i="23"/>
  <c r="I1314" i="23"/>
  <c r="J1315" i="23"/>
  <c r="I1316" i="23"/>
  <c r="J1314" i="23"/>
  <c r="C1311" i="23"/>
  <c r="W1311" i="23"/>
  <c r="K1314" i="23"/>
  <c r="L1314" i="23"/>
  <c r="K1315" i="23"/>
  <c r="L1315" i="23"/>
  <c r="K1316" i="23"/>
  <c r="L1316" i="23"/>
  <c r="L1317" i="23"/>
  <c r="N1311" i="23"/>
  <c r="H1314" i="23"/>
  <c r="H1315" i="23"/>
  <c r="H1316" i="23"/>
  <c r="H1317" i="23"/>
  <c r="H1318" i="23"/>
  <c r="H1319" i="23"/>
  <c r="AO27" i="6"/>
  <c r="B27" i="6"/>
  <c r="S27" i="6"/>
  <c r="AH27" i="6"/>
  <c r="C27" i="6"/>
  <c r="E27" i="6"/>
  <c r="R27" i="6"/>
  <c r="T27" i="6"/>
  <c r="W27" i="6"/>
  <c r="Z27" i="6"/>
  <c r="AC27" i="6"/>
  <c r="AG27" i="6"/>
  <c r="AI27" i="6"/>
  <c r="D27" i="6"/>
  <c r="I1372" i="23"/>
  <c r="I1371" i="23"/>
  <c r="I1370" i="23"/>
  <c r="J1371" i="23"/>
  <c r="J1370" i="23"/>
  <c r="L1370" i="23"/>
  <c r="K1371" i="23"/>
  <c r="K1372" i="23"/>
  <c r="L1373" i="23"/>
  <c r="C1367" i="23"/>
  <c r="W1367" i="23"/>
  <c r="K1370" i="23"/>
  <c r="L1371" i="23"/>
  <c r="L1372" i="23"/>
  <c r="K1373" i="23"/>
  <c r="L1374" i="23"/>
  <c r="N1367" i="23"/>
  <c r="H1372" i="23"/>
  <c r="H1373" i="23"/>
  <c r="H1377" i="23"/>
  <c r="H1378" i="23"/>
  <c r="H1406" i="23"/>
  <c r="H1414" i="23"/>
  <c r="H1370" i="23"/>
  <c r="H1371" i="23"/>
  <c r="H1374" i="23"/>
  <c r="H1375" i="23"/>
  <c r="H1376"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7" i="23"/>
  <c r="H1408" i="23"/>
  <c r="H1409" i="23"/>
  <c r="H1410" i="23"/>
  <c r="H1411" i="23"/>
  <c r="H1412" i="23"/>
  <c r="H1413" i="23"/>
  <c r="H1415" i="23"/>
  <c r="H1416" i="23"/>
  <c r="H1417" i="23"/>
  <c r="B28" i="6"/>
  <c r="E28" i="6"/>
  <c r="AO28" i="6"/>
  <c r="C28" i="6"/>
  <c r="S28" i="6"/>
  <c r="Z28" i="6"/>
  <c r="AG28" i="6"/>
  <c r="AH28" i="6"/>
  <c r="AI28" i="6"/>
  <c r="D28" i="6"/>
  <c r="R28" i="6"/>
  <c r="T28" i="6"/>
  <c r="W28" i="6"/>
  <c r="AC28" i="6"/>
  <c r="I811" i="23"/>
  <c r="I812" i="23"/>
  <c r="J810" i="23"/>
  <c r="J811" i="23"/>
  <c r="I810" i="23"/>
  <c r="C807" i="23"/>
  <c r="W807" i="23"/>
  <c r="K810" i="23"/>
  <c r="L810" i="23"/>
  <c r="K811" i="23"/>
  <c r="L811" i="23"/>
  <c r="K812" i="23"/>
  <c r="L812" i="23"/>
  <c r="K813" i="23"/>
  <c r="L813" i="23"/>
  <c r="L814"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O18" i="6"/>
  <c r="B18" i="6"/>
  <c r="S18" i="6"/>
  <c r="AG18" i="6"/>
  <c r="D18" i="6"/>
  <c r="R18" i="6"/>
  <c r="Z18" i="6"/>
  <c r="AC18" i="6"/>
  <c r="AI18" i="6"/>
  <c r="C18" i="6"/>
  <c r="E18" i="6"/>
  <c r="T18" i="6"/>
  <c r="W18" i="6"/>
  <c r="AH18" i="6"/>
  <c r="J251" i="23"/>
  <c r="I250" i="23"/>
  <c r="I251" i="23"/>
  <c r="J250" i="23"/>
  <c r="I252"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G1642" i="23"/>
  <c r="S1591" i="23"/>
  <c r="R1591" i="23"/>
  <c r="Q1591" i="23"/>
  <c r="P1591" i="23"/>
  <c r="T1591" i="23"/>
  <c r="AO8" i="6"/>
  <c r="B8" i="6"/>
  <c r="C8" i="6"/>
  <c r="D8" i="6"/>
  <c r="E8" i="6"/>
  <c r="R8" i="6"/>
  <c r="S8" i="6"/>
  <c r="T8" i="6"/>
  <c r="W8" i="6"/>
  <c r="Z8" i="6"/>
  <c r="AC8" i="6"/>
  <c r="AG8" i="6"/>
  <c r="AH8" i="6"/>
  <c r="AI8" i="6"/>
  <c r="N1031" i="23"/>
  <c r="H1035" i="23"/>
  <c r="H1045" i="23"/>
  <c r="H1047" i="23"/>
  <c r="H1048" i="23"/>
  <c r="H1049" i="23"/>
  <c r="H1050" i="23"/>
  <c r="H1064" i="23"/>
  <c r="H1076" i="23"/>
  <c r="H1039" i="23"/>
  <c r="H1041" i="23"/>
  <c r="H1042" i="23"/>
  <c r="H1054" i="23"/>
  <c r="H1056" i="23"/>
  <c r="H1062" i="23"/>
  <c r="H1069" i="23"/>
  <c r="H1074" i="23"/>
  <c r="H1078" i="23"/>
  <c r="H1034" i="23"/>
  <c r="H1036" i="23"/>
  <c r="H1037" i="23"/>
  <c r="H1051" i="23"/>
  <c r="H1058" i="23"/>
  <c r="H1059" i="23"/>
  <c r="H1060" i="23"/>
  <c r="H1063" i="23"/>
  <c r="H1065" i="23"/>
  <c r="H1068" i="23"/>
  <c r="H1070" i="23"/>
  <c r="H1072" i="23"/>
  <c r="H1075" i="23"/>
  <c r="H1079" i="23"/>
  <c r="H1081" i="23"/>
  <c r="I1036" i="23"/>
  <c r="J1034" i="23"/>
  <c r="I1035" i="23"/>
  <c r="I1034" i="23"/>
  <c r="K1034" i="23"/>
  <c r="L1037" i="23"/>
  <c r="W1031" i="23"/>
  <c r="L1034" i="23"/>
  <c r="L1036" i="23"/>
  <c r="C1031" i="23"/>
  <c r="K1035" i="23"/>
  <c r="K1036" i="23"/>
  <c r="L1035" i="23"/>
  <c r="AO22" i="6"/>
  <c r="S22" i="6"/>
  <c r="AH22" i="6"/>
  <c r="R22" i="6"/>
  <c r="AG22" i="6"/>
  <c r="B22" i="6"/>
  <c r="D22" i="6"/>
  <c r="T22" i="6"/>
  <c r="AI22" i="6"/>
  <c r="I1147" i="23"/>
  <c r="J1146" i="23"/>
  <c r="I1148" i="23"/>
  <c r="J1147" i="23"/>
  <c r="I1146" i="23"/>
  <c r="W1143" i="23"/>
  <c r="L1146" i="23"/>
  <c r="L1147" i="23"/>
  <c r="L1148" i="23"/>
  <c r="C1143" i="23"/>
  <c r="K1146" i="23"/>
  <c r="K1147" i="23"/>
  <c r="K1148" i="23"/>
  <c r="L1149" i="23"/>
  <c r="N1143" i="23"/>
  <c r="H1150" i="23"/>
  <c r="H1168" i="23"/>
  <c r="H1174" i="23"/>
  <c r="H1178" i="23"/>
  <c r="H1187" i="23"/>
  <c r="H1189" i="23"/>
  <c r="H1190" i="23"/>
  <c r="H1191" i="23"/>
  <c r="H1192" i="23"/>
  <c r="H1193" i="23"/>
  <c r="H1146" i="23"/>
  <c r="H1147" i="23"/>
  <c r="H1148" i="23"/>
  <c r="H1149" i="23"/>
  <c r="H1151" i="23"/>
  <c r="H1152" i="23"/>
  <c r="H1153" i="23"/>
  <c r="H1154" i="23"/>
  <c r="H1155" i="23"/>
  <c r="H1156" i="23"/>
  <c r="H1157" i="23"/>
  <c r="H1158" i="23"/>
  <c r="H1159" i="23"/>
  <c r="H1160" i="23"/>
  <c r="H1161" i="23"/>
  <c r="H1162" i="23"/>
  <c r="H1163" i="23"/>
  <c r="AO24" i="6"/>
  <c r="R24" i="6"/>
  <c r="AH24" i="6"/>
  <c r="B24" i="6"/>
  <c r="T24" i="6"/>
  <c r="Z24" i="6"/>
  <c r="AI24" i="6"/>
  <c r="C24" i="6"/>
  <c r="S24" i="6"/>
  <c r="AG24" i="6"/>
  <c r="B17" i="6"/>
  <c r="D17" i="6"/>
  <c r="S17" i="6"/>
  <c r="W17" i="6"/>
  <c r="AH17" i="6"/>
  <c r="AI17" i="6"/>
  <c r="AO17" i="6"/>
  <c r="E17" i="6"/>
  <c r="AG17" i="6"/>
  <c r="C17" i="6"/>
  <c r="R17" i="6"/>
  <c r="T17" i="6"/>
  <c r="Z17" i="6"/>
  <c r="AC17" i="6"/>
  <c r="I754" i="23"/>
  <c r="J755" i="23"/>
  <c r="I755" i="23"/>
  <c r="J754" i="23"/>
  <c r="I756" i="23"/>
  <c r="C751" i="23"/>
  <c r="W751" i="23"/>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I1484" i="23"/>
  <c r="J1482" i="23"/>
  <c r="I1483" i="23"/>
  <c r="I1482" i="23"/>
  <c r="J1483" i="23"/>
  <c r="W1479" i="23"/>
  <c r="K1482" i="23"/>
  <c r="K1483" i="23"/>
  <c r="K1484" i="23"/>
  <c r="L1485" i="23"/>
  <c r="C1479" i="23"/>
  <c r="L1482" i="23"/>
  <c r="L1483" i="23"/>
  <c r="L1484" i="23"/>
  <c r="K1485" i="23"/>
  <c r="L1486" i="23"/>
  <c r="N1479" i="23"/>
  <c r="H1482" i="23"/>
  <c r="H1483" i="23"/>
  <c r="H1484" i="23"/>
  <c r="H1485" i="23"/>
  <c r="H1486" i="23"/>
  <c r="H1487" i="23"/>
  <c r="H1488" i="23"/>
  <c r="H1489" i="23"/>
  <c r="H1490" i="23"/>
  <c r="H1491" i="23"/>
  <c r="H1492" i="23"/>
  <c r="H1493" i="23"/>
  <c r="H1494" i="23"/>
  <c r="H1495" i="23"/>
  <c r="H1496" i="23"/>
  <c r="H1497" i="23"/>
  <c r="H1498" i="23"/>
  <c r="H1499"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O30" i="6"/>
  <c r="B30" i="6"/>
  <c r="C30" i="6"/>
  <c r="D30" i="6"/>
  <c r="E30" i="6"/>
  <c r="R30" i="6"/>
  <c r="S30" i="6"/>
  <c r="T30" i="6"/>
  <c r="U30" i="6"/>
  <c r="V30" i="6"/>
  <c r="W30" i="6"/>
  <c r="X30" i="6"/>
  <c r="Y30" i="6"/>
  <c r="Z30" i="6"/>
  <c r="AA30" i="6"/>
  <c r="AB30" i="6"/>
  <c r="AC30" i="6"/>
  <c r="AD30" i="6"/>
  <c r="AE30" i="6"/>
  <c r="AF30" i="6"/>
  <c r="AG30" i="6"/>
  <c r="AH30" i="6"/>
  <c r="AI30" i="6"/>
  <c r="I1538" i="23"/>
  <c r="I1539" i="23"/>
  <c r="J1539" i="23"/>
  <c r="I1540" i="23"/>
  <c r="J1538"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O31" i="6"/>
  <c r="B31" i="6"/>
  <c r="C31" i="6"/>
  <c r="D31" i="6"/>
  <c r="E31" i="6"/>
  <c r="R31" i="6"/>
  <c r="S31" i="6"/>
  <c r="T31" i="6"/>
  <c r="U31" i="6"/>
  <c r="V31" i="6"/>
  <c r="W31" i="6"/>
  <c r="X31" i="6"/>
  <c r="Y31" i="6"/>
  <c r="Z31" i="6"/>
  <c r="AA31" i="6"/>
  <c r="AB31" i="6"/>
  <c r="AC31" i="6"/>
  <c r="AD31" i="6"/>
  <c r="AE31" i="6"/>
  <c r="AF31" i="6"/>
  <c r="AG31" i="6"/>
  <c r="AH31" i="6"/>
  <c r="AI31" i="6"/>
  <c r="J698" i="23"/>
  <c r="I700" i="23"/>
  <c r="J699" i="23"/>
  <c r="I698" i="23"/>
  <c r="I699"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7" i="23"/>
  <c r="H733" i="23"/>
  <c r="H737" i="23"/>
  <c r="H738" i="23"/>
  <c r="H739" i="23"/>
  <c r="H740" i="23"/>
  <c r="H741" i="23"/>
  <c r="H742" i="23"/>
  <c r="H743" i="23"/>
  <c r="H744" i="23"/>
  <c r="H745" i="23"/>
  <c r="H725" i="23"/>
  <c r="H730" i="23"/>
  <c r="H734" i="23"/>
  <c r="H735" i="23"/>
  <c r="H724" i="23"/>
  <c r="H731" i="23"/>
  <c r="H726" i="23"/>
  <c r="H732" i="23"/>
  <c r="H736" i="23"/>
  <c r="H723" i="23"/>
  <c r="H728" i="23"/>
  <c r="H729" i="23"/>
  <c r="B16" i="6"/>
  <c r="AO16" i="6"/>
  <c r="R16" i="6"/>
  <c r="S16" i="6"/>
  <c r="T16" i="6"/>
  <c r="AC16" i="6"/>
  <c r="AG16" i="6"/>
  <c r="I644" i="23"/>
  <c r="J643" i="23"/>
  <c r="I643" i="23"/>
  <c r="J642" i="23"/>
  <c r="I642"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O15" i="6"/>
  <c r="B15" i="6"/>
  <c r="C15" i="6"/>
  <c r="D15" i="6"/>
  <c r="E15" i="6"/>
  <c r="R15" i="6"/>
  <c r="S15" i="6"/>
  <c r="T15" i="6"/>
  <c r="W15" i="6"/>
  <c r="Z15" i="6"/>
  <c r="AC15" i="6"/>
  <c r="AG15" i="6"/>
  <c r="AH15" i="6"/>
  <c r="AI15" i="6"/>
  <c r="J306" i="23"/>
  <c r="I307" i="23"/>
  <c r="I306" i="23"/>
  <c r="I308" i="23"/>
  <c r="J307"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O9" i="6"/>
  <c r="B9" i="6"/>
  <c r="C9" i="6"/>
  <c r="D9" i="6"/>
  <c r="E9" i="6"/>
  <c r="R9" i="6"/>
  <c r="S9" i="6"/>
  <c r="T9" i="6"/>
  <c r="W9" i="6"/>
  <c r="Z9" i="6"/>
  <c r="AC9" i="6"/>
  <c r="AG9" i="6"/>
  <c r="AH9" i="6"/>
  <c r="AI9" i="6"/>
  <c r="J474" i="23"/>
  <c r="I475" i="23"/>
  <c r="I476" i="23"/>
  <c r="I474" i="23"/>
  <c r="J475" i="23"/>
  <c r="C471" i="23"/>
  <c r="W471" i="23"/>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AO12" i="6"/>
  <c r="B12" i="6"/>
  <c r="C12" i="6"/>
  <c r="D12" i="6"/>
  <c r="E12" i="6"/>
  <c r="R12" i="6"/>
  <c r="S12" i="6"/>
  <c r="T12" i="6"/>
  <c r="W12" i="6"/>
  <c r="Z12" i="6"/>
  <c r="AC12" i="6"/>
  <c r="AG12" i="6"/>
  <c r="AH12" i="6"/>
  <c r="AI12" i="6"/>
  <c r="N1423" i="23"/>
  <c r="H1430" i="23"/>
  <c r="H1446" i="23"/>
  <c r="H1448" i="23"/>
  <c r="H1452" i="23"/>
  <c r="H1460" i="23"/>
  <c r="H1462" i="23"/>
  <c r="H1426" i="23"/>
  <c r="H1427" i="23"/>
  <c r="H1428" i="23"/>
  <c r="H1429" i="23"/>
  <c r="H1431" i="23"/>
  <c r="H1432" i="23"/>
  <c r="H1433" i="23"/>
  <c r="H1434" i="23"/>
  <c r="H1435" i="23"/>
  <c r="H1436" i="23"/>
  <c r="H1437" i="23"/>
  <c r="H1438" i="23"/>
  <c r="H1439" i="23"/>
  <c r="H1440" i="23"/>
  <c r="H1441" i="23"/>
  <c r="H1442" i="23"/>
  <c r="H1443" i="23"/>
  <c r="H1444" i="23"/>
  <c r="H1445" i="23"/>
  <c r="H1447" i="23"/>
  <c r="H1449" i="23"/>
  <c r="H1450" i="23"/>
  <c r="H1451" i="23"/>
  <c r="H1453" i="23"/>
  <c r="H1454" i="23"/>
  <c r="H1455" i="23"/>
  <c r="H1456" i="23"/>
  <c r="H1457" i="23"/>
  <c r="H1458" i="23"/>
  <c r="H1459" i="23"/>
  <c r="H1461" i="23"/>
  <c r="H1463" i="23"/>
  <c r="H1464" i="23"/>
  <c r="H1465" i="23"/>
  <c r="H1466" i="23"/>
  <c r="H1467" i="23"/>
  <c r="H1468" i="23"/>
  <c r="H1469" i="23"/>
  <c r="H1470" i="23"/>
  <c r="H1471" i="23"/>
  <c r="H1472" i="23"/>
  <c r="H1473" i="23"/>
  <c r="I1426" i="23"/>
  <c r="J1427" i="23"/>
  <c r="I1428" i="23"/>
  <c r="I1427" i="23"/>
  <c r="J1426" i="23"/>
  <c r="W1423" i="23"/>
  <c r="K1426" i="23"/>
  <c r="K1427" i="23"/>
  <c r="L1428" i="23"/>
  <c r="K1429" i="23"/>
  <c r="L1429" i="23"/>
  <c r="C1423" i="23"/>
  <c r="L1426" i="23"/>
  <c r="L1427" i="23"/>
  <c r="K1428" i="23"/>
  <c r="L1430" i="23"/>
  <c r="AO29" i="6"/>
  <c r="C29" i="6"/>
  <c r="S29" i="6"/>
  <c r="V29" i="6"/>
  <c r="Y29" i="6"/>
  <c r="AC29" i="6"/>
  <c r="AH29" i="6"/>
  <c r="D29" i="6"/>
  <c r="E29" i="6"/>
  <c r="T29" i="6"/>
  <c r="W29" i="6"/>
  <c r="Z29" i="6"/>
  <c r="AD29" i="6"/>
  <c r="AG29" i="6"/>
  <c r="B29" i="6"/>
  <c r="R29" i="6"/>
  <c r="U29" i="6"/>
  <c r="X29" i="6"/>
  <c r="AA29" i="6"/>
  <c r="AB29" i="6"/>
  <c r="AE29" i="6"/>
  <c r="AF29" i="6"/>
  <c r="AI29" i="6"/>
  <c r="I586" i="23"/>
  <c r="I587" i="23"/>
  <c r="I588" i="23"/>
  <c r="J586" i="23"/>
  <c r="J587" i="23"/>
  <c r="C583" i="23"/>
  <c r="W583" i="23"/>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AO14" i="6"/>
  <c r="B14" i="6"/>
  <c r="C14" i="6"/>
  <c r="D14" i="6"/>
  <c r="E14" i="6"/>
  <c r="R14" i="6"/>
  <c r="S14" i="6"/>
  <c r="T14" i="6"/>
  <c r="W14" i="6"/>
  <c r="Z14" i="6"/>
  <c r="AC14" i="6"/>
  <c r="AG14" i="6"/>
  <c r="AH14" i="6"/>
  <c r="AI14" i="6"/>
  <c r="J1203" i="23"/>
  <c r="J1202" i="23"/>
  <c r="I1203" i="23"/>
  <c r="I1202" i="23"/>
  <c r="I1204" i="23"/>
  <c r="C1199" i="23"/>
  <c r="W1199" i="23"/>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AG25" i="6"/>
  <c r="AO25" i="6"/>
  <c r="R25" i="6"/>
  <c r="AI25" i="6"/>
  <c r="B25" i="6"/>
  <c r="S25" i="6"/>
  <c r="AH25" i="6"/>
  <c r="I980" i="23"/>
  <c r="J979" i="23"/>
  <c r="I979" i="23"/>
  <c r="J978" i="23"/>
  <c r="I978"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O21" i="6"/>
  <c r="S21" i="6"/>
  <c r="AI21" i="6"/>
  <c r="AG21" i="6"/>
  <c r="B21" i="6"/>
  <c r="C21" i="6"/>
  <c r="R21" i="6"/>
  <c r="T21" i="6"/>
  <c r="AH21" i="6"/>
  <c r="I420" i="23"/>
  <c r="J419" i="23"/>
  <c r="I419" i="23"/>
  <c r="J418" i="23"/>
  <c r="I418" i="23"/>
  <c r="C415" i="23"/>
  <c r="W415" i="23"/>
  <c r="K418" i="23"/>
  <c r="L418" i="23"/>
  <c r="K419" i="23"/>
  <c r="L419" i="23"/>
  <c r="K420" i="23"/>
  <c r="L420" i="23"/>
  <c r="L421" i="23"/>
  <c r="N415"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AO11" i="6"/>
  <c r="B11" i="6"/>
  <c r="C11" i="6"/>
  <c r="D11" i="6"/>
  <c r="E11" i="6"/>
  <c r="R11" i="6"/>
  <c r="S11" i="6"/>
  <c r="T11" i="6"/>
  <c r="W11" i="6"/>
  <c r="Z11" i="6"/>
  <c r="AC11" i="6"/>
  <c r="AG11" i="6"/>
  <c r="AH11" i="6"/>
  <c r="AI11" i="6"/>
  <c r="I530" i="23"/>
  <c r="J530" i="23"/>
  <c r="I532" i="23"/>
  <c r="J531" i="23"/>
  <c r="I531" i="23"/>
  <c r="C527" i="23"/>
  <c r="W527" i="23"/>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O13" i="6"/>
  <c r="B13" i="6"/>
  <c r="C13" i="6"/>
  <c r="D13" i="6"/>
  <c r="E13" i="6"/>
  <c r="R13" i="6"/>
  <c r="S13" i="6"/>
  <c r="T13" i="6"/>
  <c r="W13" i="6"/>
  <c r="Z13" i="6"/>
  <c r="AC13" i="6"/>
  <c r="AG13" i="6"/>
  <c r="AH13" i="6"/>
  <c r="AI13" i="6"/>
  <c r="J362" i="23"/>
  <c r="I363" i="23"/>
  <c r="J363" i="23"/>
  <c r="I362" i="23"/>
  <c r="I364" i="23"/>
  <c r="C359" i="23"/>
  <c r="W359" i="23"/>
  <c r="K362" i="23"/>
  <c r="L362" i="23"/>
  <c r="K363" i="23"/>
  <c r="L363" i="23"/>
  <c r="K364" i="23"/>
  <c r="L364" i="23"/>
  <c r="K365" i="23"/>
  <c r="L365" i="23"/>
  <c r="L366" i="23"/>
  <c r="N359"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AO10" i="6"/>
  <c r="B10" i="6"/>
  <c r="R10" i="6"/>
  <c r="S10" i="6"/>
  <c r="AG10" i="6"/>
  <c r="AH10" i="6"/>
  <c r="AI10" i="6"/>
  <c r="B26" i="6"/>
  <c r="E26" i="6"/>
  <c r="S26" i="6"/>
  <c r="W26" i="6"/>
  <c r="AH26" i="6"/>
  <c r="D26" i="6"/>
  <c r="R26" i="6"/>
  <c r="AC26" i="6"/>
  <c r="AI26" i="6"/>
  <c r="AO26" i="6"/>
  <c r="C26" i="6"/>
  <c r="T26" i="6"/>
  <c r="Z26" i="6"/>
  <c r="AG26" i="6"/>
  <c r="J1258" i="23"/>
  <c r="J1259" i="23"/>
  <c r="I1260" i="23"/>
  <c r="I1258" i="23"/>
  <c r="I1259"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U3751" i="22"/>
  <c r="U3427" i="22"/>
  <c r="U3373" i="22"/>
  <c r="U3157" i="22"/>
  <c r="U3103" i="22"/>
  <c r="U3049" i="22"/>
  <c r="U2833" i="22"/>
  <c r="U2563" i="22"/>
  <c r="U2239" i="22"/>
  <c r="U2185" i="22"/>
  <c r="U1861" i="22"/>
  <c r="U1807" i="22"/>
  <c r="U1645" i="22"/>
  <c r="U1591" i="22"/>
  <c r="U1321" i="22"/>
  <c r="U1267" i="22"/>
  <c r="U1213" i="22"/>
  <c r="U1159" i="22"/>
  <c r="U997" i="22"/>
  <c r="U943" i="22"/>
  <c r="U889" i="22"/>
  <c r="U835" i="22"/>
  <c r="U673" i="22"/>
  <c r="U403" i="22"/>
  <c r="U349"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7" i="18"/>
  <c r="F6" i="18"/>
  <c r="C57" i="10" s="1"/>
  <c r="C7" i="18"/>
  <c r="B4049" i="22"/>
  <c r="A4103" i="22"/>
  <c r="B4103" i="22"/>
  <c r="A4157" i="22"/>
  <c r="B4157" i="22"/>
  <c r="A4211" i="22"/>
  <c r="B4211" i="22"/>
  <c r="A4049" i="22"/>
  <c r="N4618" i="22"/>
  <c r="C27" i="24"/>
  <c r="D27" i="24" s="1"/>
  <c r="K19" i="2"/>
  <c r="C15" i="10"/>
  <c r="G8" i="18"/>
  <c r="C8" i="18"/>
  <c r="G4049" i="22"/>
  <c r="J4049" i="22" s="1"/>
  <c r="G4103" i="22"/>
  <c r="J4103" i="22" s="1"/>
  <c r="G4157" i="22"/>
  <c r="J4157" i="22" s="1"/>
  <c r="G4211" i="22"/>
  <c r="J4211" i="22" s="1"/>
  <c r="O4618" i="22"/>
  <c r="G4619" i="22" s="1"/>
  <c r="C28" i="24"/>
  <c r="D28" i="24" s="1"/>
  <c r="L12" i="18"/>
  <c r="D48" i="9"/>
  <c r="C16" i="10"/>
  <c r="J16" i="10"/>
  <c r="G6" i="18"/>
  <c r="D57" i="10" s="1"/>
  <c r="C9" i="18"/>
  <c r="E4049" i="22"/>
  <c r="E4103" i="22"/>
  <c r="E4157" i="22"/>
  <c r="E4211" i="22"/>
  <c r="C29" i="24"/>
  <c r="D29" i="24" s="1"/>
  <c r="D49" i="9"/>
  <c r="C17" i="10"/>
  <c r="J17" i="10"/>
  <c r="G9" i="18"/>
  <c r="C10" i="18"/>
  <c r="H4103" i="22"/>
  <c r="H4157" i="22"/>
  <c r="H4211" i="22"/>
  <c r="H4049" i="22"/>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T34" i="17"/>
  <c r="S35" i="17"/>
  <c r="S36" i="17"/>
  <c r="S37" i="17"/>
  <c r="S38" i="17"/>
  <c r="S39" i="17"/>
  <c r="S40" i="17"/>
  <c r="S41" i="17"/>
  <c r="S42" i="17"/>
  <c r="S43" i="17"/>
  <c r="T44" i="17"/>
  <c r="S45" i="17"/>
  <c r="S46" i="17"/>
  <c r="T47" i="17"/>
  <c r="S48" i="17"/>
  <c r="S49" i="17"/>
  <c r="T50" i="17"/>
  <c r="T51" i="17"/>
  <c r="S52" i="17"/>
  <c r="T53" i="17"/>
  <c r="T54" i="17"/>
  <c r="S57" i="17"/>
  <c r="T58" i="17"/>
  <c r="T59" i="17"/>
  <c r="T60" i="17"/>
  <c r="T61" i="17"/>
  <c r="T62" i="17"/>
  <c r="S63" i="17"/>
  <c r="E47" i="19"/>
  <c r="G47" i="19" s="1"/>
  <c r="S33" i="17"/>
  <c r="T33" i="17"/>
  <c r="S34" i="17"/>
  <c r="T35" i="17"/>
  <c r="T36" i="17"/>
  <c r="T37" i="17"/>
  <c r="T38" i="17"/>
  <c r="T39" i="17"/>
  <c r="T40" i="17"/>
  <c r="T41" i="17"/>
  <c r="T42" i="17"/>
  <c r="T43" i="17"/>
  <c r="S44" i="17"/>
  <c r="T45" i="17"/>
  <c r="T46" i="17"/>
  <c r="S47" i="17"/>
  <c r="T48" i="17"/>
  <c r="T49" i="17"/>
  <c r="S50" i="17"/>
  <c r="S51" i="17"/>
  <c r="T52" i="17"/>
  <c r="S53" i="17"/>
  <c r="S54" i="17"/>
  <c r="S55" i="17"/>
  <c r="T55" i="17"/>
  <c r="S56" i="17"/>
  <c r="T56" i="17"/>
  <c r="T57" i="17"/>
  <c r="S58" i="17"/>
  <c r="S59" i="17"/>
  <c r="S60" i="17"/>
  <c r="S61" i="17"/>
  <c r="S62" i="17"/>
  <c r="T63" i="17"/>
  <c r="S64" i="17"/>
  <c r="T64" i="17"/>
  <c r="U4051" i="22"/>
  <c r="T4052" i="22"/>
  <c r="S4054" i="22"/>
  <c r="T4056" i="22"/>
  <c r="S4057" i="22"/>
  <c r="S4058" i="22"/>
  <c r="S4059" i="22"/>
  <c r="T4060" i="22"/>
  <c r="T4062" i="22"/>
  <c r="S4063" i="22"/>
  <c r="T4063" i="22"/>
  <c r="S4064" i="22"/>
  <c r="S4065" i="22"/>
  <c r="T4065" i="22"/>
  <c r="T4067" i="22"/>
  <c r="T4068" i="22"/>
  <c r="T4069" i="22"/>
  <c r="S4070" i="22"/>
  <c r="T4070" i="22"/>
  <c r="S4071" i="22"/>
  <c r="S4072" i="22"/>
  <c r="T4073" i="22"/>
  <c r="T4074" i="22"/>
  <c r="S4075" i="22"/>
  <c r="S4076" i="22"/>
  <c r="T4076" i="22"/>
  <c r="S4077" i="22"/>
  <c r="T4077" i="22"/>
  <c r="S4078" i="22"/>
  <c r="T4078" i="22"/>
  <c r="S4079" i="22"/>
  <c r="T4079" i="22"/>
  <c r="S4080" i="22"/>
  <c r="T4080" i="22"/>
  <c r="S4081" i="22"/>
  <c r="T4081" i="22"/>
  <c r="S4082" i="22"/>
  <c r="T4082" i="22"/>
  <c r="S4083" i="22"/>
  <c r="S4084" i="22"/>
  <c r="S4085" i="22"/>
  <c r="S4086" i="22"/>
  <c r="T4087" i="22"/>
  <c r="T4089" i="22"/>
  <c r="T4090" i="22"/>
  <c r="T4091" i="22"/>
  <c r="S4092"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051" i="22"/>
  <c r="T4051" i="22"/>
  <c r="S4052" i="22"/>
  <c r="S4053" i="22"/>
  <c r="T4053" i="22"/>
  <c r="T4054" i="22"/>
  <c r="S4055" i="22"/>
  <c r="T4055" i="22"/>
  <c r="S4056" i="22"/>
  <c r="T4057" i="22"/>
  <c r="T4058" i="22"/>
  <c r="T4059" i="22"/>
  <c r="S4060" i="22"/>
  <c r="S4061" i="22"/>
  <c r="T4061" i="22"/>
  <c r="S4062" i="22"/>
  <c r="T4064" i="22"/>
  <c r="S4066" i="22"/>
  <c r="T4066" i="22"/>
  <c r="S4067" i="22"/>
  <c r="S4068" i="22"/>
  <c r="S4069" i="22"/>
  <c r="T4071" i="22"/>
  <c r="T4072" i="22"/>
  <c r="S4073" i="22"/>
  <c r="S4074" i="22"/>
  <c r="T4075" i="22"/>
  <c r="T4083" i="22"/>
  <c r="T4084" i="22"/>
  <c r="T4085" i="22"/>
  <c r="T4086" i="22"/>
  <c r="S4087" i="22"/>
  <c r="S4088" i="22"/>
  <c r="T4088" i="22"/>
  <c r="S4089" i="22"/>
  <c r="S4090" i="22"/>
  <c r="S4091" i="22"/>
  <c r="T4092" i="22"/>
  <c r="S4093"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B35" i="9"/>
  <c r="U2293" i="22"/>
  <c r="N4106" i="22"/>
  <c r="U4106" i="22" s="1"/>
  <c r="M4106" i="22"/>
  <c r="N4052" i="22"/>
  <c r="U4052" i="22" s="1"/>
  <c r="M4052" i="22"/>
  <c r="N3752" i="22"/>
  <c r="U3752" i="22" s="1"/>
  <c r="M3752" i="22"/>
  <c r="M3753" i="22"/>
  <c r="M3483" i="22"/>
  <c r="M3375" i="22"/>
  <c r="M3159" i="22"/>
  <c r="N3104" i="22"/>
  <c r="U3104" i="22" s="1"/>
  <c r="M3104" i="22"/>
  <c r="N3050" i="22"/>
  <c r="U3050" i="22" s="1"/>
  <c r="M3050" i="22"/>
  <c r="M3051" i="22"/>
  <c r="M2835" i="22"/>
  <c r="N2564" i="22"/>
  <c r="U2564" i="22" s="1"/>
  <c r="M2564" i="22"/>
  <c r="M2565" i="22"/>
  <c r="N2294" i="22"/>
  <c r="U2294" i="22" s="1"/>
  <c r="M2294" i="22"/>
  <c r="N1916" i="22"/>
  <c r="U1916" i="22" s="1"/>
  <c r="M1916" i="22"/>
  <c r="M1917" i="22"/>
  <c r="N1862" i="22"/>
  <c r="U1862" i="22" s="1"/>
  <c r="M1862" i="22"/>
  <c r="N1808" i="22"/>
  <c r="U1808" i="22" s="1"/>
  <c r="M1808" i="22"/>
  <c r="M1809" i="22"/>
  <c r="M1593" i="22"/>
  <c r="N1268" i="22"/>
  <c r="U1268" i="22" s="1"/>
  <c r="M1268" i="22"/>
  <c r="M1269" i="22"/>
  <c r="N1214" i="22"/>
  <c r="U1214" i="22" s="1"/>
  <c r="M1214" i="22"/>
  <c r="N1160" i="22"/>
  <c r="U1160" i="22" s="1"/>
  <c r="M1160" i="22"/>
  <c r="M1161" i="22"/>
  <c r="M1052" i="22"/>
  <c r="N1052" i="22"/>
  <c r="U1052" i="22" s="1"/>
  <c r="N998" i="22"/>
  <c r="U998" i="22" s="1"/>
  <c r="M998" i="22"/>
  <c r="M999" i="22"/>
  <c r="M837" i="22"/>
  <c r="N404" i="22"/>
  <c r="U404" i="22" s="1"/>
  <c r="M404" i="22"/>
  <c r="N350" i="22"/>
  <c r="U350" i="22" s="1"/>
  <c r="M350" i="22"/>
  <c r="M351" i="22"/>
  <c r="I4321" i="22"/>
  <c r="I4319" i="22"/>
  <c r="I4312" i="22"/>
  <c r="I4308" i="22"/>
  <c r="I4301" i="22"/>
  <c r="I4298" i="22"/>
  <c r="I4291" i="22"/>
  <c r="I4287" i="22"/>
  <c r="I4280" i="22"/>
  <c r="I4278" i="22"/>
  <c r="I4273" i="22"/>
  <c r="I4270" i="22"/>
  <c r="I4269" i="22"/>
  <c r="K4161" i="22"/>
  <c r="F4161" i="22"/>
  <c r="K3591" i="22"/>
  <c r="F3591" i="22"/>
  <c r="O3591" i="22" s="1"/>
  <c r="F3537" i="22"/>
  <c r="O3537" i="22" s="1"/>
  <c r="K3537" i="22"/>
  <c r="K3429" i="22"/>
  <c r="F3429" i="22"/>
  <c r="O3429" i="22" s="1"/>
  <c r="K3267" i="22"/>
  <c r="F3267" i="22"/>
  <c r="O3267" i="22" s="1"/>
  <c r="F3213" i="22"/>
  <c r="O3213" i="22" s="1"/>
  <c r="K3213" i="22"/>
  <c r="F2943" i="22"/>
  <c r="O2943" i="22" s="1"/>
  <c r="K2943" i="22"/>
  <c r="K2889" i="22"/>
  <c r="F2889" i="22"/>
  <c r="O2889" i="22" s="1"/>
  <c r="F2781" i="22"/>
  <c r="O2781" i="22" s="1"/>
  <c r="K2781" i="22"/>
  <c r="F2673" i="22"/>
  <c r="O2673" i="22" s="1"/>
  <c r="K2673" i="22"/>
  <c r="F2619" i="22"/>
  <c r="O2619" i="22" s="1"/>
  <c r="K2619" i="22"/>
  <c r="K2403" i="22"/>
  <c r="F2403" i="22"/>
  <c r="O2403" i="22" s="1"/>
  <c r="F2295" i="22"/>
  <c r="O2295" i="22" s="1"/>
  <c r="K2295" i="22"/>
  <c r="K2241" i="22"/>
  <c r="F2241" i="22"/>
  <c r="O2241" i="22" s="1"/>
  <c r="F2187" i="22"/>
  <c r="O2187" i="22" s="1"/>
  <c r="K2187" i="22"/>
  <c r="K1863" i="22"/>
  <c r="F1863" i="22"/>
  <c r="O1863" i="22" s="1"/>
  <c r="F1755" i="22"/>
  <c r="O1755" i="22" s="1"/>
  <c r="K1755" i="22"/>
  <c r="K1647" i="22"/>
  <c r="F1647" i="22"/>
  <c r="O1647" i="22" s="1"/>
  <c r="K1377" i="22"/>
  <c r="F1377" i="22"/>
  <c r="O1377" i="22" s="1"/>
  <c r="F1323" i="22"/>
  <c r="O1323" i="22" s="1"/>
  <c r="K1323" i="22"/>
  <c r="K1215" i="22"/>
  <c r="F1215" i="22"/>
  <c r="O1215" i="22" s="1"/>
  <c r="K675" i="22"/>
  <c r="F675" i="22"/>
  <c r="O675" i="22" s="1"/>
  <c r="K621" i="22"/>
  <c r="F621" i="22"/>
  <c r="O621" i="22" s="1"/>
  <c r="F135" i="22"/>
  <c r="O135" i="22" s="1"/>
  <c r="K135" i="22"/>
  <c r="K81" i="22"/>
  <c r="F81" i="22"/>
  <c r="O81" i="22" s="1"/>
  <c r="Q24" i="7"/>
  <c r="C24" i="7"/>
  <c r="G24" i="7"/>
  <c r="H24" i="7"/>
  <c r="Q21" i="7"/>
  <c r="G21" i="7"/>
  <c r="C21" i="7"/>
  <c r="H21" i="7"/>
  <c r="Q20" i="7"/>
  <c r="G20" i="7"/>
  <c r="C20" i="7"/>
  <c r="H20" i="7"/>
  <c r="Q28" i="7"/>
  <c r="C28" i="7"/>
  <c r="H28" i="7"/>
  <c r="G28" i="7"/>
  <c r="Q29" i="7"/>
  <c r="H29" i="7"/>
  <c r="C29" i="7"/>
  <c r="G29" i="7"/>
  <c r="Q19" i="7"/>
  <c r="C19" i="7"/>
  <c r="G19" i="7"/>
  <c r="H19" i="7"/>
  <c r="Q9" i="7"/>
  <c r="H9" i="7"/>
  <c r="G9" i="7"/>
  <c r="C9" i="7"/>
  <c r="F99" i="8"/>
  <c r="Q23" i="7"/>
  <c r="G23" i="7"/>
  <c r="H23" i="7"/>
  <c r="C23" i="7"/>
  <c r="Q25" i="7"/>
  <c r="C25" i="7"/>
  <c r="G25" i="7"/>
  <c r="H25" i="7"/>
  <c r="Q18" i="7"/>
  <c r="C18" i="7"/>
  <c r="G18" i="7"/>
  <c r="H18" i="7"/>
  <c r="Q17" i="7"/>
  <c r="H17" i="7"/>
  <c r="C17" i="7"/>
  <c r="G17" i="7"/>
  <c r="Q16" i="7"/>
  <c r="C16" i="7"/>
  <c r="G16" i="7"/>
  <c r="H16" i="7"/>
  <c r="Q10" i="7"/>
  <c r="G10" i="7"/>
  <c r="H10" i="7"/>
  <c r="C10" i="7"/>
  <c r="Q13" i="7"/>
  <c r="H13" i="7"/>
  <c r="G13" i="7"/>
  <c r="C13" i="7"/>
  <c r="Q15" i="7"/>
  <c r="C15" i="7"/>
  <c r="G15" i="7"/>
  <c r="H15" i="7"/>
  <c r="Q26" i="7"/>
  <c r="C26" i="7"/>
  <c r="G26" i="7"/>
  <c r="H26" i="7"/>
  <c r="Q22" i="7"/>
  <c r="G22" i="7"/>
  <c r="C22" i="7"/>
  <c r="H22" i="7"/>
  <c r="Q12" i="7"/>
  <c r="C12" i="7"/>
  <c r="G12" i="7"/>
  <c r="E12" i="7"/>
  <c r="B75" i="7"/>
  <c r="C75" i="7"/>
  <c r="D75" i="7"/>
  <c r="F75" i="7"/>
  <c r="G75" i="7"/>
  <c r="H75" i="7"/>
  <c r="I75" i="7"/>
  <c r="J75" i="7"/>
  <c r="K75" i="7"/>
  <c r="L75" i="7"/>
  <c r="M75" i="7"/>
  <c r="E75" i="7"/>
  <c r="H12" i="7"/>
  <c r="Q14" i="7"/>
  <c r="C14" i="7"/>
  <c r="H14" i="7"/>
  <c r="G14" i="7"/>
  <c r="Q11" i="7"/>
  <c r="C11" i="7"/>
  <c r="H11" i="7"/>
  <c r="G11" i="7"/>
  <c r="Q27" i="7"/>
  <c r="G27" i="7"/>
  <c r="C27" i="7"/>
  <c r="H27" i="7"/>
  <c r="U3481" i="22"/>
  <c r="U2887" i="22"/>
  <c r="U1915" i="22"/>
  <c r="S4675" i="22"/>
  <c r="G4325" i="22"/>
  <c r="I4325" i="22" s="1"/>
  <c r="H4325" i="22"/>
  <c r="G4323" i="22"/>
  <c r="I4323" i="22" s="1"/>
  <c r="H4323" i="22"/>
  <c r="G4324" i="22"/>
  <c r="I4324" i="22" s="1"/>
  <c r="H4324" i="22"/>
  <c r="H4322" i="22"/>
  <c r="G4322" i="22"/>
  <c r="I4322" i="22" s="1"/>
  <c r="G4328" i="22"/>
  <c r="I4328" i="22" s="1"/>
  <c r="H4327" i="22"/>
  <c r="G4327" i="22"/>
  <c r="I4327" i="22" s="1"/>
  <c r="H4328" i="22"/>
  <c r="I4326" i="22" l="1"/>
  <c r="I4329" i="22"/>
  <c r="E58" i="19"/>
  <c r="G58" i="19" s="1"/>
  <c r="N3105" i="22"/>
  <c r="U3105" i="22" s="1"/>
  <c r="M3105" i="22"/>
  <c r="K1597" i="23"/>
  <c r="F1597" i="23"/>
  <c r="I1592" i="23"/>
  <c r="O1596" i="23"/>
  <c r="AE1596" i="23" s="1"/>
  <c r="F1317" i="23"/>
  <c r="K1317" i="23"/>
  <c r="K1149" i="23"/>
  <c r="F1149" i="23"/>
  <c r="K4678" i="22"/>
  <c r="F4678" i="22"/>
  <c r="K2890" i="22"/>
  <c r="F2890" i="22"/>
  <c r="O2890" i="22" s="1"/>
  <c r="K1162" i="22"/>
  <c r="F1162" i="22"/>
  <c r="O1162" i="22" s="1"/>
  <c r="K1108" i="22"/>
  <c r="F1108" i="22"/>
  <c r="O1108" i="22" s="1"/>
  <c r="K1054" i="22"/>
  <c r="F1054" i="22"/>
  <c r="O1054" i="22" s="1"/>
  <c r="K82" i="22"/>
  <c r="F82" i="22"/>
  <c r="O82" i="22" s="1"/>
  <c r="H1179" i="23"/>
  <c r="H1166" i="23"/>
  <c r="H1181" i="23"/>
  <c r="H1164" i="23"/>
  <c r="H1183" i="23"/>
  <c r="H1184" i="23"/>
  <c r="H1185" i="23"/>
  <c r="H1186" i="23"/>
  <c r="H1188" i="23"/>
  <c r="H1165" i="23"/>
  <c r="H1182" i="23"/>
  <c r="H1167" i="23"/>
  <c r="H1169" i="23"/>
  <c r="H1170" i="23"/>
  <c r="H1171" i="23"/>
  <c r="H1180" i="23"/>
  <c r="H1172" i="23"/>
  <c r="H1173" i="23"/>
  <c r="H1175" i="23"/>
  <c r="H1176" i="23"/>
  <c r="H1177" i="23"/>
  <c r="C16" i="6"/>
  <c r="W16" i="6"/>
  <c r="Z16" i="6"/>
  <c r="D16" i="6"/>
  <c r="E16" i="6"/>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489" i="23"/>
  <c r="H490" i="23"/>
  <c r="H491" i="23"/>
  <c r="H492" i="23"/>
  <c r="H493" i="23"/>
  <c r="H494" i="23"/>
  <c r="H495" i="23"/>
  <c r="H496" i="23"/>
  <c r="H625" i="23"/>
  <c r="H626" i="23"/>
  <c r="H627" i="23"/>
  <c r="H628" i="23"/>
  <c r="H629" i="23"/>
  <c r="H630" i="23"/>
  <c r="H631" i="23"/>
  <c r="H632" i="23"/>
  <c r="H633" i="23"/>
  <c r="H624" i="23"/>
  <c r="H617" i="23"/>
  <c r="H618" i="23"/>
  <c r="H619" i="23"/>
  <c r="H620" i="23"/>
  <c r="H621" i="23"/>
  <c r="H622" i="23"/>
  <c r="H623" i="23"/>
  <c r="H364" i="23"/>
  <c r="H363" i="23"/>
  <c r="E10" i="6"/>
  <c r="T10" i="6"/>
  <c r="Z10" i="6"/>
  <c r="AC10" i="6"/>
  <c r="D10" i="6"/>
  <c r="C10" i="6"/>
  <c r="W10" i="6"/>
  <c r="M1597" i="23"/>
  <c r="J1597" i="23"/>
  <c r="N1597" i="23" s="1"/>
  <c r="AE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E1542" i="23"/>
  <c r="F1542" i="23"/>
  <c r="G1542" i="23"/>
  <c r="B1543" i="23"/>
  <c r="J1485" i="23"/>
  <c r="N1485" i="23" s="1"/>
  <c r="AE1485" i="23" s="1"/>
  <c r="D1485" i="23"/>
  <c r="P1485" i="23"/>
  <c r="Q1485" i="23"/>
  <c r="R1485" i="23"/>
  <c r="I1486" i="23"/>
  <c r="C1486" i="23"/>
  <c r="F1486" i="23" s="1"/>
  <c r="E1486" i="23"/>
  <c r="G1486" i="23"/>
  <c r="B1487" i="23"/>
  <c r="I1430" i="23"/>
  <c r="C1430" i="23"/>
  <c r="E1430" i="23"/>
  <c r="F1430" i="23"/>
  <c r="G1430" i="23"/>
  <c r="B1431" i="23"/>
  <c r="J1429" i="23"/>
  <c r="N1429" i="23" s="1"/>
  <c r="AE1429" i="23" s="1"/>
  <c r="D1429" i="23"/>
  <c r="P1429" i="23"/>
  <c r="Q1429" i="23"/>
  <c r="R1429" i="23"/>
  <c r="J1373" i="23"/>
  <c r="N1373" i="23" s="1"/>
  <c r="D1373" i="23"/>
  <c r="P1373" i="23"/>
  <c r="Q1373" i="23"/>
  <c r="R1373" i="23"/>
  <c r="I1374" i="23"/>
  <c r="E1374" i="23"/>
  <c r="G1374" i="23"/>
  <c r="C1374" i="23"/>
  <c r="F1374" i="23" s="1"/>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N1205" i="23" s="1"/>
  <c r="D1205" i="23"/>
  <c r="P1205" i="23"/>
  <c r="Q1205" i="23"/>
  <c r="R1205" i="23"/>
  <c r="I1206" i="23"/>
  <c r="C1206" i="23"/>
  <c r="F1206" i="23" s="1"/>
  <c r="E1206" i="23"/>
  <c r="G1206" i="23"/>
  <c r="B1207" i="23"/>
  <c r="P1149" i="23"/>
  <c r="Q1149" i="23"/>
  <c r="R1149" i="23"/>
  <c r="J1149" i="23"/>
  <c r="N1149" i="23" s="1"/>
  <c r="D1149" i="23"/>
  <c r="I1150" i="23"/>
  <c r="B1151" i="23"/>
  <c r="C1150" i="23"/>
  <c r="F1150" i="23" s="1"/>
  <c r="E1150" i="23"/>
  <c r="G1150" i="23"/>
  <c r="J1093" i="23"/>
  <c r="N1093" i="23" s="1"/>
  <c r="D1093" i="23"/>
  <c r="P1093" i="23"/>
  <c r="Q1093" i="23"/>
  <c r="R1093" i="23"/>
  <c r="I1094" i="23"/>
  <c r="E1094" i="23"/>
  <c r="G1094" i="23"/>
  <c r="B1095" i="23"/>
  <c r="C1094" i="23"/>
  <c r="F1094" i="23" s="1"/>
  <c r="I1038" i="23"/>
  <c r="C1038" i="23"/>
  <c r="F1038" i="23" s="1"/>
  <c r="E1038" i="23"/>
  <c r="G1038" i="23"/>
  <c r="B1039" i="23"/>
  <c r="J1037" i="23"/>
  <c r="D1037" i="23"/>
  <c r="P1037" i="23"/>
  <c r="Q1037" i="23"/>
  <c r="R1037" i="23"/>
  <c r="J981" i="23"/>
  <c r="N981" i="23" s="1"/>
  <c r="D981" i="23"/>
  <c r="P981" i="23"/>
  <c r="Q981" i="23"/>
  <c r="R981" i="23"/>
  <c r="I982" i="23"/>
  <c r="C982" i="23"/>
  <c r="E982" i="23"/>
  <c r="G982" i="23"/>
  <c r="B983" i="23"/>
  <c r="J925" i="23"/>
  <c r="N925" i="23" s="1"/>
  <c r="D925" i="23"/>
  <c r="P925" i="23"/>
  <c r="Q925" i="23"/>
  <c r="R925" i="23"/>
  <c r="I926" i="23"/>
  <c r="C926" i="23"/>
  <c r="F926" i="23" s="1"/>
  <c r="E926" i="23"/>
  <c r="G926" i="23"/>
  <c r="B927" i="23"/>
  <c r="J869" i="23"/>
  <c r="N869" i="23" s="1"/>
  <c r="D869" i="23"/>
  <c r="P869" i="23"/>
  <c r="Q869" i="23"/>
  <c r="R869" i="23"/>
  <c r="I870" i="23"/>
  <c r="C870" i="23"/>
  <c r="E870" i="23"/>
  <c r="G870" i="23"/>
  <c r="B871" i="23"/>
  <c r="J813" i="23"/>
  <c r="N813" i="23" s="1"/>
  <c r="D813" i="23"/>
  <c r="P813" i="23"/>
  <c r="Q813" i="23"/>
  <c r="R813" i="23"/>
  <c r="I814" i="23"/>
  <c r="C814" i="23"/>
  <c r="E814" i="23"/>
  <c r="F814" i="23"/>
  <c r="G814" i="23"/>
  <c r="B815" i="23"/>
  <c r="J757" i="23"/>
  <c r="N757" i="23" s="1"/>
  <c r="D757" i="23"/>
  <c r="P757" i="23"/>
  <c r="Q757" i="23"/>
  <c r="R757" i="23"/>
  <c r="I758" i="23"/>
  <c r="C758" i="23"/>
  <c r="F758" i="23" s="1"/>
  <c r="E758" i="23"/>
  <c r="G758" i="23"/>
  <c r="B759" i="23"/>
  <c r="J701" i="23"/>
  <c r="N701" i="23" s="1"/>
  <c r="D701" i="23"/>
  <c r="Q701" i="23"/>
  <c r="P701" i="23"/>
  <c r="R701" i="23"/>
  <c r="I702" i="23"/>
  <c r="C702" i="23"/>
  <c r="E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K590" i="23" s="1"/>
  <c r="E590" i="23"/>
  <c r="F590" i="23"/>
  <c r="G590" i="23"/>
  <c r="B591" i="23"/>
  <c r="J533" i="23"/>
  <c r="N533" i="23" s="1"/>
  <c r="D533" i="23"/>
  <c r="P533" i="23"/>
  <c r="Q533" i="23"/>
  <c r="R533" i="23"/>
  <c r="I534" i="23"/>
  <c r="C534" i="23"/>
  <c r="K534" i="23" s="1"/>
  <c r="E534" i="23"/>
  <c r="F534" i="23"/>
  <c r="G534" i="23"/>
  <c r="B535" i="23"/>
  <c r="J477" i="23"/>
  <c r="N477" i="23" s="1"/>
  <c r="D477" i="23"/>
  <c r="P477" i="23"/>
  <c r="Q477" i="23"/>
  <c r="R477" i="23"/>
  <c r="I478" i="23"/>
  <c r="C478" i="23"/>
  <c r="E478" i="23"/>
  <c r="G478" i="23"/>
  <c r="B479" i="23"/>
  <c r="J421" i="23"/>
  <c r="N421" i="23" s="1"/>
  <c r="D421" i="23"/>
  <c r="P421" i="23"/>
  <c r="Q421" i="23"/>
  <c r="R421" i="23"/>
  <c r="I422" i="23"/>
  <c r="C422" i="23"/>
  <c r="F422" i="23" s="1"/>
  <c r="E422" i="23"/>
  <c r="G422" i="23"/>
  <c r="B423" i="23"/>
  <c r="J365" i="23"/>
  <c r="N365" i="23" s="1"/>
  <c r="D365" i="23"/>
  <c r="P365" i="23"/>
  <c r="Q365" i="23"/>
  <c r="R365" i="23"/>
  <c r="I366" i="23"/>
  <c r="C366" i="23"/>
  <c r="F366" i="23" s="1"/>
  <c r="E366" i="23"/>
  <c r="G366" i="23"/>
  <c r="B367" i="23"/>
  <c r="J309" i="23"/>
  <c r="D309" i="23"/>
  <c r="P309" i="23"/>
  <c r="Q309" i="23"/>
  <c r="R309" i="23"/>
  <c r="I310" i="23"/>
  <c r="C310" i="23"/>
  <c r="E310" i="23"/>
  <c r="G310" i="23"/>
  <c r="B311" i="23"/>
  <c r="J253" i="23"/>
  <c r="N253" i="23" s="1"/>
  <c r="D253" i="23"/>
  <c r="P253" i="23"/>
  <c r="Q253" i="23"/>
  <c r="R253" i="23"/>
  <c r="I254" i="23"/>
  <c r="C254" i="23"/>
  <c r="K254" i="23" s="1"/>
  <c r="E254" i="23"/>
  <c r="F254" i="23"/>
  <c r="G254" i="23"/>
  <c r="B255" i="23"/>
  <c r="C4733" i="22"/>
  <c r="E4733" i="22"/>
  <c r="G4733" i="22"/>
  <c r="L4733" i="22"/>
  <c r="F4733" i="22"/>
  <c r="I4733" i="22"/>
  <c r="K4733" i="22"/>
  <c r="B4734" i="22"/>
  <c r="J4732" i="22"/>
  <c r="D4732" i="22"/>
  <c r="P4732" i="22"/>
  <c r="Q4732" i="22"/>
  <c r="R4732" i="22"/>
  <c r="N4677" i="22"/>
  <c r="S4677" i="22" s="1"/>
  <c r="M4677" i="22"/>
  <c r="U4677" i="22"/>
  <c r="M4678" i="22"/>
  <c r="D4678" i="22"/>
  <c r="J4678" i="22"/>
  <c r="N4678" i="22" s="1"/>
  <c r="P4678" i="22"/>
  <c r="Q4678" i="22"/>
  <c r="R4678" i="22"/>
  <c r="L4679" i="22"/>
  <c r="C4679" i="22"/>
  <c r="K4679" i="22" s="1"/>
  <c r="E4679" i="22"/>
  <c r="F4679" i="22"/>
  <c r="G4679" i="22"/>
  <c r="I4679" i="22"/>
  <c r="B4680" i="22"/>
  <c r="P4624" i="22"/>
  <c r="Q4624" i="22"/>
  <c r="R4624" i="22"/>
  <c r="C4625" i="22"/>
  <c r="D4625" i="22" s="1"/>
  <c r="E4625" i="22"/>
  <c r="F4625" i="22"/>
  <c r="G4625" i="22"/>
  <c r="B4626" i="22"/>
  <c r="M4570" i="22"/>
  <c r="J4570" i="22"/>
  <c r="N4570" i="22" s="1"/>
  <c r="D4570" i="22"/>
  <c r="P4570" i="22"/>
  <c r="Q4570" i="22"/>
  <c r="R4570" i="22"/>
  <c r="I4571" i="22"/>
  <c r="L4571" i="22"/>
  <c r="C4571" i="22"/>
  <c r="K4571" i="22" s="1"/>
  <c r="E4571" i="22"/>
  <c r="F4571" i="22"/>
  <c r="G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D4108" i="22"/>
  <c r="J4108" i="22"/>
  <c r="N4108" i="22" s="1"/>
  <c r="U4108" i="22" s="1"/>
  <c r="P4108" i="22"/>
  <c r="Q4108" i="22"/>
  <c r="R4108" i="22"/>
  <c r="M4108" i="22"/>
  <c r="C4109" i="22"/>
  <c r="F4109" i="22" s="1"/>
  <c r="O4109" i="22" s="1"/>
  <c r="E4109" i="22"/>
  <c r="G4109" i="22"/>
  <c r="I4109" i="22"/>
  <c r="K4109" i="22"/>
  <c r="L4109" i="22"/>
  <c r="B4110" i="22"/>
  <c r="M4054" i="22"/>
  <c r="L4055" i="22"/>
  <c r="B4056" i="22"/>
  <c r="C4055" i="22"/>
  <c r="E4055" i="22"/>
  <c r="F4055" i="22"/>
  <c r="O4055" i="22" s="1"/>
  <c r="G4055" i="22"/>
  <c r="I4055" i="22"/>
  <c r="K4055" i="22"/>
  <c r="D4054" i="22"/>
  <c r="J4054" i="22"/>
  <c r="N4054" i="22" s="1"/>
  <c r="U4054" i="22" s="1"/>
  <c r="P4054" i="22"/>
  <c r="Q4054" i="22"/>
  <c r="R4054" i="22"/>
  <c r="M3754" i="22"/>
  <c r="D3754" i="22"/>
  <c r="J3754" i="22"/>
  <c r="N3754" i="22" s="1"/>
  <c r="U3754" i="22" s="1"/>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K3701" i="22" s="1"/>
  <c r="E3701" i="22"/>
  <c r="F3701" i="22"/>
  <c r="O3701" i="22" s="1"/>
  <c r="G3701" i="22"/>
  <c r="I3701" i="22"/>
  <c r="B3702" i="22"/>
  <c r="D3646" i="22"/>
  <c r="J3646" i="22"/>
  <c r="P3646" i="22"/>
  <c r="Q3646" i="22"/>
  <c r="R3646" i="22"/>
  <c r="L3647" i="22"/>
  <c r="C3647" i="22"/>
  <c r="E3647" i="22"/>
  <c r="G3647" i="22"/>
  <c r="I3647" i="22"/>
  <c r="B3648" i="22"/>
  <c r="P3592" i="22"/>
  <c r="Q3592" i="22"/>
  <c r="R3592" i="22"/>
  <c r="J3592" i="22"/>
  <c r="D3592" i="22"/>
  <c r="L3593" i="22"/>
  <c r="I3593" i="22"/>
  <c r="B3594" i="22"/>
  <c r="C3593" i="22"/>
  <c r="E3593" i="22"/>
  <c r="G3593" i="22"/>
  <c r="L3539" i="22"/>
  <c r="E3539" i="22"/>
  <c r="C3539" i="22"/>
  <c r="G3539" i="22"/>
  <c r="I3539" i="22"/>
  <c r="B3540" i="22"/>
  <c r="J3538" i="22"/>
  <c r="D3538" i="22"/>
  <c r="P3538" i="22"/>
  <c r="Q3538" i="22"/>
  <c r="R3538" i="22"/>
  <c r="D3484" i="22"/>
  <c r="J3484" i="22"/>
  <c r="P3484" i="22"/>
  <c r="Q3484" i="22"/>
  <c r="R3484" i="22"/>
  <c r="L3485" i="22"/>
  <c r="C3485" i="22"/>
  <c r="E3485" i="22"/>
  <c r="G3485" i="22"/>
  <c r="I3485" i="22"/>
  <c r="B3486" i="22"/>
  <c r="D3430" i="22"/>
  <c r="J3430" i="22"/>
  <c r="P3430" i="22"/>
  <c r="Q3430" i="22"/>
  <c r="R3430" i="22"/>
  <c r="L3431" i="22"/>
  <c r="C3431" i="22"/>
  <c r="K3431" i="22" s="1"/>
  <c r="E3431" i="22"/>
  <c r="F3431" i="22"/>
  <c r="O3431" i="22" s="1"/>
  <c r="G3431" i="22"/>
  <c r="I3431" i="22"/>
  <c r="B3432" i="22"/>
  <c r="D3376" i="22"/>
  <c r="J3376" i="22"/>
  <c r="P3376" i="22"/>
  <c r="Q3376" i="22"/>
  <c r="R3376" i="22"/>
  <c r="L3377" i="22"/>
  <c r="C3377" i="22"/>
  <c r="E3377" i="22"/>
  <c r="G3377" i="22"/>
  <c r="I3377" i="22"/>
  <c r="B3378" i="22"/>
  <c r="D3322" i="22"/>
  <c r="J3322" i="22"/>
  <c r="P3322" i="22"/>
  <c r="Q3322" i="22"/>
  <c r="R3322" i="22"/>
  <c r="L3323" i="22"/>
  <c r="C3323" i="22"/>
  <c r="K3323" i="22" s="1"/>
  <c r="E3323" i="22"/>
  <c r="F3323" i="22"/>
  <c r="O3323" i="22" s="1"/>
  <c r="G3323" i="22"/>
  <c r="I3323" i="22"/>
  <c r="B3324" i="22"/>
  <c r="P3268" i="22"/>
  <c r="Q3268" i="22"/>
  <c r="R3268" i="22"/>
  <c r="L3269" i="22"/>
  <c r="C3269" i="22"/>
  <c r="B3270" i="22"/>
  <c r="I3269" i="22"/>
  <c r="E3269" i="22"/>
  <c r="G3269" i="22"/>
  <c r="D3268" i="22"/>
  <c r="J3268" i="22"/>
  <c r="P3214" i="22"/>
  <c r="Q3214" i="22"/>
  <c r="R3214" i="22"/>
  <c r="L3215" i="22"/>
  <c r="C3215" i="22"/>
  <c r="K3215" i="22" s="1"/>
  <c r="B3216" i="22"/>
  <c r="E3215" i="22"/>
  <c r="G3215" i="22"/>
  <c r="I3215" i="22"/>
  <c r="F3215" i="22"/>
  <c r="O3215" i="22" s="1"/>
  <c r="D3214" i="22"/>
  <c r="J3214" i="22"/>
  <c r="D3160" i="22"/>
  <c r="J3160" i="22"/>
  <c r="P3160" i="22"/>
  <c r="Q3160" i="22"/>
  <c r="R3160" i="22"/>
  <c r="L3161" i="22"/>
  <c r="C3161" i="22"/>
  <c r="E3161" i="22"/>
  <c r="G3161" i="22"/>
  <c r="I3161" i="22"/>
  <c r="B3162" i="22"/>
  <c r="M3106" i="22"/>
  <c r="D3106" i="22"/>
  <c r="J3106" i="22"/>
  <c r="N3106" i="22" s="1"/>
  <c r="U3106" i="22" s="1"/>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E2783" i="22"/>
  <c r="G2783" i="22"/>
  <c r="I2783" i="22"/>
  <c r="B2784" i="22"/>
  <c r="D2728" i="22"/>
  <c r="J2728" i="22"/>
  <c r="P2728" i="22"/>
  <c r="Q2728" i="22"/>
  <c r="R2728" i="22"/>
  <c r="L2729" i="22"/>
  <c r="C2729" i="22"/>
  <c r="K2729" i="22" s="1"/>
  <c r="E2729" i="22"/>
  <c r="F2729" i="22"/>
  <c r="O2729" i="22" s="1"/>
  <c r="G2729" i="22"/>
  <c r="I2729" i="22"/>
  <c r="B2730" i="22"/>
  <c r="L2675" i="22"/>
  <c r="C2675" i="22"/>
  <c r="K2675" i="22" s="1"/>
  <c r="E2675" i="22"/>
  <c r="F2675" i="22"/>
  <c r="O2675" i="22" s="1"/>
  <c r="G2675" i="22"/>
  <c r="I2675" i="22"/>
  <c r="B2676" i="22"/>
  <c r="J2674" i="22"/>
  <c r="D2674" i="22"/>
  <c r="P2674" i="22"/>
  <c r="Q2674" i="22"/>
  <c r="R2674" i="22"/>
  <c r="D2620" i="22"/>
  <c r="J2620" i="22"/>
  <c r="P2620" i="22"/>
  <c r="Q2620" i="22"/>
  <c r="R2620" i="22"/>
  <c r="L2621" i="22"/>
  <c r="I2621" i="22"/>
  <c r="C2621" i="22"/>
  <c r="K2621" i="22" s="1"/>
  <c r="E2621" i="22"/>
  <c r="F2621" i="22"/>
  <c r="O2621" i="22" s="1"/>
  <c r="G2621" i="22"/>
  <c r="B2622" i="22"/>
  <c r="D2566" i="22"/>
  <c r="J2566" i="22"/>
  <c r="P2566" i="22"/>
  <c r="Q2566" i="22"/>
  <c r="R2566" i="22"/>
  <c r="L2567" i="22"/>
  <c r="C2567" i="22"/>
  <c r="E2567" i="22"/>
  <c r="G2567" i="22"/>
  <c r="I2567" i="22"/>
  <c r="B2568" i="22"/>
  <c r="D2512" i="22"/>
  <c r="J2512" i="22"/>
  <c r="P2512" i="22"/>
  <c r="Q2512" i="22"/>
  <c r="R2512" i="22"/>
  <c r="L2513" i="22"/>
  <c r="C2513" i="22"/>
  <c r="K2513" i="22" s="1"/>
  <c r="E2513" i="22"/>
  <c r="F2513" i="22"/>
  <c r="O2513" i="22" s="1"/>
  <c r="G2513" i="22"/>
  <c r="I2513" i="22"/>
  <c r="B2514" i="22"/>
  <c r="D2458" i="22"/>
  <c r="J2458" i="22"/>
  <c r="P2458" i="22"/>
  <c r="Q2458" i="22"/>
  <c r="R2458" i="22"/>
  <c r="L2459" i="22"/>
  <c r="C2459" i="22"/>
  <c r="K2459" i="22" s="1"/>
  <c r="E2459" i="22"/>
  <c r="F2459" i="22"/>
  <c r="O2459" i="22" s="1"/>
  <c r="G2459" i="22"/>
  <c r="I2459" i="22"/>
  <c r="B2460" i="22"/>
  <c r="D2404" i="22"/>
  <c r="J2404" i="22"/>
  <c r="P2404" i="22"/>
  <c r="Q2404" i="22"/>
  <c r="R2404" i="22"/>
  <c r="L2405" i="22"/>
  <c r="C2405" i="22"/>
  <c r="K2405" i="22" s="1"/>
  <c r="E2405" i="22"/>
  <c r="F2405" i="22"/>
  <c r="O2405" i="22" s="1"/>
  <c r="G2405" i="22"/>
  <c r="I2405" i="22"/>
  <c r="B2406" i="22"/>
  <c r="M2350" i="22"/>
  <c r="D2350" i="22"/>
  <c r="J2350" i="22"/>
  <c r="N2350" i="22" s="1"/>
  <c r="U2350" i="22" s="1"/>
  <c r="P2350" i="22"/>
  <c r="Q2350" i="22"/>
  <c r="R2350" i="22"/>
  <c r="L2351" i="22"/>
  <c r="C2351" i="22"/>
  <c r="K2351" i="22" s="1"/>
  <c r="E2351" i="22"/>
  <c r="F2351" i="22"/>
  <c r="O2351" i="22" s="1"/>
  <c r="G2351" i="22"/>
  <c r="I2351" i="22"/>
  <c r="B2352" i="22"/>
  <c r="P2296" i="22"/>
  <c r="Q2296" i="22"/>
  <c r="R2296" i="22"/>
  <c r="J2296" i="22"/>
  <c r="D2296" i="22"/>
  <c r="L2297" i="22"/>
  <c r="B2298" i="22"/>
  <c r="G2297" i="22"/>
  <c r="E2297" i="22"/>
  <c r="I2297" i="22"/>
  <c r="C2297" i="22"/>
  <c r="M2242" i="22"/>
  <c r="D2242" i="22"/>
  <c r="J2242" i="22"/>
  <c r="N2242" i="22" s="1"/>
  <c r="U2242" i="22" s="1"/>
  <c r="P2242" i="22"/>
  <c r="Q2242" i="22"/>
  <c r="R2242" i="22"/>
  <c r="L2243" i="22"/>
  <c r="C2243" i="22"/>
  <c r="E2243" i="22"/>
  <c r="G2243" i="22"/>
  <c r="I2243" i="22"/>
  <c r="B2244" i="22"/>
  <c r="D2188" i="22"/>
  <c r="J2188" i="22"/>
  <c r="P2188" i="22"/>
  <c r="Q2188" i="22"/>
  <c r="R2188" i="22"/>
  <c r="L2189" i="22"/>
  <c r="C2189" i="22"/>
  <c r="E2189" i="22"/>
  <c r="G2189" i="22"/>
  <c r="I2189" i="22"/>
  <c r="B2190"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K2081" i="22" s="1"/>
  <c r="E2081" i="22"/>
  <c r="F2081" i="22"/>
  <c r="O2081" i="22" s="1"/>
  <c r="G2081" i="22"/>
  <c r="I2081" i="22"/>
  <c r="B2082" i="22"/>
  <c r="M2026" i="22"/>
  <c r="D2026" i="22"/>
  <c r="J2026" i="22"/>
  <c r="N2026" i="22" s="1"/>
  <c r="U2026" i="22" s="1"/>
  <c r="P2026" i="22"/>
  <c r="Q2026" i="22"/>
  <c r="R2026" i="22"/>
  <c r="L2027" i="22"/>
  <c r="C2027" i="22"/>
  <c r="K2027" i="22" s="1"/>
  <c r="E2027" i="22"/>
  <c r="F2027" i="22"/>
  <c r="O2027" i="22" s="1"/>
  <c r="G2027" i="22"/>
  <c r="I2027" i="22"/>
  <c r="B2028"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K1757" i="22" s="1"/>
  <c r="E1757" i="22"/>
  <c r="F1757" i="22"/>
  <c r="O1757" i="22" s="1"/>
  <c r="G1757" i="22"/>
  <c r="I1757" i="22"/>
  <c r="B1758" i="22"/>
  <c r="D1702" i="22"/>
  <c r="J1702" i="22"/>
  <c r="P1702" i="22"/>
  <c r="Q1702" i="22"/>
  <c r="R1702" i="22"/>
  <c r="L1703" i="22"/>
  <c r="C1703" i="22"/>
  <c r="K1703" i="22" s="1"/>
  <c r="E1703" i="22"/>
  <c r="F1703" i="22"/>
  <c r="O1703" i="22" s="1"/>
  <c r="G1703" i="22"/>
  <c r="I1703" i="22"/>
  <c r="B1704" i="22"/>
  <c r="M1648" i="22"/>
  <c r="D1648" i="22"/>
  <c r="J1648" i="22"/>
  <c r="N1648" i="22" s="1"/>
  <c r="U1648" i="22" s="1"/>
  <c r="P1648" i="22"/>
  <c r="Q1648" i="22"/>
  <c r="R1648" i="22"/>
  <c r="L1649" i="22"/>
  <c r="C1649" i="22"/>
  <c r="K1649" i="22" s="1"/>
  <c r="E1649" i="22"/>
  <c r="F1649" i="22"/>
  <c r="O1649" i="22" s="1"/>
  <c r="G1649" i="22"/>
  <c r="I1649" i="22"/>
  <c r="B1650" i="22"/>
  <c r="D1594" i="22"/>
  <c r="J1594" i="22"/>
  <c r="P1594" i="22"/>
  <c r="Q1594" i="22"/>
  <c r="R1594" i="22"/>
  <c r="L1595" i="22"/>
  <c r="C1595" i="22"/>
  <c r="K1595" i="22" s="1"/>
  <c r="E1595" i="22"/>
  <c r="F1595" i="22"/>
  <c r="O1595" i="22" s="1"/>
  <c r="G1595" i="22"/>
  <c r="I1595" i="22"/>
  <c r="B1596" i="22"/>
  <c r="D1540" i="22"/>
  <c r="J1540" i="22"/>
  <c r="P1540" i="22"/>
  <c r="Q1540" i="22"/>
  <c r="R1540" i="22"/>
  <c r="L1541" i="22"/>
  <c r="C1541" i="22"/>
  <c r="K1541" i="22" s="1"/>
  <c r="E1541" i="22"/>
  <c r="F1541" i="22"/>
  <c r="O1541" i="22" s="1"/>
  <c r="G1541" i="22"/>
  <c r="I1541" i="22"/>
  <c r="B1542" i="22"/>
  <c r="D1486" i="22"/>
  <c r="J1486" i="22"/>
  <c r="P1486" i="22"/>
  <c r="Q1486" i="22"/>
  <c r="R1486" i="22"/>
  <c r="L1487" i="22"/>
  <c r="C1487" i="22"/>
  <c r="E1487" i="22"/>
  <c r="G1487" i="22"/>
  <c r="I1487" i="22"/>
  <c r="B1488" i="22"/>
  <c r="D1432" i="22"/>
  <c r="J1432" i="22"/>
  <c r="P1432" i="22"/>
  <c r="Q1432" i="22"/>
  <c r="R1432" i="22"/>
  <c r="L1433" i="22"/>
  <c r="I1433" i="22"/>
  <c r="C1433" i="22"/>
  <c r="E1433" i="22"/>
  <c r="G1433" i="22"/>
  <c r="B1434" i="22"/>
  <c r="P1378" i="22"/>
  <c r="Q1378" i="22"/>
  <c r="R1378" i="22"/>
  <c r="D1378" i="22"/>
  <c r="J1378" i="22"/>
  <c r="L1379" i="22"/>
  <c r="I1379" i="22"/>
  <c r="B1380" i="22"/>
  <c r="C1379" i="22"/>
  <c r="K1379" i="22" s="1"/>
  <c r="E1379" i="22"/>
  <c r="F1379" i="22"/>
  <c r="O1379" i="22" s="1"/>
  <c r="G1379" i="22"/>
  <c r="M1324" i="22"/>
  <c r="D1324" i="22"/>
  <c r="J1324" i="22"/>
  <c r="N1324" i="22" s="1"/>
  <c r="U1324" i="22" s="1"/>
  <c r="P1324" i="22"/>
  <c r="Q1324" i="22"/>
  <c r="R1324" i="22"/>
  <c r="L1325" i="22"/>
  <c r="C1325" i="22"/>
  <c r="E1325" i="22"/>
  <c r="G1325" i="22"/>
  <c r="I1325" i="22"/>
  <c r="B1326" i="22"/>
  <c r="M1270" i="22"/>
  <c r="D1270" i="22"/>
  <c r="J1270" i="22"/>
  <c r="N1270" i="22" s="1"/>
  <c r="U1270" i="22" s="1"/>
  <c r="P1270" i="22"/>
  <c r="Q1270" i="22"/>
  <c r="R1270" i="22"/>
  <c r="L1271" i="22"/>
  <c r="C1271" i="22"/>
  <c r="K1271" i="22" s="1"/>
  <c r="E1271" i="22"/>
  <c r="F1271" i="22"/>
  <c r="O1271" i="22" s="1"/>
  <c r="G1271" i="22"/>
  <c r="I1271" i="22"/>
  <c r="B1272" i="22"/>
  <c r="M1216" i="22"/>
  <c r="D1216" i="22"/>
  <c r="J1216" i="22"/>
  <c r="N1216" i="22" s="1"/>
  <c r="U1216" i="22" s="1"/>
  <c r="P1216" i="22"/>
  <c r="Q1216" i="22"/>
  <c r="R1216" i="22"/>
  <c r="L1217" i="22"/>
  <c r="C1217" i="22"/>
  <c r="K1217" i="22" s="1"/>
  <c r="E1217" i="22"/>
  <c r="F1217" i="22"/>
  <c r="O1217" i="22" s="1"/>
  <c r="G1217" i="22"/>
  <c r="I1217" i="22"/>
  <c r="B1218" i="22"/>
  <c r="M1162" i="22"/>
  <c r="D1162" i="22"/>
  <c r="J1162" i="22"/>
  <c r="N1162" i="22" s="1"/>
  <c r="U1162" i="22" s="1"/>
  <c r="P1162" i="22"/>
  <c r="Q1162" i="22"/>
  <c r="R1162" i="22"/>
  <c r="L1163" i="22"/>
  <c r="C1163" i="22"/>
  <c r="E1163" i="22"/>
  <c r="G1163" i="22"/>
  <c r="I1163" i="22"/>
  <c r="B1164" i="22"/>
  <c r="M1108" i="22"/>
  <c r="D1108" i="22"/>
  <c r="J1108" i="22"/>
  <c r="N1108" i="22" s="1"/>
  <c r="U1108" i="22" s="1"/>
  <c r="P1108" i="22"/>
  <c r="Q1108" i="22"/>
  <c r="R1108" i="22"/>
  <c r="L1109" i="22"/>
  <c r="C1109" i="22"/>
  <c r="K1109" i="22" s="1"/>
  <c r="E1109" i="22"/>
  <c r="F1109" i="22"/>
  <c r="O1109" i="22" s="1"/>
  <c r="G1109" i="22"/>
  <c r="I1109" i="22"/>
  <c r="B1110"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K677" i="22" s="1"/>
  <c r="E677" i="22"/>
  <c r="F677" i="22"/>
  <c r="O677" i="22" s="1"/>
  <c r="G677" i="22"/>
  <c r="I677" i="22"/>
  <c r="B678" i="22"/>
  <c r="M622" i="22"/>
  <c r="D622" i="22"/>
  <c r="J622" i="22"/>
  <c r="N622" i="22" s="1"/>
  <c r="U622" i="22" s="1"/>
  <c r="P622" i="22"/>
  <c r="Q622" i="22"/>
  <c r="R622" i="22"/>
  <c r="L623" i="22"/>
  <c r="C623" i="22"/>
  <c r="E623" i="22"/>
  <c r="G623" i="22"/>
  <c r="I623" i="22"/>
  <c r="B624" i="22"/>
  <c r="D568" i="22"/>
  <c r="J568" i="22"/>
  <c r="P568" i="22"/>
  <c r="Q568" i="22"/>
  <c r="R568" i="22"/>
  <c r="L569" i="22"/>
  <c r="C569" i="22"/>
  <c r="K569" i="22" s="1"/>
  <c r="E569" i="22"/>
  <c r="F569" i="22"/>
  <c r="O569" i="22" s="1"/>
  <c r="G569" i="22"/>
  <c r="I569" i="22"/>
  <c r="B570" i="22"/>
  <c r="D514" i="22"/>
  <c r="J514" i="22"/>
  <c r="P514" i="22"/>
  <c r="Q514" i="22"/>
  <c r="R514" i="22"/>
  <c r="L515" i="22"/>
  <c r="C515" i="22"/>
  <c r="K515" i="22" s="1"/>
  <c r="E515" i="22"/>
  <c r="F515" i="22"/>
  <c r="O515" i="22" s="1"/>
  <c r="G515" i="22"/>
  <c r="I515" i="22"/>
  <c r="B516" i="22"/>
  <c r="D460" i="22"/>
  <c r="J460" i="22"/>
  <c r="P460" i="22"/>
  <c r="Q460" i="22"/>
  <c r="R460" i="22"/>
  <c r="L461" i="22"/>
  <c r="C461" i="22"/>
  <c r="K461" i="22" s="1"/>
  <c r="E461" i="22"/>
  <c r="F461" i="22"/>
  <c r="O461" i="22" s="1"/>
  <c r="G461" i="22"/>
  <c r="B462" i="22"/>
  <c r="I461" i="22"/>
  <c r="M406" i="22"/>
  <c r="D406" i="22"/>
  <c r="J406" i="22"/>
  <c r="N406" i="22" s="1"/>
  <c r="U406" i="22" s="1"/>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E353" i="22"/>
  <c r="G353" i="22"/>
  <c r="I353" i="22"/>
  <c r="B354" i="22"/>
  <c r="D298" i="22"/>
  <c r="J298" i="22"/>
  <c r="P298" i="22"/>
  <c r="Q298" i="22"/>
  <c r="R298" i="22"/>
  <c r="L299" i="22"/>
  <c r="C299" i="22"/>
  <c r="K299" i="22" s="1"/>
  <c r="E299" i="22"/>
  <c r="F299" i="22"/>
  <c r="O299" i="22" s="1"/>
  <c r="G299" i="22"/>
  <c r="I299" i="22"/>
  <c r="B300" i="22"/>
  <c r="D244" i="22"/>
  <c r="J244" i="22"/>
  <c r="P244" i="22"/>
  <c r="Q244" i="22"/>
  <c r="R244" i="22"/>
  <c r="L245" i="22"/>
  <c r="C245" i="22"/>
  <c r="E245" i="22"/>
  <c r="G245" i="22"/>
  <c r="I245" i="22"/>
  <c r="B246" i="22"/>
  <c r="D190" i="22"/>
  <c r="J190" i="22"/>
  <c r="P190" i="22"/>
  <c r="Q190" i="22"/>
  <c r="R190" i="22"/>
  <c r="L191" i="22"/>
  <c r="C191" i="22"/>
  <c r="E191" i="22"/>
  <c r="G191" i="22"/>
  <c r="I191" i="22"/>
  <c r="B192" i="22"/>
  <c r="M136" i="22"/>
  <c r="P136" i="22"/>
  <c r="Q136" i="22"/>
  <c r="R136" i="22"/>
  <c r="L137" i="22"/>
  <c r="E137" i="22"/>
  <c r="G137" i="22"/>
  <c r="I137" i="22"/>
  <c r="B138" i="22"/>
  <c r="C137" i="22"/>
  <c r="K137" i="22" s="1"/>
  <c r="F137" i="22"/>
  <c r="O137" i="22" s="1"/>
  <c r="J136" i="22"/>
  <c r="N136" i="22" s="1"/>
  <c r="U136" i="22" s="1"/>
  <c r="D136" i="22"/>
  <c r="M82" i="22"/>
  <c r="D82" i="22"/>
  <c r="J82" i="22"/>
  <c r="N82" i="22" s="1"/>
  <c r="U82" i="22" s="1"/>
  <c r="P82" i="22"/>
  <c r="Q82" i="22"/>
  <c r="R82" i="22"/>
  <c r="L83" i="22"/>
  <c r="C83" i="22"/>
  <c r="K83" i="22" s="1"/>
  <c r="E83" i="22"/>
  <c r="F83" i="22"/>
  <c r="O83" i="22" s="1"/>
  <c r="G83" i="22"/>
  <c r="I83" i="22"/>
  <c r="B84" i="22"/>
  <c r="B1138" i="23"/>
  <c r="Y1087" i="23"/>
  <c r="V1087" i="23" s="1"/>
  <c r="F1138" i="23" s="1"/>
  <c r="Z1087" i="23"/>
  <c r="X1087" i="23"/>
  <c r="O1087" i="23" s="1"/>
  <c r="M1093" i="23"/>
  <c r="M1091" i="23"/>
  <c r="N1091" i="23"/>
  <c r="M1090" i="23"/>
  <c r="N1090" i="23"/>
  <c r="F1087" i="23"/>
  <c r="J1087" i="23"/>
  <c r="G1088" i="23" s="1"/>
  <c r="H1087" i="23"/>
  <c r="F1088" i="23" s="1"/>
  <c r="D1087" i="23"/>
  <c r="I1087" i="23"/>
  <c r="G1087" i="23"/>
  <c r="K1087" i="23"/>
  <c r="L1087" i="23"/>
  <c r="H1088" i="23" s="1"/>
  <c r="K1088" i="23" s="1"/>
  <c r="M1092" i="23"/>
  <c r="N1092"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M1371" i="23"/>
  <c r="N1371" i="23"/>
  <c r="M1372" i="23"/>
  <c r="N1372" i="23"/>
  <c r="G1367" i="23"/>
  <c r="H1367" i="23"/>
  <c r="F1368" i="23" s="1"/>
  <c r="J1367" i="23"/>
  <c r="G1368" i="23" s="1"/>
  <c r="L1367" i="23"/>
  <c r="H1368" i="23" s="1"/>
  <c r="K1368" i="23" s="1"/>
  <c r="D1367" i="23"/>
  <c r="F1367" i="23"/>
  <c r="I1367" i="23"/>
  <c r="K1367" i="23"/>
  <c r="Y1367" i="23"/>
  <c r="V1367" i="23" s="1"/>
  <c r="Z1367" i="23"/>
  <c r="X1367" i="23"/>
  <c r="O1367" i="23" s="1"/>
  <c r="M1370" i="23"/>
  <c r="N1370" i="23"/>
  <c r="M1373" i="23"/>
  <c r="B1418"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B1082" i="23"/>
  <c r="M1034" i="23"/>
  <c r="N1034" i="23"/>
  <c r="Y1031" i="23"/>
  <c r="V1031" i="23" s="1"/>
  <c r="X1031" i="23"/>
  <c r="O1031" i="23" s="1"/>
  <c r="Z1031" i="23"/>
  <c r="H1031" i="23"/>
  <c r="F1032" i="23" s="1"/>
  <c r="L1031" i="23"/>
  <c r="J1031" i="23"/>
  <c r="G1032" i="23" s="1"/>
  <c r="F1031" i="23"/>
  <c r="K1031" i="23"/>
  <c r="D1031" i="23"/>
  <c r="G1031" i="23"/>
  <c r="I1031" i="23"/>
  <c r="M1035" i="23"/>
  <c r="N1035" i="23"/>
  <c r="M1036" i="23"/>
  <c r="N1036" i="23"/>
  <c r="X1143" i="23"/>
  <c r="O1143" i="23" s="1"/>
  <c r="Y1143" i="23"/>
  <c r="V1143" i="23" s="1"/>
  <c r="Z1143" i="23"/>
  <c r="M1149" i="23"/>
  <c r="G1143" i="23"/>
  <c r="I1143" i="23"/>
  <c r="J1143" i="23"/>
  <c r="G1144" i="23" s="1"/>
  <c r="L1143" i="23"/>
  <c r="H1144" i="23" s="1"/>
  <c r="K1144" i="23" s="1"/>
  <c r="D1143" i="23"/>
  <c r="F1143" i="23"/>
  <c r="H1143" i="23"/>
  <c r="F1144" i="23" s="1"/>
  <c r="K1143" i="23"/>
  <c r="M1146" i="23"/>
  <c r="N1146" i="23"/>
  <c r="M1147" i="23"/>
  <c r="N1147" i="23"/>
  <c r="M1148" i="23"/>
  <c r="N1148" i="23"/>
  <c r="B1194" i="23"/>
  <c r="D751" i="23"/>
  <c r="F751" i="23"/>
  <c r="G751" i="23"/>
  <c r="H751" i="23"/>
  <c r="F752" i="23" s="1"/>
  <c r="I751" i="23"/>
  <c r="J751" i="23"/>
  <c r="G752" i="23" s="1"/>
  <c r="K751" i="23"/>
  <c r="L751" i="23"/>
  <c r="X751" i="23"/>
  <c r="O751" i="23" s="1"/>
  <c r="Y751" i="23"/>
  <c r="V751" i="23" s="1"/>
  <c r="Z751" i="23"/>
  <c r="M754" i="23"/>
  <c r="N754" i="23"/>
  <c r="M755" i="23"/>
  <c r="N755" i="23"/>
  <c r="M756" i="23"/>
  <c r="N756" i="23"/>
  <c r="M757" i="23"/>
  <c r="B802" i="23"/>
  <c r="Y1479" i="23"/>
  <c r="V1479" i="23" s="1"/>
  <c r="Z1479" i="23"/>
  <c r="X1479" i="23"/>
  <c r="O1479" i="23" s="1"/>
  <c r="M1482" i="23"/>
  <c r="N1482" i="23"/>
  <c r="M1483" i="23"/>
  <c r="N1483" i="23"/>
  <c r="M1484" i="23"/>
  <c r="N1484" i="23"/>
  <c r="G1479" i="23"/>
  <c r="J1479" i="23"/>
  <c r="G1480" i="23" s="1"/>
  <c r="L1479" i="23"/>
  <c r="H1480" i="23" s="1"/>
  <c r="K1480" i="23" s="1"/>
  <c r="D1479" i="23"/>
  <c r="F1479" i="23"/>
  <c r="H1479" i="23"/>
  <c r="F1480" i="23" s="1"/>
  <c r="I1479" i="23"/>
  <c r="K1479" i="23"/>
  <c r="M1485" i="23"/>
  <c r="B1530"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695" i="23"/>
  <c r="F695" i="23"/>
  <c r="G695" i="23"/>
  <c r="H695" i="23"/>
  <c r="F696" i="23" s="1"/>
  <c r="I695" i="23"/>
  <c r="J695" i="23"/>
  <c r="G696" i="23" s="1"/>
  <c r="K695" i="23"/>
  <c r="L695" i="23"/>
  <c r="X695" i="23"/>
  <c r="O695" i="23" s="1"/>
  <c r="Y695" i="23"/>
  <c r="V695" i="23" s="1"/>
  <c r="F746" i="23" s="1"/>
  <c r="Z695" i="23"/>
  <c r="M698" i="23"/>
  <c r="N698" i="23"/>
  <c r="M699" i="23"/>
  <c r="N699" i="23"/>
  <c r="M700" i="23"/>
  <c r="N700" i="23"/>
  <c r="M701" i="23"/>
  <c r="B74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303" i="23"/>
  <c r="F303" i="23"/>
  <c r="G303" i="23"/>
  <c r="H303" i="23"/>
  <c r="F304" i="23" s="1"/>
  <c r="I303" i="23"/>
  <c r="J303" i="23"/>
  <c r="G304" i="23" s="1"/>
  <c r="K303" i="23"/>
  <c r="L303" i="23"/>
  <c r="X303" i="23"/>
  <c r="O303" i="23" s="1"/>
  <c r="Y303" i="23"/>
  <c r="V303" i="23" s="1"/>
  <c r="Z303" i="23"/>
  <c r="M306" i="23"/>
  <c r="N306" i="23"/>
  <c r="M307" i="23"/>
  <c r="N307" i="23"/>
  <c r="M308" i="23"/>
  <c r="N308" i="23"/>
  <c r="B354"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522" i="23"/>
  <c r="B1474" i="23"/>
  <c r="Y1423" i="23"/>
  <c r="V1423" i="23" s="1"/>
  <c r="Z1423" i="23"/>
  <c r="X1423" i="23"/>
  <c r="O1423" i="23" s="1"/>
  <c r="M1426" i="23"/>
  <c r="N1426" i="23"/>
  <c r="M1427" i="23"/>
  <c r="N1427" i="23"/>
  <c r="M1429" i="23"/>
  <c r="F1423" i="23"/>
  <c r="H1423" i="23"/>
  <c r="F1424" i="23" s="1"/>
  <c r="K1423" i="23"/>
  <c r="D1423" i="23"/>
  <c r="G1423" i="23"/>
  <c r="I1423" i="23"/>
  <c r="J1423" i="23"/>
  <c r="G1424" i="23" s="1"/>
  <c r="L1423" i="23"/>
  <c r="H1424" i="23" s="1"/>
  <c r="K1424" i="23" s="1"/>
  <c r="M1428" i="23"/>
  <c r="N1428"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M20" i="17"/>
  <c r="D20" i="17"/>
  <c r="J20" i="17"/>
  <c r="N20" i="17" s="1"/>
  <c r="U20" i="17" s="1"/>
  <c r="X20" i="17"/>
  <c r="W20" i="17"/>
  <c r="P20" i="17"/>
  <c r="Q20" i="17"/>
  <c r="R20" i="17"/>
  <c r="V20" i="17"/>
  <c r="L21" i="17"/>
  <c r="C21" i="17"/>
  <c r="K21" i="17" s="1"/>
  <c r="E21" i="17"/>
  <c r="F21" i="17"/>
  <c r="C21" i="18" s="1"/>
  <c r="G21" i="17"/>
  <c r="I21" i="17"/>
  <c r="B22" i="17"/>
  <c r="B21" i="18"/>
  <c r="AB16" i="17"/>
  <c r="B86" i="12"/>
  <c r="I86" i="12" s="1"/>
  <c r="AA15" i="17"/>
  <c r="Z17" i="17"/>
  <c r="Z18" i="17"/>
  <c r="Z19" i="17"/>
  <c r="Z20" i="17"/>
  <c r="Z21" i="17"/>
  <c r="D10" i="9"/>
  <c r="F61" i="9"/>
  <c r="C62" i="9"/>
  <c r="E62" i="9"/>
  <c r="G27" i="2"/>
  <c r="D66" i="10"/>
  <c r="D8" i="11"/>
  <c r="D58" i="10"/>
  <c r="H6" i="18"/>
  <c r="E19" i="18"/>
  <c r="O19" i="17" s="1"/>
  <c r="E18" i="18"/>
  <c r="O18" i="17" s="1"/>
  <c r="E17" i="18"/>
  <c r="C58" i="10"/>
  <c r="O4052" i="22"/>
  <c r="O4053" i="22"/>
  <c r="O4051" i="22"/>
  <c r="O4106" i="22"/>
  <c r="O4107" i="22"/>
  <c r="O4105" i="22"/>
  <c r="O4160" i="22"/>
  <c r="O4159" i="22"/>
  <c r="O4215" i="22"/>
  <c r="O4214" i="22"/>
  <c r="O4213" i="22"/>
  <c r="A4619" i="22"/>
  <c r="B4619" i="22"/>
  <c r="H7" i="18"/>
  <c r="L11" i="18" s="1"/>
  <c r="D59" i="10"/>
  <c r="D60" i="10"/>
  <c r="H8" i="18"/>
  <c r="I8" i="18" s="1"/>
  <c r="C20" i="10"/>
  <c r="M4161" i="22"/>
  <c r="N4161" i="22"/>
  <c r="U4161" i="22" s="1"/>
  <c r="M3591" i="22"/>
  <c r="N3591" i="22"/>
  <c r="U3591" i="22" s="1"/>
  <c r="M3537" i="22"/>
  <c r="N3537" i="22"/>
  <c r="U3537" i="22" s="1"/>
  <c r="M3429" i="22"/>
  <c r="N3429" i="22"/>
  <c r="U3429" i="22" s="1"/>
  <c r="N3267" i="22"/>
  <c r="U3267" i="22" s="1"/>
  <c r="M3267" i="22"/>
  <c r="N3213" i="22"/>
  <c r="U3213" i="22" s="1"/>
  <c r="M3213" i="22"/>
  <c r="M2943" i="22"/>
  <c r="N2943" i="22"/>
  <c r="U2943" i="22" s="1"/>
  <c r="M2889" i="22"/>
  <c r="N2889" i="22"/>
  <c r="U2889" i="22" s="1"/>
  <c r="M2781" i="22"/>
  <c r="N2781" i="22"/>
  <c r="S2781" i="22" s="1"/>
  <c r="T2781" i="22" s="1"/>
  <c r="U2781" i="22" s="1"/>
  <c r="M2673" i="22"/>
  <c r="N2673" i="22"/>
  <c r="U2673" i="22" s="1"/>
  <c r="M2619" i="22"/>
  <c r="N2619" i="22"/>
  <c r="U2619" i="22" s="1"/>
  <c r="M2403" i="22"/>
  <c r="N2403" i="22"/>
  <c r="U2403" i="22" s="1"/>
  <c r="M2295" i="22"/>
  <c r="N2295" i="22"/>
  <c r="U2295" i="22" s="1"/>
  <c r="M2241" i="22"/>
  <c r="N2241" i="22"/>
  <c r="U2241" i="22" s="1"/>
  <c r="M2187" i="22"/>
  <c r="N2187" i="22"/>
  <c r="U2187" i="22" s="1"/>
  <c r="M1863" i="22"/>
  <c r="N1863" i="22"/>
  <c r="U1863" i="22" s="1"/>
  <c r="M1755" i="22"/>
  <c r="N1755" i="22"/>
  <c r="U1755" i="22" s="1"/>
  <c r="M1647" i="22"/>
  <c r="N1647" i="22"/>
  <c r="U1647" i="22" s="1"/>
  <c r="M1377" i="22"/>
  <c r="N1377" i="22"/>
  <c r="U1377" i="22" s="1"/>
  <c r="M1323" i="22"/>
  <c r="N1323" i="22"/>
  <c r="U1323" i="22" s="1"/>
  <c r="M1215" i="22"/>
  <c r="N1215" i="22"/>
  <c r="U1215" i="22" s="1"/>
  <c r="M675" i="22"/>
  <c r="N675" i="22"/>
  <c r="U675" i="22" s="1"/>
  <c r="M621" i="22"/>
  <c r="N621" i="22"/>
  <c r="U621" i="22" s="1"/>
  <c r="N135" i="22"/>
  <c r="U135" i="22" s="1"/>
  <c r="M135" i="22"/>
  <c r="M81" i="22"/>
  <c r="N81" i="22"/>
  <c r="U81" i="22" s="1"/>
  <c r="T4675" i="22"/>
  <c r="T4676" i="22"/>
  <c r="AE1595" i="23"/>
  <c r="O1597" i="23"/>
  <c r="E60" i="19"/>
  <c r="G60" i="19" s="1"/>
  <c r="B46" i="24"/>
  <c r="G10" i="9"/>
  <c r="I4049" i="22"/>
  <c r="O4054" i="22" s="1"/>
  <c r="I4103" i="22"/>
  <c r="O4108" i="22" s="1"/>
  <c r="I4157" i="22"/>
  <c r="O4162" i="22" s="1"/>
  <c r="I4211" i="22"/>
  <c r="O4216" i="22" s="1"/>
  <c r="K4103" i="22"/>
  <c r="K4157" i="22"/>
  <c r="K4211" i="22"/>
  <c r="K4049" i="22"/>
  <c r="H4619" i="22"/>
  <c r="K4619" i="22" s="1"/>
  <c r="O4161" i="22"/>
  <c r="L1262" i="23"/>
  <c r="F1037" i="23"/>
  <c r="K1037" i="23"/>
  <c r="L982" i="23"/>
  <c r="L870" i="23"/>
  <c r="L702" i="23"/>
  <c r="L590" i="23"/>
  <c r="L534" i="23"/>
  <c r="L478" i="23"/>
  <c r="K309" i="23"/>
  <c r="F309" i="23"/>
  <c r="L310" i="23"/>
  <c r="L254" i="23"/>
  <c r="K4732" i="22"/>
  <c r="F4732" i="22"/>
  <c r="F3646" i="22"/>
  <c r="O3646" i="22" s="1"/>
  <c r="K3646" i="22"/>
  <c r="K3592" i="22"/>
  <c r="F3592" i="22"/>
  <c r="O3592" i="22" s="1"/>
  <c r="K3538" i="22"/>
  <c r="F3538" i="22"/>
  <c r="O3538" i="22" s="1"/>
  <c r="F3484" i="22"/>
  <c r="O3484" i="22" s="1"/>
  <c r="K3484" i="22"/>
  <c r="K3430" i="22"/>
  <c r="F3430" i="22"/>
  <c r="O3430" i="22" s="1"/>
  <c r="K3376" i="22"/>
  <c r="F3376" i="22"/>
  <c r="O3376" i="22" s="1"/>
  <c r="K3322" i="22"/>
  <c r="F3322" i="22"/>
  <c r="O3322" i="22" s="1"/>
  <c r="K3268" i="22"/>
  <c r="F3268" i="22"/>
  <c r="O3268" i="22" s="1"/>
  <c r="F3214" i="22"/>
  <c r="O3214" i="22" s="1"/>
  <c r="K3214" i="22"/>
  <c r="K3160" i="22"/>
  <c r="F3160" i="22"/>
  <c r="O3160" i="22" s="1"/>
  <c r="K2728" i="22"/>
  <c r="F2728" i="22"/>
  <c r="O2728" i="22" s="1"/>
  <c r="K2674" i="22"/>
  <c r="F2674" i="22"/>
  <c r="O2674" i="22" s="1"/>
  <c r="K2620" i="22"/>
  <c r="F2620" i="22"/>
  <c r="O2620" i="22" s="1"/>
  <c r="F2566" i="22"/>
  <c r="O2566" i="22" s="1"/>
  <c r="K2566" i="22"/>
  <c r="K2512" i="22"/>
  <c r="F2512" i="22"/>
  <c r="O2512" i="22" s="1"/>
  <c r="K2458" i="22"/>
  <c r="F2458" i="22"/>
  <c r="O2458" i="22" s="1"/>
  <c r="F2404" i="22"/>
  <c r="O2404" i="22" s="1"/>
  <c r="K2404" i="22"/>
  <c r="F2296" i="22"/>
  <c r="O2296" i="22" s="1"/>
  <c r="K2296" i="22"/>
  <c r="K2188" i="22"/>
  <c r="F2188" i="22"/>
  <c r="O2188" i="22" s="1"/>
  <c r="F1702" i="22"/>
  <c r="O1702" i="22" s="1"/>
  <c r="K1702" i="22"/>
  <c r="F1594" i="22"/>
  <c r="O1594" i="22" s="1"/>
  <c r="K1594" i="22"/>
  <c r="K1540" i="22"/>
  <c r="F1540" i="22"/>
  <c r="O1540" i="22" s="1"/>
  <c r="F1486" i="22"/>
  <c r="O1486" i="22" s="1"/>
  <c r="K1486" i="22"/>
  <c r="F1432" i="22"/>
  <c r="O1432" i="22" s="1"/>
  <c r="K1432" i="22"/>
  <c r="F1378" i="22"/>
  <c r="O1378" i="22" s="1"/>
  <c r="K1378" i="22"/>
  <c r="K568" i="22"/>
  <c r="F568" i="22"/>
  <c r="O568" i="22" s="1"/>
  <c r="K514" i="22"/>
  <c r="F514" i="22"/>
  <c r="O514" i="22" s="1"/>
  <c r="K460" i="22"/>
  <c r="F460" i="22"/>
  <c r="O460" i="22" s="1"/>
  <c r="K298" i="22"/>
  <c r="F298" i="22"/>
  <c r="O298" i="22" s="1"/>
  <c r="K244" i="22"/>
  <c r="F244" i="22"/>
  <c r="O244" i="22" s="1"/>
  <c r="F190" i="22"/>
  <c r="O190" i="22" s="1"/>
  <c r="K190" i="22"/>
  <c r="T23" i="6"/>
  <c r="W23" i="6"/>
  <c r="Z23" i="6"/>
  <c r="AC23" i="6"/>
  <c r="C23" i="6"/>
  <c r="D23" i="6"/>
  <c r="E23" i="6"/>
  <c r="H1355" i="23"/>
  <c r="H1353" i="23"/>
  <c r="H1352" i="23"/>
  <c r="H1351" i="23"/>
  <c r="H1350" i="23"/>
  <c r="H1349" i="23"/>
  <c r="H1348" i="23"/>
  <c r="H1347" i="23"/>
  <c r="H1346" i="23"/>
  <c r="H1345" i="23"/>
  <c r="H1344" i="23"/>
  <c r="H1343" i="23"/>
  <c r="H1341" i="23"/>
  <c r="H1340" i="23"/>
  <c r="H1339" i="23"/>
  <c r="H1338" i="23"/>
  <c r="H1337" i="23"/>
  <c r="H1336" i="23"/>
  <c r="H1335" i="23"/>
  <c r="H1334" i="23"/>
  <c r="H1342" i="23"/>
  <c r="H1332" i="23"/>
  <c r="H1331" i="23"/>
  <c r="H1330" i="23"/>
  <c r="H1329" i="23"/>
  <c r="H1328" i="23"/>
  <c r="H1327" i="23"/>
  <c r="H1326" i="23"/>
  <c r="H1325" i="23"/>
  <c r="H1324" i="23"/>
  <c r="H1323" i="23"/>
  <c r="H1322" i="23"/>
  <c r="H1321" i="23"/>
  <c r="H1320" i="23"/>
  <c r="H1359" i="23"/>
  <c r="H1358" i="23"/>
  <c r="H1356" i="23"/>
  <c r="H1354" i="23"/>
  <c r="H1333" i="23"/>
  <c r="H1361" i="23"/>
  <c r="H1360" i="23"/>
  <c r="H1357" i="23"/>
  <c r="H1053" i="23"/>
  <c r="H1055" i="23"/>
  <c r="H1057" i="23"/>
  <c r="H1061" i="23"/>
  <c r="H1067" i="23"/>
  <c r="H1071" i="23"/>
  <c r="H1073" i="23"/>
  <c r="H1077" i="23"/>
  <c r="H1080" i="23"/>
  <c r="H1038" i="23"/>
  <c r="H1040" i="23"/>
  <c r="H1043" i="23"/>
  <c r="H1044" i="23"/>
  <c r="H1046" i="23"/>
  <c r="H1052" i="23"/>
  <c r="H1066" i="23"/>
  <c r="C22" i="6"/>
  <c r="Z22" i="6"/>
  <c r="E22" i="6"/>
  <c r="AC22" i="6"/>
  <c r="W22" i="6"/>
  <c r="W24" i="6"/>
  <c r="AC24" i="6"/>
  <c r="E24" i="6"/>
  <c r="D24" i="6"/>
  <c r="H1502" i="23"/>
  <c r="H1500" i="23"/>
  <c r="H1501" i="23"/>
  <c r="H1503" i="23"/>
  <c r="H1248" i="23"/>
  <c r="H1249" i="23"/>
  <c r="C25" i="6"/>
  <c r="T25" i="6"/>
  <c r="E25" i="6"/>
  <c r="D25" i="6"/>
  <c r="AC25" i="6"/>
  <c r="Z25" i="6"/>
  <c r="W25" i="6"/>
  <c r="W21" i="6"/>
  <c r="D21" i="6"/>
  <c r="AC21" i="6"/>
  <c r="Z21" i="6"/>
  <c r="E21" i="6"/>
  <c r="H462" i="23"/>
  <c r="H461" i="23"/>
  <c r="H460" i="23"/>
  <c r="H459" i="23"/>
  <c r="H458" i="23"/>
  <c r="H456" i="23"/>
  <c r="H455" i="23"/>
  <c r="H454" i="23"/>
  <c r="H453" i="23"/>
  <c r="H452" i="23"/>
  <c r="H451" i="23"/>
  <c r="B466" i="23" s="1"/>
  <c r="H457" i="23"/>
  <c r="H418" i="23"/>
  <c r="H419" i="23"/>
  <c r="H464" i="23"/>
  <c r="H463" i="23"/>
  <c r="H465" i="23"/>
  <c r="H399" i="23"/>
  <c r="H400" i="23"/>
  <c r="H401" i="23"/>
  <c r="H396" i="23"/>
  <c r="H402" i="23"/>
  <c r="H397" i="23"/>
  <c r="H403" i="23"/>
  <c r="H404" i="23"/>
  <c r="H405" i="23"/>
  <c r="H406" i="23"/>
  <c r="H407" i="23"/>
  <c r="H408" i="23"/>
  <c r="H362" i="23"/>
  <c r="H395" i="23"/>
  <c r="H394" i="23"/>
  <c r="H393" i="23"/>
  <c r="H409" i="23"/>
  <c r="H392" i="23"/>
  <c r="H391" i="23"/>
  <c r="H390" i="23"/>
  <c r="H389" i="23"/>
  <c r="H388" i="23"/>
  <c r="B410" i="23" s="1"/>
  <c r="H398" i="23"/>
  <c r="H752" i="23" l="1"/>
  <c r="K752" i="23" s="1"/>
  <c r="H696" i="23"/>
  <c r="K696" i="23" s="1"/>
  <c r="H304" i="23"/>
  <c r="K304" i="23" s="1"/>
  <c r="K870" i="23"/>
  <c r="F870" i="23"/>
  <c r="K3647" i="22"/>
  <c r="F3647" i="22"/>
  <c r="O3647" i="22" s="1"/>
  <c r="K3539" i="22"/>
  <c r="F3539" i="22"/>
  <c r="O3539" i="22" s="1"/>
  <c r="K3485" i="22"/>
  <c r="F3485" i="22"/>
  <c r="O3485" i="22" s="1"/>
  <c r="K3161" i="22"/>
  <c r="F3161" i="22"/>
  <c r="O3161" i="22" s="1"/>
  <c r="K2783" i="22"/>
  <c r="F2783" i="22"/>
  <c r="O2783" i="22" s="1"/>
  <c r="K1919" i="22"/>
  <c r="F1919" i="22"/>
  <c r="O1919" i="22" s="1"/>
  <c r="K1487" i="22"/>
  <c r="F1487" i="22"/>
  <c r="O1487" i="22" s="1"/>
  <c r="K1163" i="22"/>
  <c r="F1163" i="22"/>
  <c r="O1163" i="22" s="1"/>
  <c r="K785" i="22"/>
  <c r="F785" i="22"/>
  <c r="O785" i="22" s="1"/>
  <c r="K731" i="22"/>
  <c r="F731" i="22"/>
  <c r="O731" i="22" s="1"/>
  <c r="K353" i="22"/>
  <c r="F353" i="22"/>
  <c r="O353" i="22"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B1488" i="23"/>
  <c r="C1487" i="23"/>
  <c r="E1487" i="23"/>
  <c r="G1487" i="23"/>
  <c r="K1430" i="23"/>
  <c r="J1430" i="23"/>
  <c r="D1430" i="23"/>
  <c r="P1430" i="23"/>
  <c r="Q1430" i="23"/>
  <c r="R1430" i="23"/>
  <c r="L1431" i="23"/>
  <c r="I1431" i="23"/>
  <c r="G1431" i="23"/>
  <c r="B1432" i="23"/>
  <c r="C1431" i="23"/>
  <c r="E1431" i="23"/>
  <c r="P1374" i="23"/>
  <c r="Q1374" i="23"/>
  <c r="R1374" i="23"/>
  <c r="K1374" i="23"/>
  <c r="J1374" i="23"/>
  <c r="D1374" i="23"/>
  <c r="L1375" i="23"/>
  <c r="I1375" i="23"/>
  <c r="B1376" i="23"/>
  <c r="C1375" i="23"/>
  <c r="K1375" i="23" s="1"/>
  <c r="E1375" i="23"/>
  <c r="F1375" i="23"/>
  <c r="G1375" i="23"/>
  <c r="K1318" i="23"/>
  <c r="J1318" i="23"/>
  <c r="D1318" i="23"/>
  <c r="P1318" i="23"/>
  <c r="Q1318" i="23"/>
  <c r="R1318" i="23"/>
  <c r="L1319" i="23"/>
  <c r="I1319" i="23"/>
  <c r="C1319" i="23"/>
  <c r="K1319" i="23" s="1"/>
  <c r="E1319" i="23"/>
  <c r="F1319" i="23"/>
  <c r="G1319" i="23"/>
  <c r="B1320" i="23"/>
  <c r="J1262" i="23"/>
  <c r="D1262" i="23"/>
  <c r="P1262" i="23"/>
  <c r="Q1262" i="23"/>
  <c r="R1262" i="23"/>
  <c r="L1263" i="23"/>
  <c r="I1263" i="23"/>
  <c r="C1263" i="23"/>
  <c r="E1263" i="23"/>
  <c r="G1263" i="23"/>
  <c r="B1264" i="23"/>
  <c r="K1206" i="23"/>
  <c r="J1206" i="23"/>
  <c r="D1206" i="23"/>
  <c r="P1206" i="23"/>
  <c r="Q1206" i="23"/>
  <c r="R1206" i="23"/>
  <c r="L1207" i="23"/>
  <c r="I1207" i="23"/>
  <c r="C1207" i="23"/>
  <c r="E1207" i="23"/>
  <c r="G1207" i="23"/>
  <c r="B1208" i="23"/>
  <c r="L1151" i="23"/>
  <c r="I1151" i="23"/>
  <c r="C1151" i="23"/>
  <c r="K1151" i="23" s="1"/>
  <c r="E1151" i="23"/>
  <c r="F1151" i="23"/>
  <c r="G1151" i="23"/>
  <c r="B1152" i="23"/>
  <c r="K1150" i="23"/>
  <c r="J1150" i="23"/>
  <c r="D1150" i="23"/>
  <c r="P1150" i="23"/>
  <c r="Q1150" i="23"/>
  <c r="R1150" i="23"/>
  <c r="P1094" i="23"/>
  <c r="Q1094" i="23"/>
  <c r="R1094" i="23"/>
  <c r="L1095" i="23"/>
  <c r="I1095" i="23"/>
  <c r="G1095" i="23"/>
  <c r="C1095" i="23"/>
  <c r="E1095" i="23"/>
  <c r="B1096" i="23"/>
  <c r="K1094" i="23"/>
  <c r="J1094" i="23"/>
  <c r="D1094" i="23"/>
  <c r="K1038" i="23"/>
  <c r="J1038" i="23"/>
  <c r="D1038" i="23"/>
  <c r="P1038" i="23"/>
  <c r="Q1038" i="23"/>
  <c r="R1038" i="23"/>
  <c r="L1039" i="23"/>
  <c r="I1039" i="23"/>
  <c r="C1039" i="23"/>
  <c r="E1039" i="23"/>
  <c r="G1039" i="23"/>
  <c r="B1040" i="23"/>
  <c r="J982" i="23"/>
  <c r="D982" i="23"/>
  <c r="P982" i="23"/>
  <c r="Q982" i="23"/>
  <c r="R982" i="23"/>
  <c r="L983" i="23"/>
  <c r="I983" i="23"/>
  <c r="C983" i="23"/>
  <c r="E983" i="23"/>
  <c r="G983" i="23"/>
  <c r="B984" i="23"/>
  <c r="K926" i="23"/>
  <c r="J926" i="23"/>
  <c r="D926" i="23"/>
  <c r="P926" i="23"/>
  <c r="Q926" i="23"/>
  <c r="R926" i="23"/>
  <c r="L927" i="23"/>
  <c r="I927" i="23"/>
  <c r="C927" i="23"/>
  <c r="K927" i="23" s="1"/>
  <c r="E927" i="23"/>
  <c r="F927" i="23"/>
  <c r="G927" i="23"/>
  <c r="B928" i="23"/>
  <c r="J870" i="23"/>
  <c r="N870" i="23" s="1"/>
  <c r="D870" i="23"/>
  <c r="P870" i="23"/>
  <c r="Q870" i="23"/>
  <c r="R870" i="23"/>
  <c r="L871" i="23"/>
  <c r="I871" i="23"/>
  <c r="C871" i="23"/>
  <c r="K871" i="23" s="1"/>
  <c r="E871" i="23"/>
  <c r="F871" i="23"/>
  <c r="G871" i="23"/>
  <c r="B872" i="23"/>
  <c r="K814" i="23"/>
  <c r="J814" i="23"/>
  <c r="D814" i="23"/>
  <c r="P814" i="23"/>
  <c r="Q814" i="23"/>
  <c r="R814" i="23"/>
  <c r="L815" i="23"/>
  <c r="I815" i="23"/>
  <c r="C815" i="23"/>
  <c r="E815" i="23"/>
  <c r="G815" i="23"/>
  <c r="B816" i="23"/>
  <c r="K758" i="23"/>
  <c r="J758" i="23"/>
  <c r="D758" i="23"/>
  <c r="P758" i="23"/>
  <c r="Q758" i="23"/>
  <c r="R758" i="23"/>
  <c r="L759" i="23"/>
  <c r="I759" i="23"/>
  <c r="C759" i="23"/>
  <c r="E759" i="23"/>
  <c r="G759" i="23"/>
  <c r="B760" i="23"/>
  <c r="J702" i="23"/>
  <c r="D702" i="23"/>
  <c r="Q702" i="23"/>
  <c r="P702" i="23"/>
  <c r="R702" i="23"/>
  <c r="L703" i="23"/>
  <c r="I703" i="23"/>
  <c r="C703" i="23"/>
  <c r="K703" i="23" s="1"/>
  <c r="E703" i="23"/>
  <c r="F703" i="23"/>
  <c r="G703" i="23"/>
  <c r="B704" i="23"/>
  <c r="K646" i="23"/>
  <c r="J646" i="23"/>
  <c r="D646" i="23"/>
  <c r="P646" i="23"/>
  <c r="Q646" i="23"/>
  <c r="R646" i="23"/>
  <c r="L647" i="23"/>
  <c r="I647" i="23"/>
  <c r="C647" i="23"/>
  <c r="E647" i="23"/>
  <c r="G647" i="23"/>
  <c r="B648" i="23"/>
  <c r="J590" i="23"/>
  <c r="N590" i="23" s="1"/>
  <c r="D590" i="23"/>
  <c r="P590" i="23"/>
  <c r="Q590" i="23"/>
  <c r="R590" i="23"/>
  <c r="L591" i="23"/>
  <c r="I591" i="23"/>
  <c r="C591" i="23"/>
  <c r="E591" i="23"/>
  <c r="G591" i="23"/>
  <c r="B592" i="23"/>
  <c r="J534" i="23"/>
  <c r="N534" i="23" s="1"/>
  <c r="D534" i="23"/>
  <c r="P534" i="23"/>
  <c r="Q534" i="23"/>
  <c r="R534" i="23"/>
  <c r="L535" i="23"/>
  <c r="I535" i="23"/>
  <c r="C535" i="23"/>
  <c r="E535" i="23"/>
  <c r="G535" i="23"/>
  <c r="B536" i="23"/>
  <c r="J478" i="23"/>
  <c r="D478" i="23"/>
  <c r="P478" i="23"/>
  <c r="Q478" i="23"/>
  <c r="R478" i="23"/>
  <c r="L479" i="23"/>
  <c r="I479" i="23"/>
  <c r="C479" i="23"/>
  <c r="K479" i="23" s="1"/>
  <c r="E479" i="23"/>
  <c r="F479" i="23"/>
  <c r="G479" i="23"/>
  <c r="B480" i="23"/>
  <c r="K422" i="23"/>
  <c r="J422" i="23"/>
  <c r="D422" i="23"/>
  <c r="P422" i="23"/>
  <c r="Q422" i="23"/>
  <c r="R422" i="23"/>
  <c r="L423" i="23"/>
  <c r="I423" i="23"/>
  <c r="C423" i="23"/>
  <c r="K423" i="23" s="1"/>
  <c r="E423" i="23"/>
  <c r="F423" i="23"/>
  <c r="G423" i="23"/>
  <c r="B424" i="23"/>
  <c r="K366" i="23"/>
  <c r="J366" i="23"/>
  <c r="D366" i="23"/>
  <c r="P366" i="23"/>
  <c r="Q366" i="23"/>
  <c r="R366" i="23"/>
  <c r="L367" i="23"/>
  <c r="I367" i="23"/>
  <c r="C367" i="23"/>
  <c r="E367" i="23"/>
  <c r="G367" i="23"/>
  <c r="B368" i="23"/>
  <c r="J310" i="23"/>
  <c r="D310" i="23"/>
  <c r="P310" i="23"/>
  <c r="Q310" i="23"/>
  <c r="R310" i="23"/>
  <c r="L311" i="23"/>
  <c r="I311" i="23"/>
  <c r="C311" i="23"/>
  <c r="K311" i="23" s="1"/>
  <c r="E311" i="23"/>
  <c r="F311" i="23"/>
  <c r="G311" i="23"/>
  <c r="B312" i="23"/>
  <c r="J254" i="23"/>
  <c r="N254" i="23" s="1"/>
  <c r="D254" i="23"/>
  <c r="P254" i="23"/>
  <c r="Q254" i="23"/>
  <c r="R254" i="23"/>
  <c r="L255" i="23"/>
  <c r="I255" i="23"/>
  <c r="C255" i="23"/>
  <c r="K255" i="23" s="1"/>
  <c r="E255" i="23"/>
  <c r="F255" i="23"/>
  <c r="G255" i="23"/>
  <c r="B256" i="23"/>
  <c r="J4733" i="22"/>
  <c r="N4733" i="22" s="1"/>
  <c r="D4733" i="22"/>
  <c r="P4733" i="22"/>
  <c r="Q4733" i="22"/>
  <c r="R4733" i="22"/>
  <c r="M4733" i="22"/>
  <c r="E4734" i="22"/>
  <c r="G4734" i="22"/>
  <c r="B4735" i="22"/>
  <c r="C4734" i="22"/>
  <c r="I4734" i="22"/>
  <c r="L4734" i="22"/>
  <c r="U4678" i="22"/>
  <c r="S4678" i="22"/>
  <c r="M4679" i="22"/>
  <c r="D4679" i="22"/>
  <c r="J4679" i="22"/>
  <c r="N4679" i="22" s="1"/>
  <c r="P4679" i="22"/>
  <c r="Q4679" i="22"/>
  <c r="R4679" i="22"/>
  <c r="L4680" i="22"/>
  <c r="C4680" i="22"/>
  <c r="E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K4572" i="22" s="1"/>
  <c r="E4572" i="22"/>
  <c r="F4572" i="22"/>
  <c r="G4572" i="22"/>
  <c r="B4573" i="22"/>
  <c r="D4517" i="22"/>
  <c r="J4517" i="22"/>
  <c r="P4517" i="22"/>
  <c r="Q4517" i="22"/>
  <c r="R4517" i="22"/>
  <c r="L4518" i="22"/>
  <c r="C4518" i="22"/>
  <c r="E4518" i="22"/>
  <c r="G4518" i="22"/>
  <c r="I4518" i="22"/>
  <c r="B4519" i="22"/>
  <c r="D4217" i="22"/>
  <c r="J4217" i="22"/>
  <c r="P4217" i="22"/>
  <c r="Q4217" i="22"/>
  <c r="R4217" i="22"/>
  <c r="L4218" i="22"/>
  <c r="C4218" i="22"/>
  <c r="E4218" i="22"/>
  <c r="G4218" i="22"/>
  <c r="I4218" i="22"/>
  <c r="B4219" i="22"/>
  <c r="D4163" i="22"/>
  <c r="J4163" i="22"/>
  <c r="P4163" i="22"/>
  <c r="Q4163" i="22"/>
  <c r="R4163" i="22"/>
  <c r="L4164" i="22"/>
  <c r="C4164" i="22"/>
  <c r="E4164" i="22"/>
  <c r="G4164" i="22"/>
  <c r="I4164" i="22"/>
  <c r="B4165" i="22"/>
  <c r="D4109" i="22"/>
  <c r="J4109" i="22"/>
  <c r="N4109" i="22" s="1"/>
  <c r="U4109" i="22" s="1"/>
  <c r="P4109" i="22"/>
  <c r="Q4109" i="22"/>
  <c r="R4109" i="22"/>
  <c r="M4109" i="22"/>
  <c r="C4110" i="22"/>
  <c r="F4110" i="22" s="1"/>
  <c r="O4110" i="22" s="1"/>
  <c r="E4110" i="22"/>
  <c r="G4110" i="22"/>
  <c r="I4110" i="22"/>
  <c r="K4110" i="22"/>
  <c r="L4110" i="22"/>
  <c r="B4111" i="22"/>
  <c r="L4056" i="22"/>
  <c r="C4056" i="22"/>
  <c r="F4056" i="22" s="1"/>
  <c r="O4056" i="22" s="1"/>
  <c r="E4056" i="22"/>
  <c r="G4056" i="22"/>
  <c r="I4056" i="22"/>
  <c r="K4056" i="22"/>
  <c r="B4057" i="22"/>
  <c r="D4055" i="22"/>
  <c r="J4055" i="22"/>
  <c r="N4055" i="22" s="1"/>
  <c r="U4055" i="22" s="1"/>
  <c r="P4055" i="22"/>
  <c r="R4055" i="22"/>
  <c r="Q4055" i="22"/>
  <c r="M4055" i="22"/>
  <c r="M3755" i="22"/>
  <c r="D3755" i="22"/>
  <c r="J3755" i="22"/>
  <c r="N3755" i="22" s="1"/>
  <c r="U3755" i="22" s="1"/>
  <c r="P3755" i="22"/>
  <c r="Q3755" i="22"/>
  <c r="R3755" i="22"/>
  <c r="L3756" i="22"/>
  <c r="C3756" i="22"/>
  <c r="E3756" i="22"/>
  <c r="G3756" i="22"/>
  <c r="I3756" i="22"/>
  <c r="B3757" i="22"/>
  <c r="M3701" i="22"/>
  <c r="D3701" i="22"/>
  <c r="J3701" i="22"/>
  <c r="N3701" i="22" s="1"/>
  <c r="U3701" i="22" s="1"/>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K3648" i="22" s="1"/>
  <c r="E3648" i="22"/>
  <c r="F3648" i="22"/>
  <c r="O3648" i="22" s="1"/>
  <c r="G3648" i="22"/>
  <c r="I3648" i="22"/>
  <c r="B3649" i="22"/>
  <c r="L3594" i="22"/>
  <c r="G3594" i="22"/>
  <c r="I3594" i="22"/>
  <c r="C3594" i="22"/>
  <c r="K3594" i="22" s="1"/>
  <c r="E3594" i="22"/>
  <c r="F3594" i="22"/>
  <c r="O3594" i="22" s="1"/>
  <c r="B3595" i="22"/>
  <c r="J3593" i="22"/>
  <c r="D3593" i="22"/>
  <c r="P3593" i="22"/>
  <c r="Q3593" i="22"/>
  <c r="R3593" i="22"/>
  <c r="M3539" i="22"/>
  <c r="D3539" i="22"/>
  <c r="J3539" i="22"/>
  <c r="N3539" i="22" s="1"/>
  <c r="U3539" i="22" s="1"/>
  <c r="P3539" i="22"/>
  <c r="Q3539" i="22"/>
  <c r="R3539" i="22"/>
  <c r="L3540" i="22"/>
  <c r="G3540" i="22"/>
  <c r="B3541" i="22"/>
  <c r="C3540" i="22"/>
  <c r="K3540" i="22" s="1"/>
  <c r="E3540" i="22"/>
  <c r="F3540" i="22"/>
  <c r="O3540" i="22" s="1"/>
  <c r="I3540" i="22"/>
  <c r="M3485" i="22"/>
  <c r="D3485" i="22"/>
  <c r="J3485" i="22"/>
  <c r="N3485" i="22" s="1"/>
  <c r="U3485" i="22" s="1"/>
  <c r="P3485" i="22"/>
  <c r="Q3485" i="22"/>
  <c r="R3485" i="22"/>
  <c r="L3486" i="22"/>
  <c r="C3486" i="22"/>
  <c r="K3486" i="22" s="1"/>
  <c r="E3486" i="22"/>
  <c r="F3486" i="22"/>
  <c r="O3486" i="22" s="1"/>
  <c r="G3486" i="22"/>
  <c r="I3486" i="22"/>
  <c r="B3487" i="22"/>
  <c r="M3431" i="22"/>
  <c r="D3431" i="22"/>
  <c r="J3431" i="22"/>
  <c r="N3431" i="22" s="1"/>
  <c r="U3431" i="22" s="1"/>
  <c r="P3431" i="22"/>
  <c r="Q3431" i="22"/>
  <c r="R3431" i="22"/>
  <c r="L3432" i="22"/>
  <c r="C3432" i="22"/>
  <c r="E3432" i="22"/>
  <c r="G3432" i="22"/>
  <c r="I3432" i="22"/>
  <c r="B3433" i="22"/>
  <c r="D3377" i="22"/>
  <c r="J3377" i="22"/>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E3324" i="22"/>
  <c r="G3324" i="22"/>
  <c r="I3324" i="22"/>
  <c r="B3325" i="22"/>
  <c r="D3269" i="22"/>
  <c r="J3269" i="22"/>
  <c r="L3270" i="22"/>
  <c r="E3270" i="22"/>
  <c r="G3270" i="22"/>
  <c r="I3270" i="22"/>
  <c r="C3270" i="22"/>
  <c r="B3271" i="22"/>
  <c r="P3269" i="22"/>
  <c r="Q3269" i="22"/>
  <c r="R3269" i="22"/>
  <c r="M3215" i="22"/>
  <c r="J3215" i="22"/>
  <c r="N3215" i="22" s="1"/>
  <c r="U3215" i="22" s="1"/>
  <c r="D3215" i="22"/>
  <c r="L3216" i="22"/>
  <c r="E3216" i="22"/>
  <c r="C3216" i="22"/>
  <c r="I3216" i="22"/>
  <c r="B3217" i="22"/>
  <c r="G3216" i="22"/>
  <c r="P3215" i="22"/>
  <c r="Q3215" i="22"/>
  <c r="R3215" i="22"/>
  <c r="M3161" i="22"/>
  <c r="D3161" i="22"/>
  <c r="J3161" i="22"/>
  <c r="N3161" i="22" s="1"/>
  <c r="U3161" i="22" s="1"/>
  <c r="P3161" i="22"/>
  <c r="Q3161" i="22"/>
  <c r="R3161" i="22"/>
  <c r="L3162" i="22"/>
  <c r="C3162" i="22"/>
  <c r="K3162" i="22" s="1"/>
  <c r="E3162" i="22"/>
  <c r="F3162" i="22"/>
  <c r="O3162" i="22" s="1"/>
  <c r="G3162" i="22"/>
  <c r="I3162" i="22"/>
  <c r="B3163" i="22"/>
  <c r="M3107" i="22"/>
  <c r="D3107" i="22"/>
  <c r="J3107" i="22"/>
  <c r="N3107" i="22" s="1"/>
  <c r="U3107" i="22" s="1"/>
  <c r="P3107" i="22"/>
  <c r="Q3107" i="22"/>
  <c r="R3107" i="22"/>
  <c r="L3108" i="22"/>
  <c r="C3108" i="22"/>
  <c r="E3108" i="22"/>
  <c r="G3108" i="22"/>
  <c r="I3108" i="22"/>
  <c r="B3109" i="22"/>
  <c r="M3053" i="22"/>
  <c r="D3053" i="22"/>
  <c r="J3053" i="22"/>
  <c r="N3053" i="22" s="1"/>
  <c r="U3053" i="22" s="1"/>
  <c r="P3053" i="22"/>
  <c r="Q3053" i="22"/>
  <c r="R3053" i="22"/>
  <c r="L3054" i="22"/>
  <c r="C3054" i="22"/>
  <c r="E3054" i="22"/>
  <c r="G3054" i="22"/>
  <c r="I3054" i="22"/>
  <c r="B3055" i="22"/>
  <c r="D2999" i="22"/>
  <c r="J2999" i="22"/>
  <c r="P2999" i="22"/>
  <c r="Q2999" i="22"/>
  <c r="R2999" i="22"/>
  <c r="L3000" i="22"/>
  <c r="C3000" i="22"/>
  <c r="E3000" i="22"/>
  <c r="G3000" i="22"/>
  <c r="I3000" i="22"/>
  <c r="B3001" i="22"/>
  <c r="D2945" i="22"/>
  <c r="J2945" i="22"/>
  <c r="P2945" i="22"/>
  <c r="Q2945" i="22"/>
  <c r="R2945" i="22"/>
  <c r="L2946" i="22"/>
  <c r="C2946" i="22"/>
  <c r="K2946" i="22" s="1"/>
  <c r="E2946" i="22"/>
  <c r="F2946" i="22"/>
  <c r="O2946" i="22" s="1"/>
  <c r="G2946" i="22"/>
  <c r="I2946" i="22"/>
  <c r="B2947" i="22"/>
  <c r="D2891" i="22"/>
  <c r="J2891" i="22"/>
  <c r="P2891" i="22"/>
  <c r="Q2891" i="22"/>
  <c r="R2891" i="22"/>
  <c r="L2892" i="22"/>
  <c r="C2892" i="22"/>
  <c r="K2892" i="22" s="1"/>
  <c r="E2892" i="22"/>
  <c r="F2892" i="22"/>
  <c r="O2892" i="22" s="1"/>
  <c r="G2892" i="22"/>
  <c r="I2892" i="22"/>
  <c r="B2893" i="22"/>
  <c r="D2837" i="22"/>
  <c r="J2837" i="22"/>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K2730" i="22" s="1"/>
  <c r="E2730" i="22"/>
  <c r="F2730" i="22"/>
  <c r="O2730" i="22" s="1"/>
  <c r="G2730" i="22"/>
  <c r="I2730" i="22"/>
  <c r="B2731" i="22"/>
  <c r="M2675" i="22"/>
  <c r="D2675" i="22"/>
  <c r="J2675" i="22"/>
  <c r="N2675" i="22" s="1"/>
  <c r="U2675" i="22" s="1"/>
  <c r="P2675" i="22"/>
  <c r="Q2675" i="22"/>
  <c r="R2675" i="22"/>
  <c r="L2676" i="22"/>
  <c r="E2676" i="22"/>
  <c r="G2676" i="22"/>
  <c r="I2676" i="22"/>
  <c r="C2676" i="22"/>
  <c r="B2677" i="22"/>
  <c r="M2621" i="22"/>
  <c r="J2621" i="22"/>
  <c r="N2621" i="22" s="1"/>
  <c r="U2621" i="22" s="1"/>
  <c r="D2621" i="22"/>
  <c r="P2621" i="22"/>
  <c r="Q2621" i="22"/>
  <c r="R2621" i="22"/>
  <c r="L2622" i="22"/>
  <c r="I2622" i="22"/>
  <c r="C2622" i="22"/>
  <c r="E2622" i="22"/>
  <c r="G2622" i="22"/>
  <c r="B2623" i="22"/>
  <c r="D2567" i="22"/>
  <c r="J2567" i="22"/>
  <c r="P2567" i="22"/>
  <c r="Q2567" i="22"/>
  <c r="R2567" i="22"/>
  <c r="L2568" i="22"/>
  <c r="C2568" i="22"/>
  <c r="E2568" i="22"/>
  <c r="G2568" i="22"/>
  <c r="I2568" i="22"/>
  <c r="B2569" i="22"/>
  <c r="M2513" i="22"/>
  <c r="D2513" i="22"/>
  <c r="J2513" i="22"/>
  <c r="N2513" i="22" s="1"/>
  <c r="U2513" i="22" s="1"/>
  <c r="P2513" i="22"/>
  <c r="Q2513" i="22"/>
  <c r="R2513" i="22"/>
  <c r="L2514" i="22"/>
  <c r="C2514" i="22"/>
  <c r="E2514" i="22"/>
  <c r="G2514" i="22"/>
  <c r="I2514" i="22"/>
  <c r="B2515" i="22"/>
  <c r="M2459" i="22"/>
  <c r="D2459" i="22"/>
  <c r="J2459" i="22"/>
  <c r="N2459" i="22" s="1"/>
  <c r="U2459" i="22" s="1"/>
  <c r="P2459" i="22"/>
  <c r="Q2459" i="22"/>
  <c r="R2459" i="22"/>
  <c r="L2460" i="22"/>
  <c r="C2460" i="22"/>
  <c r="K2460" i="22" s="1"/>
  <c r="E2460" i="22"/>
  <c r="F2460" i="22"/>
  <c r="O2460" i="22" s="1"/>
  <c r="G2460" i="22"/>
  <c r="I2460" i="22"/>
  <c r="B2461" i="22"/>
  <c r="M2405" i="22"/>
  <c r="D2405" i="22"/>
  <c r="J2405" i="22"/>
  <c r="N2405" i="22" s="1"/>
  <c r="U2405" i="22" s="1"/>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E2352" i="22"/>
  <c r="G2352" i="22"/>
  <c r="I2352" i="22"/>
  <c r="B2353" i="22"/>
  <c r="L2298" i="22"/>
  <c r="C2298" i="22"/>
  <c r="K2298" i="22" s="1"/>
  <c r="E2298" i="22"/>
  <c r="B2299" i="22"/>
  <c r="F2298" i="22"/>
  <c r="O2298" i="22" s="1"/>
  <c r="I2298" i="22"/>
  <c r="G2298" i="22"/>
  <c r="P2297" i="22"/>
  <c r="Q2297" i="22"/>
  <c r="R2297" i="22"/>
  <c r="J2297" i="22"/>
  <c r="D2297" i="22"/>
  <c r="D2243" i="22"/>
  <c r="J2243" i="22"/>
  <c r="P2243" i="22"/>
  <c r="Q2243" i="22"/>
  <c r="R2243" i="22"/>
  <c r="L2244" i="22"/>
  <c r="C2244" i="22"/>
  <c r="K2244" i="22" s="1"/>
  <c r="E2244" i="22"/>
  <c r="F2244" i="22"/>
  <c r="O2244" i="22" s="1"/>
  <c r="G2244" i="22"/>
  <c r="I2244" i="22"/>
  <c r="B2245" i="22"/>
  <c r="D2189" i="22"/>
  <c r="J2189" i="22"/>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E2082" i="22"/>
  <c r="G2082" i="22"/>
  <c r="I2082" i="22"/>
  <c r="B2083" i="22"/>
  <c r="M2027" i="22"/>
  <c r="D2027" i="22"/>
  <c r="J2027" i="22"/>
  <c r="N2027" i="22" s="1"/>
  <c r="U2027" i="22" s="1"/>
  <c r="P2027" i="22"/>
  <c r="Q2027" i="22"/>
  <c r="R2027" i="22"/>
  <c r="L2028" i="22"/>
  <c r="C2028" i="22"/>
  <c r="K2028" i="22" s="1"/>
  <c r="E2028" i="22"/>
  <c r="F2028" i="22"/>
  <c r="O2028" i="22" s="1"/>
  <c r="G2028" i="22"/>
  <c r="I2028" i="22"/>
  <c r="B2029"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E1812" i="22"/>
  <c r="G1812" i="22"/>
  <c r="I1812" i="22"/>
  <c r="B1813" i="22"/>
  <c r="M1757" i="22"/>
  <c r="D1757" i="22"/>
  <c r="J1757" i="22"/>
  <c r="N1757" i="22" s="1"/>
  <c r="U1757" i="22" s="1"/>
  <c r="P1757" i="22"/>
  <c r="Q1757" i="22"/>
  <c r="R1757" i="22"/>
  <c r="L1758" i="22"/>
  <c r="C1758" i="22"/>
  <c r="E1758" i="22"/>
  <c r="G1758" i="22"/>
  <c r="I1758" i="22"/>
  <c r="B1759" i="22"/>
  <c r="M1703" i="22"/>
  <c r="D1703" i="22"/>
  <c r="J1703" i="22"/>
  <c r="N1703" i="22" s="1"/>
  <c r="U1703" i="22" s="1"/>
  <c r="P1703" i="22"/>
  <c r="Q1703" i="22"/>
  <c r="R1703" i="22"/>
  <c r="L1704" i="22"/>
  <c r="C1704" i="22"/>
  <c r="E1704" i="22"/>
  <c r="G1704" i="22"/>
  <c r="I1704" i="22"/>
  <c r="B1705" i="22"/>
  <c r="M1649" i="22"/>
  <c r="D1649" i="22"/>
  <c r="J1649" i="22"/>
  <c r="N1649" i="22" s="1"/>
  <c r="U1649" i="22" s="1"/>
  <c r="P1649" i="22"/>
  <c r="Q1649" i="22"/>
  <c r="R1649" i="22"/>
  <c r="L1650" i="22"/>
  <c r="C1650" i="22"/>
  <c r="E1650" i="22"/>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J1433" i="22"/>
  <c r="D1433" i="22"/>
  <c r="P1433" i="22"/>
  <c r="Q1433" i="22"/>
  <c r="R1433" i="22"/>
  <c r="L1434" i="22"/>
  <c r="C1434" i="22"/>
  <c r="E1434" i="22"/>
  <c r="G1434" i="22"/>
  <c r="I1434" i="22"/>
  <c r="B1435" i="22"/>
  <c r="M1379" i="22"/>
  <c r="L1380" i="22"/>
  <c r="G1380" i="22"/>
  <c r="C1380" i="22"/>
  <c r="E1380" i="22"/>
  <c r="I1380" i="22"/>
  <c r="B1381" i="22"/>
  <c r="J1379" i="22"/>
  <c r="N1379" i="22" s="1"/>
  <c r="U1379" i="22" s="1"/>
  <c r="D1379" i="22"/>
  <c r="P1379" i="22"/>
  <c r="Q1379" i="22"/>
  <c r="R1379" i="22"/>
  <c r="D1325" i="22"/>
  <c r="J1325" i="22"/>
  <c r="P1325" i="22"/>
  <c r="Q1325" i="22"/>
  <c r="R1325" i="22"/>
  <c r="L1326" i="22"/>
  <c r="C1326" i="22"/>
  <c r="K1326" i="22" s="1"/>
  <c r="E1326" i="22"/>
  <c r="F1326" i="22"/>
  <c r="O1326" i="22" s="1"/>
  <c r="G1326" i="22"/>
  <c r="I1326" i="22"/>
  <c r="B1327" i="22"/>
  <c r="N1271" i="22"/>
  <c r="U1271" i="22" s="1"/>
  <c r="M1271" i="22"/>
  <c r="D1271" i="22"/>
  <c r="J1271" i="22"/>
  <c r="P1271" i="22"/>
  <c r="Q1271" i="22"/>
  <c r="R1271" i="22"/>
  <c r="L1272" i="22"/>
  <c r="C1272" i="22"/>
  <c r="K1272" i="22" s="1"/>
  <c r="E1272" i="22"/>
  <c r="F1272" i="22"/>
  <c r="O1272" i="22" s="1"/>
  <c r="G1272" i="22"/>
  <c r="I1272" i="22"/>
  <c r="B1273" i="22"/>
  <c r="M1217" i="22"/>
  <c r="D1217" i="22"/>
  <c r="J1217" i="22"/>
  <c r="N1217" i="22" s="1"/>
  <c r="U1217" i="22" s="1"/>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K1164" i="22" s="1"/>
  <c r="E1164" i="22"/>
  <c r="F1164" i="22"/>
  <c r="O1164" i="22" s="1"/>
  <c r="G1164" i="22"/>
  <c r="I1164" i="22"/>
  <c r="B1165" i="22"/>
  <c r="M1109" i="22"/>
  <c r="D1109" i="22"/>
  <c r="J1109" i="22"/>
  <c r="N1109" i="22" s="1"/>
  <c r="U1109" i="22" s="1"/>
  <c r="P1109" i="22"/>
  <c r="Q1109" i="22"/>
  <c r="R1109" i="22"/>
  <c r="L1110" i="22"/>
  <c r="C1110" i="22"/>
  <c r="K1110" i="22" s="1"/>
  <c r="E1110" i="22"/>
  <c r="F1110" i="22"/>
  <c r="O1110" i="22" s="1"/>
  <c r="G1110" i="22"/>
  <c r="I1110" i="22"/>
  <c r="B1111" i="22"/>
  <c r="M1055" i="22"/>
  <c r="D1055" i="22"/>
  <c r="J1055" i="22"/>
  <c r="N1055" i="22" s="1"/>
  <c r="U1055" i="22" s="1"/>
  <c r="P1055" i="22"/>
  <c r="Q1055" i="22"/>
  <c r="R1055" i="22"/>
  <c r="L1056" i="22"/>
  <c r="C1056" i="22"/>
  <c r="K1056" i="22" s="1"/>
  <c r="E1056" i="22"/>
  <c r="F1056" i="22"/>
  <c r="O1056" i="22" s="1"/>
  <c r="G1056" i="22"/>
  <c r="I1056" i="22"/>
  <c r="B1057" i="22"/>
  <c r="D1001" i="22"/>
  <c r="J1001" i="22"/>
  <c r="P1001" i="22"/>
  <c r="Q1001" i="22"/>
  <c r="R1001" i="22"/>
  <c r="L1002" i="22"/>
  <c r="C1002" i="22"/>
  <c r="E1002" i="22"/>
  <c r="G1002" i="22"/>
  <c r="I1002" i="22"/>
  <c r="B1003" i="22"/>
  <c r="D947" i="22"/>
  <c r="J947" i="22"/>
  <c r="P947" i="22"/>
  <c r="Q947" i="22"/>
  <c r="R947" i="22"/>
  <c r="L948" i="22"/>
  <c r="C948" i="22"/>
  <c r="E948" i="22"/>
  <c r="G948" i="22"/>
  <c r="I948" i="22"/>
  <c r="B949" i="22"/>
  <c r="D893" i="22"/>
  <c r="J893" i="22"/>
  <c r="P893" i="22"/>
  <c r="Q893" i="22"/>
  <c r="R893" i="22"/>
  <c r="L894" i="22"/>
  <c r="C894" i="22"/>
  <c r="K894" i="22" s="1"/>
  <c r="E894" i="22"/>
  <c r="F894" i="22"/>
  <c r="O894" i="22" s="1"/>
  <c r="G894" i="22"/>
  <c r="I894" i="22"/>
  <c r="B895" i="22"/>
  <c r="M839" i="22"/>
  <c r="D839" i="22"/>
  <c r="J839" i="22"/>
  <c r="N839" i="22" s="1"/>
  <c r="U839" i="22" s="1"/>
  <c r="P839" i="22"/>
  <c r="Q839" i="22"/>
  <c r="R839" i="22"/>
  <c r="L840" i="22"/>
  <c r="C840" i="22"/>
  <c r="K840" i="22" s="1"/>
  <c r="E840" i="22"/>
  <c r="F840" i="22"/>
  <c r="O840" i="22" s="1"/>
  <c r="G840" i="22"/>
  <c r="I840" i="22"/>
  <c r="B841" i="22"/>
  <c r="M785" i="22"/>
  <c r="D785" i="22"/>
  <c r="J785" i="22"/>
  <c r="N785" i="22" s="1"/>
  <c r="U785" i="22" s="1"/>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E678" i="22"/>
  <c r="G678" i="22"/>
  <c r="I678" i="22"/>
  <c r="B679" i="22"/>
  <c r="D623" i="22"/>
  <c r="J623" i="22"/>
  <c r="P623" i="22"/>
  <c r="Q623" i="22"/>
  <c r="R623" i="22"/>
  <c r="L624" i="22"/>
  <c r="C624" i="22"/>
  <c r="E624" i="22"/>
  <c r="G624" i="22"/>
  <c r="I624" i="22"/>
  <c r="B625" i="22"/>
  <c r="M569" i="22"/>
  <c r="D569" i="22"/>
  <c r="J569" i="22"/>
  <c r="N569" i="22" s="1"/>
  <c r="U569" i="22" s="1"/>
  <c r="Q569" i="22"/>
  <c r="P569" i="22"/>
  <c r="R569" i="22"/>
  <c r="L570" i="22"/>
  <c r="C570" i="22"/>
  <c r="E570" i="22"/>
  <c r="G570" i="22"/>
  <c r="I570" i="22"/>
  <c r="B571" i="22"/>
  <c r="M515" i="22"/>
  <c r="D515" i="22"/>
  <c r="J515" i="22"/>
  <c r="N515" i="22" s="1"/>
  <c r="U515" i="22" s="1"/>
  <c r="P515" i="22"/>
  <c r="Q515" i="22"/>
  <c r="R515" i="22"/>
  <c r="L516" i="22"/>
  <c r="C516" i="22"/>
  <c r="K516" i="22" s="1"/>
  <c r="E516" i="22"/>
  <c r="F516" i="22"/>
  <c r="O516" i="22" s="1"/>
  <c r="G516" i="22"/>
  <c r="I516" i="22"/>
  <c r="B517" i="22"/>
  <c r="M461" i="22"/>
  <c r="D461" i="22"/>
  <c r="J461" i="22"/>
  <c r="N461" i="22" s="1"/>
  <c r="U461" i="22" s="1"/>
  <c r="P461" i="22"/>
  <c r="Q461" i="22"/>
  <c r="R461" i="22"/>
  <c r="L462" i="22"/>
  <c r="C462" i="22"/>
  <c r="K462" i="22" s="1"/>
  <c r="E462" i="22"/>
  <c r="F462" i="22"/>
  <c r="O462" i="22" s="1"/>
  <c r="G462" i="22"/>
  <c r="B463" i="22"/>
  <c r="I462"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E354" i="22"/>
  <c r="G354" i="22"/>
  <c r="I354" i="22"/>
  <c r="B355" i="22"/>
  <c r="M299" i="22"/>
  <c r="D299" i="22"/>
  <c r="J299" i="22"/>
  <c r="N299" i="22" s="1"/>
  <c r="U299" i="22" s="1"/>
  <c r="P299" i="22"/>
  <c r="Q299" i="22"/>
  <c r="R299" i="22"/>
  <c r="L300" i="22"/>
  <c r="C300" i="22"/>
  <c r="E300" i="22"/>
  <c r="G300" i="22"/>
  <c r="I300" i="22"/>
  <c r="B301" i="22"/>
  <c r="D245" i="22"/>
  <c r="J245" i="22"/>
  <c r="P245" i="22"/>
  <c r="Q245" i="22"/>
  <c r="R245" i="22"/>
  <c r="L246" i="22"/>
  <c r="C246" i="22"/>
  <c r="E246" i="22"/>
  <c r="G246" i="22"/>
  <c r="I246" i="22"/>
  <c r="B247" i="22"/>
  <c r="D191" i="22"/>
  <c r="J191" i="22"/>
  <c r="P191" i="22"/>
  <c r="Q191" i="22"/>
  <c r="R191" i="22"/>
  <c r="L192" i="22"/>
  <c r="C192" i="22"/>
  <c r="E192" i="22"/>
  <c r="G192" i="22"/>
  <c r="I192" i="22"/>
  <c r="B193" i="22"/>
  <c r="M137" i="22"/>
  <c r="P137" i="22"/>
  <c r="Q137" i="22"/>
  <c r="R137" i="22"/>
  <c r="L138" i="22"/>
  <c r="C138" i="22"/>
  <c r="E138" i="22"/>
  <c r="G138" i="22"/>
  <c r="B139" i="22"/>
  <c r="I138" i="22"/>
  <c r="D137" i="22"/>
  <c r="J137" i="22"/>
  <c r="N137" i="22" s="1"/>
  <c r="U137" i="22" s="1"/>
  <c r="M83" i="22"/>
  <c r="D83" i="22"/>
  <c r="J83" i="22"/>
  <c r="N83" i="22" s="1"/>
  <c r="U83" i="22" s="1"/>
  <c r="P83" i="22"/>
  <c r="Q83" i="22"/>
  <c r="R83" i="22"/>
  <c r="L84" i="22"/>
  <c r="C84" i="22"/>
  <c r="K84" i="22" s="1"/>
  <c r="E84" i="22"/>
  <c r="F84" i="22"/>
  <c r="O84" i="22" s="1"/>
  <c r="G84" i="22"/>
  <c r="I84" i="22"/>
  <c r="B85" i="22"/>
  <c r="G1138" i="23"/>
  <c r="T1087" i="23"/>
  <c r="S1087" i="23"/>
  <c r="R1087" i="23"/>
  <c r="P1087" i="23"/>
  <c r="U1087" i="23" s="1"/>
  <c r="Q1087" i="23"/>
  <c r="P24" i="8"/>
  <c r="O24" i="8"/>
  <c r="N24" i="8"/>
  <c r="M24" i="8"/>
  <c r="L24" i="8"/>
  <c r="K24" i="8"/>
  <c r="J24" i="8"/>
  <c r="I24" i="8"/>
  <c r="H24" i="8"/>
  <c r="G24" i="8"/>
  <c r="F24" i="8"/>
  <c r="C24" i="8"/>
  <c r="AG1115" i="23"/>
  <c r="AG1123" i="23"/>
  <c r="N1138" i="23"/>
  <c r="AG1114" i="23"/>
  <c r="AG1116" i="23"/>
  <c r="AG1117" i="23"/>
  <c r="AG1119" i="23"/>
  <c r="E1087" i="23"/>
  <c r="AG1118" i="23"/>
  <c r="AG1120" i="23"/>
  <c r="AG1121" i="23"/>
  <c r="AG1122" i="23"/>
  <c r="AG1124" i="23"/>
  <c r="AG1125" i="23"/>
  <c r="M1138" i="23"/>
  <c r="O1138" i="23"/>
  <c r="A1088" i="23"/>
  <c r="B1088" i="23"/>
  <c r="J1088" i="23" s="1"/>
  <c r="P21" i="8"/>
  <c r="O21" i="8"/>
  <c r="N21" i="8"/>
  <c r="M21" i="8"/>
  <c r="L21" i="8"/>
  <c r="K21" i="8"/>
  <c r="J21" i="8"/>
  <c r="I21" i="8"/>
  <c r="H21" i="8"/>
  <c r="G21" i="8"/>
  <c r="F21" i="8"/>
  <c r="C21" i="8"/>
  <c r="E919" i="23"/>
  <c r="M970" i="23"/>
  <c r="O970" i="23"/>
  <c r="A920" i="23"/>
  <c r="B920" i="23"/>
  <c r="T919" i="23"/>
  <c r="P919" i="23"/>
  <c r="Q919" i="23"/>
  <c r="R919" i="23"/>
  <c r="S919" i="23"/>
  <c r="P20" i="8"/>
  <c r="O20" i="8"/>
  <c r="N20" i="8"/>
  <c r="M20" i="8"/>
  <c r="L20" i="8"/>
  <c r="K20" i="8"/>
  <c r="J20" i="8"/>
  <c r="I20" i="8"/>
  <c r="H20" i="8"/>
  <c r="G20" i="8"/>
  <c r="F20" i="8"/>
  <c r="C20" i="8"/>
  <c r="E863" i="23"/>
  <c r="M914" i="23"/>
  <c r="N914" i="23"/>
  <c r="O914" i="23"/>
  <c r="A864" i="23"/>
  <c r="B864" i="23"/>
  <c r="T863" i="23"/>
  <c r="P863" i="23"/>
  <c r="Q863" i="23"/>
  <c r="R863" i="23"/>
  <c r="S863" i="23"/>
  <c r="G914" i="23"/>
  <c r="P28" i="8"/>
  <c r="O28" i="8"/>
  <c r="N28" i="8"/>
  <c r="M28" i="8"/>
  <c r="L28" i="8"/>
  <c r="K28" i="8"/>
  <c r="J28" i="8"/>
  <c r="I28" i="8"/>
  <c r="H28" i="8"/>
  <c r="G28" i="8"/>
  <c r="F28" i="8"/>
  <c r="C28" i="8"/>
  <c r="E1311" i="23"/>
  <c r="M1362" i="23"/>
  <c r="O1362" i="23"/>
  <c r="N1362" i="23"/>
  <c r="A1312" i="23"/>
  <c r="B1312" i="23"/>
  <c r="T1311" i="23"/>
  <c r="P1311" i="23"/>
  <c r="Q1311" i="23"/>
  <c r="R1311" i="23"/>
  <c r="S1311" i="23"/>
  <c r="G1362" i="23"/>
  <c r="P29" i="8"/>
  <c r="O29" i="8"/>
  <c r="N29" i="8"/>
  <c r="M29" i="8"/>
  <c r="L29" i="8"/>
  <c r="K29" i="8"/>
  <c r="J29" i="8"/>
  <c r="I29" i="8"/>
  <c r="H29" i="8"/>
  <c r="G29" i="8"/>
  <c r="F29" i="8"/>
  <c r="C29" i="8"/>
  <c r="M1418" i="23"/>
  <c r="E1367" i="23"/>
  <c r="O1418" i="23"/>
  <c r="A1368" i="23"/>
  <c r="B1368" i="23"/>
  <c r="T1367" i="23"/>
  <c r="Q1367" i="23"/>
  <c r="P1367" i="23"/>
  <c r="R1367" i="23"/>
  <c r="S1367" i="23"/>
  <c r="P19" i="8"/>
  <c r="O19" i="8"/>
  <c r="N19" i="8"/>
  <c r="M19" i="8"/>
  <c r="L19" i="8"/>
  <c r="K19" i="8"/>
  <c r="J19" i="8"/>
  <c r="I19" i="8"/>
  <c r="H19" i="8"/>
  <c r="G19" i="8"/>
  <c r="F19" i="8"/>
  <c r="C19" i="8"/>
  <c r="E807" i="23"/>
  <c r="M858" i="23"/>
  <c r="O858" i="23"/>
  <c r="A808" i="23"/>
  <c r="B808" i="23"/>
  <c r="T807" i="23"/>
  <c r="P807" i="23"/>
  <c r="Q807" i="23"/>
  <c r="R807" i="23"/>
  <c r="S807" i="23"/>
  <c r="P9" i="8"/>
  <c r="O9" i="8"/>
  <c r="N9" i="8"/>
  <c r="M9" i="8"/>
  <c r="L9" i="8"/>
  <c r="K9" i="8"/>
  <c r="I9" i="8"/>
  <c r="H9" i="8"/>
  <c r="G9" i="8"/>
  <c r="F9" i="8"/>
  <c r="C9" i="8"/>
  <c r="J9" i="8"/>
  <c r="E247" i="23"/>
  <c r="M298" i="23"/>
  <c r="O298" i="23"/>
  <c r="A248" i="23"/>
  <c r="B248" i="23"/>
  <c r="T247" i="23"/>
  <c r="P247" i="23"/>
  <c r="Q247" i="23"/>
  <c r="R247" i="23"/>
  <c r="S247" i="23"/>
  <c r="T1031" i="23"/>
  <c r="Q1031" i="23"/>
  <c r="S1031" i="23"/>
  <c r="P1031" i="23"/>
  <c r="R1031" i="23"/>
  <c r="P23" i="8"/>
  <c r="O23" i="8"/>
  <c r="N23" i="8"/>
  <c r="M23" i="8"/>
  <c r="L23" i="8"/>
  <c r="K23" i="8"/>
  <c r="J23" i="8"/>
  <c r="I23" i="8"/>
  <c r="H23" i="8"/>
  <c r="G23" i="8"/>
  <c r="F23" i="8"/>
  <c r="C23" i="8"/>
  <c r="AG1058" i="23"/>
  <c r="AG1063" i="23"/>
  <c r="AG1064" i="23"/>
  <c r="AG1066" i="23"/>
  <c r="AG1067" i="23"/>
  <c r="AG1068" i="23"/>
  <c r="AG1069" i="23"/>
  <c r="M1082" i="23"/>
  <c r="AG1059" i="23"/>
  <c r="O1082" i="23"/>
  <c r="E1031" i="23"/>
  <c r="AG1060" i="23"/>
  <c r="AG1061" i="23"/>
  <c r="AG1062" i="23"/>
  <c r="AG1065" i="23"/>
  <c r="B1032" i="23"/>
  <c r="A1032" i="23"/>
  <c r="T1143" i="23"/>
  <c r="R1143" i="23"/>
  <c r="S1143" i="23"/>
  <c r="P1143" i="23"/>
  <c r="U1143" i="23" s="1"/>
  <c r="Q1143" i="23"/>
  <c r="A1144" i="23"/>
  <c r="B1144" i="23"/>
  <c r="J1144" i="23" s="1"/>
  <c r="P25" i="8"/>
  <c r="O25" i="8"/>
  <c r="N25" i="8"/>
  <c r="M25" i="8"/>
  <c r="L25" i="8"/>
  <c r="K25" i="8"/>
  <c r="J25" i="8"/>
  <c r="I25" i="8"/>
  <c r="H25" i="8"/>
  <c r="G25" i="8"/>
  <c r="F25" i="8"/>
  <c r="C25" i="8"/>
  <c r="AG1170" i="23"/>
  <c r="AG1171" i="23"/>
  <c r="AG1172" i="23"/>
  <c r="AG1173" i="23"/>
  <c r="AG1174" i="23"/>
  <c r="AG1175" i="23"/>
  <c r="AG1176" i="23"/>
  <c r="AG1178" i="23"/>
  <c r="AG1180" i="23"/>
  <c r="M1194" i="23"/>
  <c r="O1194" i="23"/>
  <c r="E1143" i="23"/>
  <c r="AG1177" i="23"/>
  <c r="AG1179" i="23"/>
  <c r="AG1181" i="23"/>
  <c r="P18" i="8"/>
  <c r="O18" i="8"/>
  <c r="N18" i="8"/>
  <c r="M18" i="8"/>
  <c r="L18" i="8"/>
  <c r="K18" i="8"/>
  <c r="J18" i="8"/>
  <c r="I18" i="8"/>
  <c r="H18" i="8"/>
  <c r="G18" i="8"/>
  <c r="F18" i="8"/>
  <c r="C18" i="8"/>
  <c r="E751" i="23"/>
  <c r="M802" i="23"/>
  <c r="O802" i="23"/>
  <c r="A752" i="23"/>
  <c r="B752" i="23"/>
  <c r="T751" i="23"/>
  <c r="P751" i="23"/>
  <c r="Q751" i="23"/>
  <c r="R751" i="23"/>
  <c r="S751" i="23"/>
  <c r="T1479" i="23"/>
  <c r="R1479" i="23"/>
  <c r="P1479" i="23"/>
  <c r="Q1479" i="23"/>
  <c r="S1479" i="23"/>
  <c r="E1479" i="23"/>
  <c r="M1530" i="23"/>
  <c r="O1530" i="23"/>
  <c r="AE1484" i="23"/>
  <c r="AE1483" i="23"/>
  <c r="AE1482" i="23"/>
  <c r="Y1506" i="23"/>
  <c r="Y1507" i="23"/>
  <c r="Y1508" i="23"/>
  <c r="Y1509" i="23"/>
  <c r="Y1510" i="23"/>
  <c r="Y1511" i="23"/>
  <c r="Y1512" i="23"/>
  <c r="Y1513" i="23"/>
  <c r="Y1514" i="23"/>
  <c r="Y1515" i="23"/>
  <c r="Y1516" i="23"/>
  <c r="Y1517" i="23"/>
  <c r="B1480" i="23"/>
  <c r="J1480" i="23" s="1"/>
  <c r="A1480"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I17" i="8"/>
  <c r="G17" i="8"/>
  <c r="F17" i="8"/>
  <c r="E695" i="23"/>
  <c r="C17" i="8" s="1"/>
  <c r="A696" i="23"/>
  <c r="B696" i="23"/>
  <c r="T695" i="23"/>
  <c r="P695" i="23"/>
  <c r="Q695" i="23"/>
  <c r="R695" i="23"/>
  <c r="S695" i="23"/>
  <c r="G746" i="23"/>
  <c r="J17" i="8" s="1"/>
  <c r="P16" i="8"/>
  <c r="O16" i="8"/>
  <c r="N16" i="8"/>
  <c r="M16" i="8"/>
  <c r="L16" i="8"/>
  <c r="K16" i="8"/>
  <c r="J16" i="8"/>
  <c r="I16" i="8"/>
  <c r="H16" i="8"/>
  <c r="G16" i="8"/>
  <c r="F16" i="8"/>
  <c r="C16" i="8"/>
  <c r="E639" i="23"/>
  <c r="M690" i="23"/>
  <c r="N690" i="23"/>
  <c r="O690" i="23"/>
  <c r="A640" i="23"/>
  <c r="B640" i="23"/>
  <c r="T639" i="23"/>
  <c r="P639" i="23"/>
  <c r="Q639" i="23"/>
  <c r="R639" i="23"/>
  <c r="S639" i="23"/>
  <c r="G690" i="23"/>
  <c r="P10" i="8"/>
  <c r="N10" i="8"/>
  <c r="M10" i="8"/>
  <c r="K10" i="8"/>
  <c r="J10" i="8"/>
  <c r="I10" i="8"/>
  <c r="H10" i="8"/>
  <c r="G10" i="8"/>
  <c r="F10" i="8"/>
  <c r="C10" i="8"/>
  <c r="O10" i="8"/>
  <c r="L10" i="8"/>
  <c r="E303" i="23"/>
  <c r="M354" i="23"/>
  <c r="O354" i="23"/>
  <c r="A304" i="23"/>
  <c r="B304" i="23"/>
  <c r="T303" i="23"/>
  <c r="P303" i="23"/>
  <c r="Q303" i="23"/>
  <c r="R303" i="23"/>
  <c r="S303" i="23"/>
  <c r="P13" i="8"/>
  <c r="N13" i="8"/>
  <c r="M13" i="8"/>
  <c r="K13" i="8"/>
  <c r="J13" i="8"/>
  <c r="I13" i="8"/>
  <c r="H13" i="8"/>
  <c r="G13" i="8"/>
  <c r="F13" i="8"/>
  <c r="C13" i="8"/>
  <c r="O13" i="8"/>
  <c r="L13" i="8"/>
  <c r="E471" i="23"/>
  <c r="M522" i="23"/>
  <c r="O522" i="23"/>
  <c r="A472" i="23"/>
  <c r="B472" i="23"/>
  <c r="T471" i="23"/>
  <c r="P471" i="23"/>
  <c r="Q471" i="23"/>
  <c r="R471" i="23"/>
  <c r="S471" i="23"/>
  <c r="T1423" i="23"/>
  <c r="R1423" i="23"/>
  <c r="P1423" i="23"/>
  <c r="Q1423" i="23"/>
  <c r="S1423" i="23"/>
  <c r="AE1428" i="23"/>
  <c r="AE1427" i="23"/>
  <c r="AE1426" i="23"/>
  <c r="Y1451" i="23"/>
  <c r="Y1453" i="23"/>
  <c r="Y1454" i="23"/>
  <c r="Y1459" i="23"/>
  <c r="Y1460" i="23"/>
  <c r="Y1450" i="23"/>
  <c r="Y1452" i="23"/>
  <c r="Y1455" i="23"/>
  <c r="Y1456" i="23"/>
  <c r="Y1457" i="23"/>
  <c r="Y1458" i="23"/>
  <c r="Y1461" i="23"/>
  <c r="AG1450" i="23"/>
  <c r="AG1451" i="23"/>
  <c r="AG1455" i="23"/>
  <c r="AG1456" i="23"/>
  <c r="AG1457" i="23"/>
  <c r="AG1461" i="23"/>
  <c r="E1423" i="23"/>
  <c r="AG1452" i="23"/>
  <c r="AG1453" i="23"/>
  <c r="AG1454" i="23"/>
  <c r="AG1458" i="23"/>
  <c r="AG1459" i="23"/>
  <c r="AG1460" i="23"/>
  <c r="M1474" i="23"/>
  <c r="O1474" i="23"/>
  <c r="A1424" i="23"/>
  <c r="B1424" i="23"/>
  <c r="E1424" i="23" s="1"/>
  <c r="I1424" i="23" s="1"/>
  <c r="P15" i="8"/>
  <c r="O15" i="8"/>
  <c r="N15" i="8"/>
  <c r="M15" i="8"/>
  <c r="L15" i="8"/>
  <c r="K15" i="8"/>
  <c r="J15" i="8"/>
  <c r="I15" i="8"/>
  <c r="H15" i="8"/>
  <c r="G15" i="8"/>
  <c r="F15" i="8"/>
  <c r="C15" i="8"/>
  <c r="E583" i="23"/>
  <c r="M634" i="23"/>
  <c r="O634" i="23"/>
  <c r="A584" i="23"/>
  <c r="B584" i="23"/>
  <c r="T583" i="23"/>
  <c r="P583" i="23"/>
  <c r="Q583" i="23"/>
  <c r="R583" i="23"/>
  <c r="S583" i="23"/>
  <c r="P26" i="8"/>
  <c r="O26" i="8"/>
  <c r="N26" i="8"/>
  <c r="M26" i="8"/>
  <c r="L26" i="8"/>
  <c r="K26" i="8"/>
  <c r="J26" i="8"/>
  <c r="I26" i="8"/>
  <c r="H26" i="8"/>
  <c r="G26" i="8"/>
  <c r="F26" i="8"/>
  <c r="C26" i="8"/>
  <c r="E1199" i="23"/>
  <c r="M1250" i="23"/>
  <c r="O1250" i="23"/>
  <c r="A1200" i="23"/>
  <c r="B1200" i="23"/>
  <c r="T1199" i="23"/>
  <c r="P1199" i="23"/>
  <c r="Q1199" i="23"/>
  <c r="R1199" i="23"/>
  <c r="S1199" i="23"/>
  <c r="P22" i="8"/>
  <c r="N22" i="8"/>
  <c r="L22" i="8"/>
  <c r="J22" i="8"/>
  <c r="H22" i="8"/>
  <c r="G22" i="8"/>
  <c r="C22" i="8"/>
  <c r="O22" i="8"/>
  <c r="M22" i="8"/>
  <c r="K22" i="8"/>
  <c r="I22" i="8"/>
  <c r="F22" i="8"/>
  <c r="E975" i="23"/>
  <c r="M1026" i="23"/>
  <c r="O1026" i="23"/>
  <c r="A976" i="23"/>
  <c r="B976" i="23"/>
  <c r="T975" i="23"/>
  <c r="P975" i="23"/>
  <c r="Q975" i="23"/>
  <c r="R975" i="23"/>
  <c r="S975" i="23"/>
  <c r="P12" i="8"/>
  <c r="O12" i="8"/>
  <c r="N12" i="8"/>
  <c r="M12" i="8"/>
  <c r="L12" i="8"/>
  <c r="K12" i="8"/>
  <c r="J12" i="8"/>
  <c r="I12" i="8"/>
  <c r="H12" i="8"/>
  <c r="G12" i="8"/>
  <c r="F12" i="8"/>
  <c r="C12" i="8"/>
  <c r="E415" i="23"/>
  <c r="M466" i="23"/>
  <c r="N466" i="23"/>
  <c r="O466" i="23"/>
  <c r="A416" i="23"/>
  <c r="B416" i="23"/>
  <c r="T415" i="23"/>
  <c r="P415" i="23"/>
  <c r="Q415" i="23"/>
  <c r="R415" i="23"/>
  <c r="S415" i="23"/>
  <c r="G466" i="23"/>
  <c r="P14" i="8"/>
  <c r="O14" i="8"/>
  <c r="N14" i="8"/>
  <c r="M14" i="8"/>
  <c r="L14" i="8"/>
  <c r="K14" i="8"/>
  <c r="J14" i="8"/>
  <c r="I14" i="8"/>
  <c r="H14" i="8"/>
  <c r="G14" i="8"/>
  <c r="F14" i="8"/>
  <c r="C14" i="8"/>
  <c r="E527" i="23"/>
  <c r="AG554" i="23"/>
  <c r="AG555" i="23"/>
  <c r="AG556" i="23"/>
  <c r="AG557" i="23"/>
  <c r="AG558" i="23"/>
  <c r="AG559" i="23"/>
  <c r="AG560" i="23"/>
  <c r="M578" i="23"/>
  <c r="O578" i="23"/>
  <c r="A528" i="23"/>
  <c r="B528" i="23"/>
  <c r="T527" i="23"/>
  <c r="P527" i="23"/>
  <c r="Q527" i="23"/>
  <c r="R527" i="23"/>
  <c r="S527" i="23"/>
  <c r="P11" i="8"/>
  <c r="O11" i="8"/>
  <c r="N11" i="8"/>
  <c r="M11" i="8"/>
  <c r="L11" i="8"/>
  <c r="K11" i="8"/>
  <c r="J11" i="8"/>
  <c r="I11" i="8"/>
  <c r="H11" i="8"/>
  <c r="G11" i="8"/>
  <c r="F11" i="8"/>
  <c r="C11" i="8"/>
  <c r="E359" i="23"/>
  <c r="M410" i="23"/>
  <c r="O410" i="23"/>
  <c r="A360" i="23"/>
  <c r="B360" i="23"/>
  <c r="T359" i="23"/>
  <c r="P359" i="23"/>
  <c r="Q359" i="23"/>
  <c r="R359" i="23"/>
  <c r="S359" i="23"/>
  <c r="P27" i="8"/>
  <c r="O27" i="8"/>
  <c r="N27" i="8"/>
  <c r="M27" i="8"/>
  <c r="L27" i="8"/>
  <c r="K27" i="8"/>
  <c r="J27" i="8"/>
  <c r="I27" i="8"/>
  <c r="H27" i="8"/>
  <c r="G27" i="8"/>
  <c r="F27" i="8"/>
  <c r="C27" i="8"/>
  <c r="E1255" i="23"/>
  <c r="M1306" i="23"/>
  <c r="O1306" i="23"/>
  <c r="A1256" i="23"/>
  <c r="B1256" i="23"/>
  <c r="T1255" i="23"/>
  <c r="P1255" i="23"/>
  <c r="Q1255" i="23"/>
  <c r="R1255" i="23"/>
  <c r="S1255" i="23"/>
  <c r="M21" i="17"/>
  <c r="D21" i="17"/>
  <c r="J21" i="17"/>
  <c r="N21" i="17" s="1"/>
  <c r="U21" i="17" s="1"/>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E20" i="18"/>
  <c r="O20" i="17" s="1"/>
  <c r="I6" i="18"/>
  <c r="O17" i="17"/>
  <c r="E4619" i="22"/>
  <c r="J4619" i="22"/>
  <c r="I7" i="18"/>
  <c r="F15" i="19"/>
  <c r="C61" i="10"/>
  <c r="G17" i="19"/>
  <c r="G11" i="9"/>
  <c r="H10" i="9"/>
  <c r="N1037" i="23"/>
  <c r="M1037" i="23"/>
  <c r="M870" i="23"/>
  <c r="M590" i="23"/>
  <c r="M534" i="23"/>
  <c r="N309" i="23"/>
  <c r="M309" i="23"/>
  <c r="M254" i="23"/>
  <c r="N4732" i="22"/>
  <c r="M4732" i="22"/>
  <c r="M3646" i="22"/>
  <c r="N3646" i="22"/>
  <c r="U3646" i="22" s="1"/>
  <c r="M3592" i="22"/>
  <c r="N3592" i="22"/>
  <c r="U3592" i="22" s="1"/>
  <c r="M3538" i="22"/>
  <c r="N3538" i="22"/>
  <c r="U3538" i="22" s="1"/>
  <c r="M3484" i="22"/>
  <c r="N3484" i="22"/>
  <c r="U3484" i="22" s="1"/>
  <c r="M3430" i="22"/>
  <c r="N3430" i="22"/>
  <c r="U3430" i="22" s="1"/>
  <c r="M3376" i="22"/>
  <c r="N3376" i="22"/>
  <c r="U3376" i="22" s="1"/>
  <c r="M3322" i="22"/>
  <c r="N3322" i="22"/>
  <c r="U3322" i="22" s="1"/>
  <c r="N3268" i="22"/>
  <c r="U3268" i="22" s="1"/>
  <c r="M3268" i="22"/>
  <c r="M3214" i="22"/>
  <c r="N3214" i="22"/>
  <c r="U3214" i="22" s="1"/>
  <c r="M3160" i="22"/>
  <c r="N3160" i="22"/>
  <c r="U3160" i="22" s="1"/>
  <c r="M2728" i="22"/>
  <c r="N2728" i="22"/>
  <c r="U2728" i="22" s="1"/>
  <c r="M2674" i="22"/>
  <c r="N2674" i="22"/>
  <c r="U2674" i="22" s="1"/>
  <c r="M2620" i="22"/>
  <c r="N2620" i="22"/>
  <c r="U2620" i="22" s="1"/>
  <c r="M2566" i="22"/>
  <c r="N2566" i="22"/>
  <c r="U2566" i="22" s="1"/>
  <c r="M2512" i="22"/>
  <c r="N2512" i="22"/>
  <c r="U2512" i="22" s="1"/>
  <c r="M2458" i="22"/>
  <c r="N2458" i="22"/>
  <c r="U2458" i="22" s="1"/>
  <c r="M2404" i="22"/>
  <c r="N2404" i="22"/>
  <c r="U2404" i="22" s="1"/>
  <c r="M2296" i="22"/>
  <c r="N2296" i="22"/>
  <c r="U2296" i="22" s="1"/>
  <c r="M2188" i="22"/>
  <c r="N2188" i="22"/>
  <c r="U2188" i="22" s="1"/>
  <c r="M1702" i="22"/>
  <c r="N1702" i="22"/>
  <c r="U1702" i="22" s="1"/>
  <c r="M1594" i="22"/>
  <c r="N1594" i="22"/>
  <c r="U1594" i="22" s="1"/>
  <c r="M1540" i="22"/>
  <c r="N1540" i="22"/>
  <c r="U1540" i="22" s="1"/>
  <c r="M1486" i="22"/>
  <c r="N1486" i="22"/>
  <c r="U1486" i="22" s="1"/>
  <c r="N1432" i="22"/>
  <c r="U1432" i="22" s="1"/>
  <c r="M1432" i="22"/>
  <c r="M1378" i="22"/>
  <c r="N1378" i="22"/>
  <c r="U1378" i="22" s="1"/>
  <c r="M568" i="22"/>
  <c r="N568" i="22"/>
  <c r="U568" i="22" s="1"/>
  <c r="N514" i="22"/>
  <c r="U514" i="22" s="1"/>
  <c r="M514" i="22"/>
  <c r="N460" i="22"/>
  <c r="U460" i="22" s="1"/>
  <c r="M460" i="22"/>
  <c r="M298" i="22"/>
  <c r="N298" i="22"/>
  <c r="U298" i="22" s="1"/>
  <c r="M244" i="22"/>
  <c r="N244" i="22"/>
  <c r="U244" i="22" s="1"/>
  <c r="M190" i="22"/>
  <c r="N190" i="22"/>
  <c r="U190" i="22" s="1"/>
  <c r="B1362" i="23"/>
  <c r="H1032" i="23"/>
  <c r="K1032" i="23" s="1"/>
  <c r="E21" i="18"/>
  <c r="O21" i="17" s="1"/>
  <c r="K1262" i="23"/>
  <c r="F1262" i="23"/>
  <c r="K982" i="23"/>
  <c r="F982" i="23"/>
  <c r="F702" i="23"/>
  <c r="K702" i="23"/>
  <c r="K478" i="23"/>
  <c r="F478" i="23"/>
  <c r="K310" i="23"/>
  <c r="F310" i="23"/>
  <c r="T4677" i="22"/>
  <c r="F4517" i="22"/>
  <c r="K4517" i="22"/>
  <c r="K4217" i="22"/>
  <c r="F4217" i="22"/>
  <c r="O4217" i="22" s="1"/>
  <c r="K4163" i="22"/>
  <c r="F4163" i="22"/>
  <c r="O4163" i="22" s="1"/>
  <c r="F3593" i="22"/>
  <c r="O3593" i="22" s="1"/>
  <c r="K3593" i="22"/>
  <c r="F3377" i="22"/>
  <c r="O3377" i="22" s="1"/>
  <c r="K3377" i="22"/>
  <c r="K3269" i="22"/>
  <c r="F3269" i="22"/>
  <c r="O3269" i="22" s="1"/>
  <c r="K2999" i="22"/>
  <c r="F2999" i="22"/>
  <c r="O2999" i="22" s="1"/>
  <c r="F2945" i="22"/>
  <c r="O2945" i="22" s="1"/>
  <c r="K2945" i="22"/>
  <c r="K2891" i="22"/>
  <c r="F2891" i="22"/>
  <c r="O2891" i="22" s="1"/>
  <c r="K2837" i="22"/>
  <c r="F2837" i="22"/>
  <c r="O2837" i="22" s="1"/>
  <c r="K2567" i="22"/>
  <c r="F2567" i="22"/>
  <c r="O2567" i="22" s="1"/>
  <c r="K2297" i="22"/>
  <c r="F2297" i="22"/>
  <c r="O2297" i="22" s="1"/>
  <c r="F2243" i="22"/>
  <c r="O2243" i="22" s="1"/>
  <c r="K2243" i="22"/>
  <c r="F2189" i="22"/>
  <c r="O2189" i="22" s="1"/>
  <c r="K2189" i="22"/>
  <c r="K1433" i="22"/>
  <c r="F1433" i="22"/>
  <c r="O1433" i="22" s="1"/>
  <c r="K1325" i="22"/>
  <c r="F1325" i="22"/>
  <c r="O1325" i="22" s="1"/>
  <c r="K1001" i="22"/>
  <c r="F1001" i="22"/>
  <c r="O1001" i="22" s="1"/>
  <c r="F947" i="22"/>
  <c r="O947" i="22" s="1"/>
  <c r="K947" i="22"/>
  <c r="K893" i="22"/>
  <c r="F893" i="22"/>
  <c r="O893" i="22" s="1"/>
  <c r="F623" i="22"/>
  <c r="O623" i="22" s="1"/>
  <c r="K623" i="22"/>
  <c r="K245" i="22"/>
  <c r="F245" i="22"/>
  <c r="O245" i="22" s="1"/>
  <c r="F191" i="22"/>
  <c r="O191" i="22" s="1"/>
  <c r="K191" i="22"/>
  <c r="F20" i="18"/>
  <c r="G20" i="18"/>
  <c r="H20" i="18"/>
  <c r="J62" i="10"/>
  <c r="D15" i="19"/>
  <c r="K1263" i="23" l="1"/>
  <c r="F1263" i="23"/>
  <c r="K1207" i="23"/>
  <c r="F1207" i="23"/>
  <c r="K535" i="23"/>
  <c r="F535" i="23"/>
  <c r="K4734" i="22"/>
  <c r="F4734" i="22"/>
  <c r="K4680" i="22"/>
  <c r="F4680" i="22"/>
  <c r="K4218" i="22"/>
  <c r="F4218" i="22"/>
  <c r="O4218" i="22" s="1"/>
  <c r="K4164" i="22"/>
  <c r="F4164" i="22"/>
  <c r="O4164" i="22" s="1"/>
  <c r="K3270" i="22"/>
  <c r="F3270" i="22"/>
  <c r="O3270" i="22" s="1"/>
  <c r="K2784" i="22"/>
  <c r="F2784" i="22"/>
  <c r="O2784" i="22" s="1"/>
  <c r="K2352" i="22"/>
  <c r="F2352" i="22"/>
  <c r="O2352" i="22" s="1"/>
  <c r="K1650" i="22"/>
  <c r="F1650" i="22"/>
  <c r="O1650" i="22" s="1"/>
  <c r="AG274" i="23"/>
  <c r="AG275" i="23"/>
  <c r="AG276" i="23"/>
  <c r="AG277" i="23"/>
  <c r="AG278" i="23"/>
  <c r="AG279" i="23"/>
  <c r="AG280" i="23"/>
  <c r="AG561" i="23"/>
  <c r="AG562" i="23"/>
  <c r="AG563" i="23"/>
  <c r="AG564" i="23"/>
  <c r="AG565"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J1543" i="23"/>
  <c r="D1543" i="23"/>
  <c r="P1543" i="23"/>
  <c r="Q1543" i="23"/>
  <c r="R1543" i="23"/>
  <c r="L1544" i="23"/>
  <c r="I1544" i="23"/>
  <c r="C1544" i="23"/>
  <c r="K1544" i="23" s="1"/>
  <c r="E1544" i="23"/>
  <c r="F1544" i="23"/>
  <c r="O1544" i="23" s="1"/>
  <c r="G1544" i="23"/>
  <c r="B1545" i="23"/>
  <c r="N1486" i="23"/>
  <c r="AE1486" i="23" s="1"/>
  <c r="M1486" i="23"/>
  <c r="L1488" i="23"/>
  <c r="I1488" i="23"/>
  <c r="B1489" i="23"/>
  <c r="C1488" i="23"/>
  <c r="E1488" i="23"/>
  <c r="G1488" i="23"/>
  <c r="J1487" i="23"/>
  <c r="D1487" i="23"/>
  <c r="P1487" i="23"/>
  <c r="Q1487" i="23"/>
  <c r="R1487" i="23"/>
  <c r="N1430" i="23"/>
  <c r="AE1430" i="23" s="1"/>
  <c r="M1430" i="23"/>
  <c r="P1431" i="23"/>
  <c r="Q1431" i="23"/>
  <c r="R1431" i="23"/>
  <c r="L1432" i="23"/>
  <c r="I1432" i="23"/>
  <c r="B1433" i="23"/>
  <c r="C1432" i="23"/>
  <c r="E1432" i="23"/>
  <c r="G1432" i="23"/>
  <c r="J1431" i="23"/>
  <c r="D1431" i="23"/>
  <c r="N1374" i="23"/>
  <c r="M1374" i="23"/>
  <c r="M1375" i="23"/>
  <c r="L1376" i="23"/>
  <c r="I1376" i="23"/>
  <c r="G1376" i="23"/>
  <c r="C1376" i="23"/>
  <c r="E1376" i="23"/>
  <c r="B1377" i="23"/>
  <c r="J1375" i="23"/>
  <c r="N1375" i="23" s="1"/>
  <c r="D1375" i="23"/>
  <c r="P1375" i="23"/>
  <c r="Q1375" i="23"/>
  <c r="R1375" i="23"/>
  <c r="N1318" i="23"/>
  <c r="M1318" i="23"/>
  <c r="M1319" i="23"/>
  <c r="J1319" i="23"/>
  <c r="N1319" i="23" s="1"/>
  <c r="D1319" i="23"/>
  <c r="P1319" i="23"/>
  <c r="Q1319" i="23"/>
  <c r="R1319" i="23"/>
  <c r="L1320" i="23"/>
  <c r="I1320" i="23"/>
  <c r="C1320" i="23"/>
  <c r="E1320" i="23"/>
  <c r="G1320" i="23"/>
  <c r="B1321" i="23"/>
  <c r="M1263" i="23"/>
  <c r="J1263" i="23"/>
  <c r="N1263" i="23" s="1"/>
  <c r="D1263" i="23"/>
  <c r="P1263" i="23"/>
  <c r="Q1263" i="23"/>
  <c r="R1263" i="23"/>
  <c r="L1264" i="23"/>
  <c r="I1264" i="23"/>
  <c r="C1264" i="23"/>
  <c r="K1264" i="23" s="1"/>
  <c r="E1264" i="23"/>
  <c r="F1264" i="23"/>
  <c r="G1264" i="23"/>
  <c r="B1265" i="23"/>
  <c r="N1206" i="23"/>
  <c r="M1206" i="23"/>
  <c r="M1207" i="23"/>
  <c r="J1207" i="23"/>
  <c r="N1207" i="23" s="1"/>
  <c r="D1207" i="23"/>
  <c r="P1207" i="23"/>
  <c r="Q1207" i="23"/>
  <c r="R1207" i="23"/>
  <c r="L1208" i="23"/>
  <c r="I1208" i="23"/>
  <c r="C1208" i="23"/>
  <c r="K1208" i="23" s="1"/>
  <c r="E1208" i="23"/>
  <c r="F1208" i="23"/>
  <c r="G1208" i="23"/>
  <c r="B1209" i="23"/>
  <c r="M1151" i="23"/>
  <c r="J1151" i="23"/>
  <c r="N1151" i="23" s="1"/>
  <c r="D1151" i="23"/>
  <c r="P1151" i="23"/>
  <c r="Q1151" i="23"/>
  <c r="R1151" i="23"/>
  <c r="L1152" i="23"/>
  <c r="I1152" i="23"/>
  <c r="G1152" i="23"/>
  <c r="C1152" i="23"/>
  <c r="E1152" i="23"/>
  <c r="B1153" i="23"/>
  <c r="N1150" i="23"/>
  <c r="M1150" i="23"/>
  <c r="P1095" i="23"/>
  <c r="Q1095" i="23"/>
  <c r="R1095" i="23"/>
  <c r="J1095" i="23"/>
  <c r="D1095" i="23"/>
  <c r="L1096" i="23"/>
  <c r="I1096" i="23"/>
  <c r="C1096" i="23"/>
  <c r="E1096" i="23"/>
  <c r="G1096" i="23"/>
  <c r="B1097" i="23"/>
  <c r="N1094" i="23"/>
  <c r="M1094" i="23"/>
  <c r="M1038" i="23"/>
  <c r="N1038" i="23"/>
  <c r="J1039" i="23"/>
  <c r="D1039" i="23"/>
  <c r="P1039" i="23"/>
  <c r="Q1039" i="23"/>
  <c r="R1039" i="23"/>
  <c r="L1040" i="23"/>
  <c r="I1040" i="23"/>
  <c r="C1040" i="23"/>
  <c r="E1040" i="23"/>
  <c r="G1040" i="23"/>
  <c r="B1041" i="23"/>
  <c r="J983" i="23"/>
  <c r="D983" i="23"/>
  <c r="P983" i="23"/>
  <c r="Q983" i="23"/>
  <c r="R983" i="23"/>
  <c r="L984" i="23"/>
  <c r="I984" i="23"/>
  <c r="C984" i="23"/>
  <c r="K984" i="23" s="1"/>
  <c r="E984" i="23"/>
  <c r="F984" i="23"/>
  <c r="G984" i="23"/>
  <c r="B985" i="23"/>
  <c r="N926" i="23"/>
  <c r="M926" i="23"/>
  <c r="M927" i="23"/>
  <c r="J927" i="23"/>
  <c r="N927" i="23" s="1"/>
  <c r="D927" i="23"/>
  <c r="P927" i="23"/>
  <c r="Q927" i="23"/>
  <c r="R927" i="23"/>
  <c r="L928" i="23"/>
  <c r="I928" i="23"/>
  <c r="C928" i="23"/>
  <c r="E928" i="23"/>
  <c r="G928" i="23"/>
  <c r="B929" i="23"/>
  <c r="M871" i="23"/>
  <c r="J871" i="23"/>
  <c r="N871" i="23" s="1"/>
  <c r="D871" i="23"/>
  <c r="P871" i="23"/>
  <c r="Q871" i="23"/>
  <c r="R871" i="23"/>
  <c r="L872" i="23"/>
  <c r="I872" i="23"/>
  <c r="C872" i="23"/>
  <c r="K872" i="23" s="1"/>
  <c r="E872" i="23"/>
  <c r="F872" i="23"/>
  <c r="G872" i="23"/>
  <c r="B873" i="23"/>
  <c r="N814" i="23"/>
  <c r="M814" i="23"/>
  <c r="J815" i="23"/>
  <c r="D815" i="23"/>
  <c r="P815" i="23"/>
  <c r="Q815" i="23"/>
  <c r="R815" i="23"/>
  <c r="L816" i="23"/>
  <c r="I816" i="23"/>
  <c r="C816" i="23"/>
  <c r="K816" i="23" s="1"/>
  <c r="E816" i="23"/>
  <c r="F816" i="23"/>
  <c r="G816" i="23"/>
  <c r="B817" i="23"/>
  <c r="N758" i="23"/>
  <c r="AE758" i="23" s="1"/>
  <c r="M758" i="23"/>
  <c r="J759" i="23"/>
  <c r="D759" i="23"/>
  <c r="P759" i="23"/>
  <c r="Q759" i="23"/>
  <c r="R759" i="23"/>
  <c r="L760" i="23"/>
  <c r="I760" i="23"/>
  <c r="C760" i="23"/>
  <c r="E760" i="23"/>
  <c r="G760" i="23"/>
  <c r="B761" i="23"/>
  <c r="M703" i="23"/>
  <c r="J703" i="23"/>
  <c r="N703" i="23" s="1"/>
  <c r="D703" i="23"/>
  <c r="P703" i="23"/>
  <c r="Q703" i="23"/>
  <c r="R703" i="23"/>
  <c r="L704" i="23"/>
  <c r="I704" i="23"/>
  <c r="C704" i="23"/>
  <c r="K704" i="23" s="1"/>
  <c r="E704" i="23"/>
  <c r="F704" i="23"/>
  <c r="G704" i="23"/>
  <c r="B705" i="23"/>
  <c r="N646" i="23"/>
  <c r="M646" i="23"/>
  <c r="J647" i="23"/>
  <c r="D647" i="23"/>
  <c r="P647" i="23"/>
  <c r="Q647" i="23"/>
  <c r="R647" i="23"/>
  <c r="L648" i="23"/>
  <c r="I648" i="23"/>
  <c r="C648" i="23"/>
  <c r="K648" i="23" s="1"/>
  <c r="E648" i="23"/>
  <c r="F648" i="23"/>
  <c r="G648" i="23"/>
  <c r="B649" i="23"/>
  <c r="J591" i="23"/>
  <c r="D591" i="23"/>
  <c r="P591" i="23"/>
  <c r="Q591" i="23"/>
  <c r="R591" i="23"/>
  <c r="L592" i="23"/>
  <c r="I592" i="23"/>
  <c r="C592" i="23"/>
  <c r="K592" i="23" s="1"/>
  <c r="E592" i="23"/>
  <c r="F592" i="23"/>
  <c r="O592" i="23" s="1"/>
  <c r="G592" i="23"/>
  <c r="B593" i="23"/>
  <c r="M535" i="23"/>
  <c r="J535" i="23"/>
  <c r="N535" i="23" s="1"/>
  <c r="D535" i="23"/>
  <c r="P535" i="23"/>
  <c r="Q535" i="23"/>
  <c r="R535" i="23"/>
  <c r="L536" i="23"/>
  <c r="I536" i="23"/>
  <c r="C536" i="23"/>
  <c r="K536" i="23" s="1"/>
  <c r="E536" i="23"/>
  <c r="F536" i="23"/>
  <c r="G536" i="23"/>
  <c r="B537" i="23"/>
  <c r="M479" i="23"/>
  <c r="J479" i="23"/>
  <c r="N479" i="23" s="1"/>
  <c r="D479" i="23"/>
  <c r="P479" i="23"/>
  <c r="Q479" i="23"/>
  <c r="R479" i="23"/>
  <c r="L480" i="23"/>
  <c r="I480" i="23"/>
  <c r="C480" i="23"/>
  <c r="K480" i="23" s="1"/>
  <c r="E480" i="23"/>
  <c r="F480" i="23"/>
  <c r="G480" i="23"/>
  <c r="B481" i="23"/>
  <c r="N422" i="23"/>
  <c r="M422" i="23"/>
  <c r="M423" i="23"/>
  <c r="J423" i="23"/>
  <c r="N423" i="23" s="1"/>
  <c r="D423" i="23"/>
  <c r="P423" i="23"/>
  <c r="Q423" i="23"/>
  <c r="R423" i="23"/>
  <c r="L424" i="23"/>
  <c r="I424" i="23"/>
  <c r="C424" i="23"/>
  <c r="E424" i="23"/>
  <c r="G424" i="23"/>
  <c r="B425" i="23"/>
  <c r="N366" i="23"/>
  <c r="AE366" i="23" s="1"/>
  <c r="M366" i="23"/>
  <c r="J367" i="23"/>
  <c r="D367" i="23"/>
  <c r="P367" i="23"/>
  <c r="Q367" i="23"/>
  <c r="R367" i="23"/>
  <c r="L368" i="23"/>
  <c r="I368" i="23"/>
  <c r="C368" i="23"/>
  <c r="K368" i="23" s="1"/>
  <c r="E368" i="23"/>
  <c r="F368" i="23"/>
  <c r="O368" i="23" s="1"/>
  <c r="G368" i="23"/>
  <c r="B369" i="23"/>
  <c r="M311" i="23"/>
  <c r="J311" i="23"/>
  <c r="N311" i="23" s="1"/>
  <c r="D311" i="23"/>
  <c r="P311" i="23"/>
  <c r="Q311" i="23"/>
  <c r="R311" i="23"/>
  <c r="L312" i="23"/>
  <c r="I312" i="23"/>
  <c r="C312" i="23"/>
  <c r="E312" i="23"/>
  <c r="G312" i="23"/>
  <c r="B313" i="23"/>
  <c r="M255" i="23"/>
  <c r="J255" i="23"/>
  <c r="N255" i="23" s="1"/>
  <c r="D255" i="23"/>
  <c r="P255" i="23"/>
  <c r="Q255" i="23"/>
  <c r="R255" i="23"/>
  <c r="L256" i="23"/>
  <c r="I256" i="23"/>
  <c r="C256" i="23"/>
  <c r="K256" i="23" s="1"/>
  <c r="E256" i="23"/>
  <c r="F256" i="23"/>
  <c r="G256" i="23"/>
  <c r="B257" i="23"/>
  <c r="P4734" i="22"/>
  <c r="Q4734" i="22"/>
  <c r="R4734" i="22"/>
  <c r="M4734" i="22"/>
  <c r="G4735" i="22"/>
  <c r="L4735" i="22"/>
  <c r="B4736" i="22"/>
  <c r="C4735" i="22"/>
  <c r="F4735" i="22" s="1"/>
  <c r="E4735" i="22"/>
  <c r="I4735" i="22"/>
  <c r="K4735" i="22"/>
  <c r="D4734" i="22"/>
  <c r="J4734" i="22"/>
  <c r="N4734" i="22" s="1"/>
  <c r="U4679" i="22"/>
  <c r="S4679" i="22"/>
  <c r="M4680" i="22"/>
  <c r="D4680" i="22"/>
  <c r="J4680" i="22"/>
  <c r="N4680" i="22" s="1"/>
  <c r="P4680" i="22"/>
  <c r="Q4680" i="22"/>
  <c r="R4680" i="22"/>
  <c r="L4681" i="22"/>
  <c r="C4681" i="22"/>
  <c r="K4681" i="22" s="1"/>
  <c r="E4681" i="22"/>
  <c r="F4681" i="22"/>
  <c r="G4681" i="22"/>
  <c r="I4681" i="22"/>
  <c r="B4682" i="22"/>
  <c r="P4626" i="22"/>
  <c r="Q4626" i="22"/>
  <c r="R4626" i="22"/>
  <c r="C4627" i="22"/>
  <c r="E4627" i="22"/>
  <c r="G4627" i="22"/>
  <c r="B4628" i="22"/>
  <c r="M4572" i="22"/>
  <c r="J4572" i="22"/>
  <c r="N4572" i="22" s="1"/>
  <c r="D4572" i="22"/>
  <c r="P4572" i="22"/>
  <c r="Q4572" i="22"/>
  <c r="R4572" i="22"/>
  <c r="I4573" i="22"/>
  <c r="L4573" i="22"/>
  <c r="C4573" i="22"/>
  <c r="K4573" i="22" s="1"/>
  <c r="E4573" i="22"/>
  <c r="F4573" i="22"/>
  <c r="G4573" i="22"/>
  <c r="B4574" i="22"/>
  <c r="D4518" i="22"/>
  <c r="J4518" i="22"/>
  <c r="P4518" i="22"/>
  <c r="Q4518" i="22"/>
  <c r="R4518" i="22"/>
  <c r="L4519" i="22"/>
  <c r="C4519" i="22"/>
  <c r="K4519" i="22" s="1"/>
  <c r="E4519" i="22"/>
  <c r="F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E4165" i="22"/>
  <c r="G4165" i="22"/>
  <c r="I4165" i="22"/>
  <c r="B4166" i="22"/>
  <c r="D4110" i="22"/>
  <c r="J4110" i="22"/>
  <c r="N4110" i="22" s="1"/>
  <c r="U4110" i="22" s="1"/>
  <c r="P4110" i="22"/>
  <c r="Q4110" i="22"/>
  <c r="R4110" i="22"/>
  <c r="M4110" i="22"/>
  <c r="C4111" i="22"/>
  <c r="E4111" i="22"/>
  <c r="G4111" i="22"/>
  <c r="I4111" i="22"/>
  <c r="L4111" i="22"/>
  <c r="B4112" i="22"/>
  <c r="D4056" i="22"/>
  <c r="J4056" i="22"/>
  <c r="N4056" i="22" s="1"/>
  <c r="U4056" i="22" s="1"/>
  <c r="P4056" i="22"/>
  <c r="Q4056" i="22"/>
  <c r="R4056" i="22"/>
  <c r="M4056" i="22"/>
  <c r="C4057" i="22"/>
  <c r="F4057" i="22" s="1"/>
  <c r="O4057" i="22" s="1"/>
  <c r="E4057" i="22"/>
  <c r="G4057" i="22"/>
  <c r="L4057" i="22"/>
  <c r="B4058" i="22"/>
  <c r="I4057" i="22"/>
  <c r="K4057" i="22"/>
  <c r="D3756" i="22"/>
  <c r="J3756" i="22"/>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M3594" i="22"/>
  <c r="P3594" i="22"/>
  <c r="Q3594" i="22"/>
  <c r="R3594" i="22"/>
  <c r="J3594" i="22"/>
  <c r="N3594" i="22" s="1"/>
  <c r="U3594" i="22" s="1"/>
  <c r="D3594" i="22"/>
  <c r="L3595" i="22"/>
  <c r="G3595" i="22"/>
  <c r="C3595" i="22"/>
  <c r="E3595" i="22"/>
  <c r="I3595" i="22"/>
  <c r="B3596" i="22"/>
  <c r="M3540" i="22"/>
  <c r="P3540" i="22"/>
  <c r="Q3540" i="22"/>
  <c r="R3540" i="22"/>
  <c r="L3541" i="22"/>
  <c r="B3542" i="22"/>
  <c r="C3541" i="22"/>
  <c r="E3541" i="22"/>
  <c r="G3541" i="22"/>
  <c r="I3541" i="22"/>
  <c r="D3540" i="22"/>
  <c r="J3540" i="22"/>
  <c r="N3540" i="22" s="1"/>
  <c r="U3540" i="22" s="1"/>
  <c r="M3486" i="22"/>
  <c r="D3486" i="22"/>
  <c r="J3486" i="22"/>
  <c r="N3486" i="22" s="1"/>
  <c r="U3486" i="22" s="1"/>
  <c r="P3486" i="22"/>
  <c r="Q3486" i="22"/>
  <c r="R3486" i="22"/>
  <c r="L3487" i="22"/>
  <c r="C3487" i="22"/>
  <c r="E3487" i="22"/>
  <c r="G3487" i="22"/>
  <c r="I3487" i="22"/>
  <c r="B3488" i="22"/>
  <c r="D3432" i="22"/>
  <c r="J3432" i="22"/>
  <c r="P3432" i="22"/>
  <c r="Q3432" i="22"/>
  <c r="R3432" i="22"/>
  <c r="L3433" i="22"/>
  <c r="C3433" i="22"/>
  <c r="E3433" i="22"/>
  <c r="G3433" i="22"/>
  <c r="I3433" i="22"/>
  <c r="B3434" i="22"/>
  <c r="M3378" i="22"/>
  <c r="D3378" i="22"/>
  <c r="J3378" i="22"/>
  <c r="N3378" i="22" s="1"/>
  <c r="U3378" i="22" s="1"/>
  <c r="P3378" i="22"/>
  <c r="Q3378" i="22"/>
  <c r="R3378" i="22"/>
  <c r="L3379" i="22"/>
  <c r="C3379" i="22"/>
  <c r="K3379" i="22" s="1"/>
  <c r="E3379" i="22"/>
  <c r="F3379" i="22"/>
  <c r="O3379" i="22" s="1"/>
  <c r="G3379" i="22"/>
  <c r="I3379" i="22"/>
  <c r="B3380" i="22"/>
  <c r="D3324" i="22"/>
  <c r="J3324" i="22"/>
  <c r="P3324" i="22"/>
  <c r="Q3324" i="22"/>
  <c r="R3324" i="22"/>
  <c r="L3325" i="22"/>
  <c r="C3325" i="22"/>
  <c r="E3325" i="22"/>
  <c r="G3325" i="22"/>
  <c r="I3325" i="22"/>
  <c r="B3326" i="22"/>
  <c r="M3270" i="22"/>
  <c r="P3270" i="22"/>
  <c r="Q3270" i="22"/>
  <c r="R3270" i="22"/>
  <c r="J3270" i="22"/>
  <c r="N3270" i="22" s="1"/>
  <c r="U3270" i="22" s="1"/>
  <c r="D3270" i="22"/>
  <c r="L3271" i="22"/>
  <c r="I3271" i="22"/>
  <c r="B3272" i="22"/>
  <c r="C3271" i="22"/>
  <c r="E3271" i="22"/>
  <c r="G3271" i="22"/>
  <c r="D3216" i="22"/>
  <c r="J3216" i="22"/>
  <c r="L3217" i="22"/>
  <c r="C3217" i="22"/>
  <c r="I3217" i="22"/>
  <c r="B3218" i="22"/>
  <c r="G3217" i="22"/>
  <c r="E3217" i="22"/>
  <c r="P3216" i="22"/>
  <c r="Q3216" i="22"/>
  <c r="R3216" i="22"/>
  <c r="M3162" i="22"/>
  <c r="D3162" i="22"/>
  <c r="J3162" i="22"/>
  <c r="N3162" i="22" s="1"/>
  <c r="U3162" i="22" s="1"/>
  <c r="P3162" i="22"/>
  <c r="Q3162" i="22"/>
  <c r="R3162" i="22"/>
  <c r="L3163" i="22"/>
  <c r="C3163" i="22"/>
  <c r="K3163" i="22" s="1"/>
  <c r="E3163" i="22"/>
  <c r="F3163" i="22"/>
  <c r="O3163" i="22" s="1"/>
  <c r="G3163" i="22"/>
  <c r="I3163" i="22"/>
  <c r="B3164" i="22"/>
  <c r="D3108" i="22"/>
  <c r="J3108" i="22"/>
  <c r="P3108" i="22"/>
  <c r="Q3108" i="22"/>
  <c r="R3108" i="22"/>
  <c r="L3109" i="22"/>
  <c r="C3109" i="22"/>
  <c r="E3109" i="22"/>
  <c r="G3109" i="22"/>
  <c r="I3109" i="22"/>
  <c r="B3110" i="22"/>
  <c r="D3054" i="22"/>
  <c r="J3054" i="22"/>
  <c r="P3054" i="22"/>
  <c r="Q3054" i="22"/>
  <c r="R3054" i="22"/>
  <c r="L3055" i="22"/>
  <c r="C3055" i="22"/>
  <c r="E3055" i="22"/>
  <c r="G3055" i="22"/>
  <c r="I3055" i="22"/>
  <c r="B3056" i="22"/>
  <c r="D3000" i="22"/>
  <c r="J3000" i="22"/>
  <c r="P3000" i="22"/>
  <c r="Q3000" i="22"/>
  <c r="R3000" i="22"/>
  <c r="L3001" i="22"/>
  <c r="C3001" i="22"/>
  <c r="E3001" i="22"/>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K2731" i="22" s="1"/>
  <c r="E2731" i="22"/>
  <c r="F2731" i="22"/>
  <c r="O2731" i="22" s="1"/>
  <c r="G2731" i="22"/>
  <c r="I2731" i="22"/>
  <c r="B2732" i="22"/>
  <c r="P2676" i="22"/>
  <c r="Q2676" i="22"/>
  <c r="R2676" i="22"/>
  <c r="J2676" i="22"/>
  <c r="D2676" i="22"/>
  <c r="L2677" i="22"/>
  <c r="E2677" i="22"/>
  <c r="B2678" i="22"/>
  <c r="C2677" i="22"/>
  <c r="G2677" i="22"/>
  <c r="I2677" i="22"/>
  <c r="J2622" i="22"/>
  <c r="D2622" i="22"/>
  <c r="P2622" i="22"/>
  <c r="Q2622" i="22"/>
  <c r="R2622" i="22"/>
  <c r="L2623" i="22"/>
  <c r="I2623" i="22"/>
  <c r="B2624" i="22"/>
  <c r="C2623" i="22"/>
  <c r="E2623" i="22"/>
  <c r="G2623" i="22"/>
  <c r="D2568" i="22"/>
  <c r="J2568" i="22"/>
  <c r="P2568" i="22"/>
  <c r="Q2568" i="22"/>
  <c r="R2568" i="22"/>
  <c r="L2569" i="22"/>
  <c r="C2569" i="22"/>
  <c r="K2569" i="22" s="1"/>
  <c r="E2569" i="22"/>
  <c r="F2569" i="22"/>
  <c r="O2569" i="22" s="1"/>
  <c r="G2569" i="22"/>
  <c r="I2569" i="22"/>
  <c r="B2570" i="22"/>
  <c r="D2514" i="22"/>
  <c r="J2514" i="22"/>
  <c r="P2514" i="22"/>
  <c r="Q2514" i="22"/>
  <c r="R2514" i="22"/>
  <c r="L2515" i="22"/>
  <c r="C2515" i="22"/>
  <c r="K2515" i="22" s="1"/>
  <c r="E2515" i="22"/>
  <c r="F2515" i="22"/>
  <c r="O2515" i="22" s="1"/>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E2353" i="22"/>
  <c r="G2353" i="22"/>
  <c r="I2353" i="22"/>
  <c r="B2354" i="22"/>
  <c r="M2298" i="22"/>
  <c r="D2298" i="22"/>
  <c r="J2298" i="22"/>
  <c r="N2298" i="22" s="1"/>
  <c r="U2298" i="22" s="1"/>
  <c r="L2299" i="22"/>
  <c r="G2299" i="22"/>
  <c r="B2300" i="22"/>
  <c r="I2299" i="22"/>
  <c r="E2299" i="22"/>
  <c r="C2299" i="22"/>
  <c r="P2298" i="22"/>
  <c r="Q2298" i="22"/>
  <c r="R2298" i="22"/>
  <c r="M2244" i="22"/>
  <c r="D2244" i="22"/>
  <c r="J2244" i="22"/>
  <c r="N2244" i="22" s="1"/>
  <c r="U2244" i="22" s="1"/>
  <c r="P2244" i="22"/>
  <c r="Q2244" i="22"/>
  <c r="R2244" i="22"/>
  <c r="L2245" i="22"/>
  <c r="C2245" i="22"/>
  <c r="E2245" i="22"/>
  <c r="G2245" i="22"/>
  <c r="I2245" i="22"/>
  <c r="B2246" i="22"/>
  <c r="M2190" i="22"/>
  <c r="D2190" i="22"/>
  <c r="J2190" i="22"/>
  <c r="N2190" i="22" s="1"/>
  <c r="U2190" i="22" s="1"/>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K2137" i="22" s="1"/>
  <c r="E2137" i="22"/>
  <c r="F2137" i="22"/>
  <c r="O2137" i="22" s="1"/>
  <c r="G2137" i="22"/>
  <c r="I2137" i="22"/>
  <c r="B2138" i="22"/>
  <c r="D2082" i="22"/>
  <c r="J2082" i="22"/>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E2029" i="22"/>
  <c r="G2029" i="22"/>
  <c r="I2029" i="22"/>
  <c r="B2030" i="22"/>
  <c r="M1974" i="22"/>
  <c r="D1974" i="22"/>
  <c r="J1974" i="22"/>
  <c r="N1974" i="22" s="1"/>
  <c r="U1974" i="22" s="1"/>
  <c r="P1974" i="22"/>
  <c r="Q1974" i="22"/>
  <c r="R1974" i="22"/>
  <c r="L1975" i="22"/>
  <c r="C1975" i="22"/>
  <c r="K1975" i="22" s="1"/>
  <c r="E1975" i="22"/>
  <c r="F1975" i="22"/>
  <c r="O1975" i="22" s="1"/>
  <c r="G1975" i="22"/>
  <c r="I1975" i="22"/>
  <c r="B1976" i="22"/>
  <c r="M1920" i="22"/>
  <c r="D1920" i="22"/>
  <c r="J1920" i="22"/>
  <c r="N1920" i="22" s="1"/>
  <c r="U1920" i="22" s="1"/>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D1812" i="22"/>
  <c r="J1812" i="22"/>
  <c r="P1812" i="22"/>
  <c r="Q1812" i="22"/>
  <c r="R1812" i="22"/>
  <c r="L1813" i="22"/>
  <c r="C1813" i="22"/>
  <c r="K1813" i="22" s="1"/>
  <c r="E1813" i="22"/>
  <c r="F1813" i="22"/>
  <c r="O1813" i="22" s="1"/>
  <c r="G1813" i="22"/>
  <c r="I1813" i="22"/>
  <c r="B1814" i="22"/>
  <c r="D1758" i="22"/>
  <c r="J1758" i="22"/>
  <c r="P1758" i="22"/>
  <c r="Q1758" i="22"/>
  <c r="R1758" i="22"/>
  <c r="L1759" i="22"/>
  <c r="C1759" i="22"/>
  <c r="K1759" i="22" s="1"/>
  <c r="E1759" i="22"/>
  <c r="F1759" i="22"/>
  <c r="O1759" i="22" s="1"/>
  <c r="G1759" i="22"/>
  <c r="I1759" i="22"/>
  <c r="B1760" i="22"/>
  <c r="D1704" i="22"/>
  <c r="J1704" i="22"/>
  <c r="P1704" i="22"/>
  <c r="Q1704" i="22"/>
  <c r="R1704" i="22"/>
  <c r="L1705" i="22"/>
  <c r="C1705" i="22"/>
  <c r="K1705" i="22" s="1"/>
  <c r="E1705" i="22"/>
  <c r="F1705" i="22"/>
  <c r="O1705" i="22" s="1"/>
  <c r="G1705" i="22"/>
  <c r="I1705" i="22"/>
  <c r="B1706"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E1489" i="22"/>
  <c r="G1489" i="22"/>
  <c r="I1489" i="22"/>
  <c r="B1490" i="22"/>
  <c r="D1434" i="22"/>
  <c r="J1434" i="22"/>
  <c r="P1434" i="22"/>
  <c r="Q1434" i="22"/>
  <c r="R1434" i="22"/>
  <c r="L1435" i="22"/>
  <c r="E1435" i="22"/>
  <c r="G1435" i="22"/>
  <c r="I1435" i="22"/>
  <c r="B1436" i="22"/>
  <c r="C1435" i="22"/>
  <c r="P1380" i="22"/>
  <c r="Q1380" i="22"/>
  <c r="R1380" i="22"/>
  <c r="D1380" i="22"/>
  <c r="J1380" i="22"/>
  <c r="L1381" i="22"/>
  <c r="E1381" i="22"/>
  <c r="I1381" i="22"/>
  <c r="B1382" i="22"/>
  <c r="C1381" i="22"/>
  <c r="G1381"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C1273" i="22"/>
  <c r="E1273" i="22"/>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0" i="22"/>
  <c r="D1110" i="22"/>
  <c r="J1110" i="22"/>
  <c r="N1110" i="22" s="1"/>
  <c r="U1110" i="22" s="1"/>
  <c r="P1110" i="22"/>
  <c r="Q1110" i="22"/>
  <c r="R1110" i="22"/>
  <c r="L1111" i="22"/>
  <c r="C1111" i="22"/>
  <c r="E1111" i="22"/>
  <c r="G1111" i="22"/>
  <c r="I1111" i="22"/>
  <c r="B1112" i="22"/>
  <c r="M1056" i="22"/>
  <c r="D1056" i="22"/>
  <c r="J1056" i="22"/>
  <c r="N1056" i="22" s="1"/>
  <c r="U1056" i="22" s="1"/>
  <c r="P1056" i="22"/>
  <c r="Q1056" i="22"/>
  <c r="R1056" i="22"/>
  <c r="L1057" i="22"/>
  <c r="C1057" i="22"/>
  <c r="K1057" i="22" s="1"/>
  <c r="E1057" i="22"/>
  <c r="F1057" i="22"/>
  <c r="O1057" i="22" s="1"/>
  <c r="G1057" i="22"/>
  <c r="I1057" i="22"/>
  <c r="B1058" i="22"/>
  <c r="D1002" i="22"/>
  <c r="J1002" i="22"/>
  <c r="P1002" i="22"/>
  <c r="Q1002" i="22"/>
  <c r="R1002" i="22"/>
  <c r="L1003" i="22"/>
  <c r="C1003" i="22"/>
  <c r="K1003" i="22" s="1"/>
  <c r="E1003" i="22"/>
  <c r="F1003" i="22"/>
  <c r="O1003" i="22" s="1"/>
  <c r="G1003" i="22"/>
  <c r="I1003" i="22"/>
  <c r="B1004" i="22"/>
  <c r="D948" i="22"/>
  <c r="J948" i="22"/>
  <c r="P948" i="22"/>
  <c r="Q948" i="22"/>
  <c r="R948" i="22"/>
  <c r="L949" i="22"/>
  <c r="C949" i="22"/>
  <c r="K949" i="22" s="1"/>
  <c r="E949" i="22"/>
  <c r="F949" i="22"/>
  <c r="O949" i="22" s="1"/>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E733" i="22"/>
  <c r="G733" i="22"/>
  <c r="I733" i="22"/>
  <c r="B734" i="22"/>
  <c r="D678" i="22"/>
  <c r="J678" i="22"/>
  <c r="P678" i="22"/>
  <c r="Q678" i="22"/>
  <c r="R678" i="22"/>
  <c r="L679" i="22"/>
  <c r="C679" i="22"/>
  <c r="E679" i="22"/>
  <c r="G679" i="22"/>
  <c r="I679" i="22"/>
  <c r="B680" i="22"/>
  <c r="D624" i="22"/>
  <c r="J624" i="22"/>
  <c r="P624" i="22"/>
  <c r="Q624" i="22"/>
  <c r="R624" i="22"/>
  <c r="L625" i="22"/>
  <c r="C625" i="22"/>
  <c r="E625" i="22"/>
  <c r="G625" i="22"/>
  <c r="I625" i="22"/>
  <c r="B626" i="22"/>
  <c r="D570" i="22"/>
  <c r="J570" i="22"/>
  <c r="P570" i="22"/>
  <c r="Q570" i="22"/>
  <c r="R570" i="22"/>
  <c r="L571" i="22"/>
  <c r="C571" i="22"/>
  <c r="E571" i="22"/>
  <c r="G571" i="22"/>
  <c r="I571" i="22"/>
  <c r="B572" i="22"/>
  <c r="M516" i="22"/>
  <c r="D516" i="22"/>
  <c r="J516" i="22"/>
  <c r="N516" i="22" s="1"/>
  <c r="U516" i="22" s="1"/>
  <c r="P516" i="22"/>
  <c r="Q516" i="22"/>
  <c r="R516" i="22"/>
  <c r="L517" i="22"/>
  <c r="C517" i="22"/>
  <c r="K517" i="22" s="1"/>
  <c r="E517" i="22"/>
  <c r="F517" i="22"/>
  <c r="O517" i="22" s="1"/>
  <c r="G517" i="22"/>
  <c r="B518" i="22"/>
  <c r="I517"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K409" i="22" s="1"/>
  <c r="E409" i="22"/>
  <c r="F409" i="22"/>
  <c r="O409" i="22" s="1"/>
  <c r="G409" i="22"/>
  <c r="I409" i="22"/>
  <c r="B410" i="22"/>
  <c r="D354" i="22"/>
  <c r="J354" i="22"/>
  <c r="P354" i="22"/>
  <c r="Q354" i="22"/>
  <c r="R354" i="22"/>
  <c r="L355" i="22"/>
  <c r="C355" i="22"/>
  <c r="K355" i="22" s="1"/>
  <c r="E355" i="22"/>
  <c r="F355" i="22"/>
  <c r="O355" i="22" s="1"/>
  <c r="G355" i="22"/>
  <c r="I355" i="22"/>
  <c r="B356" i="22"/>
  <c r="D300" i="22"/>
  <c r="J300" i="22"/>
  <c r="P300" i="22"/>
  <c r="Q300" i="22"/>
  <c r="R300" i="22"/>
  <c r="L301" i="22"/>
  <c r="C301" i="22"/>
  <c r="E301" i="22"/>
  <c r="G301" i="22"/>
  <c r="I301" i="22"/>
  <c r="B302" i="22"/>
  <c r="D246" i="22"/>
  <c r="J246" i="22"/>
  <c r="P246" i="22"/>
  <c r="Q246" i="22"/>
  <c r="R246" i="22"/>
  <c r="L247" i="22"/>
  <c r="C247" i="22"/>
  <c r="E247" i="22"/>
  <c r="G247" i="22"/>
  <c r="I247" i="22"/>
  <c r="B248" i="22"/>
  <c r="D192" i="22"/>
  <c r="J192" i="22"/>
  <c r="P192" i="22"/>
  <c r="Q192" i="22"/>
  <c r="R192" i="22"/>
  <c r="L193" i="22"/>
  <c r="C193" i="22"/>
  <c r="K193" i="22" s="1"/>
  <c r="E193" i="22"/>
  <c r="F193" i="22"/>
  <c r="O193" i="22" s="1"/>
  <c r="G193" i="22"/>
  <c r="I193" i="22"/>
  <c r="B194" i="22"/>
  <c r="D138" i="22"/>
  <c r="J138" i="22"/>
  <c r="P138" i="22"/>
  <c r="Q138" i="22"/>
  <c r="R138" i="22"/>
  <c r="L139" i="22"/>
  <c r="C139" i="22"/>
  <c r="E139" i="22"/>
  <c r="G139" i="22"/>
  <c r="I139" i="22"/>
  <c r="B140" i="22"/>
  <c r="M84" i="22"/>
  <c r="D84" i="22"/>
  <c r="J84" i="22"/>
  <c r="N84" i="22" s="1"/>
  <c r="U84" i="22" s="1"/>
  <c r="P84" i="22"/>
  <c r="Q84" i="22"/>
  <c r="R84" i="22"/>
  <c r="L85" i="22"/>
  <c r="C85" i="22"/>
  <c r="K85" i="22" s="1"/>
  <c r="E85" i="22"/>
  <c r="F85" i="22"/>
  <c r="O85" i="22" s="1"/>
  <c r="G85" i="22"/>
  <c r="I85" i="22"/>
  <c r="B86" i="22"/>
  <c r="AH1115" i="23"/>
  <c r="C56" i="8"/>
  <c r="AH1123" i="23"/>
  <c r="K56" i="8"/>
  <c r="AH1114" i="23"/>
  <c r="B56" i="8"/>
  <c r="AH1116" i="23"/>
  <c r="D56" i="8"/>
  <c r="AH1117" i="23"/>
  <c r="E56" i="8"/>
  <c r="AH1119" i="23"/>
  <c r="G56" i="8"/>
  <c r="F56" i="8"/>
  <c r="AH1118" i="23"/>
  <c r="AH1120" i="23"/>
  <c r="H56" i="8"/>
  <c r="I56" i="8"/>
  <c r="AH1121" i="23"/>
  <c r="AH1122" i="23"/>
  <c r="J56" i="8"/>
  <c r="AH1124" i="23"/>
  <c r="L56" i="8"/>
  <c r="AH1125" i="23"/>
  <c r="M56" i="8"/>
  <c r="E1088" i="23"/>
  <c r="E920" i="23"/>
  <c r="J920" i="23"/>
  <c r="E864" i="23"/>
  <c r="J864" i="23"/>
  <c r="E1312" i="23"/>
  <c r="J1312" i="23"/>
  <c r="E1368" i="23"/>
  <c r="J1368" i="23"/>
  <c r="E808" i="23"/>
  <c r="J808" i="23"/>
  <c r="O814" i="23"/>
  <c r="O813" i="23"/>
  <c r="AE813" i="23" s="1"/>
  <c r="O812" i="23"/>
  <c r="AE812" i="23" s="1"/>
  <c r="O811" i="23"/>
  <c r="AE811" i="23" s="1"/>
  <c r="AH274" i="23"/>
  <c r="B41" i="8"/>
  <c r="AH275" i="23"/>
  <c r="C41" i="8"/>
  <c r="AH276" i="23"/>
  <c r="D41" i="8"/>
  <c r="AH277" i="23"/>
  <c r="E41" i="8"/>
  <c r="AH278" i="23"/>
  <c r="F41" i="8"/>
  <c r="AH279" i="23"/>
  <c r="G41" i="8"/>
  <c r="AH280" i="23"/>
  <c r="H41" i="8"/>
  <c r="E248" i="23"/>
  <c r="J248" i="23"/>
  <c r="AH1058" i="23"/>
  <c r="B55" i="8"/>
  <c r="AH1063" i="23"/>
  <c r="G55" i="8"/>
  <c r="AH1064" i="23"/>
  <c r="H55" i="8"/>
  <c r="AH1066" i="23"/>
  <c r="J55" i="8"/>
  <c r="AH1067" i="23"/>
  <c r="K55" i="8"/>
  <c r="AH1068" i="23"/>
  <c r="L55" i="8"/>
  <c r="AH1069" i="23"/>
  <c r="M55" i="8"/>
  <c r="C55" i="8"/>
  <c r="AH1059" i="23"/>
  <c r="AH1060" i="23"/>
  <c r="D55" i="8"/>
  <c r="E55" i="8"/>
  <c r="AH1061" i="23"/>
  <c r="F55" i="8"/>
  <c r="AH1062" i="23"/>
  <c r="I55" i="8"/>
  <c r="AH1065" i="23"/>
  <c r="E1032" i="23"/>
  <c r="J1032" i="23"/>
  <c r="E1144" i="23"/>
  <c r="B57" i="8"/>
  <c r="AH1170" i="23"/>
  <c r="C57" i="8"/>
  <c r="AH1171" i="23"/>
  <c r="D57" i="8"/>
  <c r="AH1172" i="23"/>
  <c r="AH1173" i="23"/>
  <c r="E57" i="8"/>
  <c r="AH1174" i="23"/>
  <c r="F57" i="8"/>
  <c r="G57" i="8"/>
  <c r="AH1175" i="23"/>
  <c r="H57" i="8"/>
  <c r="AH1176" i="23"/>
  <c r="AH1178" i="23"/>
  <c r="J57" i="8"/>
  <c r="AH1180" i="23"/>
  <c r="L57" i="8"/>
  <c r="AH1177" i="23"/>
  <c r="I57" i="8"/>
  <c r="AH1179" i="23"/>
  <c r="K57" i="8"/>
  <c r="AH1181" i="23"/>
  <c r="M57" i="8"/>
  <c r="E752" i="23"/>
  <c r="I752" i="23" s="1"/>
  <c r="J752" i="23"/>
  <c r="O758" i="23"/>
  <c r="O757" i="23"/>
  <c r="AE757" i="23" s="1"/>
  <c r="O756" i="23"/>
  <c r="AE756" i="23" s="1"/>
  <c r="O755" i="23"/>
  <c r="AE755" i="23" s="1"/>
  <c r="O754" i="23"/>
  <c r="AE754" i="23" s="1"/>
  <c r="E1480" i="23"/>
  <c r="E1536" i="23"/>
  <c r="J1536" i="23"/>
  <c r="O1542" i="23"/>
  <c r="E696" i="23"/>
  <c r="J696" i="23"/>
  <c r="E640" i="23"/>
  <c r="J640" i="23"/>
  <c r="E472" i="23"/>
  <c r="J472" i="23"/>
  <c r="AH1450" i="23"/>
  <c r="B62" i="8"/>
  <c r="AH1451" i="23"/>
  <c r="C62" i="8"/>
  <c r="AH1455" i="23"/>
  <c r="G62" i="8"/>
  <c r="AH1456" i="23"/>
  <c r="H62" i="8"/>
  <c r="AH1457" i="23"/>
  <c r="I62" i="8"/>
  <c r="AH1461" i="23"/>
  <c r="M62" i="8"/>
  <c r="D62" i="8"/>
  <c r="AH1452" i="23"/>
  <c r="E62" i="8"/>
  <c r="AH1453" i="23"/>
  <c r="F62" i="8"/>
  <c r="AH1454" i="23"/>
  <c r="AH1458" i="23"/>
  <c r="J62" i="8"/>
  <c r="AH1459" i="23"/>
  <c r="K62" i="8"/>
  <c r="L62" i="8"/>
  <c r="AH1460" i="23"/>
  <c r="O1430" i="23"/>
  <c r="J1424" i="23"/>
  <c r="O1429" i="23"/>
  <c r="O1428" i="23"/>
  <c r="O1427" i="23"/>
  <c r="O1426" i="23"/>
  <c r="E584" i="23"/>
  <c r="I584" i="23" s="1"/>
  <c r="J584" i="23"/>
  <c r="O590" i="23"/>
  <c r="AE590" i="23" s="1"/>
  <c r="O589" i="23"/>
  <c r="AE589" i="23" s="1"/>
  <c r="O588" i="23"/>
  <c r="AE588" i="23" s="1"/>
  <c r="O587" i="23"/>
  <c r="AE587" i="23" s="1"/>
  <c r="O586" i="23"/>
  <c r="AE586" i="23" s="1"/>
  <c r="E1200" i="23"/>
  <c r="J1200" i="23"/>
  <c r="E976" i="23"/>
  <c r="J976" i="23"/>
  <c r="E416" i="23"/>
  <c r="J416" i="23"/>
  <c r="AH554" i="23"/>
  <c r="B46" i="8"/>
  <c r="AH555" i="23"/>
  <c r="C46" i="8"/>
  <c r="AH556" i="23"/>
  <c r="D46" i="8"/>
  <c r="AH557" i="23"/>
  <c r="E46" i="8"/>
  <c r="AH558" i="23"/>
  <c r="F46" i="8"/>
  <c r="AH559" i="23"/>
  <c r="G46" i="8"/>
  <c r="AH560" i="23"/>
  <c r="H46" i="8"/>
  <c r="E528" i="23"/>
  <c r="J528" i="23"/>
  <c r="E360" i="23"/>
  <c r="I360" i="23" s="1"/>
  <c r="J360" i="23"/>
  <c r="O366" i="23"/>
  <c r="O365" i="23"/>
  <c r="AE365" i="23" s="1"/>
  <c r="O364" i="23"/>
  <c r="AE364" i="23" s="1"/>
  <c r="O363" i="23"/>
  <c r="AE363" i="23" s="1"/>
  <c r="O362" i="23"/>
  <c r="AE362" i="23" s="1"/>
  <c r="E1256" i="23"/>
  <c r="J1256" i="23"/>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I4619" i="22"/>
  <c r="O4625" i="22" s="1"/>
  <c r="H11" i="9"/>
  <c r="M1262" i="23"/>
  <c r="N1262" i="23"/>
  <c r="M982" i="23"/>
  <c r="N982" i="23"/>
  <c r="M702" i="23"/>
  <c r="N702" i="23"/>
  <c r="M478" i="23"/>
  <c r="N478" i="23"/>
  <c r="M310" i="23"/>
  <c r="N310" i="23"/>
  <c r="M4517" i="22"/>
  <c r="N4517" i="22"/>
  <c r="M4217" i="22"/>
  <c r="N4217" i="22"/>
  <c r="U4217" i="22" s="1"/>
  <c r="M4163" i="22"/>
  <c r="N4163" i="22"/>
  <c r="U4163" i="22" s="1"/>
  <c r="M3593" i="22"/>
  <c r="N3593" i="22"/>
  <c r="U3593" i="22" s="1"/>
  <c r="M3377" i="22"/>
  <c r="N3377" i="22"/>
  <c r="U3377" i="22" s="1"/>
  <c r="N3269" i="22"/>
  <c r="U3269" i="22" s="1"/>
  <c r="M3269" i="22"/>
  <c r="M2999" i="22"/>
  <c r="N2999" i="22"/>
  <c r="U2999" i="22" s="1"/>
  <c r="M2945" i="22"/>
  <c r="N2945" i="22"/>
  <c r="U2945" i="22" s="1"/>
  <c r="M2891" i="22"/>
  <c r="N2891" i="22"/>
  <c r="U2891" i="22" s="1"/>
  <c r="M2837" i="22"/>
  <c r="N2837" i="22"/>
  <c r="U2837" i="22" s="1"/>
  <c r="M2567" i="22"/>
  <c r="N2567" i="22"/>
  <c r="U2567" i="22" s="1"/>
  <c r="N2297" i="22"/>
  <c r="U2297" i="22" s="1"/>
  <c r="M2297" i="22"/>
  <c r="M2243" i="22"/>
  <c r="N2243" i="22"/>
  <c r="U2243" i="22" s="1"/>
  <c r="M2189" i="22"/>
  <c r="N2189" i="22"/>
  <c r="U2189" i="22" s="1"/>
  <c r="M1433" i="22"/>
  <c r="N1433" i="22"/>
  <c r="U1433" i="22" s="1"/>
  <c r="M1325" i="22"/>
  <c r="N1325" i="22"/>
  <c r="U1325" i="22" s="1"/>
  <c r="M1001" i="22"/>
  <c r="N1001" i="22"/>
  <c r="U1001" i="22" s="1"/>
  <c r="M947" i="22"/>
  <c r="N947" i="22"/>
  <c r="U947" i="22" s="1"/>
  <c r="M893" i="22"/>
  <c r="N893" i="22"/>
  <c r="U893" i="22" s="1"/>
  <c r="M623" i="22"/>
  <c r="N623" i="22"/>
  <c r="U623" i="22" s="1"/>
  <c r="M245" i="22"/>
  <c r="N245" i="22"/>
  <c r="U245" i="22" s="1"/>
  <c r="M191" i="22"/>
  <c r="N191" i="22"/>
  <c r="U191" i="22" s="1"/>
  <c r="U919" i="23"/>
  <c r="U1311" i="23"/>
  <c r="U1367" i="23"/>
  <c r="U807" i="23"/>
  <c r="U1479" i="23"/>
  <c r="U583" i="23"/>
  <c r="U247" i="23"/>
  <c r="U1031" i="23"/>
  <c r="U751" i="23"/>
  <c r="U695" i="23"/>
  <c r="U1535" i="23"/>
  <c r="U639" i="23"/>
  <c r="U303" i="23"/>
  <c r="U471" i="23"/>
  <c r="U1423" i="23"/>
  <c r="U1199" i="23"/>
  <c r="U975" i="23"/>
  <c r="U415" i="23"/>
  <c r="U1255" i="23"/>
  <c r="U527" i="23"/>
  <c r="U359" i="23"/>
  <c r="K1543" i="23"/>
  <c r="F1543" i="23"/>
  <c r="F1487" i="23"/>
  <c r="K1487" i="23"/>
  <c r="F1431" i="23"/>
  <c r="O1431" i="23" s="1"/>
  <c r="K1431" i="23"/>
  <c r="F1095" i="23"/>
  <c r="K1095" i="23"/>
  <c r="F1039" i="23"/>
  <c r="K1039" i="23"/>
  <c r="F983" i="23"/>
  <c r="K983" i="23"/>
  <c r="F815" i="23"/>
  <c r="K815" i="23"/>
  <c r="F759" i="23"/>
  <c r="K759" i="23"/>
  <c r="K647" i="23"/>
  <c r="F647" i="23"/>
  <c r="K591" i="23"/>
  <c r="F591" i="23"/>
  <c r="O591" i="23" s="1"/>
  <c r="K367" i="23"/>
  <c r="F367" i="23"/>
  <c r="O367" i="23" s="1"/>
  <c r="T4678" i="22"/>
  <c r="K4518" i="22"/>
  <c r="F4518" i="22"/>
  <c r="K3756" i="22"/>
  <c r="F3756" i="22"/>
  <c r="O3756" i="22" s="1"/>
  <c r="K3432" i="22"/>
  <c r="F3432" i="22"/>
  <c r="O3432" i="22" s="1"/>
  <c r="F3324" i="22"/>
  <c r="O3324" i="22" s="1"/>
  <c r="K3324" i="22"/>
  <c r="F3216" i="22"/>
  <c r="O3216" i="22" s="1"/>
  <c r="K3216" i="22"/>
  <c r="K3108" i="22"/>
  <c r="F3108" i="22"/>
  <c r="O3108" i="22" s="1"/>
  <c r="F3054" i="22"/>
  <c r="O3054" i="22" s="1"/>
  <c r="K3054" i="22"/>
  <c r="K3000" i="22"/>
  <c r="F3000" i="22"/>
  <c r="O3000" i="22" s="1"/>
  <c r="K2676" i="22"/>
  <c r="F2676" i="22"/>
  <c r="O2676" i="22" s="1"/>
  <c r="F2622" i="22"/>
  <c r="O2622" i="22" s="1"/>
  <c r="K2622" i="22"/>
  <c r="F2568" i="22"/>
  <c r="O2568" i="22" s="1"/>
  <c r="K2568" i="22"/>
  <c r="K2514" i="22"/>
  <c r="F2514" i="22"/>
  <c r="O2514" i="22" s="1"/>
  <c r="F2082" i="22"/>
  <c r="O2082" i="22" s="1"/>
  <c r="K2082" i="22"/>
  <c r="K1812" i="22"/>
  <c r="F1812" i="22"/>
  <c r="O1812" i="22" s="1"/>
  <c r="F1758" i="22"/>
  <c r="O1758" i="22" s="1"/>
  <c r="K1758" i="22"/>
  <c r="K1704" i="22"/>
  <c r="F1704" i="22"/>
  <c r="O1704" i="22" s="1"/>
  <c r="K1434" i="22"/>
  <c r="F1434" i="22"/>
  <c r="O1434" i="22" s="1"/>
  <c r="F1380" i="22"/>
  <c r="O1380" i="22" s="1"/>
  <c r="K1380" i="22"/>
  <c r="F1002" i="22"/>
  <c r="O1002" i="22" s="1"/>
  <c r="K1002" i="22"/>
  <c r="F948" i="22"/>
  <c r="O948" i="22" s="1"/>
  <c r="K948" i="22"/>
  <c r="K678" i="22"/>
  <c r="F678" i="22"/>
  <c r="O678" i="22" s="1"/>
  <c r="F624" i="22"/>
  <c r="O624" i="22" s="1"/>
  <c r="K624" i="22"/>
  <c r="F570" i="22"/>
  <c r="O570" i="22" s="1"/>
  <c r="K570" i="22"/>
  <c r="F354" i="22"/>
  <c r="O354" i="22" s="1"/>
  <c r="K354" i="22"/>
  <c r="K300" i="22"/>
  <c r="F300" i="22"/>
  <c r="O300" i="22" s="1"/>
  <c r="K246" i="22"/>
  <c r="F246" i="22"/>
  <c r="O246" i="22" s="1"/>
  <c r="K192" i="22"/>
  <c r="F192" i="22"/>
  <c r="O192" i="22" s="1"/>
  <c r="K138" i="22"/>
  <c r="F138" i="22"/>
  <c r="O138" i="22" s="1"/>
  <c r="AG946" i="23"/>
  <c r="AG955" i="23"/>
  <c r="AG957" i="23"/>
  <c r="AG956" i="23"/>
  <c r="AG954" i="23"/>
  <c r="AG953" i="23"/>
  <c r="AG952" i="23"/>
  <c r="AG951" i="23"/>
  <c r="AG950" i="23"/>
  <c r="AG949" i="23"/>
  <c r="AG948" i="23"/>
  <c r="AG947" i="23"/>
  <c r="U863" i="23"/>
  <c r="AG901" i="23"/>
  <c r="AG900" i="23"/>
  <c r="AG891" i="23"/>
  <c r="AG899" i="23"/>
  <c r="AG898" i="23"/>
  <c r="AG897" i="23"/>
  <c r="AG896" i="23"/>
  <c r="AG895" i="23"/>
  <c r="AG894" i="23"/>
  <c r="AG893" i="23"/>
  <c r="AG892" i="23"/>
  <c r="AG890" i="23"/>
  <c r="AG1344" i="23"/>
  <c r="AG1345" i="23"/>
  <c r="AG1347" i="23"/>
  <c r="AG1348" i="23"/>
  <c r="AG1343" i="23"/>
  <c r="AG1340" i="23"/>
  <c r="AG1339" i="23"/>
  <c r="AG1338" i="23"/>
  <c r="AG1349" i="23"/>
  <c r="AG1342" i="23"/>
  <c r="AG1341" i="23"/>
  <c r="AG1346" i="23"/>
  <c r="AG1399" i="23"/>
  <c r="AG1403" i="23"/>
  <c r="AG1404" i="23"/>
  <c r="AG1405" i="23"/>
  <c r="AG1396" i="23"/>
  <c r="AG1398" i="23"/>
  <c r="AG1400" i="23"/>
  <c r="AG1401" i="23"/>
  <c r="AG1395" i="23"/>
  <c r="AG1402" i="23"/>
  <c r="AG1394" i="23"/>
  <c r="AG1397" i="23"/>
  <c r="AG839" i="23"/>
  <c r="AG842" i="23"/>
  <c r="AG840" i="23"/>
  <c r="AG834" i="23"/>
  <c r="AG837" i="23"/>
  <c r="AG845" i="23"/>
  <c r="AG844" i="23"/>
  <c r="AG843" i="23"/>
  <c r="AG836" i="23"/>
  <c r="AG841" i="23"/>
  <c r="AG838" i="23"/>
  <c r="AG835" i="23"/>
  <c r="AG284" i="23"/>
  <c r="AG282" i="23"/>
  <c r="AG281" i="23"/>
  <c r="AG285" i="23"/>
  <c r="AG283" i="23"/>
  <c r="AG789" i="23"/>
  <c r="AG788" i="23"/>
  <c r="AG787" i="23"/>
  <c r="AG786" i="23"/>
  <c r="AG780" i="23"/>
  <c r="AG784" i="23"/>
  <c r="AG783" i="23"/>
  <c r="AG782" i="23"/>
  <c r="AG781" i="23"/>
  <c r="AG785" i="23"/>
  <c r="AG779" i="23"/>
  <c r="AG778" i="23"/>
  <c r="AG1517" i="23"/>
  <c r="AG1507" i="23"/>
  <c r="AG1506" i="23"/>
  <c r="AG1508" i="23"/>
  <c r="AG1512" i="23"/>
  <c r="AG1511" i="23"/>
  <c r="AG1516" i="23"/>
  <c r="AG1510" i="23"/>
  <c r="AG1509" i="23"/>
  <c r="AG1514" i="23"/>
  <c r="AG1513" i="23"/>
  <c r="AG1515" i="23"/>
  <c r="AG1564" i="23"/>
  <c r="AG1565" i="23"/>
  <c r="AG1567" i="23"/>
  <c r="AG1568" i="23"/>
  <c r="AG1566" i="23"/>
  <c r="AG1569" i="23"/>
  <c r="AG1570" i="23"/>
  <c r="AG1571" i="23"/>
  <c r="AG1572" i="23"/>
  <c r="AG1573" i="23"/>
  <c r="AG1562" i="23"/>
  <c r="AG1563" i="23"/>
  <c r="AG670" i="23"/>
  <c r="AG673" i="23"/>
  <c r="AG675" i="23"/>
  <c r="AG677" i="23"/>
  <c r="AG668" i="23"/>
  <c r="AG666" i="23"/>
  <c r="AG671" i="23"/>
  <c r="AG676" i="23"/>
  <c r="AG667" i="23"/>
  <c r="AG674" i="23"/>
  <c r="AG672" i="23"/>
  <c r="AG669" i="23"/>
  <c r="J304" i="23"/>
  <c r="E304" i="23"/>
  <c r="AG336" i="23"/>
  <c r="AG337" i="23"/>
  <c r="AG338" i="23"/>
  <c r="AG339" i="23"/>
  <c r="AG341" i="23"/>
  <c r="AG330" i="23"/>
  <c r="AG331" i="23"/>
  <c r="AG332" i="23"/>
  <c r="AG333" i="23"/>
  <c r="AG334" i="23"/>
  <c r="AG335" i="23"/>
  <c r="AG340" i="23"/>
  <c r="AG506" i="23"/>
  <c r="AG508" i="23"/>
  <c r="AG509" i="23"/>
  <c r="AG498" i="23"/>
  <c r="AG499" i="23"/>
  <c r="AG500" i="23"/>
  <c r="AG501" i="23"/>
  <c r="AG507" i="23"/>
  <c r="AG502" i="23"/>
  <c r="AG503" i="23"/>
  <c r="AG504" i="23"/>
  <c r="AG505" i="23"/>
  <c r="AG610" i="23"/>
  <c r="AG619" i="23"/>
  <c r="AG612" i="23"/>
  <c r="AG616" i="23"/>
  <c r="AG621" i="23"/>
  <c r="AG614" i="23"/>
  <c r="AG611" i="23"/>
  <c r="AG618" i="23"/>
  <c r="AG620" i="23"/>
  <c r="AG617" i="23"/>
  <c r="AG615" i="23"/>
  <c r="AG613" i="23"/>
  <c r="AG1226" i="23"/>
  <c r="AG1229" i="23"/>
  <c r="AG1237" i="23"/>
  <c r="AG1236" i="23"/>
  <c r="AG1235" i="23"/>
  <c r="AG1234" i="23"/>
  <c r="AG1233" i="23"/>
  <c r="AG1232" i="23"/>
  <c r="AG1231" i="23"/>
  <c r="AG1230" i="23"/>
  <c r="AG1228" i="23"/>
  <c r="AG1227" i="23"/>
  <c r="AG1005" i="23"/>
  <c r="AG1013" i="23"/>
  <c r="AG1008" i="23"/>
  <c r="AG1009" i="23"/>
  <c r="AG1012" i="23"/>
  <c r="AG1006" i="23"/>
  <c r="AG1007" i="23"/>
  <c r="AG1003" i="23"/>
  <c r="AG1011" i="23"/>
  <c r="AG1010" i="23"/>
  <c r="AG1002" i="23"/>
  <c r="AG1004" i="23"/>
  <c r="AG447" i="23"/>
  <c r="AG448" i="23"/>
  <c r="AG449" i="23"/>
  <c r="AG450" i="23"/>
  <c r="AG451" i="23"/>
  <c r="AG442" i="23"/>
  <c r="AG443" i="23"/>
  <c r="AG452" i="23"/>
  <c r="AG453" i="23"/>
  <c r="AG444" i="23"/>
  <c r="AG445" i="23"/>
  <c r="AG446" i="23"/>
  <c r="AG392" i="23"/>
  <c r="AG394" i="23"/>
  <c r="AG396" i="23"/>
  <c r="AG397" i="23"/>
  <c r="AG387" i="23"/>
  <c r="AG393" i="23"/>
  <c r="AG391" i="23"/>
  <c r="AG389" i="23"/>
  <c r="AG388" i="23"/>
  <c r="AG386" i="23"/>
  <c r="AG390" i="23"/>
  <c r="AG395" i="23"/>
  <c r="AG1288" i="23"/>
  <c r="AG1282" i="23"/>
  <c r="AG1283" i="23"/>
  <c r="AG1287" i="23"/>
  <c r="AG1286" i="23"/>
  <c r="AG1284" i="23"/>
  <c r="AG1290" i="23"/>
  <c r="AG1292" i="23"/>
  <c r="AG1293" i="23"/>
  <c r="AG1289" i="23"/>
  <c r="AG1285" i="23"/>
  <c r="AG1291" i="23"/>
  <c r="O1543" i="23" l="1"/>
  <c r="O1487" i="23"/>
  <c r="O1039" i="23"/>
  <c r="O759" i="23"/>
  <c r="AH561" i="23"/>
  <c r="I46" i="8"/>
  <c r="AH562" i="23"/>
  <c r="J46" i="8"/>
  <c r="AH563" i="23"/>
  <c r="K76" i="8" s="1"/>
  <c r="K46" i="8"/>
  <c r="AH564" i="23"/>
  <c r="L46" i="8"/>
  <c r="AH565" i="23"/>
  <c r="M46" i="8"/>
  <c r="F1152" i="23"/>
  <c r="K1152" i="23"/>
  <c r="K3487" i="22"/>
  <c r="F3487" i="22"/>
  <c r="O3487" i="22" s="1"/>
  <c r="K3109" i="22"/>
  <c r="F3109" i="22"/>
  <c r="O3109" i="22" s="1"/>
  <c r="K3001" i="22"/>
  <c r="F3001" i="22"/>
  <c r="O3001" i="22" s="1"/>
  <c r="K2353" i="22"/>
  <c r="F2353" i="22"/>
  <c r="O2353" i="22" s="1"/>
  <c r="K2029" i="22"/>
  <c r="F2029" i="22"/>
  <c r="O2029" i="22" s="1"/>
  <c r="K1651" i="22"/>
  <c r="F1651" i="22"/>
  <c r="O1651" i="22" s="1"/>
  <c r="K1327" i="22"/>
  <c r="F1327" i="22"/>
  <c r="O1327" i="22" s="1"/>
  <c r="K1273" i="22"/>
  <c r="F1273" i="22"/>
  <c r="O1273" i="22" s="1"/>
  <c r="K625" i="22"/>
  <c r="F625" i="22"/>
  <c r="O625" i="22" s="1"/>
  <c r="K571" i="22"/>
  <c r="F571" i="22"/>
  <c r="O571" i="22" s="1"/>
  <c r="I808" i="23"/>
  <c r="O810" i="23"/>
  <c r="AE810" i="23" s="1"/>
  <c r="I1536" i="23"/>
  <c r="O1541" i="23"/>
  <c r="O1540" i="23"/>
  <c r="O1538" i="23"/>
  <c r="O1539" i="23"/>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L1489" i="23"/>
  <c r="I1489" i="23"/>
  <c r="E1489" i="23"/>
  <c r="B1490" i="23"/>
  <c r="C1489" i="23"/>
  <c r="G1489" i="23"/>
  <c r="J1488" i="23"/>
  <c r="D1488" i="23"/>
  <c r="P1488" i="23"/>
  <c r="Q1488" i="23"/>
  <c r="R1488" i="23"/>
  <c r="L1433" i="23"/>
  <c r="I1433" i="23"/>
  <c r="C1433" i="23"/>
  <c r="E1433" i="23"/>
  <c r="G1433" i="23"/>
  <c r="B1434" i="23"/>
  <c r="J1432" i="23"/>
  <c r="D1432" i="23"/>
  <c r="P1432" i="23"/>
  <c r="Q1432" i="23"/>
  <c r="R1432" i="23"/>
  <c r="P1376" i="23"/>
  <c r="Q1376" i="23"/>
  <c r="R1376" i="23"/>
  <c r="J1376" i="23"/>
  <c r="D1376" i="23"/>
  <c r="L1377" i="23"/>
  <c r="I1377" i="23"/>
  <c r="G1377" i="23"/>
  <c r="B1378" i="23"/>
  <c r="C1377" i="23"/>
  <c r="E1377" i="23"/>
  <c r="J1320" i="23"/>
  <c r="D1320" i="23"/>
  <c r="P1320" i="23"/>
  <c r="Q1320" i="23"/>
  <c r="R1320" i="23"/>
  <c r="L1321" i="23"/>
  <c r="I1321" i="23"/>
  <c r="C1321" i="23"/>
  <c r="K1321" i="23" s="1"/>
  <c r="E1321" i="23"/>
  <c r="F1321" i="23"/>
  <c r="G1321" i="23"/>
  <c r="B1322" i="23"/>
  <c r="M1264" i="23"/>
  <c r="J1264" i="23"/>
  <c r="N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E1209" i="23"/>
  <c r="G1209" i="23"/>
  <c r="B1210" i="23"/>
  <c r="M1152" i="23"/>
  <c r="P1152" i="23"/>
  <c r="Q1152" i="23"/>
  <c r="R1152" i="23"/>
  <c r="J1152" i="23"/>
  <c r="N1152" i="23" s="1"/>
  <c r="D1152" i="23"/>
  <c r="L1153" i="23"/>
  <c r="I1153" i="23"/>
  <c r="B1154" i="23"/>
  <c r="C1153" i="23"/>
  <c r="K1153" i="23" s="1"/>
  <c r="E1153" i="23"/>
  <c r="F1153" i="23"/>
  <c r="O1153" i="23" s="1"/>
  <c r="G1153" i="23"/>
  <c r="J1096" i="23"/>
  <c r="D1096" i="23"/>
  <c r="P1096" i="23"/>
  <c r="Q1096" i="23"/>
  <c r="R1096" i="23"/>
  <c r="L1097" i="23"/>
  <c r="I1097" i="23"/>
  <c r="B1098" i="23"/>
  <c r="C1097" i="23"/>
  <c r="E1097" i="23"/>
  <c r="G1097" i="23"/>
  <c r="J1040" i="23"/>
  <c r="D1040" i="23"/>
  <c r="P1040" i="23"/>
  <c r="Q1040" i="23"/>
  <c r="R1040" i="23"/>
  <c r="L1041" i="23"/>
  <c r="I1041" i="23"/>
  <c r="G1041" i="23"/>
  <c r="B1042" i="23"/>
  <c r="C1041" i="23"/>
  <c r="E1041" i="23"/>
  <c r="M984" i="23"/>
  <c r="J984" i="23"/>
  <c r="N984" i="23" s="1"/>
  <c r="D984" i="23"/>
  <c r="P984" i="23"/>
  <c r="Q984" i="23"/>
  <c r="R984" i="23"/>
  <c r="L985" i="23"/>
  <c r="I985" i="23"/>
  <c r="C985" i="23"/>
  <c r="K985" i="23" s="1"/>
  <c r="E985" i="23"/>
  <c r="F985" i="23"/>
  <c r="O985" i="23" s="1"/>
  <c r="G985" i="23"/>
  <c r="B986" i="23"/>
  <c r="J928" i="23"/>
  <c r="D928" i="23"/>
  <c r="P928" i="23"/>
  <c r="Q928" i="23"/>
  <c r="R928" i="23"/>
  <c r="L929" i="23"/>
  <c r="I929" i="23"/>
  <c r="C929" i="23"/>
  <c r="K929" i="23" s="1"/>
  <c r="E929" i="23"/>
  <c r="F929" i="23"/>
  <c r="O929" i="23" s="1"/>
  <c r="G929" i="23"/>
  <c r="B930" i="23"/>
  <c r="M872" i="23"/>
  <c r="J872" i="23"/>
  <c r="N872" i="23" s="1"/>
  <c r="D872" i="23"/>
  <c r="P872" i="23"/>
  <c r="Q872" i="23"/>
  <c r="R872" i="23"/>
  <c r="L873" i="23"/>
  <c r="I873" i="23"/>
  <c r="C873" i="23"/>
  <c r="K873" i="23" s="1"/>
  <c r="E873" i="23"/>
  <c r="F873" i="23"/>
  <c r="G873" i="23"/>
  <c r="B874" i="23"/>
  <c r="M816" i="23"/>
  <c r="J816" i="23"/>
  <c r="N816" i="23" s="1"/>
  <c r="AE816" i="23" s="1"/>
  <c r="D816" i="23"/>
  <c r="P816" i="23"/>
  <c r="Q816" i="23"/>
  <c r="R816" i="23"/>
  <c r="L817" i="23"/>
  <c r="I817" i="23"/>
  <c r="C817" i="23"/>
  <c r="E817" i="23"/>
  <c r="G817" i="23"/>
  <c r="B818" i="23"/>
  <c r="J760" i="23"/>
  <c r="D760" i="23"/>
  <c r="P760" i="23"/>
  <c r="Q760" i="23"/>
  <c r="R760" i="23"/>
  <c r="L761" i="23"/>
  <c r="I761" i="23"/>
  <c r="C761" i="23"/>
  <c r="K761" i="23" s="1"/>
  <c r="E761" i="23"/>
  <c r="F761" i="23"/>
  <c r="O761" i="23" s="1"/>
  <c r="G761" i="23"/>
  <c r="B762" i="23"/>
  <c r="M704" i="23"/>
  <c r="J704" i="23"/>
  <c r="N704" i="23" s="1"/>
  <c r="D704" i="23"/>
  <c r="Q704" i="23"/>
  <c r="P704" i="23"/>
  <c r="R704" i="23"/>
  <c r="L705" i="23"/>
  <c r="I705" i="23"/>
  <c r="C705" i="23"/>
  <c r="K705" i="23" s="1"/>
  <c r="E705" i="23"/>
  <c r="F705" i="23"/>
  <c r="O705" i="23" s="1"/>
  <c r="G705" i="23"/>
  <c r="B706" i="23"/>
  <c r="M648" i="23"/>
  <c r="J648" i="23"/>
  <c r="N648" i="23" s="1"/>
  <c r="D648" i="23"/>
  <c r="P648" i="23"/>
  <c r="Q648" i="23"/>
  <c r="R648" i="23"/>
  <c r="L649" i="23"/>
  <c r="I649" i="23"/>
  <c r="C649" i="23"/>
  <c r="E649" i="23"/>
  <c r="G649" i="23"/>
  <c r="B650" i="23"/>
  <c r="M592" i="23"/>
  <c r="J592" i="23"/>
  <c r="N592" i="23" s="1"/>
  <c r="AE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E481" i="23"/>
  <c r="G481" i="23"/>
  <c r="B482" i="23"/>
  <c r="J424" i="23"/>
  <c r="D424" i="23"/>
  <c r="P424" i="23"/>
  <c r="Q424" i="23"/>
  <c r="R424" i="23"/>
  <c r="L425" i="23"/>
  <c r="I425" i="23"/>
  <c r="C425" i="23"/>
  <c r="E425" i="23"/>
  <c r="G425" i="23"/>
  <c r="B426" i="23"/>
  <c r="M368" i="23"/>
  <c r="J368" i="23"/>
  <c r="N368" i="23" s="1"/>
  <c r="AE368" i="23" s="1"/>
  <c r="D368" i="23"/>
  <c r="P368" i="23"/>
  <c r="Q368" i="23"/>
  <c r="R368" i="23"/>
  <c r="L369" i="23"/>
  <c r="I369" i="23"/>
  <c r="C369" i="23"/>
  <c r="K369" i="23" s="1"/>
  <c r="E369" i="23"/>
  <c r="F369" i="23"/>
  <c r="O369" i="23" s="1"/>
  <c r="G369" i="23"/>
  <c r="B370" i="23"/>
  <c r="J312" i="23"/>
  <c r="D312" i="23"/>
  <c r="P312" i="23"/>
  <c r="Q312" i="23"/>
  <c r="R312" i="23"/>
  <c r="L313" i="23"/>
  <c r="I313" i="23"/>
  <c r="C313" i="23"/>
  <c r="E313" i="23"/>
  <c r="G313" i="23"/>
  <c r="B314" i="23"/>
  <c r="M256" i="23"/>
  <c r="J256" i="23"/>
  <c r="N256" i="23" s="1"/>
  <c r="D256" i="23"/>
  <c r="P256" i="23"/>
  <c r="Q256" i="23"/>
  <c r="R256" i="23"/>
  <c r="L257" i="23"/>
  <c r="I257" i="23"/>
  <c r="C257" i="23"/>
  <c r="K257" i="23" s="1"/>
  <c r="E257" i="23"/>
  <c r="F257" i="23"/>
  <c r="G257" i="23"/>
  <c r="B258" i="23"/>
  <c r="P4735" i="22"/>
  <c r="Q4735" i="22"/>
  <c r="R4735" i="22"/>
  <c r="G4736" i="22"/>
  <c r="I4736" i="22"/>
  <c r="B4737" i="22"/>
  <c r="C4736" i="22"/>
  <c r="E4736" i="22"/>
  <c r="L4736" i="22"/>
  <c r="D4735" i="22"/>
  <c r="J4735" i="22"/>
  <c r="M4735" i="22"/>
  <c r="U4680" i="22"/>
  <c r="S4680" i="22"/>
  <c r="D4681" i="22"/>
  <c r="M4681" i="22" s="1"/>
  <c r="J4681" i="22"/>
  <c r="P4681" i="22"/>
  <c r="Q4681" i="22"/>
  <c r="R4681" i="22"/>
  <c r="L4682" i="22"/>
  <c r="C4682" i="22"/>
  <c r="K4682" i="22" s="1"/>
  <c r="E4682" i="22"/>
  <c r="F4682" i="22"/>
  <c r="G4682" i="22"/>
  <c r="I4682" i="22"/>
  <c r="B4683" i="22"/>
  <c r="P4627" i="22"/>
  <c r="Q4627" i="22"/>
  <c r="R4627" i="22"/>
  <c r="C4628" i="22"/>
  <c r="D4628" i="22" s="1"/>
  <c r="E4628" i="22"/>
  <c r="F4628" i="22"/>
  <c r="O4628" i="22" s="1"/>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K4520" i="22" s="1"/>
  <c r="E4520" i="22"/>
  <c r="F4520" i="22"/>
  <c r="G4520" i="22"/>
  <c r="I4520" i="22"/>
  <c r="B4521" i="22"/>
  <c r="D4219" i="22"/>
  <c r="M4219" i="22" s="1"/>
  <c r="J4219" i="22"/>
  <c r="P4219" i="22"/>
  <c r="Q4219" i="22"/>
  <c r="R4219" i="22"/>
  <c r="L4220" i="22"/>
  <c r="C4220" i="22"/>
  <c r="K4220" i="22" s="1"/>
  <c r="E4220" i="22"/>
  <c r="F4220" i="22"/>
  <c r="O4220" i="22" s="1"/>
  <c r="G4220" i="22"/>
  <c r="I4220" i="22"/>
  <c r="B4221" i="22"/>
  <c r="D4165" i="22"/>
  <c r="J4165" i="22"/>
  <c r="P4165" i="22"/>
  <c r="Q4165" i="22"/>
  <c r="R4165" i="22"/>
  <c r="L4166" i="22"/>
  <c r="C4166" i="22"/>
  <c r="E4166" i="22"/>
  <c r="G4166" i="22"/>
  <c r="I4166" i="22"/>
  <c r="B4167" i="22"/>
  <c r="D4111" i="22"/>
  <c r="J4111" i="22"/>
  <c r="P4111" i="22"/>
  <c r="Q4111" i="22"/>
  <c r="R4111" i="22"/>
  <c r="C4112" i="22"/>
  <c r="F4112" i="22" s="1"/>
  <c r="O4112" i="22" s="1"/>
  <c r="E4112" i="22"/>
  <c r="G4112" i="22"/>
  <c r="I4112" i="22"/>
  <c r="K4112" i="22"/>
  <c r="L4112" i="22"/>
  <c r="B4113" i="22"/>
  <c r="D4057" i="22"/>
  <c r="J4057" i="22"/>
  <c r="P4057" i="22"/>
  <c r="Q4057" i="22"/>
  <c r="R4057" i="22"/>
  <c r="I4058" i="22"/>
  <c r="L4058" i="22"/>
  <c r="B4059" i="22"/>
  <c r="C4058" i="22"/>
  <c r="E4058" i="22"/>
  <c r="G4058" i="22"/>
  <c r="M4057" i="22"/>
  <c r="N4057" i="22" s="1"/>
  <c r="U4057" i="22" s="1"/>
  <c r="M3757" i="22"/>
  <c r="D3757" i="22"/>
  <c r="J3757" i="22"/>
  <c r="N3757" i="22" s="1"/>
  <c r="U3757" i="22" s="1"/>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E3650" i="22"/>
  <c r="G3650" i="22"/>
  <c r="I3650" i="22"/>
  <c r="B3651" i="22"/>
  <c r="P3595" i="22"/>
  <c r="Q3595" i="22"/>
  <c r="R3595" i="22"/>
  <c r="D3595" i="22"/>
  <c r="J3595" i="22"/>
  <c r="L3596" i="22"/>
  <c r="I3596" i="22"/>
  <c r="C3596" i="22"/>
  <c r="E3596" i="22"/>
  <c r="G3596" i="22"/>
  <c r="B3597" i="22"/>
  <c r="L3542" i="22"/>
  <c r="I3542" i="22"/>
  <c r="C3542" i="22"/>
  <c r="E3542" i="22"/>
  <c r="G3542" i="22"/>
  <c r="B3543" i="22"/>
  <c r="D3541" i="22"/>
  <c r="J3541" i="22"/>
  <c r="P3541" i="22"/>
  <c r="Q3541" i="22"/>
  <c r="R3541" i="22"/>
  <c r="M3487" i="22"/>
  <c r="D3487" i="22"/>
  <c r="J3487" i="22"/>
  <c r="N3487" i="22" s="1"/>
  <c r="U3487" i="22" s="1"/>
  <c r="P3487" i="22"/>
  <c r="Q3487" i="22"/>
  <c r="R3487" i="22"/>
  <c r="L3488" i="22"/>
  <c r="C3488" i="22"/>
  <c r="K3488" i="22" s="1"/>
  <c r="E3488" i="22"/>
  <c r="F3488" i="22"/>
  <c r="O3488" i="22" s="1"/>
  <c r="G3488" i="22"/>
  <c r="I3488" i="22"/>
  <c r="B3489" i="22"/>
  <c r="D3433" i="22"/>
  <c r="J3433" i="22"/>
  <c r="P3433" i="22"/>
  <c r="Q3433" i="22"/>
  <c r="R3433" i="22"/>
  <c r="L3434" i="22"/>
  <c r="C3434" i="22"/>
  <c r="K3434" i="22" s="1"/>
  <c r="E3434" i="22"/>
  <c r="F3434" i="22"/>
  <c r="O3434" i="22" s="1"/>
  <c r="G3434" i="22"/>
  <c r="I3434" i="22"/>
  <c r="B3435" i="22"/>
  <c r="M3379" i="22"/>
  <c r="D3379" i="22"/>
  <c r="J3379" i="22"/>
  <c r="N3379" i="22" s="1"/>
  <c r="U3379" i="22" s="1"/>
  <c r="P3379" i="22"/>
  <c r="Q3379" i="22"/>
  <c r="R3379" i="22"/>
  <c r="L3380" i="22"/>
  <c r="C3380" i="22"/>
  <c r="E3380" i="22"/>
  <c r="G3380" i="22"/>
  <c r="I3380" i="22"/>
  <c r="B3381" i="22"/>
  <c r="D3325" i="22"/>
  <c r="J3325" i="22"/>
  <c r="P3325" i="22"/>
  <c r="Q3325" i="22"/>
  <c r="R3325" i="22"/>
  <c r="L3326" i="22"/>
  <c r="C3326" i="22"/>
  <c r="E3326" i="22"/>
  <c r="G3326" i="22"/>
  <c r="I3326" i="22"/>
  <c r="B3327" i="22"/>
  <c r="L3272" i="22"/>
  <c r="E3272" i="22"/>
  <c r="I3272" i="22"/>
  <c r="B3273" i="22"/>
  <c r="C3272" i="22"/>
  <c r="G3272" i="22"/>
  <c r="J3271" i="22"/>
  <c r="D3271" i="22"/>
  <c r="P3271" i="22"/>
  <c r="Q3271" i="22"/>
  <c r="R3271" i="22"/>
  <c r="J3217" i="22"/>
  <c r="D3217" i="22"/>
  <c r="L3218" i="22"/>
  <c r="I3218" i="22"/>
  <c r="C3218" i="22"/>
  <c r="K3218" i="22" s="1"/>
  <c r="F3218" i="22"/>
  <c r="O3218" i="22" s="1"/>
  <c r="G3218" i="22"/>
  <c r="E3218" i="22"/>
  <c r="B3219" i="22"/>
  <c r="Q3217" i="22"/>
  <c r="P3217" i="22"/>
  <c r="R3217"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K3110" i="22" s="1"/>
  <c r="E3110" i="22"/>
  <c r="F3110" i="22"/>
  <c r="O3110" i="22" s="1"/>
  <c r="G3110" i="22"/>
  <c r="I3110" i="22"/>
  <c r="B3111" i="22"/>
  <c r="D3055" i="22"/>
  <c r="J3055" i="22"/>
  <c r="P3055" i="22"/>
  <c r="Q3055" i="22"/>
  <c r="R3055" i="22"/>
  <c r="L3056" i="22"/>
  <c r="C3056" i="22"/>
  <c r="K3056" i="22" s="1"/>
  <c r="E3056" i="22"/>
  <c r="F3056" i="22"/>
  <c r="O3056" i="22" s="1"/>
  <c r="G3056" i="22"/>
  <c r="I3056" i="22"/>
  <c r="B3057" i="22"/>
  <c r="M3001" i="22"/>
  <c r="D3001" i="22"/>
  <c r="J3001" i="22"/>
  <c r="N3001" i="22" s="1"/>
  <c r="U3001" i="22" s="1"/>
  <c r="P3001" i="22"/>
  <c r="Q3001" i="22"/>
  <c r="R3001" i="22"/>
  <c r="L3002" i="22"/>
  <c r="C3002" i="22"/>
  <c r="E3002" i="22"/>
  <c r="G3002" i="22"/>
  <c r="I3002" i="22"/>
  <c r="B3003" i="22"/>
  <c r="M2947" i="22"/>
  <c r="D2947" i="22"/>
  <c r="J2947" i="22"/>
  <c r="N2947" i="22" s="1"/>
  <c r="U2947" i="22" s="1"/>
  <c r="P2947" i="22"/>
  <c r="Q2947" i="22"/>
  <c r="R2947" i="22"/>
  <c r="L2948" i="22"/>
  <c r="C2948" i="22"/>
  <c r="E2948" i="22"/>
  <c r="G2948" i="22"/>
  <c r="I2948" i="22"/>
  <c r="B2949"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L2678" i="22"/>
  <c r="I2678" i="22"/>
  <c r="C2678" i="22"/>
  <c r="K2678" i="22" s="1"/>
  <c r="E2678" i="22"/>
  <c r="F2678" i="22"/>
  <c r="O2678" i="22" s="1"/>
  <c r="G2678" i="22"/>
  <c r="B2679" i="22"/>
  <c r="D2677" i="22"/>
  <c r="J2677" i="22"/>
  <c r="P2677" i="22"/>
  <c r="Q2677" i="22"/>
  <c r="R2677" i="22"/>
  <c r="L2624" i="22"/>
  <c r="B2625" i="22"/>
  <c r="C2624" i="22"/>
  <c r="E2624" i="22"/>
  <c r="G2624" i="22"/>
  <c r="I2624" i="22"/>
  <c r="J2623" i="22"/>
  <c r="D2623" i="22"/>
  <c r="P2623" i="22"/>
  <c r="Q2623" i="22"/>
  <c r="R2623"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E2516" i="22"/>
  <c r="G2516" i="22"/>
  <c r="I2516" i="22"/>
  <c r="B2517" i="22"/>
  <c r="M2461" i="22"/>
  <c r="D2461" i="22"/>
  <c r="J2461" i="22"/>
  <c r="N2461" i="22" s="1"/>
  <c r="U2461" i="22" s="1"/>
  <c r="P2461" i="22"/>
  <c r="Q2461" i="22"/>
  <c r="R2461" i="22"/>
  <c r="L2462" i="22"/>
  <c r="C2462" i="22"/>
  <c r="E2462" i="22"/>
  <c r="G2462" i="22"/>
  <c r="I2462" i="22"/>
  <c r="B2463" i="22"/>
  <c r="M2407" i="22"/>
  <c r="D2407" i="22"/>
  <c r="J2407" i="22"/>
  <c r="N2407" i="22" s="1"/>
  <c r="U2407" i="22" s="1"/>
  <c r="P2407" i="22"/>
  <c r="Q2407" i="22"/>
  <c r="R2407" i="22"/>
  <c r="L2408" i="22"/>
  <c r="C2408" i="22"/>
  <c r="E2408" i="22"/>
  <c r="G2408" i="22"/>
  <c r="I2408" i="22"/>
  <c r="B2409" i="22"/>
  <c r="M2353" i="22"/>
  <c r="D2353" i="22"/>
  <c r="J2353" i="22"/>
  <c r="N2353" i="22" s="1"/>
  <c r="U2353" i="22" s="1"/>
  <c r="P2353" i="22"/>
  <c r="Q2353" i="22"/>
  <c r="R2353" i="22"/>
  <c r="L2354" i="22"/>
  <c r="C2354" i="22"/>
  <c r="K2354" i="22" s="1"/>
  <c r="E2354" i="22"/>
  <c r="F2354" i="22"/>
  <c r="O2354" i="22" s="1"/>
  <c r="G2354" i="22"/>
  <c r="I2354" i="22"/>
  <c r="B2355" i="22"/>
  <c r="P2299" i="22"/>
  <c r="Q2299" i="22"/>
  <c r="R2299" i="22"/>
  <c r="L2300" i="22"/>
  <c r="G2300" i="22"/>
  <c r="C2300" i="22"/>
  <c r="E2300" i="22"/>
  <c r="B2301" i="22"/>
  <c r="I2300" i="22"/>
  <c r="J2299" i="22"/>
  <c r="D2299" i="22"/>
  <c r="D2245" i="22"/>
  <c r="J2245" i="22"/>
  <c r="P2245" i="22"/>
  <c r="Q2245" i="22"/>
  <c r="R2245" i="22"/>
  <c r="L2246" i="22"/>
  <c r="C2246" i="22"/>
  <c r="K2246" i="22" s="1"/>
  <c r="E2246" i="22"/>
  <c r="F2246" i="22"/>
  <c r="O2246" i="22" s="1"/>
  <c r="G2246" i="22"/>
  <c r="I2246" i="22"/>
  <c r="B2247" i="22"/>
  <c r="M2191" i="22"/>
  <c r="D2191" i="22"/>
  <c r="J2191" i="22"/>
  <c r="N2191" i="22" s="1"/>
  <c r="U2191" i="22" s="1"/>
  <c r="P2191" i="22"/>
  <c r="Q2191" i="22"/>
  <c r="R2191" i="22"/>
  <c r="L2192" i="22"/>
  <c r="C2192" i="22"/>
  <c r="K2192" i="22" s="1"/>
  <c r="E2192" i="22"/>
  <c r="F2192" i="22"/>
  <c r="O2192" i="22" s="1"/>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E2084" i="22"/>
  <c r="G2084" i="22"/>
  <c r="I2084" i="22"/>
  <c r="B2085" i="22"/>
  <c r="M2029" i="22"/>
  <c r="D2029" i="22"/>
  <c r="J2029" i="22"/>
  <c r="N2029" i="22" s="1"/>
  <c r="U2029" i="22" s="1"/>
  <c r="P2029" i="22"/>
  <c r="Q2029" i="22"/>
  <c r="R2029" i="22"/>
  <c r="L2030" i="22"/>
  <c r="C2030" i="22"/>
  <c r="E2030" i="22"/>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E1868" i="22"/>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K1760" i="22" s="1"/>
  <c r="E1760" i="22"/>
  <c r="F1760" i="22"/>
  <c r="O1760" i="22" s="1"/>
  <c r="G1760" i="22"/>
  <c r="I1760" i="22"/>
  <c r="B1761" i="22"/>
  <c r="M1705" i="22"/>
  <c r="D1705" i="22"/>
  <c r="J1705" i="22"/>
  <c r="N1705" i="22" s="1"/>
  <c r="U1705" i="22" s="1"/>
  <c r="P1705" i="22"/>
  <c r="Q1705" i="22"/>
  <c r="R1705" i="22"/>
  <c r="L1706" i="22"/>
  <c r="C1706" i="22"/>
  <c r="E1706" i="22"/>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K1544" i="22" s="1"/>
  <c r="E1544" i="22"/>
  <c r="F1544" i="22"/>
  <c r="O1544" i="22" s="1"/>
  <c r="G1544" i="22"/>
  <c r="I1544" i="22"/>
  <c r="B1545" i="22"/>
  <c r="D1489" i="22"/>
  <c r="J1489" i="22"/>
  <c r="P1489" i="22"/>
  <c r="Q1489" i="22"/>
  <c r="R1489" i="22"/>
  <c r="L1490" i="22"/>
  <c r="C1490" i="22"/>
  <c r="K1490" i="22" s="1"/>
  <c r="E1490" i="22"/>
  <c r="F1490" i="22"/>
  <c r="O1490" i="22" s="1"/>
  <c r="G1490" i="22"/>
  <c r="I1490" i="22"/>
  <c r="B1491" i="22"/>
  <c r="P1435" i="22"/>
  <c r="Q1435" i="22"/>
  <c r="R1435" i="22"/>
  <c r="L1436" i="22"/>
  <c r="I1436" i="22"/>
  <c r="C1436" i="22"/>
  <c r="E1436" i="22"/>
  <c r="G1436" i="22"/>
  <c r="B1437" i="22"/>
  <c r="D1435" i="22"/>
  <c r="J1435" i="22"/>
  <c r="L1382" i="22"/>
  <c r="E1382" i="22"/>
  <c r="G1382" i="22"/>
  <c r="B1383" i="22"/>
  <c r="C1382" i="22"/>
  <c r="I1382" i="22"/>
  <c r="J1381" i="22"/>
  <c r="D1381" i="22"/>
  <c r="P1381" i="22"/>
  <c r="Q1381" i="22"/>
  <c r="R1381"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E1274" i="22"/>
  <c r="G1274" i="22"/>
  <c r="I1274" i="22"/>
  <c r="B1275" i="22"/>
  <c r="M1219" i="22"/>
  <c r="D1219" i="22"/>
  <c r="J1219" i="22"/>
  <c r="N1219" i="22" s="1"/>
  <c r="U1219" i="22" s="1"/>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K1166" i="22" s="1"/>
  <c r="E1166" i="22"/>
  <c r="F1166" i="22"/>
  <c r="O1166" i="22" s="1"/>
  <c r="G1166" i="22"/>
  <c r="I1166" i="22"/>
  <c r="B1167" i="22"/>
  <c r="D1111" i="22"/>
  <c r="J1111" i="22"/>
  <c r="P1111" i="22"/>
  <c r="Q1111" i="22"/>
  <c r="R1111" i="22"/>
  <c r="L1112" i="22"/>
  <c r="C1112" i="22"/>
  <c r="K1112" i="22" s="1"/>
  <c r="E1112" i="22"/>
  <c r="F1112" i="22"/>
  <c r="O1112" i="22" s="1"/>
  <c r="G1112" i="22"/>
  <c r="I1112" i="22"/>
  <c r="B1113"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E896" i="22"/>
  <c r="G896" i="22"/>
  <c r="I896" i="22"/>
  <c r="B897" i="22"/>
  <c r="M841" i="22"/>
  <c r="D841" i="22"/>
  <c r="J841" i="22"/>
  <c r="N841" i="22" s="1"/>
  <c r="U841" i="22" s="1"/>
  <c r="P841" i="22"/>
  <c r="Q841" i="22"/>
  <c r="R841" i="22"/>
  <c r="L842" i="22"/>
  <c r="C842" i="22"/>
  <c r="K842" i="22" s="1"/>
  <c r="E842" i="22"/>
  <c r="F842" i="22"/>
  <c r="O842" i="22" s="1"/>
  <c r="G842" i="22"/>
  <c r="I842" i="22"/>
  <c r="B843" i="22"/>
  <c r="M787" i="22"/>
  <c r="D787" i="22"/>
  <c r="J787" i="22"/>
  <c r="N787" i="22" s="1"/>
  <c r="U787" i="22" s="1"/>
  <c r="P787" i="22"/>
  <c r="Q787" i="22"/>
  <c r="R787" i="22"/>
  <c r="L788" i="22"/>
  <c r="C788" i="22"/>
  <c r="K788" i="22" s="1"/>
  <c r="E788" i="22"/>
  <c r="F788" i="22"/>
  <c r="O788" i="22" s="1"/>
  <c r="G788" i="22"/>
  <c r="I788" i="22"/>
  <c r="B789" i="22"/>
  <c r="D733" i="22"/>
  <c r="J733" i="22"/>
  <c r="P733" i="22"/>
  <c r="Q733" i="22"/>
  <c r="R733" i="22"/>
  <c r="L734" i="22"/>
  <c r="C734" i="22"/>
  <c r="K734" i="22" s="1"/>
  <c r="E734" i="22"/>
  <c r="F734" i="22"/>
  <c r="O734" i="22" s="1"/>
  <c r="G734" i="22"/>
  <c r="I734" i="22"/>
  <c r="B735" i="22"/>
  <c r="D679" i="22"/>
  <c r="J679" i="22"/>
  <c r="P679" i="22"/>
  <c r="Q679" i="22"/>
  <c r="R679" i="22"/>
  <c r="L680" i="22"/>
  <c r="C680" i="22"/>
  <c r="K680" i="22" s="1"/>
  <c r="E680" i="22"/>
  <c r="F680" i="22"/>
  <c r="O680" i="22" s="1"/>
  <c r="G680" i="22"/>
  <c r="I680" i="22"/>
  <c r="B681" i="22"/>
  <c r="M625" i="22"/>
  <c r="D625" i="22"/>
  <c r="J625" i="22"/>
  <c r="N625" i="22" s="1"/>
  <c r="U625" i="22" s="1"/>
  <c r="P625" i="22"/>
  <c r="Q625" i="22"/>
  <c r="R625" i="22"/>
  <c r="L626" i="22"/>
  <c r="C626" i="22"/>
  <c r="K626" i="22" s="1"/>
  <c r="E626" i="22"/>
  <c r="F626" i="22"/>
  <c r="O626" i="22" s="1"/>
  <c r="G626" i="22"/>
  <c r="I626" i="22"/>
  <c r="B627" i="22"/>
  <c r="M571" i="22"/>
  <c r="D571" i="22"/>
  <c r="J571" i="22"/>
  <c r="N571" i="22" s="1"/>
  <c r="U571" i="22" s="1"/>
  <c r="Q571" i="22"/>
  <c r="P571" i="22"/>
  <c r="R571" i="22"/>
  <c r="L572" i="22"/>
  <c r="C572" i="22"/>
  <c r="E572" i="22"/>
  <c r="G572" i="22"/>
  <c r="I572" i="22"/>
  <c r="B573" i="22"/>
  <c r="M517" i="22"/>
  <c r="D517" i="22"/>
  <c r="J517" i="22"/>
  <c r="N517" i="22" s="1"/>
  <c r="U517" i="22" s="1"/>
  <c r="P517" i="22"/>
  <c r="Q517" i="22"/>
  <c r="R517" i="22"/>
  <c r="L518" i="22"/>
  <c r="C518" i="22"/>
  <c r="E518" i="22"/>
  <c r="G518" i="22"/>
  <c r="B519" i="22"/>
  <c r="I518" i="22"/>
  <c r="M463" i="22"/>
  <c r="D463" i="22"/>
  <c r="J463" i="22"/>
  <c r="N463" i="22" s="1"/>
  <c r="U463" i="22" s="1"/>
  <c r="P463" i="22"/>
  <c r="Q463" i="22"/>
  <c r="R463" i="22"/>
  <c r="L464" i="22"/>
  <c r="C464" i="22"/>
  <c r="K464" i="22" s="1"/>
  <c r="E464" i="22"/>
  <c r="F464" i="22"/>
  <c r="O464" i="22" s="1"/>
  <c r="G464" i="22"/>
  <c r="B465" i="22"/>
  <c r="I464" i="22"/>
  <c r="M409" i="22"/>
  <c r="D409" i="22"/>
  <c r="J409" i="22"/>
  <c r="N409" i="22" s="1"/>
  <c r="U409" i="22" s="1"/>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E356" i="22"/>
  <c r="G356" i="22"/>
  <c r="I356" i="22"/>
  <c r="B357" i="22"/>
  <c r="D301" i="22"/>
  <c r="J301" i="22"/>
  <c r="P301" i="22"/>
  <c r="Q301" i="22"/>
  <c r="R301" i="22"/>
  <c r="L302" i="22"/>
  <c r="C302" i="22"/>
  <c r="E302" i="22"/>
  <c r="G302" i="22"/>
  <c r="I302" i="22"/>
  <c r="B303" i="22"/>
  <c r="D247" i="22"/>
  <c r="J247" i="22"/>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K194" i="22" s="1"/>
  <c r="E194" i="22"/>
  <c r="F194" i="22"/>
  <c r="O194" i="22" s="1"/>
  <c r="G194" i="22"/>
  <c r="I194" i="22"/>
  <c r="B195" i="22"/>
  <c r="D139" i="22"/>
  <c r="J139" i="22"/>
  <c r="P139" i="22"/>
  <c r="Q139" i="22"/>
  <c r="R139" i="22"/>
  <c r="L140" i="22"/>
  <c r="I140" i="22"/>
  <c r="C140" i="22"/>
  <c r="E140" i="22"/>
  <c r="G140" i="22"/>
  <c r="B141" i="22"/>
  <c r="D85" i="22"/>
  <c r="M85" i="22" s="1"/>
  <c r="J85" i="22"/>
  <c r="P85" i="22"/>
  <c r="Q85" i="22"/>
  <c r="R85" i="22"/>
  <c r="L86" i="22"/>
  <c r="C86" i="22"/>
  <c r="E86" i="22"/>
  <c r="G86" i="22"/>
  <c r="I86" i="22"/>
  <c r="B87" i="22"/>
  <c r="AI1115" i="23"/>
  <c r="C86" i="8"/>
  <c r="K86" i="8"/>
  <c r="AI1123" i="23"/>
  <c r="AI1114" i="23"/>
  <c r="B86" i="8"/>
  <c r="AI1116" i="23"/>
  <c r="D86" i="8"/>
  <c r="AI1117" i="23"/>
  <c r="E86" i="8"/>
  <c r="G86" i="8"/>
  <c r="AI1119" i="23"/>
  <c r="AI1118" i="23"/>
  <c r="F86" i="8"/>
  <c r="AI1120" i="23"/>
  <c r="H86" i="8"/>
  <c r="AI1121" i="23"/>
  <c r="I86" i="8"/>
  <c r="AI1122" i="23"/>
  <c r="J86" i="8"/>
  <c r="AI1124" i="23"/>
  <c r="L86" i="8"/>
  <c r="M86" i="8"/>
  <c r="AI1125" i="23"/>
  <c r="I864" i="23"/>
  <c r="I1312" i="23"/>
  <c r="O1319" i="23" s="1"/>
  <c r="AE1319" i="23" s="1"/>
  <c r="I1368" i="23"/>
  <c r="O1375" i="23" s="1"/>
  <c r="AE1375" i="23" s="1"/>
  <c r="AI274" i="23"/>
  <c r="B71" i="8"/>
  <c r="AI275" i="23"/>
  <c r="C71" i="8"/>
  <c r="AI276" i="23"/>
  <c r="D71" i="8"/>
  <c r="AI277" i="23"/>
  <c r="E71" i="8"/>
  <c r="AI278" i="23"/>
  <c r="F71" i="8"/>
  <c r="AI279" i="23"/>
  <c r="G71" i="8"/>
  <c r="AI280" i="23"/>
  <c r="H71" i="8"/>
  <c r="I248" i="23"/>
  <c r="O255" i="23" s="1"/>
  <c r="AE255" i="23" s="1"/>
  <c r="B85" i="8"/>
  <c r="AI1058" i="23"/>
  <c r="G85" i="8"/>
  <c r="AI1063" i="23"/>
  <c r="AI1064" i="23"/>
  <c r="H85" i="8"/>
  <c r="J85" i="8"/>
  <c r="AI1066" i="23"/>
  <c r="AI1067" i="23"/>
  <c r="K85" i="8"/>
  <c r="AI1068" i="23"/>
  <c r="L85" i="8"/>
  <c r="M85" i="8"/>
  <c r="AI1069" i="23"/>
  <c r="AI1059" i="23"/>
  <c r="C85" i="8"/>
  <c r="AI1060" i="23"/>
  <c r="D85" i="8"/>
  <c r="AI1061" i="23"/>
  <c r="E85" i="8"/>
  <c r="AI1062" i="23"/>
  <c r="F85" i="8"/>
  <c r="AI1065" i="23"/>
  <c r="I85" i="8"/>
  <c r="I1144" i="23"/>
  <c r="O1151" i="23" s="1"/>
  <c r="AE1151" i="23" s="1"/>
  <c r="AI1170" i="23"/>
  <c r="B87" i="8"/>
  <c r="AI1171" i="23"/>
  <c r="C87" i="8"/>
  <c r="AI1172" i="23"/>
  <c r="D87" i="8"/>
  <c r="AI1173" i="23"/>
  <c r="E87" i="8"/>
  <c r="AI1174" i="23"/>
  <c r="F87" i="8"/>
  <c r="AI1175" i="23"/>
  <c r="G87" i="8"/>
  <c r="AI1176" i="23"/>
  <c r="H87" i="8"/>
  <c r="AI1178" i="23"/>
  <c r="J87" i="8"/>
  <c r="AI1180" i="23"/>
  <c r="L87" i="8"/>
  <c r="I87" i="8"/>
  <c r="AI1177" i="23"/>
  <c r="AI1179" i="23"/>
  <c r="K87" i="8"/>
  <c r="M87" i="8"/>
  <c r="AI1181" i="23"/>
  <c r="I696" i="23"/>
  <c r="O703" i="23" s="1"/>
  <c r="AE703" i="23" s="1"/>
  <c r="I472" i="23"/>
  <c r="O479" i="23" s="1"/>
  <c r="AE479" i="23" s="1"/>
  <c r="AI1450" i="23"/>
  <c r="B92" i="8"/>
  <c r="AI1451" i="23"/>
  <c r="C92" i="8"/>
  <c r="AI1455" i="23"/>
  <c r="G92" i="8"/>
  <c r="AI1456" i="23"/>
  <c r="H92" i="8"/>
  <c r="AI1457" i="23"/>
  <c r="I92" i="8"/>
  <c r="M92" i="8"/>
  <c r="AI1461" i="23"/>
  <c r="AI1452" i="23"/>
  <c r="D92" i="8"/>
  <c r="AI1453" i="23"/>
  <c r="E92" i="8"/>
  <c r="AI1454" i="23"/>
  <c r="F92" i="8"/>
  <c r="AI1458" i="23"/>
  <c r="J92" i="8"/>
  <c r="K92" i="8"/>
  <c r="AI1459" i="23"/>
  <c r="AI1460" i="23"/>
  <c r="L92" i="8"/>
  <c r="I1200" i="23"/>
  <c r="O1207" i="23" s="1"/>
  <c r="AE1207" i="23" s="1"/>
  <c r="I416" i="23"/>
  <c r="O423" i="23" s="1"/>
  <c r="AE423" i="23" s="1"/>
  <c r="AI554" i="23"/>
  <c r="B76" i="8"/>
  <c r="AI555" i="23"/>
  <c r="C76" i="8"/>
  <c r="AI556" i="23"/>
  <c r="D76" i="8"/>
  <c r="AI557" i="23"/>
  <c r="E76" i="8"/>
  <c r="AI558" i="23"/>
  <c r="F76" i="8"/>
  <c r="AI559" i="23"/>
  <c r="G76" i="8"/>
  <c r="AI560" i="23"/>
  <c r="H76" i="8"/>
  <c r="AI561" i="23"/>
  <c r="I76" i="8"/>
  <c r="AI562" i="23"/>
  <c r="J76" i="8"/>
  <c r="AI563" i="23"/>
  <c r="I528" i="23"/>
  <c r="O535" i="23" s="1"/>
  <c r="AE535" i="23" s="1"/>
  <c r="I1256" i="23"/>
  <c r="O1263" i="23" s="1"/>
  <c r="AE1263" i="23" s="1"/>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O4622" i="22"/>
  <c r="O4621" i="22"/>
  <c r="O4623" i="22"/>
  <c r="O4624" i="22"/>
  <c r="O4626" i="22"/>
  <c r="M1543" i="23"/>
  <c r="N1543" i="23"/>
  <c r="AE1543" i="23" s="1"/>
  <c r="N1487" i="23"/>
  <c r="AE1487" i="23" s="1"/>
  <c r="M1487" i="23"/>
  <c r="M1431" i="23"/>
  <c r="N1431" i="23"/>
  <c r="AE1431" i="23" s="1"/>
  <c r="M1095" i="23"/>
  <c r="N1095" i="23"/>
  <c r="M1039" i="23"/>
  <c r="N1039" i="23"/>
  <c r="M983" i="23"/>
  <c r="N983" i="23"/>
  <c r="M815" i="23"/>
  <c r="N815" i="23"/>
  <c r="AE815" i="23" s="1"/>
  <c r="M759" i="23"/>
  <c r="N759" i="23"/>
  <c r="AE759" i="23" s="1"/>
  <c r="M647" i="23"/>
  <c r="N647" i="23"/>
  <c r="M591" i="23"/>
  <c r="N591" i="23"/>
  <c r="AE591" i="23" s="1"/>
  <c r="M367" i="23"/>
  <c r="N367" i="23"/>
  <c r="AE367" i="23" s="1"/>
  <c r="M4518" i="22"/>
  <c r="N4518" i="22"/>
  <c r="M3756" i="22"/>
  <c r="N3756" i="22"/>
  <c r="U3756" i="22" s="1"/>
  <c r="M3432" i="22"/>
  <c r="N3432" i="22"/>
  <c r="U3432" i="22" s="1"/>
  <c r="M3324" i="22"/>
  <c r="N3324" i="22"/>
  <c r="U3324" i="22" s="1"/>
  <c r="M3216" i="22"/>
  <c r="N3216" i="22"/>
  <c r="U3216" i="22" s="1"/>
  <c r="M3108" i="22"/>
  <c r="N3108" i="22"/>
  <c r="U3108" i="22" s="1"/>
  <c r="M3054" i="22"/>
  <c r="N3054" i="22"/>
  <c r="U3054" i="22" s="1"/>
  <c r="M3000" i="22"/>
  <c r="N3000" i="22"/>
  <c r="U3000" i="22" s="1"/>
  <c r="N2676" i="22"/>
  <c r="U2676" i="22" s="1"/>
  <c r="M2676" i="22"/>
  <c r="M2622" i="22"/>
  <c r="N2622" i="22"/>
  <c r="U2622" i="22" s="1"/>
  <c r="M2568" i="22"/>
  <c r="N2568" i="22"/>
  <c r="U2568" i="22" s="1"/>
  <c r="M2514" i="22"/>
  <c r="N2514" i="22"/>
  <c r="U2514" i="22" s="1"/>
  <c r="M2082" i="22"/>
  <c r="N2082" i="22"/>
  <c r="U2082" i="22" s="1"/>
  <c r="M1812" i="22"/>
  <c r="N1812" i="22"/>
  <c r="U1812" i="22" s="1"/>
  <c r="M1758" i="22"/>
  <c r="N1758" i="22"/>
  <c r="U1758" i="22" s="1"/>
  <c r="M1704" i="22"/>
  <c r="N1704" i="22"/>
  <c r="U1704" i="22" s="1"/>
  <c r="M1434" i="22"/>
  <c r="N1434" i="22"/>
  <c r="U1434" i="22" s="1"/>
  <c r="M1380" i="22"/>
  <c r="N1380" i="22"/>
  <c r="U1380" i="22" s="1"/>
  <c r="M1002" i="22"/>
  <c r="N1002" i="22"/>
  <c r="U1002" i="22" s="1"/>
  <c r="M948" i="22"/>
  <c r="N948" i="22"/>
  <c r="U948" i="22" s="1"/>
  <c r="M678" i="22"/>
  <c r="N678" i="22"/>
  <c r="U678" i="22" s="1"/>
  <c r="M624" i="22"/>
  <c r="N624" i="22"/>
  <c r="U624" i="22" s="1"/>
  <c r="M570" i="22"/>
  <c r="N570" i="22"/>
  <c r="U570" i="22" s="1"/>
  <c r="M354" i="22"/>
  <c r="N354" i="22"/>
  <c r="U354" i="22" s="1"/>
  <c r="M300" i="22"/>
  <c r="N300" i="22"/>
  <c r="U300" i="22" s="1"/>
  <c r="M246" i="22"/>
  <c r="N246" i="22"/>
  <c r="U246" i="22" s="1"/>
  <c r="M192" i="22"/>
  <c r="N192" i="22"/>
  <c r="U192" i="22" s="1"/>
  <c r="M138" i="22"/>
  <c r="N138" i="22"/>
  <c r="U138" i="22" s="1"/>
  <c r="B53" i="8"/>
  <c r="AH946" i="23"/>
  <c r="K53" i="8"/>
  <c r="AH955" i="23"/>
  <c r="M53" i="8"/>
  <c r="AH957" i="23"/>
  <c r="L53" i="8"/>
  <c r="AH956" i="23"/>
  <c r="J53" i="8"/>
  <c r="AH954" i="23"/>
  <c r="I53" i="8"/>
  <c r="AH953" i="23"/>
  <c r="H53" i="8"/>
  <c r="AH952" i="23"/>
  <c r="G53" i="8"/>
  <c r="AH951" i="23"/>
  <c r="F53" i="8"/>
  <c r="AH950" i="23"/>
  <c r="E53" i="8"/>
  <c r="AH949" i="23"/>
  <c r="D53" i="8"/>
  <c r="AH948" i="23"/>
  <c r="C53" i="8"/>
  <c r="AH947" i="23"/>
  <c r="M52" i="8"/>
  <c r="AH901" i="23"/>
  <c r="L52" i="8"/>
  <c r="AH900" i="23"/>
  <c r="C52" i="8"/>
  <c r="AH891" i="23"/>
  <c r="K52" i="8"/>
  <c r="AH899" i="23"/>
  <c r="J52" i="8"/>
  <c r="AH898" i="23"/>
  <c r="I52" i="8"/>
  <c r="AH897" i="23"/>
  <c r="H52" i="8"/>
  <c r="AH896" i="23"/>
  <c r="G52" i="8"/>
  <c r="AH895" i="23"/>
  <c r="F52" i="8"/>
  <c r="AH894" i="23"/>
  <c r="E52" i="8"/>
  <c r="AH893" i="23"/>
  <c r="D52" i="8"/>
  <c r="AH892" i="23"/>
  <c r="B52" i="8"/>
  <c r="AH890" i="23"/>
  <c r="H60" i="8"/>
  <c r="AH1344" i="23"/>
  <c r="I60" i="8"/>
  <c r="AH1345" i="23"/>
  <c r="AH1347" i="23"/>
  <c r="K60" i="8"/>
  <c r="AH1348" i="23"/>
  <c r="L60" i="8"/>
  <c r="G60" i="8"/>
  <c r="AH1343" i="23"/>
  <c r="D60" i="8"/>
  <c r="AH1340" i="23"/>
  <c r="C60" i="8"/>
  <c r="AH1339" i="23"/>
  <c r="B60" i="8"/>
  <c r="AH1338" i="23"/>
  <c r="AH1349" i="23"/>
  <c r="M60" i="8"/>
  <c r="AH1342" i="23"/>
  <c r="F60" i="8"/>
  <c r="AH1341" i="23"/>
  <c r="E60" i="8"/>
  <c r="J60" i="8"/>
  <c r="AH1346" i="23"/>
  <c r="G61" i="8"/>
  <c r="AH1399" i="23"/>
  <c r="K61" i="8"/>
  <c r="AH1403" i="23"/>
  <c r="L61" i="8"/>
  <c r="AH1404" i="23"/>
  <c r="M61" i="8"/>
  <c r="AH1405" i="23"/>
  <c r="D61" i="8"/>
  <c r="AH1396" i="23"/>
  <c r="AH1398" i="23"/>
  <c r="F61" i="8"/>
  <c r="AH1400" i="23"/>
  <c r="H61" i="8"/>
  <c r="I61" i="8"/>
  <c r="AH1401" i="23"/>
  <c r="C61" i="8"/>
  <c r="AH1395" i="23"/>
  <c r="J61" i="8"/>
  <c r="AH1402" i="23"/>
  <c r="B61" i="8"/>
  <c r="AH1394" i="23"/>
  <c r="E61" i="8"/>
  <c r="AH1397" i="23"/>
  <c r="G51" i="8"/>
  <c r="AH839" i="23"/>
  <c r="J51" i="8"/>
  <c r="AH842" i="23"/>
  <c r="H51" i="8"/>
  <c r="AH840" i="23"/>
  <c r="B51" i="8"/>
  <c r="AH834" i="23"/>
  <c r="E51" i="8"/>
  <c r="AH837" i="23"/>
  <c r="M51" i="8"/>
  <c r="AH845" i="23"/>
  <c r="L51" i="8"/>
  <c r="AH844" i="23"/>
  <c r="K51" i="8"/>
  <c r="AH843" i="23"/>
  <c r="D51" i="8"/>
  <c r="AH836" i="23"/>
  <c r="I51" i="8"/>
  <c r="AH841" i="23"/>
  <c r="F51" i="8"/>
  <c r="AH838" i="23"/>
  <c r="C51" i="8"/>
  <c r="AH835" i="23"/>
  <c r="L41" i="8"/>
  <c r="AH284" i="23"/>
  <c r="J41" i="8"/>
  <c r="AH282" i="23"/>
  <c r="I41" i="8"/>
  <c r="AH281" i="23"/>
  <c r="M41" i="8"/>
  <c r="AH285" i="23"/>
  <c r="K41" i="8"/>
  <c r="AH283" i="23"/>
  <c r="M50" i="8"/>
  <c r="AH789" i="23"/>
  <c r="L50" i="8"/>
  <c r="AH788" i="23"/>
  <c r="K50" i="8"/>
  <c r="AH787" i="23"/>
  <c r="J50" i="8"/>
  <c r="AH786" i="23"/>
  <c r="D50" i="8"/>
  <c r="AH780" i="23"/>
  <c r="H50" i="8"/>
  <c r="AH784" i="23"/>
  <c r="G50" i="8"/>
  <c r="AH783" i="23"/>
  <c r="F50" i="8"/>
  <c r="AH782" i="23"/>
  <c r="E50" i="8"/>
  <c r="AH781" i="23"/>
  <c r="I50" i="8"/>
  <c r="AH785" i="23"/>
  <c r="C50" i="8"/>
  <c r="AH779" i="23"/>
  <c r="B50" i="8"/>
  <c r="AH778" i="23"/>
  <c r="M63" i="8"/>
  <c r="AH1517" i="23"/>
  <c r="C63" i="8"/>
  <c r="AH1507" i="23"/>
  <c r="B63" i="8"/>
  <c r="AH1506" i="23"/>
  <c r="D63" i="8"/>
  <c r="AH1508" i="23"/>
  <c r="H63" i="8"/>
  <c r="AH1512" i="23"/>
  <c r="G63" i="8"/>
  <c r="AH1511" i="23"/>
  <c r="L63" i="8"/>
  <c r="AH1516" i="23"/>
  <c r="F63" i="8"/>
  <c r="AH1510" i="23"/>
  <c r="E63" i="8"/>
  <c r="AH1509" i="23"/>
  <c r="J63" i="8"/>
  <c r="AH1514" i="23"/>
  <c r="I63" i="8"/>
  <c r="AH1513" i="23"/>
  <c r="K63" i="8"/>
  <c r="AH1515" i="23"/>
  <c r="D64" i="8"/>
  <c r="AH1564" i="23"/>
  <c r="E64" i="8"/>
  <c r="AH1565" i="23"/>
  <c r="G64" i="8"/>
  <c r="AH1567" i="23"/>
  <c r="H64" i="8"/>
  <c r="AH1568" i="23"/>
  <c r="F64" i="8"/>
  <c r="AH1566" i="23"/>
  <c r="I64" i="8"/>
  <c r="AH1569" i="23"/>
  <c r="J64" i="8"/>
  <c r="AH1570" i="23"/>
  <c r="K64" i="8"/>
  <c r="AH1571" i="23"/>
  <c r="L64" i="8"/>
  <c r="AH1572" i="23"/>
  <c r="M64" i="8"/>
  <c r="AH1573" i="23"/>
  <c r="B64" i="8"/>
  <c r="AH1562" i="23"/>
  <c r="C64" i="8"/>
  <c r="AH1563" i="23"/>
  <c r="F48" i="8"/>
  <c r="AH670" i="23"/>
  <c r="I48" i="8"/>
  <c r="AH673" i="23"/>
  <c r="K48" i="8"/>
  <c r="AH675" i="23"/>
  <c r="M48" i="8"/>
  <c r="AH677" i="23"/>
  <c r="D48" i="8"/>
  <c r="AH668" i="23"/>
  <c r="B48" i="8"/>
  <c r="AH666" i="23"/>
  <c r="G48" i="8"/>
  <c r="AH671" i="23"/>
  <c r="L48" i="8"/>
  <c r="AH676" i="23"/>
  <c r="C48" i="8"/>
  <c r="AH667" i="23"/>
  <c r="J48" i="8"/>
  <c r="AH674" i="23"/>
  <c r="H48" i="8"/>
  <c r="AH672" i="23"/>
  <c r="E48" i="8"/>
  <c r="AH669" i="23"/>
  <c r="I304" i="23"/>
  <c r="O311" i="23" s="1"/>
  <c r="AE311" i="23" s="1"/>
  <c r="H42" i="8"/>
  <c r="AH336" i="23"/>
  <c r="I42" i="8"/>
  <c r="AH337" i="23"/>
  <c r="J42" i="8"/>
  <c r="AH338" i="23"/>
  <c r="K42" i="8"/>
  <c r="AH339" i="23"/>
  <c r="M42" i="8"/>
  <c r="AH341" i="23"/>
  <c r="B42" i="8"/>
  <c r="AH330" i="23"/>
  <c r="C42" i="8"/>
  <c r="AH331" i="23"/>
  <c r="D42" i="8"/>
  <c r="AH332" i="23"/>
  <c r="E42" i="8"/>
  <c r="AH333" i="23"/>
  <c r="F42" i="8"/>
  <c r="AH334" i="23"/>
  <c r="G42" i="8"/>
  <c r="AH335" i="23"/>
  <c r="L42" i="8"/>
  <c r="AH340" i="23"/>
  <c r="J45" i="8"/>
  <c r="AH506" i="23"/>
  <c r="L45" i="8"/>
  <c r="AH508" i="23"/>
  <c r="M45" i="8"/>
  <c r="AH509" i="23"/>
  <c r="B45" i="8"/>
  <c r="AH498" i="23"/>
  <c r="C45" i="8"/>
  <c r="AH499" i="23"/>
  <c r="D45" i="8"/>
  <c r="AH500" i="23"/>
  <c r="E45" i="8"/>
  <c r="AH501" i="23"/>
  <c r="K45" i="8"/>
  <c r="AH507" i="23"/>
  <c r="F45" i="8"/>
  <c r="AH502" i="23"/>
  <c r="G45" i="8"/>
  <c r="AH503" i="23"/>
  <c r="H45" i="8"/>
  <c r="AH504" i="23"/>
  <c r="I45" i="8"/>
  <c r="AH505" i="23"/>
  <c r="B47" i="8"/>
  <c r="AH610" i="23"/>
  <c r="K47" i="8"/>
  <c r="AH619" i="23"/>
  <c r="D47" i="8"/>
  <c r="AH612" i="23"/>
  <c r="H47" i="8"/>
  <c r="AH616" i="23"/>
  <c r="M47" i="8"/>
  <c r="AH621" i="23"/>
  <c r="F47" i="8"/>
  <c r="AH614" i="23"/>
  <c r="C47" i="8"/>
  <c r="AH611" i="23"/>
  <c r="J47" i="8"/>
  <c r="AH618" i="23"/>
  <c r="L47" i="8"/>
  <c r="AH620" i="23"/>
  <c r="I47" i="8"/>
  <c r="AH617" i="23"/>
  <c r="G47" i="8"/>
  <c r="AH615" i="23"/>
  <c r="E47" i="8"/>
  <c r="AH613" i="23"/>
  <c r="B58" i="8"/>
  <c r="AH1226" i="23"/>
  <c r="E58" i="8"/>
  <c r="AH1229" i="23"/>
  <c r="M58" i="8"/>
  <c r="AH1237" i="23"/>
  <c r="L58" i="8"/>
  <c r="AH1236" i="23"/>
  <c r="K58" i="8"/>
  <c r="AH1235" i="23"/>
  <c r="J58" i="8"/>
  <c r="AH1234" i="23"/>
  <c r="I58" i="8"/>
  <c r="AH1233" i="23"/>
  <c r="H58" i="8"/>
  <c r="AH1232" i="23"/>
  <c r="G58" i="8"/>
  <c r="AH1231" i="23"/>
  <c r="F58" i="8"/>
  <c r="AH1230" i="23"/>
  <c r="D58" i="8"/>
  <c r="AH1228" i="23"/>
  <c r="C58" i="8"/>
  <c r="AH1227" i="23"/>
  <c r="E54" i="8"/>
  <c r="AH1005" i="23"/>
  <c r="M54" i="8"/>
  <c r="AH1013" i="23"/>
  <c r="H54" i="8"/>
  <c r="AH1008" i="23"/>
  <c r="I54" i="8"/>
  <c r="AH1009" i="23"/>
  <c r="L54" i="8"/>
  <c r="AH1012" i="23"/>
  <c r="F54" i="8"/>
  <c r="AH1006" i="23"/>
  <c r="G54" i="8"/>
  <c r="AH1007" i="23"/>
  <c r="C54" i="8"/>
  <c r="AH1003" i="23"/>
  <c r="K54" i="8"/>
  <c r="AH1011" i="23"/>
  <c r="J54" i="8"/>
  <c r="AH1010" i="23"/>
  <c r="B54" i="8"/>
  <c r="AH1002" i="23"/>
  <c r="D54" i="8"/>
  <c r="AH1004" i="23"/>
  <c r="G44" i="8"/>
  <c r="AH447" i="23"/>
  <c r="H44" i="8"/>
  <c r="AH448" i="23"/>
  <c r="I44" i="8"/>
  <c r="AH449" i="23"/>
  <c r="J44" i="8"/>
  <c r="AH450" i="23"/>
  <c r="K44" i="8"/>
  <c r="AH451" i="23"/>
  <c r="B44" i="8"/>
  <c r="AH442" i="23"/>
  <c r="C44" i="8"/>
  <c r="AH443" i="23"/>
  <c r="L44" i="8"/>
  <c r="AH452" i="23"/>
  <c r="M44" i="8"/>
  <c r="AH453" i="23"/>
  <c r="D44" i="8"/>
  <c r="AH444" i="23"/>
  <c r="E44" i="8"/>
  <c r="AH445" i="23"/>
  <c r="F44" i="8"/>
  <c r="AH446" i="23"/>
  <c r="H43" i="8"/>
  <c r="AH392" i="23"/>
  <c r="J43" i="8"/>
  <c r="AH394" i="23"/>
  <c r="L43" i="8"/>
  <c r="AH396" i="23"/>
  <c r="M43" i="8"/>
  <c r="AH397" i="23"/>
  <c r="C43" i="8"/>
  <c r="AH387" i="23"/>
  <c r="I43" i="8"/>
  <c r="AH393" i="23"/>
  <c r="G43" i="8"/>
  <c r="AH391" i="23"/>
  <c r="E43" i="8"/>
  <c r="AH389" i="23"/>
  <c r="D43" i="8"/>
  <c r="AH388" i="23"/>
  <c r="B43" i="8"/>
  <c r="AH386" i="23"/>
  <c r="F43" i="8"/>
  <c r="AH390" i="23"/>
  <c r="K43" i="8"/>
  <c r="AH395" i="23"/>
  <c r="H59" i="8"/>
  <c r="AH1288" i="23"/>
  <c r="B59" i="8"/>
  <c r="AH1282" i="23"/>
  <c r="C59" i="8"/>
  <c r="AH1283" i="23"/>
  <c r="G59" i="8"/>
  <c r="AH1287" i="23"/>
  <c r="F59" i="8"/>
  <c r="AH1286" i="23"/>
  <c r="D59" i="8"/>
  <c r="AH1284" i="23"/>
  <c r="J59" i="8"/>
  <c r="AH1290" i="23"/>
  <c r="L59" i="8"/>
  <c r="AH1292" i="23"/>
  <c r="M59" i="8"/>
  <c r="AH1293" i="23"/>
  <c r="I59" i="8"/>
  <c r="AH1289" i="23"/>
  <c r="E59" i="8"/>
  <c r="AH1285" i="23"/>
  <c r="K59" i="8"/>
  <c r="AH1291" i="23"/>
  <c r="O815" i="23"/>
  <c r="O816" i="23"/>
  <c r="AE814" i="23"/>
  <c r="K1488" i="23"/>
  <c r="F1488" i="23"/>
  <c r="F1432" i="23"/>
  <c r="O1432" i="23" s="1"/>
  <c r="K1432" i="23"/>
  <c r="K1376" i="23"/>
  <c r="F1376" i="23"/>
  <c r="F1320" i="23"/>
  <c r="K1320" i="23"/>
  <c r="K1096" i="23"/>
  <c r="F1096" i="23"/>
  <c r="K1040" i="23"/>
  <c r="F1040" i="23"/>
  <c r="F928" i="23"/>
  <c r="K928" i="23"/>
  <c r="F760" i="23"/>
  <c r="O760" i="23" s="1"/>
  <c r="K760" i="23"/>
  <c r="K424" i="23"/>
  <c r="F424" i="23"/>
  <c r="K312" i="23"/>
  <c r="F312" i="23"/>
  <c r="T4679" i="22"/>
  <c r="D4627" i="22"/>
  <c r="F4627" i="22"/>
  <c r="O4627" i="22" s="1"/>
  <c r="F4165" i="22"/>
  <c r="O4165" i="22" s="1"/>
  <c r="K4165" i="22"/>
  <c r="F4111" i="22"/>
  <c r="O4111" i="22" s="1"/>
  <c r="K4111" i="22"/>
  <c r="K3595" i="22"/>
  <c r="F3595" i="22"/>
  <c r="O3595" i="22" s="1"/>
  <c r="F3541" i="22"/>
  <c r="O3541" i="22" s="1"/>
  <c r="K3541" i="22"/>
  <c r="F3433" i="22"/>
  <c r="O3433" i="22" s="1"/>
  <c r="K3433" i="22"/>
  <c r="F3325" i="22"/>
  <c r="O3325" i="22" s="1"/>
  <c r="K3325" i="22"/>
  <c r="K3271" i="22"/>
  <c r="F3271" i="22"/>
  <c r="O3271" i="22" s="1"/>
  <c r="K3217" i="22"/>
  <c r="F3217" i="22"/>
  <c r="O3217" i="22" s="1"/>
  <c r="K3055" i="22"/>
  <c r="F3055" i="22"/>
  <c r="O3055" i="22" s="1"/>
  <c r="K2677" i="22"/>
  <c r="F2677" i="22"/>
  <c r="O2677" i="22" s="1"/>
  <c r="F2623" i="22"/>
  <c r="O2623" i="22" s="1"/>
  <c r="K2623" i="22"/>
  <c r="K2299" i="22"/>
  <c r="F2299" i="22"/>
  <c r="O2299" i="22" s="1"/>
  <c r="K2245" i="22"/>
  <c r="F2245" i="22"/>
  <c r="O2245" i="22" s="1"/>
  <c r="F1489" i="22"/>
  <c r="O1489" i="22" s="1"/>
  <c r="K1489" i="22"/>
  <c r="K1435" i="22"/>
  <c r="F1435" i="22"/>
  <c r="O1435" i="22" s="1"/>
  <c r="K1381" i="22"/>
  <c r="F1381" i="22"/>
  <c r="O1381" i="22" s="1"/>
  <c r="F1111" i="22"/>
  <c r="O1111" i="22" s="1"/>
  <c r="K1111" i="22"/>
  <c r="K733" i="22"/>
  <c r="F733" i="22"/>
  <c r="O733" i="22" s="1"/>
  <c r="K679" i="22"/>
  <c r="F679" i="22"/>
  <c r="O679" i="22" s="1"/>
  <c r="K301" i="22"/>
  <c r="F301" i="22"/>
  <c r="O301" i="22" s="1"/>
  <c r="F247" i="22"/>
  <c r="O247" i="22" s="1"/>
  <c r="K247" i="22"/>
  <c r="F139" i="22"/>
  <c r="O139" i="22" s="1"/>
  <c r="K139" i="22"/>
  <c r="I1088" i="23"/>
  <c r="O1094" i="23"/>
  <c r="AE1094" i="23" s="1"/>
  <c r="I920" i="23"/>
  <c r="O927" i="23"/>
  <c r="AE927" i="23" s="1"/>
  <c r="O926" i="23"/>
  <c r="AE926" i="23" s="1"/>
  <c r="I1032" i="23"/>
  <c r="O1038" i="23"/>
  <c r="AE1038" i="23" s="1"/>
  <c r="O1037" i="23"/>
  <c r="AE1037" i="23" s="1"/>
  <c r="I1480" i="23"/>
  <c r="O1486" i="23"/>
  <c r="I640" i="23"/>
  <c r="O646" i="23"/>
  <c r="AE646" i="23" s="1"/>
  <c r="I976" i="23"/>
  <c r="O982" i="23"/>
  <c r="AE982" i="23" s="1"/>
  <c r="N4219" i="22" l="1"/>
  <c r="U4219" i="22" s="1"/>
  <c r="O257" i="23"/>
  <c r="N4735" i="22"/>
  <c r="N4681" i="22"/>
  <c r="S4681" i="22" s="1"/>
  <c r="T4681" i="22" s="1"/>
  <c r="N85" i="22"/>
  <c r="U85" i="22" s="1"/>
  <c r="O1321" i="23"/>
  <c r="N23" i="17"/>
  <c r="U23" i="17" s="1"/>
  <c r="AE1039" i="23"/>
  <c r="O873" i="23"/>
  <c r="N4573" i="22"/>
  <c r="N4519" i="22"/>
  <c r="O1096" i="23"/>
  <c r="O1040" i="23"/>
  <c r="O1488" i="23"/>
  <c r="O1376" i="23"/>
  <c r="O1320" i="23"/>
  <c r="O928" i="23"/>
  <c r="O424" i="23"/>
  <c r="O312" i="23"/>
  <c r="AI564" i="23"/>
  <c r="L76" i="8"/>
  <c r="AI565" i="23"/>
  <c r="M76" i="8"/>
  <c r="K1601" i="23"/>
  <c r="F1601" i="23"/>
  <c r="O1601" i="23" s="1"/>
  <c r="K1097" i="23"/>
  <c r="F1097" i="23"/>
  <c r="O1097" i="23" s="1"/>
  <c r="K817" i="23"/>
  <c r="F817" i="23"/>
  <c r="O817" i="23" s="1"/>
  <c r="K649" i="23"/>
  <c r="F649" i="23"/>
  <c r="O649" i="23" s="1"/>
  <c r="K481" i="23"/>
  <c r="F481" i="23"/>
  <c r="O481" i="23" s="1"/>
  <c r="K425" i="23"/>
  <c r="F425" i="23"/>
  <c r="O425" i="23" s="1"/>
  <c r="K4166" i="22"/>
  <c r="F4166" i="22"/>
  <c r="O4166" i="22" s="1"/>
  <c r="K3596" i="22"/>
  <c r="F3596" i="22"/>
  <c r="O3596" i="22" s="1"/>
  <c r="K3002" i="22"/>
  <c r="F3002" i="22"/>
  <c r="O3002" i="22" s="1"/>
  <c r="K2948" i="22"/>
  <c r="F2948" i="22"/>
  <c r="O2948" i="22" s="1"/>
  <c r="K2408" i="22"/>
  <c r="F2408" i="22"/>
  <c r="O2408" i="22" s="1"/>
  <c r="K2084" i="22"/>
  <c r="F2084" i="22"/>
  <c r="O2084" i="22" s="1"/>
  <c r="K1868" i="22"/>
  <c r="F1868" i="22"/>
  <c r="O1868" i="22" s="1"/>
  <c r="K1382" i="22"/>
  <c r="F1382" i="22"/>
  <c r="O1382" i="22" s="1"/>
  <c r="K1058" i="22"/>
  <c r="F1058" i="22"/>
  <c r="O1058" i="22" s="1"/>
  <c r="K1004" i="22"/>
  <c r="F1004" i="22"/>
  <c r="O1004" i="22" s="1"/>
  <c r="K356" i="22"/>
  <c r="F356" i="22"/>
  <c r="O356" i="22" s="1"/>
  <c r="K302" i="22"/>
  <c r="F302" i="22"/>
  <c r="O302" i="22" s="1"/>
  <c r="O871" i="23"/>
  <c r="AE871" i="23" s="1"/>
  <c r="O872" i="23"/>
  <c r="AE872" i="23" s="1"/>
  <c r="O1095" i="23"/>
  <c r="AE1095" i="23" s="1"/>
  <c r="O1093" i="23"/>
  <c r="AE1093" i="23" s="1"/>
  <c r="O1092" i="23"/>
  <c r="AE1092" i="23" s="1"/>
  <c r="O1090" i="23"/>
  <c r="AE1090" i="23" s="1"/>
  <c r="O1091" i="23"/>
  <c r="AE1091" i="23" s="1"/>
  <c r="O925" i="23"/>
  <c r="AE925" i="23" s="1"/>
  <c r="O924" i="23"/>
  <c r="AE924" i="23" s="1"/>
  <c r="O922" i="23"/>
  <c r="AE922" i="23" s="1"/>
  <c r="O923" i="23"/>
  <c r="AE923" i="23" s="1"/>
  <c r="O1036" i="23"/>
  <c r="AE1036" i="23" s="1"/>
  <c r="O1035" i="23"/>
  <c r="AE1035" i="23" s="1"/>
  <c r="O1034" i="23"/>
  <c r="AE1034" i="23" s="1"/>
  <c r="O1485" i="23"/>
  <c r="O1484" i="23"/>
  <c r="O1482" i="23"/>
  <c r="O1483" i="23"/>
  <c r="O648" i="23"/>
  <c r="AE648" i="23" s="1"/>
  <c r="O645" i="23"/>
  <c r="AE645" i="23" s="1"/>
  <c r="O644" i="23"/>
  <c r="AE644" i="23" s="1"/>
  <c r="O643" i="23"/>
  <c r="AE643" i="23" s="1"/>
  <c r="O642" i="23"/>
  <c r="AE642" i="23" s="1"/>
  <c r="O647" i="23"/>
  <c r="AE647" i="23" s="1"/>
  <c r="O984" i="23"/>
  <c r="AE984" i="23" s="1"/>
  <c r="O981" i="23"/>
  <c r="AE981" i="23" s="1"/>
  <c r="O980" i="23"/>
  <c r="AE980" i="23" s="1"/>
  <c r="O978" i="23"/>
  <c r="AE978" i="23" s="1"/>
  <c r="O979" i="23"/>
  <c r="AE979" i="23" s="1"/>
  <c r="O983" i="23"/>
  <c r="AE983" i="23" s="1"/>
  <c r="M1601" i="23"/>
  <c r="J1601" i="23"/>
  <c r="N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E1546" i="23"/>
  <c r="G1546" i="23"/>
  <c r="B1547" i="23"/>
  <c r="L1490" i="23"/>
  <c r="I1490" i="23"/>
  <c r="B1491" i="23"/>
  <c r="C1490" i="23"/>
  <c r="E1490" i="23"/>
  <c r="G1490" i="23"/>
  <c r="J1489" i="23"/>
  <c r="D1489" i="23"/>
  <c r="P1489" i="23"/>
  <c r="Q1489" i="23"/>
  <c r="R1489" i="23"/>
  <c r="J1433" i="23"/>
  <c r="D1433" i="23"/>
  <c r="P1433" i="23"/>
  <c r="Q1433" i="23"/>
  <c r="R1433" i="23"/>
  <c r="L1434" i="23"/>
  <c r="I1434" i="23"/>
  <c r="C1434" i="23"/>
  <c r="E1434" i="23"/>
  <c r="G1434" i="23"/>
  <c r="B1435" i="23"/>
  <c r="P1377" i="23"/>
  <c r="Q1377" i="23"/>
  <c r="R1377" i="23"/>
  <c r="L1378" i="23"/>
  <c r="I1378" i="23"/>
  <c r="E1378" i="23"/>
  <c r="G1378" i="23"/>
  <c r="C1378" i="23"/>
  <c r="B1379" i="23"/>
  <c r="J1377" i="23"/>
  <c r="D1377"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E1210" i="23"/>
  <c r="G1210" i="23"/>
  <c r="B1211" i="23"/>
  <c r="M1153" i="23"/>
  <c r="L1154" i="23"/>
  <c r="I1154" i="23"/>
  <c r="C1154" i="23"/>
  <c r="E1154" i="23"/>
  <c r="G1154" i="23"/>
  <c r="B1155" i="23"/>
  <c r="J1153" i="23"/>
  <c r="N1153" i="23" s="1"/>
  <c r="AE1153" i="23" s="1"/>
  <c r="D1153" i="23"/>
  <c r="P1153" i="23"/>
  <c r="Q1153" i="23"/>
  <c r="R1153" i="23"/>
  <c r="M1097" i="23"/>
  <c r="L1098" i="23"/>
  <c r="I1098" i="23"/>
  <c r="G1098" i="23"/>
  <c r="C1098" i="23"/>
  <c r="E1098" i="23"/>
  <c r="B1099" i="23"/>
  <c r="J1097" i="23"/>
  <c r="N1097" i="23" s="1"/>
  <c r="AE1097" i="23" s="1"/>
  <c r="D1097" i="23"/>
  <c r="P1097" i="23"/>
  <c r="Q1097" i="23"/>
  <c r="R1097" i="23"/>
  <c r="P1041" i="23"/>
  <c r="Q1041" i="23"/>
  <c r="R1041" i="23"/>
  <c r="L1042" i="23"/>
  <c r="I1042" i="23"/>
  <c r="C1042" i="23"/>
  <c r="E1042" i="23"/>
  <c r="G1042" i="23"/>
  <c r="B1043" i="23"/>
  <c r="J1041" i="23"/>
  <c r="D1041" i="23"/>
  <c r="M985" i="23"/>
  <c r="J985" i="23"/>
  <c r="N985" i="23" s="1"/>
  <c r="AE985" i="23" s="1"/>
  <c r="D985" i="23"/>
  <c r="P985" i="23"/>
  <c r="Q985" i="23"/>
  <c r="R985" i="23"/>
  <c r="L986" i="23"/>
  <c r="I986" i="23"/>
  <c r="C986" i="23"/>
  <c r="E986" i="23"/>
  <c r="G986" i="23"/>
  <c r="B987" i="23"/>
  <c r="M929" i="23"/>
  <c r="J929" i="23"/>
  <c r="N929" i="23" s="1"/>
  <c r="AE929" i="23" s="1"/>
  <c r="D929" i="23"/>
  <c r="P929" i="23"/>
  <c r="Q929" i="23"/>
  <c r="R929" i="23"/>
  <c r="L930" i="23"/>
  <c r="I930" i="23"/>
  <c r="C930" i="23"/>
  <c r="E930" i="23"/>
  <c r="G930" i="23"/>
  <c r="B931" i="23"/>
  <c r="M873" i="23"/>
  <c r="J873" i="23"/>
  <c r="N873" i="23" s="1"/>
  <c r="D873" i="23"/>
  <c r="P873" i="23"/>
  <c r="Q873" i="23"/>
  <c r="R873" i="23"/>
  <c r="L874" i="23"/>
  <c r="I874" i="23"/>
  <c r="C874" i="23"/>
  <c r="K874" i="23" s="1"/>
  <c r="E874" i="23"/>
  <c r="F874" i="23"/>
  <c r="O874" i="23" s="1"/>
  <c r="G874" i="23"/>
  <c r="B875" i="23"/>
  <c r="M817" i="23"/>
  <c r="J817" i="23"/>
  <c r="N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E706" i="23"/>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E370" i="23"/>
  <c r="G370" i="23"/>
  <c r="B371" i="23"/>
  <c r="J313" i="23"/>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P4736" i="22"/>
  <c r="Q4736" i="22"/>
  <c r="R4736" i="22"/>
  <c r="C4737" i="22"/>
  <c r="F4737" i="22" s="1"/>
  <c r="E4737" i="22"/>
  <c r="G4737" i="22"/>
  <c r="K4737" i="22"/>
  <c r="L4737" i="22"/>
  <c r="B4738" i="22"/>
  <c r="I4737" i="22"/>
  <c r="J4736" i="22"/>
  <c r="D4736" i="22"/>
  <c r="U4681" i="22"/>
  <c r="M4682" i="22"/>
  <c r="D4682" i="22"/>
  <c r="J4682" i="22"/>
  <c r="N4682" i="22" s="1"/>
  <c r="P4682" i="22"/>
  <c r="Q4682" i="22"/>
  <c r="R4682" i="22"/>
  <c r="L4683" i="22"/>
  <c r="C4683" i="22"/>
  <c r="E4683" i="22"/>
  <c r="G4683" i="22"/>
  <c r="I4683" i="22"/>
  <c r="B4684" i="22"/>
  <c r="P4628" i="22"/>
  <c r="Q4628" i="22"/>
  <c r="R4628" i="22"/>
  <c r="C4629" i="22"/>
  <c r="E4629" i="22"/>
  <c r="G4629" i="22"/>
  <c r="B4630" i="22"/>
  <c r="J4574" i="22"/>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E4521" i="22"/>
  <c r="G4521" i="22"/>
  <c r="I4521" i="22"/>
  <c r="B4522" i="22"/>
  <c r="M4220" i="22"/>
  <c r="D4220" i="22"/>
  <c r="J4220" i="22"/>
  <c r="N4220" i="22" s="1"/>
  <c r="U4220" i="22" s="1"/>
  <c r="P4220" i="22"/>
  <c r="Q4220" i="22"/>
  <c r="R4220" i="22"/>
  <c r="L4221" i="22"/>
  <c r="C4221" i="22"/>
  <c r="E4221" i="22"/>
  <c r="G4221" i="22"/>
  <c r="I4221" i="22"/>
  <c r="B4222" i="22"/>
  <c r="M4166" i="22"/>
  <c r="D4166" i="22"/>
  <c r="J4166" i="22"/>
  <c r="N4166" i="22" s="1"/>
  <c r="U4166" i="22" s="1"/>
  <c r="P4166" i="22"/>
  <c r="Q4166" i="22"/>
  <c r="R4166" i="22"/>
  <c r="L4167" i="22"/>
  <c r="C4167" i="22"/>
  <c r="E4167" i="22"/>
  <c r="G4167" i="22"/>
  <c r="I4167" i="22"/>
  <c r="B4168" i="22"/>
  <c r="D4112" i="22"/>
  <c r="J4112" i="22"/>
  <c r="N4112" i="22" s="1"/>
  <c r="U4112" i="22" s="1"/>
  <c r="P4112" i="22"/>
  <c r="Q4112" i="22"/>
  <c r="R4112" i="22"/>
  <c r="M4112" i="22"/>
  <c r="C4113" i="22"/>
  <c r="F4113" i="22" s="1"/>
  <c r="O4113" i="22" s="1"/>
  <c r="E4113" i="22"/>
  <c r="G4113" i="22"/>
  <c r="I4113" i="22"/>
  <c r="K4113" i="22"/>
  <c r="L4113" i="22"/>
  <c r="B4114" i="22"/>
  <c r="C4059" i="22"/>
  <c r="F4059" i="22" s="1"/>
  <c r="O4059" i="22" s="1"/>
  <c r="E4059" i="22"/>
  <c r="G4059" i="22"/>
  <c r="L4059" i="22"/>
  <c r="I4059" i="22"/>
  <c r="K4059" i="22"/>
  <c r="B4060" i="22"/>
  <c r="J4058" i="22"/>
  <c r="D4058" i="22"/>
  <c r="P4058" i="22"/>
  <c r="Q4058" i="22"/>
  <c r="R4058" i="22"/>
  <c r="M3758" i="22"/>
  <c r="D3758" i="22"/>
  <c r="J3758" i="22"/>
  <c r="N3758" i="22" s="1"/>
  <c r="U3758" i="22" s="1"/>
  <c r="P3758" i="22"/>
  <c r="Q3758" i="22"/>
  <c r="R3758" i="22"/>
  <c r="L3759" i="22"/>
  <c r="C3759" i="22"/>
  <c r="E3759" i="22"/>
  <c r="G3759" i="22"/>
  <c r="I3759" i="22"/>
  <c r="B3760" i="22"/>
  <c r="M3704" i="22"/>
  <c r="D3704" i="22"/>
  <c r="J3704" i="22"/>
  <c r="N3704" i="22" s="1"/>
  <c r="U3704" i="22" s="1"/>
  <c r="P3704" i="22"/>
  <c r="Q3704" i="22"/>
  <c r="R3704" i="22"/>
  <c r="L3705" i="22"/>
  <c r="C3705" i="22"/>
  <c r="E3705" i="22"/>
  <c r="G3705" i="22"/>
  <c r="I3705" i="22"/>
  <c r="B3706" i="22"/>
  <c r="D3650" i="22"/>
  <c r="J3650" i="22"/>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E3597" i="22"/>
  <c r="G3597" i="22"/>
  <c r="I3597" i="22"/>
  <c r="B3598" i="22"/>
  <c r="J3542" i="22"/>
  <c r="D3542" i="22"/>
  <c r="P3542" i="22"/>
  <c r="Q3542" i="22"/>
  <c r="R3542" i="22"/>
  <c r="L3543" i="22"/>
  <c r="G3543" i="22"/>
  <c r="I3543" i="22"/>
  <c r="C3543" i="22"/>
  <c r="K3543" i="22" s="1"/>
  <c r="E3543" i="22"/>
  <c r="F3543" i="22"/>
  <c r="O3543" i="22" s="1"/>
  <c r="B3544" i="22"/>
  <c r="M3488" i="22"/>
  <c r="D3488" i="22"/>
  <c r="J3488" i="22"/>
  <c r="N3488" i="22" s="1"/>
  <c r="U3488" i="22" s="1"/>
  <c r="P3488" i="22"/>
  <c r="Q3488" i="22"/>
  <c r="R3488" i="22"/>
  <c r="L3489" i="22"/>
  <c r="C3489" i="22"/>
  <c r="K3489" i="22" s="1"/>
  <c r="E3489" i="22"/>
  <c r="F3489" i="22"/>
  <c r="O3489" i="22" s="1"/>
  <c r="G3489" i="22"/>
  <c r="I3489" i="22"/>
  <c r="B3490" i="22"/>
  <c r="M3434" i="22"/>
  <c r="D3434" i="22"/>
  <c r="J3434" i="22"/>
  <c r="N3434" i="22" s="1"/>
  <c r="U3434" i="22" s="1"/>
  <c r="P3434" i="22"/>
  <c r="Q3434" i="22"/>
  <c r="R3434" i="22"/>
  <c r="L3435" i="22"/>
  <c r="C3435" i="22"/>
  <c r="K3435" i="22" s="1"/>
  <c r="E3435" i="22"/>
  <c r="F3435" i="22"/>
  <c r="O3435" i="22" s="1"/>
  <c r="G3435" i="22"/>
  <c r="I3435" i="22"/>
  <c r="B3436" i="22"/>
  <c r="D3380" i="22"/>
  <c r="J3380" i="22"/>
  <c r="P3380" i="22"/>
  <c r="Q3380" i="22"/>
  <c r="R3380" i="22"/>
  <c r="L3381" i="22"/>
  <c r="C3381" i="22"/>
  <c r="E3381" i="22"/>
  <c r="G3381" i="22"/>
  <c r="I3381" i="22"/>
  <c r="B3382" i="22"/>
  <c r="D3326" i="22"/>
  <c r="J3326" i="22"/>
  <c r="P3326" i="22"/>
  <c r="Q3326" i="22"/>
  <c r="R3326" i="22"/>
  <c r="L3327" i="22"/>
  <c r="C3327" i="22"/>
  <c r="K3327" i="22" s="1"/>
  <c r="E3327" i="22"/>
  <c r="F3327" i="22"/>
  <c r="O3327" i="22" s="1"/>
  <c r="G3327" i="22"/>
  <c r="I3327" i="22"/>
  <c r="B3328" i="22"/>
  <c r="L3273" i="22"/>
  <c r="I3273" i="22"/>
  <c r="G3273" i="22"/>
  <c r="B3274" i="22"/>
  <c r="C3273" i="22"/>
  <c r="E3273" i="22"/>
  <c r="D3272" i="22"/>
  <c r="J3272" i="22"/>
  <c r="P3272" i="22"/>
  <c r="Q3272" i="22"/>
  <c r="R3272" i="22"/>
  <c r="M3218" i="22"/>
  <c r="D3218" i="22"/>
  <c r="J3218" i="22"/>
  <c r="N3218" i="22" s="1"/>
  <c r="U3218" i="22" s="1"/>
  <c r="P3218" i="22"/>
  <c r="Q3218" i="22"/>
  <c r="R3218" i="22"/>
  <c r="L3219" i="22"/>
  <c r="G3219" i="22"/>
  <c r="I3219" i="22"/>
  <c r="C3219" i="22"/>
  <c r="E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K3057" i="22" s="1"/>
  <c r="E3057" i="22"/>
  <c r="F3057" i="22"/>
  <c r="O3057" i="22" s="1"/>
  <c r="G3057" i="22"/>
  <c r="I3057" i="22"/>
  <c r="B3058" i="22"/>
  <c r="M3002" i="22"/>
  <c r="D3002" i="22"/>
  <c r="J3002" i="22"/>
  <c r="N3002" i="22" s="1"/>
  <c r="U3002" i="22" s="1"/>
  <c r="P3002" i="22"/>
  <c r="Q3002" i="22"/>
  <c r="R3002" i="22"/>
  <c r="L3003" i="22"/>
  <c r="C3003" i="22"/>
  <c r="K3003" i="22" s="1"/>
  <c r="E3003" i="22"/>
  <c r="F3003" i="22"/>
  <c r="O3003" i="22" s="1"/>
  <c r="G3003" i="22"/>
  <c r="I3003" i="22"/>
  <c r="B3004" i="22"/>
  <c r="M2948" i="22"/>
  <c r="D2948" i="22"/>
  <c r="J2948" i="22"/>
  <c r="N2948" i="22" s="1"/>
  <c r="U2948" i="22" s="1"/>
  <c r="P2948" i="22"/>
  <c r="Q2948" i="22"/>
  <c r="R2948" i="22"/>
  <c r="L2949" i="22"/>
  <c r="C2949" i="22"/>
  <c r="K2949" i="22" s="1"/>
  <c r="E2949" i="22"/>
  <c r="F2949" i="22"/>
  <c r="O2949" i="22" s="1"/>
  <c r="G2949" i="22"/>
  <c r="I2949" i="22"/>
  <c r="B2950" i="22"/>
  <c r="D2894" i="22"/>
  <c r="J2894" i="22"/>
  <c r="P2894" i="22"/>
  <c r="Q2894" i="22"/>
  <c r="R2894" i="22"/>
  <c r="L2895" i="22"/>
  <c r="C2895" i="22"/>
  <c r="K2895" i="22" s="1"/>
  <c r="E2895" i="22"/>
  <c r="F2895" i="22"/>
  <c r="O2895" i="22" s="1"/>
  <c r="G2895" i="22"/>
  <c r="I2895" i="22"/>
  <c r="B2896" i="22"/>
  <c r="D2840" i="22"/>
  <c r="J2840" i="22"/>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G2679" i="22"/>
  <c r="B2680" i="22"/>
  <c r="C2679" i="22"/>
  <c r="E2679" i="22"/>
  <c r="I2679" i="22"/>
  <c r="L2625" i="22"/>
  <c r="E2625" i="22"/>
  <c r="B2626" i="22"/>
  <c r="C2625" i="22"/>
  <c r="G2625" i="22"/>
  <c r="I2625" i="22"/>
  <c r="D2624" i="22"/>
  <c r="J2624" i="22"/>
  <c r="P2624" i="22"/>
  <c r="Q2624" i="22"/>
  <c r="R2624" i="22"/>
  <c r="D2570" i="22"/>
  <c r="J2570" i="22"/>
  <c r="P2570" i="22"/>
  <c r="Q2570" i="22"/>
  <c r="R2570" i="22"/>
  <c r="L2571" i="22"/>
  <c r="C2571" i="22"/>
  <c r="K2571" i="22" s="1"/>
  <c r="E2571" i="22"/>
  <c r="F2571" i="22"/>
  <c r="O2571" i="22" s="1"/>
  <c r="G2571" i="22"/>
  <c r="I2571" i="22"/>
  <c r="B2572" i="22"/>
  <c r="D2516" i="22"/>
  <c r="J2516" i="22"/>
  <c r="P2516" i="22"/>
  <c r="Q2516" i="22"/>
  <c r="R2516" i="22"/>
  <c r="L2517" i="22"/>
  <c r="C2517" i="22"/>
  <c r="K2517" i="22" s="1"/>
  <c r="E2517" i="22"/>
  <c r="F2517" i="22"/>
  <c r="O2517" i="22" s="1"/>
  <c r="G2517" i="22"/>
  <c r="I2517" i="22"/>
  <c r="B2518" i="22"/>
  <c r="D2462" i="22"/>
  <c r="J2462" i="22"/>
  <c r="P2462" i="22"/>
  <c r="Q2462" i="22"/>
  <c r="R2462" i="22"/>
  <c r="L2463" i="22"/>
  <c r="C2463" i="22"/>
  <c r="E2463" i="22"/>
  <c r="G2463" i="22"/>
  <c r="I2463" i="22"/>
  <c r="B2464" i="22"/>
  <c r="M2408" i="22"/>
  <c r="D2408" i="22"/>
  <c r="J2408" i="22"/>
  <c r="N2408" i="22" s="1"/>
  <c r="U2408" i="22" s="1"/>
  <c r="P2408" i="22"/>
  <c r="Q2408" i="22"/>
  <c r="R2408" i="22"/>
  <c r="L2409" i="22"/>
  <c r="C2409" i="22"/>
  <c r="E2409" i="22"/>
  <c r="G2409" i="22"/>
  <c r="I2409" i="22"/>
  <c r="B2410" i="22"/>
  <c r="M2354" i="22"/>
  <c r="D2354" i="22"/>
  <c r="J2354" i="22"/>
  <c r="N2354" i="22" s="1"/>
  <c r="U2354" i="22" s="1"/>
  <c r="P2354" i="22"/>
  <c r="Q2354" i="22"/>
  <c r="R2354" i="22"/>
  <c r="L2355" i="22"/>
  <c r="C2355" i="22"/>
  <c r="K2355" i="22" s="1"/>
  <c r="E2355" i="22"/>
  <c r="F2355" i="22"/>
  <c r="O2355" i="22" s="1"/>
  <c r="G2355" i="22"/>
  <c r="I2355" i="22"/>
  <c r="B2356" i="22"/>
  <c r="P2300" i="22"/>
  <c r="Q2300" i="22"/>
  <c r="R2300" i="22"/>
  <c r="D2300" i="22"/>
  <c r="J2300" i="22"/>
  <c r="L2301" i="22"/>
  <c r="G2301" i="22"/>
  <c r="C2301" i="22"/>
  <c r="K2301" i="22" s="1"/>
  <c r="E2301" i="22"/>
  <c r="I2301" i="22"/>
  <c r="B2302" i="22"/>
  <c r="F2301" i="22"/>
  <c r="O2301" i="22" s="1"/>
  <c r="M2246" i="22"/>
  <c r="D2246" i="22"/>
  <c r="J2246" i="22"/>
  <c r="N2246" i="22" s="1"/>
  <c r="U2246" i="22" s="1"/>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E2193" i="22"/>
  <c r="G2193" i="22"/>
  <c r="I2193" i="22"/>
  <c r="B2194" i="22"/>
  <c r="D2138" i="22"/>
  <c r="J2138" i="22"/>
  <c r="P2138" i="22"/>
  <c r="Q2138" i="22"/>
  <c r="R2138" i="22"/>
  <c r="L2139" i="22"/>
  <c r="C2139" i="22"/>
  <c r="E2139" i="22"/>
  <c r="G2139" i="22"/>
  <c r="I2139" i="22"/>
  <c r="B2140" i="22"/>
  <c r="M2084" i="22"/>
  <c r="D2084" i="22"/>
  <c r="J2084" i="22"/>
  <c r="N2084" i="22" s="1"/>
  <c r="U2084" i="22" s="1"/>
  <c r="P2084" i="22"/>
  <c r="Q2084" i="22"/>
  <c r="R2084" i="22"/>
  <c r="L2085" i="22"/>
  <c r="C2085" i="22"/>
  <c r="E2085" i="22"/>
  <c r="G2085" i="22"/>
  <c r="I2085" i="22"/>
  <c r="B2086" i="22"/>
  <c r="D2030" i="22"/>
  <c r="J2030" i="22"/>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K1869" i="22" s="1"/>
  <c r="E1869" i="22"/>
  <c r="F1869" i="22"/>
  <c r="O1869" i="22" s="1"/>
  <c r="G1869" i="22"/>
  <c r="I1869" i="22"/>
  <c r="B1870" i="22"/>
  <c r="D1814" i="22"/>
  <c r="J1814" i="22"/>
  <c r="P1814" i="22"/>
  <c r="Q1814" i="22"/>
  <c r="R1814" i="22"/>
  <c r="L1815" i="22"/>
  <c r="C1815" i="22"/>
  <c r="K1815" i="22" s="1"/>
  <c r="E1815" i="22"/>
  <c r="F1815" i="22"/>
  <c r="O1815" i="22" s="1"/>
  <c r="G1815" i="22"/>
  <c r="I1815" i="22"/>
  <c r="B1816" i="22"/>
  <c r="M1760" i="22"/>
  <c r="D1760" i="22"/>
  <c r="J1760" i="22"/>
  <c r="N1760" i="22" s="1"/>
  <c r="U1760" i="22" s="1"/>
  <c r="P1760" i="22"/>
  <c r="Q1760" i="22"/>
  <c r="R1760" i="22"/>
  <c r="L1761" i="22"/>
  <c r="C1761" i="22"/>
  <c r="E1761" i="22"/>
  <c r="G1761" i="22"/>
  <c r="I1761" i="22"/>
  <c r="B1762" i="22"/>
  <c r="D1706" i="22"/>
  <c r="J1706" i="22"/>
  <c r="P1706" i="22"/>
  <c r="Q1706" i="22"/>
  <c r="R1706" i="22"/>
  <c r="L1707" i="22"/>
  <c r="C1707" i="22"/>
  <c r="E1707" i="22"/>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K1491" i="22" s="1"/>
  <c r="E1491" i="22"/>
  <c r="F1491" i="22"/>
  <c r="O1491" i="22" s="1"/>
  <c r="G1491" i="22"/>
  <c r="I1491" i="22"/>
  <c r="B1492" i="22"/>
  <c r="J1436" i="22"/>
  <c r="D1436" i="22"/>
  <c r="P1436" i="22"/>
  <c r="Q1436" i="22"/>
  <c r="R1436" i="22"/>
  <c r="L1437" i="22"/>
  <c r="I1437" i="22"/>
  <c r="B1438" i="22"/>
  <c r="C1437" i="22"/>
  <c r="E1437" i="22"/>
  <c r="G1437" i="22"/>
  <c r="M1382" i="22"/>
  <c r="P1382" i="22"/>
  <c r="Q1382" i="22"/>
  <c r="R1382" i="22"/>
  <c r="L1383" i="22"/>
  <c r="C1383" i="22"/>
  <c r="E1383" i="22"/>
  <c r="G1383" i="22"/>
  <c r="I1383" i="22"/>
  <c r="B1384" i="22"/>
  <c r="D1382" i="22"/>
  <c r="J1382" i="22"/>
  <c r="N1382" i="22" s="1"/>
  <c r="U1382" i="22" s="1"/>
  <c r="D1328" i="22"/>
  <c r="J1328" i="22"/>
  <c r="P1328" i="22"/>
  <c r="Q1328" i="22"/>
  <c r="R1328" i="22"/>
  <c r="L1329" i="22"/>
  <c r="C1329" i="22"/>
  <c r="K1329" i="22" s="1"/>
  <c r="E1329" i="22"/>
  <c r="F1329" i="22"/>
  <c r="O1329" i="22" s="1"/>
  <c r="G1329" i="22"/>
  <c r="I1329" i="22"/>
  <c r="B1330" i="22"/>
  <c r="D1274" i="22"/>
  <c r="J1274" i="22"/>
  <c r="P1274" i="22"/>
  <c r="Q1274" i="22"/>
  <c r="R1274" i="22"/>
  <c r="L1275" i="22"/>
  <c r="C1275" i="22"/>
  <c r="E1275" i="22"/>
  <c r="G1275" i="22"/>
  <c r="I1275" i="22"/>
  <c r="B1276" i="22"/>
  <c r="M1220" i="22"/>
  <c r="D1220" i="22"/>
  <c r="J1220" i="22"/>
  <c r="N1220" i="22" s="1"/>
  <c r="U1220" i="22" s="1"/>
  <c r="P1220" i="22"/>
  <c r="Q1220" i="22"/>
  <c r="R1220" i="22"/>
  <c r="L1221" i="22"/>
  <c r="C1221" i="22"/>
  <c r="E1221" i="22"/>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D896" i="22"/>
  <c r="J896" i="22"/>
  <c r="P896" i="22"/>
  <c r="Q896" i="22"/>
  <c r="R896" i="22"/>
  <c r="L897" i="22"/>
  <c r="C897" i="22"/>
  <c r="E897" i="22"/>
  <c r="G897" i="22"/>
  <c r="I897" i="22"/>
  <c r="B898"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E789" i="22"/>
  <c r="G789" i="22"/>
  <c r="I789" i="22"/>
  <c r="B790"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E627" i="22"/>
  <c r="G627" i="22"/>
  <c r="I627" i="22"/>
  <c r="B628" i="22"/>
  <c r="D572" i="22"/>
  <c r="J572" i="22"/>
  <c r="P572" i="22"/>
  <c r="Q572" i="22"/>
  <c r="R572" i="22"/>
  <c r="L573" i="22"/>
  <c r="C573" i="22"/>
  <c r="E573" i="22"/>
  <c r="G573" i="22"/>
  <c r="I573" i="22"/>
  <c r="B574" i="22"/>
  <c r="D518" i="22"/>
  <c r="J518" i="22"/>
  <c r="P518" i="22"/>
  <c r="Q518" i="22"/>
  <c r="R518" i="22"/>
  <c r="L519" i="22"/>
  <c r="C519" i="22"/>
  <c r="E519" i="22"/>
  <c r="G519" i="22"/>
  <c r="B520" i="22"/>
  <c r="I519" i="22"/>
  <c r="M464" i="22"/>
  <c r="D464" i="22"/>
  <c r="J464" i="22"/>
  <c r="N464" i="22" s="1"/>
  <c r="U464" i="22" s="1"/>
  <c r="P464" i="22"/>
  <c r="Q464" i="22"/>
  <c r="R464" i="22"/>
  <c r="L465" i="22"/>
  <c r="C465" i="22"/>
  <c r="E465" i="22"/>
  <c r="G465" i="22"/>
  <c r="B466" i="22"/>
  <c r="I465" i="22"/>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E303" i="22"/>
  <c r="G303" i="22"/>
  <c r="I303" i="22"/>
  <c r="B304" i="22"/>
  <c r="M248" i="22"/>
  <c r="D248" i="22"/>
  <c r="J248" i="22"/>
  <c r="N248" i="22" s="1"/>
  <c r="U248" i="22" s="1"/>
  <c r="P248" i="22"/>
  <c r="Q248" i="22"/>
  <c r="R248" i="22"/>
  <c r="L249" i="22"/>
  <c r="C249" i="22"/>
  <c r="E249" i="22"/>
  <c r="G249" i="22"/>
  <c r="I249" i="22"/>
  <c r="B250" i="22"/>
  <c r="M194" i="22"/>
  <c r="D194" i="22"/>
  <c r="J194" i="22"/>
  <c r="N194" i="22" s="1"/>
  <c r="U194" i="22" s="1"/>
  <c r="P194" i="22"/>
  <c r="Q194" i="22"/>
  <c r="R194" i="22"/>
  <c r="L195" i="22"/>
  <c r="C195" i="22"/>
  <c r="K195" i="22" s="1"/>
  <c r="E195" i="22"/>
  <c r="F195" i="22"/>
  <c r="O195" i="22" s="1"/>
  <c r="G195" i="22"/>
  <c r="I195" i="22"/>
  <c r="B196" i="22"/>
  <c r="D140" i="22"/>
  <c r="J140" i="22"/>
  <c r="P140" i="22"/>
  <c r="Q140" i="22"/>
  <c r="R140" i="22"/>
  <c r="L141" i="22"/>
  <c r="B142" i="22"/>
  <c r="C141" i="22"/>
  <c r="E141" i="22"/>
  <c r="G141" i="22"/>
  <c r="I141" i="22"/>
  <c r="D86" i="22"/>
  <c r="J86" i="22"/>
  <c r="P86" i="22"/>
  <c r="Q86" i="22"/>
  <c r="R86" i="22"/>
  <c r="L87" i="22"/>
  <c r="C87" i="22"/>
  <c r="E87" i="22"/>
  <c r="G87" i="22"/>
  <c r="I87" i="22"/>
  <c r="B88" i="22"/>
  <c r="O866" i="23"/>
  <c r="AE866" i="23" s="1"/>
  <c r="O867" i="23"/>
  <c r="AE867" i="23" s="1"/>
  <c r="O868" i="23"/>
  <c r="AE868" i="23" s="1"/>
  <c r="O869" i="23"/>
  <c r="AE869" i="23" s="1"/>
  <c r="O870" i="23"/>
  <c r="AE870" i="23" s="1"/>
  <c r="O1318" i="23"/>
  <c r="AE1318" i="23" s="1"/>
  <c r="O1314" i="23"/>
  <c r="AE1314" i="23" s="1"/>
  <c r="O1315" i="23"/>
  <c r="AE1315" i="23" s="1"/>
  <c r="O1316" i="23"/>
  <c r="AE1316" i="23" s="1"/>
  <c r="O1317" i="23"/>
  <c r="AE1317" i="23" s="1"/>
  <c r="O1374" i="23"/>
  <c r="AE1374" i="23" s="1"/>
  <c r="O1370" i="23"/>
  <c r="AE1370" i="23" s="1"/>
  <c r="O1371" i="23"/>
  <c r="AE1371" i="23" s="1"/>
  <c r="O1372" i="23"/>
  <c r="AE1372" i="23" s="1"/>
  <c r="O1373" i="23"/>
  <c r="AE1373" i="23" s="1"/>
  <c r="O256" i="23"/>
  <c r="AE256" i="23" s="1"/>
  <c r="O250" i="23"/>
  <c r="AE250" i="23" s="1"/>
  <c r="O251" i="23"/>
  <c r="AE251" i="23" s="1"/>
  <c r="O252" i="23"/>
  <c r="AE252" i="23" s="1"/>
  <c r="O253" i="23"/>
  <c r="AE253" i="23" s="1"/>
  <c r="O254" i="23"/>
  <c r="AE254" i="23" s="1"/>
  <c r="O1150" i="23"/>
  <c r="AE1150" i="23" s="1"/>
  <c r="O1152" i="23"/>
  <c r="AE1152" i="23" s="1"/>
  <c r="O1146" i="23"/>
  <c r="AE1146" i="23" s="1"/>
  <c r="O1147" i="23"/>
  <c r="AE1147" i="23" s="1"/>
  <c r="O1148" i="23"/>
  <c r="AE1148" i="23" s="1"/>
  <c r="O1149" i="23"/>
  <c r="AE1149" i="23" s="1"/>
  <c r="O704" i="23"/>
  <c r="AE704" i="23" s="1"/>
  <c r="O702" i="23"/>
  <c r="AE702" i="23" s="1"/>
  <c r="O698" i="23"/>
  <c r="AE698" i="23" s="1"/>
  <c r="O699" i="23"/>
  <c r="AE699" i="23" s="1"/>
  <c r="O700" i="23"/>
  <c r="AE700" i="23" s="1"/>
  <c r="O701" i="23"/>
  <c r="AE701" i="23" s="1"/>
  <c r="O478" i="23"/>
  <c r="AE478" i="23" s="1"/>
  <c r="O480" i="23"/>
  <c r="AE480" i="23" s="1"/>
  <c r="O474" i="23"/>
  <c r="AE474" i="23" s="1"/>
  <c r="O475" i="23"/>
  <c r="AE475" i="23" s="1"/>
  <c r="O476" i="23"/>
  <c r="AE476" i="23" s="1"/>
  <c r="O477" i="23"/>
  <c r="AE477" i="23" s="1"/>
  <c r="O1206" i="23"/>
  <c r="AE1206" i="23" s="1"/>
  <c r="O1208" i="23"/>
  <c r="AE1208" i="23" s="1"/>
  <c r="O1202" i="23"/>
  <c r="AE1202" i="23" s="1"/>
  <c r="O1203" i="23"/>
  <c r="AE1203" i="23" s="1"/>
  <c r="O1204" i="23"/>
  <c r="AE1204" i="23" s="1"/>
  <c r="O1205" i="23"/>
  <c r="AE1205" i="23" s="1"/>
  <c r="O422" i="23"/>
  <c r="AE422" i="23" s="1"/>
  <c r="O419" i="23"/>
  <c r="AE419" i="23" s="1"/>
  <c r="O421" i="23"/>
  <c r="AE421" i="23" s="1"/>
  <c r="O418" i="23"/>
  <c r="AE418" i="23" s="1"/>
  <c r="O420" i="23"/>
  <c r="AE420" i="23" s="1"/>
  <c r="O534" i="23"/>
  <c r="AE534" i="23" s="1"/>
  <c r="O531" i="23"/>
  <c r="AE531" i="23" s="1"/>
  <c r="O533" i="23"/>
  <c r="AE533" i="23" s="1"/>
  <c r="O530" i="23"/>
  <c r="AE530" i="23" s="1"/>
  <c r="O532" i="23"/>
  <c r="AE532" i="23" s="1"/>
  <c r="O536" i="23"/>
  <c r="AE536" i="23" s="1"/>
  <c r="O1262" i="23"/>
  <c r="AE1262" i="23" s="1"/>
  <c r="O1259" i="23"/>
  <c r="AE1259" i="23" s="1"/>
  <c r="O1261" i="23"/>
  <c r="AE1261" i="23" s="1"/>
  <c r="O1264" i="23"/>
  <c r="AE1264" i="23" s="1"/>
  <c r="O1258" i="23"/>
  <c r="AE1258" i="23" s="1"/>
  <c r="O1260" i="23"/>
  <c r="AE1260"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I946" i="23"/>
  <c r="B83" i="8"/>
  <c r="AI955" i="23"/>
  <c r="K83" i="8"/>
  <c r="AI957" i="23"/>
  <c r="M83" i="8"/>
  <c r="AI956" i="23"/>
  <c r="L83" i="8"/>
  <c r="AI954" i="23"/>
  <c r="J83" i="8"/>
  <c r="AI953" i="23"/>
  <c r="I83" i="8"/>
  <c r="AI952" i="23"/>
  <c r="H83" i="8"/>
  <c r="AI951" i="23"/>
  <c r="G83" i="8"/>
  <c r="AI950" i="23"/>
  <c r="F83" i="8"/>
  <c r="AI949" i="23"/>
  <c r="E83" i="8"/>
  <c r="AI948" i="23"/>
  <c r="D83" i="8"/>
  <c r="AI947" i="23"/>
  <c r="C83" i="8"/>
  <c r="AI901" i="23"/>
  <c r="M82" i="8"/>
  <c r="AI900" i="23"/>
  <c r="L82" i="8"/>
  <c r="AI891" i="23"/>
  <c r="C82" i="8"/>
  <c r="AI899" i="23"/>
  <c r="K82" i="8"/>
  <c r="AI898" i="23"/>
  <c r="J82" i="8"/>
  <c r="AI897" i="23"/>
  <c r="I82" i="8"/>
  <c r="AI896" i="23"/>
  <c r="H82" i="8"/>
  <c r="AI895" i="23"/>
  <c r="G82" i="8"/>
  <c r="AI894" i="23"/>
  <c r="F82" i="8"/>
  <c r="AI893" i="23"/>
  <c r="E82" i="8"/>
  <c r="AI892" i="23"/>
  <c r="D82" i="8"/>
  <c r="AI890" i="23"/>
  <c r="B82" i="8"/>
  <c r="AI1344" i="23"/>
  <c r="H90" i="8"/>
  <c r="AI1345" i="23"/>
  <c r="I90" i="8"/>
  <c r="AI1347" i="23"/>
  <c r="K90" i="8"/>
  <c r="AI1348" i="23"/>
  <c r="L90" i="8"/>
  <c r="G90" i="8"/>
  <c r="AI1343" i="23"/>
  <c r="AI1340" i="23"/>
  <c r="D90" i="8"/>
  <c r="AI1339" i="23"/>
  <c r="C90" i="8"/>
  <c r="AI1338" i="23"/>
  <c r="B90" i="8"/>
  <c r="AI1349" i="23"/>
  <c r="M90" i="8"/>
  <c r="AI1342" i="23"/>
  <c r="F90" i="8"/>
  <c r="AI1341" i="23"/>
  <c r="E90" i="8"/>
  <c r="AI1346" i="23"/>
  <c r="J90" i="8"/>
  <c r="AI1399" i="23"/>
  <c r="G91" i="8"/>
  <c r="K91" i="8"/>
  <c r="AI1403" i="23"/>
  <c r="AI1404" i="23"/>
  <c r="L91" i="8"/>
  <c r="AI1405" i="23"/>
  <c r="M91" i="8"/>
  <c r="D91" i="8"/>
  <c r="AI1396" i="23"/>
  <c r="AI1398" i="23"/>
  <c r="F91" i="8"/>
  <c r="AI1400" i="23"/>
  <c r="H91" i="8"/>
  <c r="I91" i="8"/>
  <c r="AI1401" i="23"/>
  <c r="C91" i="8"/>
  <c r="AI1395" i="23"/>
  <c r="AI1402" i="23"/>
  <c r="J91" i="8"/>
  <c r="B91" i="8"/>
  <c r="AI1394" i="23"/>
  <c r="AI1397" i="23"/>
  <c r="E91" i="8"/>
  <c r="AI839" i="23"/>
  <c r="G81" i="8"/>
  <c r="AI842" i="23"/>
  <c r="J81" i="8"/>
  <c r="AI840" i="23"/>
  <c r="H81" i="8"/>
  <c r="AI834" i="23"/>
  <c r="B81" i="8"/>
  <c r="AI837" i="23"/>
  <c r="E81" i="8"/>
  <c r="AI845" i="23"/>
  <c r="M81" i="8"/>
  <c r="AI844" i="23"/>
  <c r="L81" i="8"/>
  <c r="AI843" i="23"/>
  <c r="K81" i="8"/>
  <c r="AI836" i="23"/>
  <c r="D81" i="8"/>
  <c r="AI841" i="23"/>
  <c r="I81" i="8"/>
  <c r="AI838" i="23"/>
  <c r="F81" i="8"/>
  <c r="AI835" i="23"/>
  <c r="C81" i="8"/>
  <c r="AI284" i="23"/>
  <c r="L71" i="8"/>
  <c r="AI282" i="23"/>
  <c r="J71" i="8"/>
  <c r="AI281" i="23"/>
  <c r="I71" i="8"/>
  <c r="AI285" i="23"/>
  <c r="M71" i="8"/>
  <c r="AI283" i="23"/>
  <c r="K71" i="8"/>
  <c r="AI789" i="23"/>
  <c r="M80" i="8"/>
  <c r="AI788" i="23"/>
  <c r="L80" i="8"/>
  <c r="AI787" i="23"/>
  <c r="K80" i="8"/>
  <c r="AI786" i="23"/>
  <c r="J80" i="8"/>
  <c r="AI780" i="23"/>
  <c r="D80" i="8"/>
  <c r="AI784" i="23"/>
  <c r="H80" i="8"/>
  <c r="AI783" i="23"/>
  <c r="G80" i="8"/>
  <c r="AI782" i="23"/>
  <c r="F80" i="8"/>
  <c r="AI781" i="23"/>
  <c r="E80" i="8"/>
  <c r="AI785" i="23"/>
  <c r="I80" i="8"/>
  <c r="AI779" i="23"/>
  <c r="C80" i="8"/>
  <c r="AI778" i="23"/>
  <c r="B80" i="8"/>
  <c r="AI1517" i="23"/>
  <c r="M93" i="8"/>
  <c r="AI1507" i="23"/>
  <c r="C93" i="8"/>
  <c r="AI1506" i="23"/>
  <c r="B93" i="8"/>
  <c r="AI1508" i="23"/>
  <c r="D93" i="8"/>
  <c r="AI1512" i="23"/>
  <c r="H93" i="8"/>
  <c r="AI1511" i="23"/>
  <c r="G93" i="8"/>
  <c r="AI1516" i="23"/>
  <c r="L93" i="8"/>
  <c r="AI1510" i="23"/>
  <c r="F93" i="8"/>
  <c r="AI1509" i="23"/>
  <c r="E93" i="8"/>
  <c r="AI1514" i="23"/>
  <c r="J93" i="8"/>
  <c r="AI1513" i="23"/>
  <c r="I93" i="8"/>
  <c r="AI1515" i="23"/>
  <c r="K93" i="8"/>
  <c r="AI1564" i="23"/>
  <c r="D94" i="8"/>
  <c r="AI1565" i="23"/>
  <c r="E94" i="8"/>
  <c r="AI1567" i="23"/>
  <c r="G94" i="8"/>
  <c r="AI1568" i="23"/>
  <c r="H94" i="8"/>
  <c r="AI1566" i="23"/>
  <c r="F94" i="8"/>
  <c r="AI1569" i="23"/>
  <c r="I94" i="8"/>
  <c r="AI1570" i="23"/>
  <c r="J94" i="8"/>
  <c r="AI1571" i="23"/>
  <c r="K94" i="8"/>
  <c r="AI1572" i="23"/>
  <c r="L94" i="8"/>
  <c r="AI1573" i="23"/>
  <c r="M94" i="8"/>
  <c r="AI1562" i="23"/>
  <c r="B94" i="8"/>
  <c r="AI1563" i="23"/>
  <c r="C94" i="8"/>
  <c r="AI670" i="23"/>
  <c r="F78" i="8"/>
  <c r="AI673" i="23"/>
  <c r="I78" i="8"/>
  <c r="AI675" i="23"/>
  <c r="K78" i="8"/>
  <c r="AI677" i="23"/>
  <c r="M78" i="8"/>
  <c r="AI668" i="23"/>
  <c r="D78" i="8"/>
  <c r="AI666" i="23"/>
  <c r="B78" i="8"/>
  <c r="AI671" i="23"/>
  <c r="G78" i="8"/>
  <c r="AI676" i="23"/>
  <c r="L78" i="8"/>
  <c r="AI667" i="23"/>
  <c r="C78" i="8"/>
  <c r="AI674" i="23"/>
  <c r="J78" i="8"/>
  <c r="AI672" i="23"/>
  <c r="H78" i="8"/>
  <c r="AI669" i="23"/>
  <c r="E78" i="8"/>
  <c r="O310" i="23"/>
  <c r="AE310" i="23" s="1"/>
  <c r="O307" i="23"/>
  <c r="AE307" i="23" s="1"/>
  <c r="O306" i="23"/>
  <c r="AE306" i="23" s="1"/>
  <c r="O308" i="23"/>
  <c r="AE308" i="23" s="1"/>
  <c r="O309" i="23"/>
  <c r="AE309" i="23" s="1"/>
  <c r="AI336" i="23"/>
  <c r="H72" i="8"/>
  <c r="AI337" i="23"/>
  <c r="I72" i="8"/>
  <c r="AI338" i="23"/>
  <c r="J72" i="8"/>
  <c r="AI339" i="23"/>
  <c r="K72" i="8"/>
  <c r="AI341" i="23"/>
  <c r="M72" i="8"/>
  <c r="AI330" i="23"/>
  <c r="B72" i="8"/>
  <c r="AI331" i="23"/>
  <c r="C72" i="8"/>
  <c r="AI332" i="23"/>
  <c r="D72" i="8"/>
  <c r="AI333" i="23"/>
  <c r="E72" i="8"/>
  <c r="AI334" i="23"/>
  <c r="F72" i="8"/>
  <c r="AI335" i="23"/>
  <c r="G72" i="8"/>
  <c r="AI340" i="23"/>
  <c r="L72" i="8"/>
  <c r="AI506" i="23"/>
  <c r="J75" i="8"/>
  <c r="AI508" i="23"/>
  <c r="L75" i="8"/>
  <c r="AI509" i="23"/>
  <c r="M75" i="8"/>
  <c r="AI498" i="23"/>
  <c r="B75" i="8"/>
  <c r="AI499" i="23"/>
  <c r="C75" i="8"/>
  <c r="AI500" i="23"/>
  <c r="D75" i="8"/>
  <c r="AI501" i="23"/>
  <c r="E75" i="8"/>
  <c r="AI507" i="23"/>
  <c r="K75" i="8"/>
  <c r="AI502" i="23"/>
  <c r="F75" i="8"/>
  <c r="AI503" i="23"/>
  <c r="G75" i="8"/>
  <c r="AI504" i="23"/>
  <c r="H75" i="8"/>
  <c r="AI505" i="23"/>
  <c r="I75" i="8"/>
  <c r="AI610" i="23"/>
  <c r="B77" i="8"/>
  <c r="AI619" i="23"/>
  <c r="K77" i="8"/>
  <c r="AI612" i="23"/>
  <c r="D77" i="8"/>
  <c r="AI616" i="23"/>
  <c r="H77" i="8"/>
  <c r="AI621" i="23"/>
  <c r="M77" i="8"/>
  <c r="AI614" i="23"/>
  <c r="F77" i="8"/>
  <c r="AI611" i="23"/>
  <c r="C77" i="8"/>
  <c r="AI618" i="23"/>
  <c r="J77" i="8"/>
  <c r="AI620" i="23"/>
  <c r="L77" i="8"/>
  <c r="AI617" i="23"/>
  <c r="I77" i="8"/>
  <c r="AI615" i="23"/>
  <c r="G77" i="8"/>
  <c r="AI613" i="23"/>
  <c r="E77" i="8"/>
  <c r="AI1226" i="23"/>
  <c r="B88" i="8"/>
  <c r="AI1229" i="23"/>
  <c r="E88" i="8"/>
  <c r="AI1237" i="23"/>
  <c r="M88" i="8"/>
  <c r="AI1236" i="23"/>
  <c r="L88" i="8"/>
  <c r="AI1235" i="23"/>
  <c r="K88" i="8"/>
  <c r="AI1234" i="23"/>
  <c r="J88" i="8"/>
  <c r="AI1233" i="23"/>
  <c r="I88" i="8"/>
  <c r="AI1232" i="23"/>
  <c r="H88" i="8"/>
  <c r="AI1231" i="23"/>
  <c r="G88" i="8"/>
  <c r="AI1230" i="23"/>
  <c r="F88" i="8"/>
  <c r="AI1228" i="23"/>
  <c r="D88" i="8"/>
  <c r="AI1227" i="23"/>
  <c r="C88" i="8"/>
  <c r="AI1005" i="23"/>
  <c r="E84" i="8"/>
  <c r="AI1013" i="23"/>
  <c r="M84" i="8"/>
  <c r="AI1008" i="23"/>
  <c r="H84" i="8"/>
  <c r="AI1009" i="23"/>
  <c r="I84" i="8"/>
  <c r="AI1012" i="23"/>
  <c r="L84" i="8"/>
  <c r="AI1006" i="23"/>
  <c r="F84" i="8"/>
  <c r="AI1007" i="23"/>
  <c r="G84" i="8"/>
  <c r="AI1003" i="23"/>
  <c r="C84" i="8"/>
  <c r="AI1011" i="23"/>
  <c r="K84" i="8"/>
  <c r="AI1010" i="23"/>
  <c r="J84" i="8"/>
  <c r="AI1002" i="23"/>
  <c r="B84" i="8"/>
  <c r="AI1004" i="23"/>
  <c r="D84" i="8"/>
  <c r="AI447" i="23"/>
  <c r="G74" i="8"/>
  <c r="AI448" i="23"/>
  <c r="H74" i="8"/>
  <c r="AI449" i="23"/>
  <c r="I74" i="8"/>
  <c r="AI450" i="23"/>
  <c r="J74" i="8"/>
  <c r="AI451" i="23"/>
  <c r="K74" i="8"/>
  <c r="AI442" i="23"/>
  <c r="B74" i="8"/>
  <c r="AI443" i="23"/>
  <c r="C74" i="8"/>
  <c r="AI452" i="23"/>
  <c r="L74" i="8"/>
  <c r="AI453" i="23"/>
  <c r="M74" i="8"/>
  <c r="AI444" i="23"/>
  <c r="D74" i="8"/>
  <c r="AI445" i="23"/>
  <c r="E74" i="8"/>
  <c r="AI446" i="23"/>
  <c r="F74" i="8"/>
  <c r="AI392" i="23"/>
  <c r="H73" i="8"/>
  <c r="AI394" i="23"/>
  <c r="J73" i="8"/>
  <c r="AI396" i="23"/>
  <c r="L73" i="8"/>
  <c r="AI397" i="23"/>
  <c r="M73" i="8"/>
  <c r="AI387" i="23"/>
  <c r="C73" i="8"/>
  <c r="AI393" i="23"/>
  <c r="I73" i="8"/>
  <c r="AI391" i="23"/>
  <c r="G73" i="8"/>
  <c r="AI389" i="23"/>
  <c r="E73" i="8"/>
  <c r="AI388" i="23"/>
  <c r="D73" i="8"/>
  <c r="AI386" i="23"/>
  <c r="B73" i="8"/>
  <c r="AI390" i="23"/>
  <c r="F73" i="8"/>
  <c r="AI395" i="23"/>
  <c r="K73" i="8"/>
  <c r="AI1288" i="23"/>
  <c r="H89" i="8"/>
  <c r="AI1282" i="23"/>
  <c r="B89" i="8"/>
  <c r="AI1283" i="23"/>
  <c r="C89" i="8"/>
  <c r="AI1287" i="23"/>
  <c r="G89" i="8"/>
  <c r="AI1286" i="23"/>
  <c r="F89" i="8"/>
  <c r="AI1284" i="23"/>
  <c r="D89" i="8"/>
  <c r="AI1290" i="23"/>
  <c r="J89" i="8"/>
  <c r="AI1292" i="23"/>
  <c r="L89" i="8"/>
  <c r="AI1293" i="23"/>
  <c r="M89" i="8"/>
  <c r="AI1289" i="23"/>
  <c r="I89" i="8"/>
  <c r="AI1285" i="23"/>
  <c r="E89" i="8"/>
  <c r="AI1291" i="23"/>
  <c r="K89" i="8"/>
  <c r="M1488" i="23"/>
  <c r="N1488" i="23"/>
  <c r="AE1488" i="23" s="1"/>
  <c r="M1432" i="23"/>
  <c r="N1432" i="23"/>
  <c r="AE1432" i="23" s="1"/>
  <c r="M1376" i="23"/>
  <c r="N1376" i="23"/>
  <c r="M1320" i="23"/>
  <c r="N1320" i="23"/>
  <c r="M1096" i="23"/>
  <c r="N1096" i="23"/>
  <c r="M1040" i="23"/>
  <c r="N1040" i="23"/>
  <c r="M928" i="23"/>
  <c r="N928" i="23"/>
  <c r="M760" i="23"/>
  <c r="N760" i="23"/>
  <c r="AE760" i="23" s="1"/>
  <c r="M424" i="23"/>
  <c r="N424" i="23"/>
  <c r="M312" i="23"/>
  <c r="N312" i="23"/>
  <c r="M4165" i="22"/>
  <c r="N4165" i="22" s="1"/>
  <c r="U4165" i="22" s="1"/>
  <c r="M4111" i="22"/>
  <c r="N4111" i="22" s="1"/>
  <c r="U4111" i="22" s="1"/>
  <c r="M3595" i="22"/>
  <c r="N3595" i="22"/>
  <c r="U3595" i="22" s="1"/>
  <c r="M3541" i="22"/>
  <c r="N3541" i="22"/>
  <c r="U3541" i="22" s="1"/>
  <c r="M3433" i="22"/>
  <c r="N3433" i="22"/>
  <c r="U3433" i="22" s="1"/>
  <c r="M3325" i="22"/>
  <c r="N3325" i="22"/>
  <c r="U3325" i="22" s="1"/>
  <c r="M3271" i="22"/>
  <c r="N3271" i="22"/>
  <c r="U3271" i="22" s="1"/>
  <c r="M3217" i="22"/>
  <c r="N3217" i="22"/>
  <c r="U3217" i="22" s="1"/>
  <c r="M3055" i="22"/>
  <c r="N3055" i="22"/>
  <c r="U3055" i="22" s="1"/>
  <c r="M2677" i="22"/>
  <c r="N2677" i="22"/>
  <c r="U2677" i="22" s="1"/>
  <c r="M2623" i="22"/>
  <c r="N2623" i="22"/>
  <c r="U2623" i="22" s="1"/>
  <c r="N2299" i="22"/>
  <c r="U2299" i="22" s="1"/>
  <c r="M2299" i="22"/>
  <c r="M2245" i="22"/>
  <c r="N2245" i="22"/>
  <c r="U2245" i="22" s="1"/>
  <c r="M1489" i="22"/>
  <c r="N1489" i="22"/>
  <c r="U1489" i="22" s="1"/>
  <c r="M1435" i="22"/>
  <c r="N1435" i="22"/>
  <c r="U1435" i="22" s="1"/>
  <c r="M1381" i="22"/>
  <c r="N1381" i="22"/>
  <c r="U1381" i="22" s="1"/>
  <c r="M1111" i="22"/>
  <c r="N1111" i="22"/>
  <c r="U1111" i="22" s="1"/>
  <c r="M733" i="22"/>
  <c r="N733" i="22"/>
  <c r="U733" i="22" s="1"/>
  <c r="M679" i="22"/>
  <c r="N679" i="22"/>
  <c r="U679" i="22" s="1"/>
  <c r="M301" i="22"/>
  <c r="N301" i="22"/>
  <c r="U301" i="22" s="1"/>
  <c r="M247" i="22"/>
  <c r="N247" i="22"/>
  <c r="U247" i="22" s="1"/>
  <c r="N139" i="22"/>
  <c r="U139" i="22" s="1"/>
  <c r="M139" i="22"/>
  <c r="K1545" i="23"/>
  <c r="F1545" i="23"/>
  <c r="O1545" i="23" s="1"/>
  <c r="K1489" i="23"/>
  <c r="F1489" i="23"/>
  <c r="O1489" i="23" s="1"/>
  <c r="K1433" i="23"/>
  <c r="F1433" i="23"/>
  <c r="O1433" i="23" s="1"/>
  <c r="K1377" i="23"/>
  <c r="F1377" i="23"/>
  <c r="O1377" i="23" s="1"/>
  <c r="K1209" i="23"/>
  <c r="F1209" i="23"/>
  <c r="O1209" i="23" s="1"/>
  <c r="F1041" i="23"/>
  <c r="O1041" i="23" s="1"/>
  <c r="K1041" i="23"/>
  <c r="K313" i="23"/>
  <c r="F313" i="23"/>
  <c r="O313" i="23" s="1"/>
  <c r="F4736" i="22"/>
  <c r="K4736" i="22"/>
  <c r="T4680" i="22"/>
  <c r="K4574" i="22"/>
  <c r="F4574" i="22"/>
  <c r="F4058" i="22"/>
  <c r="O4058" i="22" s="1"/>
  <c r="K4058" i="22"/>
  <c r="K3650" i="22"/>
  <c r="F3650" i="22"/>
  <c r="O3650" i="22" s="1"/>
  <c r="F3542" i="22"/>
  <c r="O3542" i="22" s="1"/>
  <c r="K3542" i="22"/>
  <c r="K3380" i="22"/>
  <c r="F3380" i="22"/>
  <c r="O3380" i="22" s="1"/>
  <c r="F3326" i="22"/>
  <c r="O3326" i="22" s="1"/>
  <c r="K3326" i="22"/>
  <c r="F3272" i="22"/>
  <c r="O3272" i="22" s="1"/>
  <c r="K3272" i="22"/>
  <c r="F2894" i="22"/>
  <c r="O2894" i="22" s="1"/>
  <c r="K2894" i="22"/>
  <c r="K2840" i="22"/>
  <c r="F2840" i="22"/>
  <c r="O2840" i="22" s="1"/>
  <c r="K2624" i="22"/>
  <c r="F2624" i="22"/>
  <c r="O2624" i="22" s="1"/>
  <c r="F2570" i="22"/>
  <c r="O2570" i="22" s="1"/>
  <c r="K2570" i="22"/>
  <c r="F2516" i="22"/>
  <c r="O2516" i="22" s="1"/>
  <c r="K2516" i="22"/>
  <c r="K2462" i="22"/>
  <c r="F2462" i="22"/>
  <c r="O2462" i="22" s="1"/>
  <c r="K2300" i="22"/>
  <c r="F2300" i="22"/>
  <c r="O2300" i="22" s="1"/>
  <c r="F2138" i="22"/>
  <c r="O2138" i="22" s="1"/>
  <c r="K2138" i="22"/>
  <c r="F2030" i="22"/>
  <c r="O2030" i="22" s="1"/>
  <c r="K2030" i="22"/>
  <c r="F1814" i="22"/>
  <c r="O1814" i="22" s="1"/>
  <c r="K1814" i="22"/>
  <c r="F1706" i="22"/>
  <c r="O1706" i="22" s="1"/>
  <c r="K1706" i="22"/>
  <c r="F1436" i="22"/>
  <c r="O1436" i="22" s="1"/>
  <c r="K1436" i="22"/>
  <c r="F1328" i="22"/>
  <c r="O1328" i="22" s="1"/>
  <c r="K1328" i="22"/>
  <c r="F1274" i="22"/>
  <c r="O1274" i="22" s="1"/>
  <c r="K1274" i="22"/>
  <c r="K896" i="22"/>
  <c r="F896" i="22"/>
  <c r="O896" i="22" s="1"/>
  <c r="K572" i="22"/>
  <c r="F572" i="22"/>
  <c r="O572" i="22" s="1"/>
  <c r="F518" i="22"/>
  <c r="O518" i="22" s="1"/>
  <c r="K518" i="22"/>
  <c r="K140" i="22"/>
  <c r="F140" i="22"/>
  <c r="O140" i="22" s="1"/>
  <c r="K86" i="22"/>
  <c r="F86" i="22"/>
  <c r="O86" i="22" s="1"/>
  <c r="F23" i="18"/>
  <c r="G23" i="18"/>
  <c r="H23" i="18"/>
  <c r="AE1601" i="23" l="1"/>
  <c r="AE873" i="23"/>
  <c r="AE817" i="23"/>
  <c r="AE481" i="23"/>
  <c r="AE1376" i="23"/>
  <c r="AE1096" i="23"/>
  <c r="AE928" i="23"/>
  <c r="AE1040" i="23"/>
  <c r="AE424" i="23"/>
  <c r="AE1320" i="23"/>
  <c r="AE312" i="23"/>
  <c r="K1546" i="23"/>
  <c r="F1546" i="23"/>
  <c r="O1546" i="23" s="1"/>
  <c r="K930" i="23"/>
  <c r="F930" i="23"/>
  <c r="O930" i="23" s="1"/>
  <c r="K706" i="23"/>
  <c r="F706" i="23"/>
  <c r="O706" i="23" s="1"/>
  <c r="F594" i="23"/>
  <c r="O594" i="23" s="1"/>
  <c r="K594" i="23"/>
  <c r="K4521" i="22"/>
  <c r="F4521" i="22"/>
  <c r="K4221" i="22"/>
  <c r="F4221" i="22"/>
  <c r="O4221" i="22" s="1"/>
  <c r="K4167" i="22"/>
  <c r="F4167" i="22"/>
  <c r="O4167" i="22" s="1"/>
  <c r="K3597" i="22"/>
  <c r="F3597" i="22"/>
  <c r="O3597" i="22" s="1"/>
  <c r="K3273" i="22"/>
  <c r="F3273" i="22"/>
  <c r="O3273" i="22" s="1"/>
  <c r="K3219" i="22"/>
  <c r="F3219" i="22"/>
  <c r="O3219" i="22" s="1"/>
  <c r="K2463" i="22"/>
  <c r="F2463" i="22"/>
  <c r="O2463" i="22" s="1"/>
  <c r="K2409" i="22"/>
  <c r="F2409" i="22"/>
  <c r="O2409" i="22" s="1"/>
  <c r="K2193" i="22"/>
  <c r="F2193" i="22"/>
  <c r="O2193" i="22" s="1"/>
  <c r="K2139" i="22"/>
  <c r="F2139" i="22"/>
  <c r="O2139" i="22" s="1"/>
  <c r="K2085" i="22"/>
  <c r="F2085" i="22"/>
  <c r="O2085" i="22" s="1"/>
  <c r="K1761" i="22"/>
  <c r="F1761" i="22"/>
  <c r="O1761" i="22" s="1"/>
  <c r="K1707" i="22"/>
  <c r="F1707" i="22"/>
  <c r="O1707" i="22" s="1"/>
  <c r="K951" i="22"/>
  <c r="F951" i="22"/>
  <c r="O951" i="22" s="1"/>
  <c r="K627" i="22"/>
  <c r="F627" i="22"/>
  <c r="O627" i="22" s="1"/>
  <c r="K303" i="22"/>
  <c r="F303" i="22"/>
  <c r="O303" i="22" s="1"/>
  <c r="K249" i="22"/>
  <c r="F249" i="22"/>
  <c r="O249"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L1491" i="23"/>
  <c r="I1491" i="23"/>
  <c r="B1492" i="23"/>
  <c r="C1491" i="23"/>
  <c r="E1491" i="23"/>
  <c r="G1491" i="23"/>
  <c r="J1490" i="23"/>
  <c r="D1490" i="23"/>
  <c r="P1490" i="23"/>
  <c r="Q1490" i="23"/>
  <c r="R1490" i="23"/>
  <c r="J1434" i="23"/>
  <c r="D1434" i="23"/>
  <c r="P1434" i="23"/>
  <c r="Q1434" i="23"/>
  <c r="R1434" i="23"/>
  <c r="L1435" i="23"/>
  <c r="I1435" i="23"/>
  <c r="C1435" i="23"/>
  <c r="E1435" i="23"/>
  <c r="G1435" i="23"/>
  <c r="B1436" i="23"/>
  <c r="P1378" i="23"/>
  <c r="Q1378" i="23"/>
  <c r="R1378" i="23"/>
  <c r="J1378" i="23"/>
  <c r="D1378" i="23"/>
  <c r="L1379" i="23"/>
  <c r="I1379" i="23"/>
  <c r="B1380" i="23"/>
  <c r="C1379" i="23"/>
  <c r="E1379" i="23"/>
  <c r="G1379"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J1210" i="23"/>
  <c r="D1210" i="23"/>
  <c r="P1210" i="23"/>
  <c r="Q1210" i="23"/>
  <c r="R1210" i="23"/>
  <c r="L1211" i="23"/>
  <c r="I1211" i="23"/>
  <c r="C1211" i="23"/>
  <c r="E1211" i="23"/>
  <c r="G1211" i="23"/>
  <c r="B1212" i="23"/>
  <c r="J1154" i="23"/>
  <c r="D1154" i="23"/>
  <c r="P1154" i="23"/>
  <c r="Q1154" i="23"/>
  <c r="R1154" i="23"/>
  <c r="L1155" i="23"/>
  <c r="I1155" i="23"/>
  <c r="C1155" i="23"/>
  <c r="E1155" i="23"/>
  <c r="G1155" i="23"/>
  <c r="B1156" i="23"/>
  <c r="P1098" i="23"/>
  <c r="Q1098" i="23"/>
  <c r="R1098" i="23"/>
  <c r="J1098" i="23"/>
  <c r="D1098" i="23"/>
  <c r="L1099" i="23"/>
  <c r="I1099" i="23"/>
  <c r="B1100" i="23"/>
  <c r="C1099" i="23"/>
  <c r="E1099" i="23"/>
  <c r="G1099" i="23"/>
  <c r="J1042" i="23"/>
  <c r="D1042" i="23"/>
  <c r="P1042" i="23"/>
  <c r="Q1042" i="23"/>
  <c r="R1042" i="23"/>
  <c r="L1043" i="23"/>
  <c r="I1043" i="23"/>
  <c r="B1044" i="23"/>
  <c r="C1043" i="23"/>
  <c r="E1043" i="23"/>
  <c r="G1043" i="23"/>
  <c r="J986" i="23"/>
  <c r="D986" i="23"/>
  <c r="P986" i="23"/>
  <c r="Q986" i="23"/>
  <c r="R986" i="23"/>
  <c r="L987" i="23"/>
  <c r="I987" i="23"/>
  <c r="C987" i="23"/>
  <c r="E987" i="23"/>
  <c r="G987" i="23"/>
  <c r="B988" i="23"/>
  <c r="M930" i="23"/>
  <c r="J930" i="23"/>
  <c r="N930" i="23" s="1"/>
  <c r="AE930" i="23" s="1"/>
  <c r="D930" i="23"/>
  <c r="P930" i="23"/>
  <c r="Q930" i="23"/>
  <c r="R930" i="23"/>
  <c r="L931" i="23"/>
  <c r="I931" i="23"/>
  <c r="C931" i="23"/>
  <c r="E931" i="23"/>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E763" i="23"/>
  <c r="G763" i="23"/>
  <c r="B764" i="23"/>
  <c r="M706" i="23"/>
  <c r="J706" i="23"/>
  <c r="N706" i="23" s="1"/>
  <c r="AE706" i="23" s="1"/>
  <c r="D706" i="23"/>
  <c r="Q706" i="23"/>
  <c r="P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E483" i="23"/>
  <c r="G483" i="23"/>
  <c r="B484" i="23"/>
  <c r="M426" i="23"/>
  <c r="J426" i="23"/>
  <c r="N426" i="23" s="1"/>
  <c r="AE426" i="23" s="1"/>
  <c r="D426" i="23"/>
  <c r="P426" i="23"/>
  <c r="Q426" i="23"/>
  <c r="R426" i="23"/>
  <c r="L427" i="23"/>
  <c r="I427" i="23"/>
  <c r="C427" i="23"/>
  <c r="K427" i="23" s="1"/>
  <c r="E427" i="23"/>
  <c r="F427" i="23"/>
  <c r="O427" i="23" s="1"/>
  <c r="G427" i="23"/>
  <c r="B428" i="23"/>
  <c r="J370" i="23"/>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D4737" i="22"/>
  <c r="J4737" i="22"/>
  <c r="N4737" i="22" s="1"/>
  <c r="P4737" i="22"/>
  <c r="Q4737" i="22"/>
  <c r="R4737" i="22"/>
  <c r="M4737" i="22"/>
  <c r="E4738" i="22"/>
  <c r="G4738" i="22"/>
  <c r="I4738" i="22"/>
  <c r="L4738" i="22"/>
  <c r="B4739" i="22"/>
  <c r="C4738" i="22"/>
  <c r="F4738" i="22" s="1"/>
  <c r="K4738" i="22"/>
  <c r="U4682" i="22"/>
  <c r="S4682" i="22"/>
  <c r="D4683" i="22"/>
  <c r="J4683" i="22"/>
  <c r="P4683" i="22"/>
  <c r="Q4683" i="22"/>
  <c r="R4683" i="22"/>
  <c r="L4684" i="22"/>
  <c r="C4684" i="22"/>
  <c r="E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R4521" i="22"/>
  <c r="Q4521" i="22"/>
  <c r="L4522" i="22"/>
  <c r="C4522" i="22"/>
  <c r="K4522" i="22" s="1"/>
  <c r="E4522" i="22"/>
  <c r="F4522" i="22"/>
  <c r="G4522" i="22"/>
  <c r="I4522" i="22"/>
  <c r="B4523" i="22"/>
  <c r="M4221" i="22"/>
  <c r="D4221" i="22"/>
  <c r="J4221" i="22"/>
  <c r="N4221" i="22" s="1"/>
  <c r="U4221" i="22" s="1"/>
  <c r="P4221" i="22"/>
  <c r="R4221" i="22"/>
  <c r="Q4221" i="22"/>
  <c r="L4222" i="22"/>
  <c r="C4222" i="22"/>
  <c r="K4222" i="22" s="1"/>
  <c r="E4222" i="22"/>
  <c r="F4222" i="22"/>
  <c r="O4222" i="22" s="1"/>
  <c r="G4222" i="22"/>
  <c r="I4222" i="22"/>
  <c r="B4223" i="22"/>
  <c r="M4167" i="22"/>
  <c r="D4167" i="22"/>
  <c r="J4167" i="22"/>
  <c r="N4167" i="22" s="1"/>
  <c r="U4167" i="22" s="1"/>
  <c r="P4167" i="22"/>
  <c r="Q4167" i="22"/>
  <c r="R4167" i="22"/>
  <c r="L4168" i="22"/>
  <c r="C4168" i="22"/>
  <c r="E4168" i="22"/>
  <c r="G4168" i="22"/>
  <c r="I4168" i="22"/>
  <c r="B4169" i="22"/>
  <c r="D4113" i="22"/>
  <c r="J4113" i="22"/>
  <c r="N4113" i="22" s="1"/>
  <c r="U4113" i="22" s="1"/>
  <c r="P4113" i="22"/>
  <c r="Q4113" i="22"/>
  <c r="R4113" i="22"/>
  <c r="M4113" i="22"/>
  <c r="C4114" i="22"/>
  <c r="E4114" i="22"/>
  <c r="G4114" i="22"/>
  <c r="I4114" i="22"/>
  <c r="L4114" i="22"/>
  <c r="B4115" i="22"/>
  <c r="D4059" i="22"/>
  <c r="J4059" i="22"/>
  <c r="P4059" i="22"/>
  <c r="Q4059" i="22"/>
  <c r="R4059" i="22"/>
  <c r="M4059" i="22"/>
  <c r="N4059" i="22"/>
  <c r="U4059" i="22" s="1"/>
  <c r="E4060" i="22"/>
  <c r="G4060" i="22"/>
  <c r="L4060" i="22"/>
  <c r="C4060" i="22"/>
  <c r="F4060" i="22"/>
  <c r="O4060" i="22" s="1"/>
  <c r="I4060" i="22"/>
  <c r="K4060" i="22"/>
  <c r="B4061" i="22"/>
  <c r="D3759" i="22"/>
  <c r="J3759" i="22"/>
  <c r="P3759" i="22"/>
  <c r="Q3759" i="22"/>
  <c r="R3759" i="22"/>
  <c r="L3760" i="22"/>
  <c r="C3760" i="22"/>
  <c r="K3760" i="22" s="1"/>
  <c r="E3760" i="22"/>
  <c r="F3760" i="22"/>
  <c r="O3760" i="22" s="1"/>
  <c r="G3760" i="22"/>
  <c r="I3760" i="22"/>
  <c r="B3761" i="22"/>
  <c r="D3705" i="22"/>
  <c r="J3705" i="22"/>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E3652" i="22"/>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P3543" i="22"/>
  <c r="Q3543" i="22"/>
  <c r="R3543" i="22"/>
  <c r="J3543" i="22"/>
  <c r="N3543" i="22" s="1"/>
  <c r="U3543" i="22" s="1"/>
  <c r="D3543" i="22"/>
  <c r="L3544" i="22"/>
  <c r="I3544" i="22"/>
  <c r="B3545" i="22"/>
  <c r="C3544" i="22"/>
  <c r="E3544" i="22"/>
  <c r="G3544"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D3381" i="22"/>
  <c r="J3381" i="22"/>
  <c r="P3381" i="22"/>
  <c r="Q3381" i="22"/>
  <c r="R3381" i="22"/>
  <c r="L3382" i="22"/>
  <c r="C3382" i="22"/>
  <c r="E3382" i="22"/>
  <c r="G3382" i="22"/>
  <c r="I3382" i="22"/>
  <c r="B3383" i="22"/>
  <c r="M3327" i="22"/>
  <c r="D3327" i="22"/>
  <c r="J3327" i="22"/>
  <c r="N3327" i="22" s="1"/>
  <c r="U3327" i="22" s="1"/>
  <c r="P3327" i="22"/>
  <c r="Q3327" i="22"/>
  <c r="R3327" i="22"/>
  <c r="L3328" i="22"/>
  <c r="C3328" i="22"/>
  <c r="E3328" i="22"/>
  <c r="G3328" i="22"/>
  <c r="I3328" i="22"/>
  <c r="B3329" i="22"/>
  <c r="M3273" i="22"/>
  <c r="P3273" i="22"/>
  <c r="Q3273" i="22"/>
  <c r="R3273" i="22"/>
  <c r="L3274" i="22"/>
  <c r="C3274" i="22"/>
  <c r="E3274" i="22"/>
  <c r="I3274" i="22"/>
  <c r="B3275" i="22"/>
  <c r="G3274" i="22"/>
  <c r="D3273" i="22"/>
  <c r="J3273" i="22"/>
  <c r="N3273" i="22" s="1"/>
  <c r="U3273" i="22" s="1"/>
  <c r="M3219" i="22"/>
  <c r="P3219" i="22"/>
  <c r="Q3219" i="22"/>
  <c r="R3219" i="22"/>
  <c r="D3219" i="22"/>
  <c r="J3219" i="22"/>
  <c r="N3219" i="22" s="1"/>
  <c r="U3219" i="22" s="1"/>
  <c r="L3220" i="22"/>
  <c r="C3220" i="22"/>
  <c r="K3220" i="22" s="1"/>
  <c r="F3220" i="22"/>
  <c r="O3220" i="22" s="1"/>
  <c r="B3221" i="22"/>
  <c r="E3220" i="22"/>
  <c r="G3220" i="22"/>
  <c r="I3220"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E3058" i="22"/>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P2679" i="22"/>
  <c r="Q2679" i="22"/>
  <c r="R2679" i="22"/>
  <c r="L2680" i="22"/>
  <c r="G2680" i="22"/>
  <c r="I2680" i="22"/>
  <c r="B2681" i="22"/>
  <c r="C2680" i="22"/>
  <c r="E2680" i="22"/>
  <c r="D2679" i="22"/>
  <c r="J2679" i="22"/>
  <c r="L2626" i="22"/>
  <c r="G2626" i="22"/>
  <c r="I2626" i="22"/>
  <c r="B2627" i="22"/>
  <c r="C2626" i="22"/>
  <c r="K2626" i="22" s="1"/>
  <c r="E2626" i="22"/>
  <c r="F2626" i="22"/>
  <c r="O2626" i="22" s="1"/>
  <c r="D2625" i="22"/>
  <c r="J2625" i="22"/>
  <c r="P2625" i="22"/>
  <c r="Q2625" i="22"/>
  <c r="R2625" i="22"/>
  <c r="M2571" i="22"/>
  <c r="D2571" i="22"/>
  <c r="J2571" i="22"/>
  <c r="N2571" i="22" s="1"/>
  <c r="U2571" i="22" s="1"/>
  <c r="P2571" i="22"/>
  <c r="Q2571" i="22"/>
  <c r="R2571" i="22"/>
  <c r="L2572" i="22"/>
  <c r="C2572" i="22"/>
  <c r="E2572" i="22"/>
  <c r="G2572" i="22"/>
  <c r="I2572" i="22"/>
  <c r="B2573" i="22"/>
  <c r="M2517" i="22"/>
  <c r="D2517" i="22"/>
  <c r="J2517" i="22"/>
  <c r="N2517" i="22" s="1"/>
  <c r="U2517" i="22" s="1"/>
  <c r="P2517" i="22"/>
  <c r="Q2517" i="22"/>
  <c r="R2517" i="22"/>
  <c r="L2518" i="22"/>
  <c r="C2518" i="22"/>
  <c r="E2518" i="22"/>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P2301" i="22"/>
  <c r="Q2301" i="22"/>
  <c r="R2301" i="22"/>
  <c r="D2301" i="22"/>
  <c r="J2301" i="22"/>
  <c r="N2301" i="22" s="1"/>
  <c r="U2301" i="22" s="1"/>
  <c r="L2302" i="22"/>
  <c r="I2302" i="22"/>
  <c r="C2302" i="22"/>
  <c r="K2302" i="22" s="1"/>
  <c r="E2302" i="22"/>
  <c r="G2302" i="22"/>
  <c r="F2302" i="22"/>
  <c r="O2302" i="22" s="1"/>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D1977" i="22"/>
  <c r="J1977" i="22"/>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E1762" i="22"/>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K1654" i="22" s="1"/>
  <c r="E1654" i="22"/>
  <c r="F1654" i="22"/>
  <c r="O1654" i="22" s="1"/>
  <c r="G1654" i="22"/>
  <c r="I1654" i="22"/>
  <c r="B1655" i="22"/>
  <c r="D1599" i="22"/>
  <c r="J1599" i="22"/>
  <c r="P1599" i="22"/>
  <c r="Q1599" i="22"/>
  <c r="R1599" i="22"/>
  <c r="L1600" i="22"/>
  <c r="C1600" i="22"/>
  <c r="K1600" i="22" s="1"/>
  <c r="E1600" i="22"/>
  <c r="F1600" i="22"/>
  <c r="O1600" i="22" s="1"/>
  <c r="G1600" i="22"/>
  <c r="I1600" i="22"/>
  <c r="B1601" i="22"/>
  <c r="D1545" i="22"/>
  <c r="J1545" i="22"/>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E1492" i="22"/>
  <c r="G1492" i="22"/>
  <c r="I1492" i="22"/>
  <c r="B1493" i="22"/>
  <c r="L1438" i="22"/>
  <c r="C1438" i="22"/>
  <c r="E1438" i="22"/>
  <c r="G1438" i="22"/>
  <c r="I1438" i="22"/>
  <c r="B1439" i="22"/>
  <c r="D1437" i="22"/>
  <c r="J1437" i="22"/>
  <c r="P1437" i="22"/>
  <c r="Q1437" i="22"/>
  <c r="R1437" i="22"/>
  <c r="D1383" i="22"/>
  <c r="J1383" i="22"/>
  <c r="P1383" i="22"/>
  <c r="Q1383" i="22"/>
  <c r="R1383" i="22"/>
  <c r="L1384" i="22"/>
  <c r="G1384" i="22"/>
  <c r="C1384" i="22"/>
  <c r="K1384" i="22" s="1"/>
  <c r="E1384" i="22"/>
  <c r="F1384" i="22"/>
  <c r="O1384" i="22" s="1"/>
  <c r="I1384" i="22"/>
  <c r="B1385" i="22"/>
  <c r="M1329" i="22"/>
  <c r="D1329" i="22"/>
  <c r="J1329" i="22"/>
  <c r="N1329" i="22" s="1"/>
  <c r="U1329" i="22" s="1"/>
  <c r="P1329" i="22"/>
  <c r="Q1329" i="22"/>
  <c r="R1329" i="22"/>
  <c r="L1330" i="22"/>
  <c r="C1330" i="22"/>
  <c r="K1330" i="22" s="1"/>
  <c r="E1330" i="22"/>
  <c r="F1330" i="22"/>
  <c r="O1330" i="22" s="1"/>
  <c r="G1330" i="22"/>
  <c r="I1330" i="22"/>
  <c r="B1331" i="22"/>
  <c r="D1275" i="22"/>
  <c r="J1275" i="22"/>
  <c r="P1275" i="22"/>
  <c r="Q1275" i="22"/>
  <c r="R1275" i="22"/>
  <c r="L1276" i="22"/>
  <c r="C1276" i="22"/>
  <c r="K1276" i="22" s="1"/>
  <c r="E1276" i="22"/>
  <c r="F1276" i="22"/>
  <c r="O1276" i="22" s="1"/>
  <c r="G1276" i="22"/>
  <c r="I1276" i="22"/>
  <c r="B1277" i="22"/>
  <c r="D1221" i="22"/>
  <c r="J1221" i="22"/>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D897" i="22"/>
  <c r="J897" i="22"/>
  <c r="P897" i="22"/>
  <c r="Q897" i="22"/>
  <c r="R897" i="22"/>
  <c r="L898" i="22"/>
  <c r="C898" i="22"/>
  <c r="K898" i="22" s="1"/>
  <c r="E898" i="22"/>
  <c r="F898" i="22"/>
  <c r="O898" i="22" s="1"/>
  <c r="G898" i="22"/>
  <c r="I898" i="22"/>
  <c r="B899" i="22"/>
  <c r="D843" i="22"/>
  <c r="J843" i="22"/>
  <c r="P843" i="22"/>
  <c r="Q843" i="22"/>
  <c r="R843" i="22"/>
  <c r="L844" i="22"/>
  <c r="C844" i="22"/>
  <c r="K844" i="22" s="1"/>
  <c r="E844" i="22"/>
  <c r="F844" i="22"/>
  <c r="O844" i="22" s="1"/>
  <c r="G844" i="22"/>
  <c r="I844" i="22"/>
  <c r="B845" i="22"/>
  <c r="D789" i="22"/>
  <c r="J789" i="22"/>
  <c r="P789" i="22"/>
  <c r="Q789" i="22"/>
  <c r="R789" i="22"/>
  <c r="L790" i="22"/>
  <c r="C790" i="22"/>
  <c r="E790" i="22"/>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D573" i="22"/>
  <c r="J573" i="22"/>
  <c r="Q573" i="22"/>
  <c r="P573" i="22"/>
  <c r="R573" i="22"/>
  <c r="L574" i="22"/>
  <c r="C574" i="22"/>
  <c r="K574" i="22" s="1"/>
  <c r="E574" i="22"/>
  <c r="F574" i="22"/>
  <c r="O574" i="22" s="1"/>
  <c r="G574" i="22"/>
  <c r="I574" i="22"/>
  <c r="B575" i="22"/>
  <c r="D519" i="22"/>
  <c r="J519" i="22"/>
  <c r="P519" i="22"/>
  <c r="Q519" i="22"/>
  <c r="R519" i="22"/>
  <c r="L520" i="22"/>
  <c r="C520" i="22"/>
  <c r="E520" i="22"/>
  <c r="G520" i="22"/>
  <c r="B521" i="22"/>
  <c r="I520" i="22"/>
  <c r="D465" i="22"/>
  <c r="J465" i="22"/>
  <c r="P465" i="22"/>
  <c r="Q465" i="22"/>
  <c r="R465" i="22"/>
  <c r="L466" i="22"/>
  <c r="C466" i="22"/>
  <c r="K466" i="22" s="1"/>
  <c r="E466" i="22"/>
  <c r="F466" i="22"/>
  <c r="O466" i="22" s="1"/>
  <c r="G466" i="22"/>
  <c r="B467" i="22"/>
  <c r="I466" i="22"/>
  <c r="M411" i="22"/>
  <c r="D411" i="22"/>
  <c r="J411" i="22"/>
  <c r="N411" i="22" s="1"/>
  <c r="U411" i="22" s="1"/>
  <c r="P411" i="22"/>
  <c r="Q411" i="22"/>
  <c r="R411" i="22"/>
  <c r="L412" i="22"/>
  <c r="C412" i="22"/>
  <c r="K412" i="22" s="1"/>
  <c r="E412" i="22"/>
  <c r="F412" i="22"/>
  <c r="O412" i="22" s="1"/>
  <c r="G412" i="22"/>
  <c r="B413" i="22"/>
  <c r="I412" i="22"/>
  <c r="M357" i="22"/>
  <c r="D357" i="22"/>
  <c r="J357" i="22"/>
  <c r="N357" i="22" s="1"/>
  <c r="U357" i="22" s="1"/>
  <c r="P357" i="22"/>
  <c r="Q357" i="22"/>
  <c r="R357" i="22"/>
  <c r="L358" i="22"/>
  <c r="C358" i="22"/>
  <c r="E358" i="22"/>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L142" i="22"/>
  <c r="E142" i="22"/>
  <c r="B143" i="22"/>
  <c r="C142" i="22"/>
  <c r="G142" i="22"/>
  <c r="I142" i="22"/>
  <c r="D141" i="22"/>
  <c r="J141" i="22"/>
  <c r="P141" i="22"/>
  <c r="Q141" i="22"/>
  <c r="R141" i="22"/>
  <c r="D87" i="22"/>
  <c r="J87" i="22"/>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M1433" i="23"/>
  <c r="N1433" i="23"/>
  <c r="AE1433" i="23" s="1"/>
  <c r="M1377" i="23"/>
  <c r="N1377" i="23"/>
  <c r="AE1377" i="23" s="1"/>
  <c r="M1209" i="23"/>
  <c r="N1209" i="23"/>
  <c r="AE1209" i="23" s="1"/>
  <c r="N1041" i="23"/>
  <c r="AE1041" i="23" s="1"/>
  <c r="M1041" i="23"/>
  <c r="M313" i="23"/>
  <c r="N313" i="23"/>
  <c r="AE313" i="23" s="1"/>
  <c r="N4736" i="22"/>
  <c r="M4736" i="22"/>
  <c r="M4574" i="22"/>
  <c r="N4574" i="22"/>
  <c r="M4058" i="22"/>
  <c r="N4058" i="22"/>
  <c r="U4058" i="22" s="1"/>
  <c r="M3650" i="22"/>
  <c r="N3650" i="22"/>
  <c r="U3650" i="22" s="1"/>
  <c r="M3542" i="22"/>
  <c r="N3542" i="22"/>
  <c r="U3542" i="22" s="1"/>
  <c r="M3380" i="22"/>
  <c r="N3380" i="22"/>
  <c r="U3380" i="22" s="1"/>
  <c r="M3326" i="22"/>
  <c r="N3326" i="22"/>
  <c r="U3326" i="22" s="1"/>
  <c r="N3272" i="22"/>
  <c r="U3272" i="22" s="1"/>
  <c r="M3272" i="22"/>
  <c r="M2894" i="22"/>
  <c r="N2894" i="22"/>
  <c r="U2894" i="22" s="1"/>
  <c r="M2840" i="22"/>
  <c r="N2840" i="22"/>
  <c r="U2840" i="22" s="1"/>
  <c r="M2624" i="22"/>
  <c r="N2624" i="22"/>
  <c r="U2624" i="22" s="1"/>
  <c r="M2570" i="22"/>
  <c r="N2570" i="22"/>
  <c r="U2570" i="22" s="1"/>
  <c r="M2516" i="22"/>
  <c r="N2516" i="22"/>
  <c r="U2516" i="22" s="1"/>
  <c r="M2462" i="22"/>
  <c r="N2462" i="22"/>
  <c r="U2462" i="22" s="1"/>
  <c r="N2300" i="22"/>
  <c r="U2300" i="22" s="1"/>
  <c r="M2300" i="22"/>
  <c r="M2138" i="22"/>
  <c r="N2138" i="22"/>
  <c r="U2138" i="22" s="1"/>
  <c r="M2030" i="22"/>
  <c r="N2030" i="22"/>
  <c r="U2030" i="22" s="1"/>
  <c r="M1814" i="22"/>
  <c r="N1814" i="22"/>
  <c r="U1814" i="22" s="1"/>
  <c r="M1706" i="22"/>
  <c r="N1706" i="22"/>
  <c r="U1706" i="22" s="1"/>
  <c r="M1436" i="22"/>
  <c r="N1436" i="22"/>
  <c r="U1436" i="22" s="1"/>
  <c r="M1328" i="22"/>
  <c r="N1328" i="22"/>
  <c r="U1328" i="22" s="1"/>
  <c r="M1274" i="22"/>
  <c r="N1274" i="22"/>
  <c r="U1274" i="22" s="1"/>
  <c r="M896" i="22"/>
  <c r="N896" i="22"/>
  <c r="U896" i="22" s="1"/>
  <c r="M572" i="22"/>
  <c r="N572" i="22"/>
  <c r="U572" i="22" s="1"/>
  <c r="N518" i="22"/>
  <c r="U518" i="22" s="1"/>
  <c r="M518" i="22"/>
  <c r="N140" i="22"/>
  <c r="U140" i="22" s="1"/>
  <c r="M140" i="22"/>
  <c r="M86" i="22"/>
  <c r="N86" i="22"/>
  <c r="U86" i="22" s="1"/>
  <c r="K1490" i="23"/>
  <c r="F1490" i="23"/>
  <c r="O1490" i="23" s="1"/>
  <c r="F1434" i="23"/>
  <c r="O1434" i="23" s="1"/>
  <c r="K1434" i="23"/>
  <c r="K1378" i="23"/>
  <c r="F1378" i="23"/>
  <c r="O1378" i="23" s="1"/>
  <c r="K1210" i="23"/>
  <c r="F1210" i="23"/>
  <c r="O1210" i="23" s="1"/>
  <c r="K1154" i="23"/>
  <c r="F1154" i="23"/>
  <c r="O1154" i="23" s="1"/>
  <c r="K1098" i="23"/>
  <c r="F1098" i="23"/>
  <c r="O1098" i="23" s="1"/>
  <c r="K1042" i="23"/>
  <c r="F1042" i="23"/>
  <c r="O1042" i="23" s="1"/>
  <c r="K986" i="23"/>
  <c r="F986" i="23"/>
  <c r="O986" i="23" s="1"/>
  <c r="F370" i="23"/>
  <c r="O370" i="23" s="1"/>
  <c r="K370" i="23"/>
  <c r="K4683" i="22"/>
  <c r="F4683" i="22"/>
  <c r="D4629" i="22"/>
  <c r="F4629" i="22"/>
  <c r="O4629" i="22" s="1"/>
  <c r="F3759" i="22"/>
  <c r="O3759" i="22" s="1"/>
  <c r="K3759" i="22"/>
  <c r="K3705" i="22"/>
  <c r="F3705" i="22"/>
  <c r="O3705" i="22" s="1"/>
  <c r="K3381" i="22"/>
  <c r="F3381" i="22"/>
  <c r="O3381" i="22" s="1"/>
  <c r="F2679" i="22"/>
  <c r="O2679" i="22" s="1"/>
  <c r="K2679" i="22"/>
  <c r="K2625" i="22"/>
  <c r="F2625" i="22"/>
  <c r="O2625" i="22" s="1"/>
  <c r="K1977" i="22"/>
  <c r="F1977" i="22"/>
  <c r="O1977" i="22" s="1"/>
  <c r="F1599" i="22"/>
  <c r="O1599" i="22" s="1"/>
  <c r="K1599" i="22"/>
  <c r="F1545" i="22"/>
  <c r="O1545" i="22" s="1"/>
  <c r="K1545" i="22"/>
  <c r="K1437" i="22"/>
  <c r="F1437" i="22"/>
  <c r="O1437" i="22" s="1"/>
  <c r="K1383" i="22"/>
  <c r="F1383" i="22"/>
  <c r="O1383" i="22" s="1"/>
  <c r="F1275" i="22"/>
  <c r="O1275" i="22" s="1"/>
  <c r="K1275" i="22"/>
  <c r="K1221" i="22"/>
  <c r="F1221" i="22"/>
  <c r="O1221" i="22" s="1"/>
  <c r="K897" i="22"/>
  <c r="F897" i="22"/>
  <c r="O897" i="22" s="1"/>
  <c r="F843" i="22"/>
  <c r="O843" i="22" s="1"/>
  <c r="K843" i="22"/>
  <c r="F789" i="22"/>
  <c r="O789" i="22" s="1"/>
  <c r="K789" i="22"/>
  <c r="K573" i="22"/>
  <c r="F573" i="22"/>
  <c r="O573" i="22" s="1"/>
  <c r="F519" i="22"/>
  <c r="O519" i="22" s="1"/>
  <c r="K519" i="22"/>
  <c r="F465" i="22"/>
  <c r="O465" i="22" s="1"/>
  <c r="K465" i="22"/>
  <c r="F141" i="22"/>
  <c r="O141" i="22" s="1"/>
  <c r="K141" i="22"/>
  <c r="F87" i="22"/>
  <c r="O87" i="22" s="1"/>
  <c r="K87" i="22"/>
  <c r="AD25" i="17"/>
  <c r="K1491" i="23" l="1"/>
  <c r="F1491" i="23"/>
  <c r="O1491" i="23" s="1"/>
  <c r="K987" i="23"/>
  <c r="F987" i="23"/>
  <c r="O987" i="23" s="1"/>
  <c r="K4168" i="22"/>
  <c r="F4168" i="22"/>
  <c r="O4168" i="22" s="1"/>
  <c r="F4114" i="22"/>
  <c r="O4114" i="22" s="1"/>
  <c r="K4114" i="22"/>
  <c r="K3652" i="22"/>
  <c r="F3652" i="22"/>
  <c r="O3652" i="22" s="1"/>
  <c r="K2572" i="22"/>
  <c r="F2572" i="22"/>
  <c r="O2572" i="22" s="1"/>
  <c r="K2518" i="22"/>
  <c r="F2518" i="22"/>
  <c r="O2518" i="22" s="1"/>
  <c r="K1492" i="22"/>
  <c r="F1492" i="22"/>
  <c r="O1492" i="22" s="1"/>
  <c r="K358" i="22"/>
  <c r="F358" i="22"/>
  <c r="O35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L1492" i="23"/>
  <c r="I1492" i="23"/>
  <c r="B1493" i="23"/>
  <c r="C1492" i="23"/>
  <c r="E1492" i="23"/>
  <c r="G1492" i="23"/>
  <c r="J1491" i="23"/>
  <c r="N1491" i="23" s="1"/>
  <c r="AE1491" i="23" s="1"/>
  <c r="D1491" i="23"/>
  <c r="P1491" i="23"/>
  <c r="Q1491" i="23"/>
  <c r="R1491" i="23"/>
  <c r="J1435" i="23"/>
  <c r="D1435" i="23"/>
  <c r="P1435" i="23"/>
  <c r="Q1435" i="23"/>
  <c r="R1435" i="23"/>
  <c r="L1436" i="23"/>
  <c r="I1436" i="23"/>
  <c r="C1436" i="23"/>
  <c r="K1436" i="23" s="1"/>
  <c r="E1436" i="23"/>
  <c r="F1436" i="23"/>
  <c r="O1436" i="23" s="1"/>
  <c r="G1436" i="23"/>
  <c r="B1437" i="23"/>
  <c r="L1380" i="23"/>
  <c r="I1380" i="23"/>
  <c r="B1381" i="23"/>
  <c r="C1380" i="23"/>
  <c r="E1380" i="23"/>
  <c r="G1380" i="23"/>
  <c r="J1379" i="23"/>
  <c r="D1379" i="23"/>
  <c r="P1379" i="23"/>
  <c r="Q1379" i="23"/>
  <c r="R1379"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J1211" i="23"/>
  <c r="D1211" i="23"/>
  <c r="P1211" i="23"/>
  <c r="Q1211" i="23"/>
  <c r="R1211" i="23"/>
  <c r="L1212" i="23"/>
  <c r="I1212" i="23"/>
  <c r="C1212" i="23"/>
  <c r="E1212" i="23"/>
  <c r="G1212" i="23"/>
  <c r="B1213" i="23"/>
  <c r="J1155" i="23"/>
  <c r="D1155" i="23"/>
  <c r="P1155" i="23"/>
  <c r="Q1155" i="23"/>
  <c r="R1155" i="23"/>
  <c r="L1156" i="23"/>
  <c r="I1156" i="23"/>
  <c r="G1156" i="23"/>
  <c r="C1156" i="23"/>
  <c r="E1156" i="23"/>
  <c r="B1157" i="23"/>
  <c r="L1100" i="23"/>
  <c r="I1100" i="23"/>
  <c r="C1100" i="23"/>
  <c r="K1100" i="23" s="1"/>
  <c r="E1100" i="23"/>
  <c r="F1100" i="23"/>
  <c r="O1100" i="23" s="1"/>
  <c r="G1100" i="23"/>
  <c r="B1101" i="23"/>
  <c r="J1099" i="23"/>
  <c r="D1099" i="23"/>
  <c r="P1099" i="23"/>
  <c r="Q1099" i="23"/>
  <c r="R1099" i="23"/>
  <c r="L1044" i="23"/>
  <c r="I1044" i="23"/>
  <c r="B1045" i="23"/>
  <c r="C1044" i="23"/>
  <c r="E1044" i="23"/>
  <c r="G1044" i="23"/>
  <c r="J1043" i="23"/>
  <c r="D1043" i="23"/>
  <c r="P1043" i="23"/>
  <c r="Q1043" i="23"/>
  <c r="R1043" i="23"/>
  <c r="M987" i="23"/>
  <c r="J987" i="23"/>
  <c r="N987" i="23" s="1"/>
  <c r="AE987" i="23" s="1"/>
  <c r="D987" i="23"/>
  <c r="P987" i="23"/>
  <c r="Q987" i="23"/>
  <c r="R987" i="23"/>
  <c r="L988" i="23"/>
  <c r="I988" i="23"/>
  <c r="C988" i="23"/>
  <c r="E988" i="23"/>
  <c r="G988" i="23"/>
  <c r="B989" i="23"/>
  <c r="J931" i="23"/>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J763" i="23"/>
  <c r="D763" i="23"/>
  <c r="P763" i="23"/>
  <c r="Q763" i="23"/>
  <c r="R763" i="23"/>
  <c r="L764" i="23"/>
  <c r="I764" i="23"/>
  <c r="C764" i="23"/>
  <c r="E764" i="23"/>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J483" i="23"/>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E316" i="23"/>
  <c r="G316" i="23"/>
  <c r="B317" i="23"/>
  <c r="M259" i="23"/>
  <c r="J259" i="23"/>
  <c r="N259" i="23" s="1"/>
  <c r="AE259" i="23" s="1"/>
  <c r="D259" i="23"/>
  <c r="P259" i="23"/>
  <c r="Q259" i="23"/>
  <c r="R259" i="23"/>
  <c r="L260" i="23"/>
  <c r="I260" i="23"/>
  <c r="C260" i="23"/>
  <c r="K260" i="23" s="1"/>
  <c r="E260" i="23"/>
  <c r="F260" i="23"/>
  <c r="O260" i="23" s="1"/>
  <c r="G260" i="23"/>
  <c r="B261" i="23"/>
  <c r="P4738" i="22"/>
  <c r="Q4738" i="22"/>
  <c r="R4738" i="22"/>
  <c r="E4739" i="22"/>
  <c r="G4739" i="22"/>
  <c r="I4739" i="22"/>
  <c r="C4739" i="22"/>
  <c r="K4739" i="22" s="1"/>
  <c r="F4739" i="22"/>
  <c r="L4739" i="22"/>
  <c r="B4740" i="22"/>
  <c r="J4738" i="22"/>
  <c r="D4738" i="22"/>
  <c r="M4738" i="22"/>
  <c r="N4738" i="22"/>
  <c r="T4682" i="22"/>
  <c r="U4683" i="22"/>
  <c r="S4683" i="22"/>
  <c r="T4683" i="22" s="1"/>
  <c r="D4684" i="22"/>
  <c r="J4684" i="22"/>
  <c r="P4684" i="22"/>
  <c r="Q4684" i="22"/>
  <c r="R4684" i="22"/>
  <c r="L4685" i="22"/>
  <c r="C4685" i="22"/>
  <c r="K4685" i="22" s="1"/>
  <c r="E4685" i="22"/>
  <c r="F4685" i="22"/>
  <c r="G4685" i="22"/>
  <c r="I4685" i="22"/>
  <c r="B4686" i="22"/>
  <c r="P4630" i="22"/>
  <c r="Q4630" i="22"/>
  <c r="R4630" i="22"/>
  <c r="C4631" i="22"/>
  <c r="E4631" i="22"/>
  <c r="G4631" i="22"/>
  <c r="B4632" i="22"/>
  <c r="M4576" i="22"/>
  <c r="J4576" i="22"/>
  <c r="N4576" i="22" s="1"/>
  <c r="D4576" i="22"/>
  <c r="P4576" i="22"/>
  <c r="Q4576" i="22"/>
  <c r="R4576" i="22"/>
  <c r="I4577" i="22"/>
  <c r="L4577" i="22"/>
  <c r="C4577" i="22"/>
  <c r="E4577" i="22"/>
  <c r="G4577" i="22"/>
  <c r="B4578" i="22"/>
  <c r="M4522" i="22"/>
  <c r="D4522" i="22"/>
  <c r="J4522" i="22"/>
  <c r="N4522" i="22" s="1"/>
  <c r="P4522" i="22"/>
  <c r="Q4522" i="22"/>
  <c r="R4522" i="22"/>
  <c r="L4523" i="22"/>
  <c r="C4523" i="22"/>
  <c r="E4523" i="22"/>
  <c r="G4523" i="22"/>
  <c r="I4523" i="22"/>
  <c r="B4524" i="22"/>
  <c r="M4222" i="22"/>
  <c r="D4222" i="22"/>
  <c r="J4222" i="22"/>
  <c r="N4222" i="22" s="1"/>
  <c r="U4222" i="22" s="1"/>
  <c r="P4222" i="22"/>
  <c r="Q4222" i="22"/>
  <c r="R4222" i="22"/>
  <c r="L4223" i="22"/>
  <c r="C4223" i="22"/>
  <c r="E4223" i="22"/>
  <c r="G4223" i="22"/>
  <c r="I4223" i="22"/>
  <c r="B4224" i="22"/>
  <c r="M4168" i="22"/>
  <c r="D4168" i="22"/>
  <c r="J4168" i="22"/>
  <c r="N4168" i="22" s="1"/>
  <c r="U4168" i="22" s="1"/>
  <c r="P4168" i="22"/>
  <c r="Q4168" i="22"/>
  <c r="R4168" i="22"/>
  <c r="L4169" i="22"/>
  <c r="C4169" i="22"/>
  <c r="K4169" i="22" s="1"/>
  <c r="E4169" i="22"/>
  <c r="F4169" i="22"/>
  <c r="O4169" i="22" s="1"/>
  <c r="G4169" i="22"/>
  <c r="I4169" i="22"/>
  <c r="B4170" i="22"/>
  <c r="D4114" i="22"/>
  <c r="J4114" i="22"/>
  <c r="P4114" i="22"/>
  <c r="Q4114" i="22"/>
  <c r="R4114" i="22"/>
  <c r="M4114" i="22"/>
  <c r="N4114" i="22"/>
  <c r="U4114" i="22" s="1"/>
  <c r="C4115" i="22"/>
  <c r="E4115" i="22"/>
  <c r="F4115" i="22"/>
  <c r="O4115" i="22" s="1"/>
  <c r="G4115" i="22"/>
  <c r="I4115" i="22"/>
  <c r="K4115" i="22"/>
  <c r="L4115" i="22"/>
  <c r="B4116" i="22"/>
  <c r="P4060" i="22"/>
  <c r="Q4060" i="22"/>
  <c r="R4060" i="22"/>
  <c r="D4060" i="22"/>
  <c r="J4060" i="22"/>
  <c r="N4060" i="22" s="1"/>
  <c r="U4060" i="22" s="1"/>
  <c r="M4060" i="22"/>
  <c r="G4061" i="22"/>
  <c r="I4061" i="22"/>
  <c r="L4061" i="22"/>
  <c r="C4061" i="22"/>
  <c r="F4061" i="22" s="1"/>
  <c r="O4061" i="22" s="1"/>
  <c r="E4061" i="22"/>
  <c r="K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E3707" i="22"/>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K3599" i="22" s="1"/>
  <c r="E3599" i="22"/>
  <c r="F3599" i="22"/>
  <c r="O3599" i="22" s="1"/>
  <c r="G3599" i="22"/>
  <c r="I3599" i="22"/>
  <c r="B3600" i="22"/>
  <c r="L3545" i="22"/>
  <c r="E3545" i="22"/>
  <c r="G3545" i="22"/>
  <c r="B3546" i="22"/>
  <c r="C3545" i="22"/>
  <c r="I3545" i="22"/>
  <c r="J3544" i="22"/>
  <c r="D3544" i="22"/>
  <c r="P3544" i="22"/>
  <c r="Q3544" i="22"/>
  <c r="R3544"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D3382" i="22"/>
  <c r="J3382" i="22"/>
  <c r="P3382" i="22"/>
  <c r="Q3382" i="22"/>
  <c r="R3382" i="22"/>
  <c r="L3383" i="22"/>
  <c r="C3383" i="22"/>
  <c r="E3383" i="22"/>
  <c r="G3383" i="22"/>
  <c r="I3383" i="22"/>
  <c r="B3384" i="22"/>
  <c r="D3328" i="22"/>
  <c r="J3328" i="22"/>
  <c r="P3328" i="22"/>
  <c r="Q3328" i="22"/>
  <c r="R3328" i="22"/>
  <c r="L3329" i="22"/>
  <c r="C3329" i="22"/>
  <c r="K3329" i="22" s="1"/>
  <c r="E3329" i="22"/>
  <c r="F3329" i="22"/>
  <c r="O3329" i="22" s="1"/>
  <c r="G3329" i="22"/>
  <c r="I3329" i="22"/>
  <c r="B3330" i="22"/>
  <c r="D3274" i="22"/>
  <c r="J3274" i="22"/>
  <c r="L3275" i="22"/>
  <c r="E3275" i="22"/>
  <c r="C3275" i="22"/>
  <c r="I3275" i="22"/>
  <c r="B3276" i="22"/>
  <c r="G3275" i="22"/>
  <c r="P3274" i="22"/>
  <c r="Q3274" i="22"/>
  <c r="R3274" i="22"/>
  <c r="M3220" i="22"/>
  <c r="D3220" i="22"/>
  <c r="J3220" i="22"/>
  <c r="N3220" i="22" s="1"/>
  <c r="U3220" i="22" s="1"/>
  <c r="L3221" i="22"/>
  <c r="G3221" i="22"/>
  <c r="B3222" i="22"/>
  <c r="I3221" i="22"/>
  <c r="C3221" i="22"/>
  <c r="K3221" i="22" s="1"/>
  <c r="F3221" i="22"/>
  <c r="O3221" i="22" s="1"/>
  <c r="E3221" i="22"/>
  <c r="P3220" i="22"/>
  <c r="Q3220" i="22"/>
  <c r="R3220"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E3113" i="22"/>
  <c r="G3113" i="22"/>
  <c r="I3113" i="22"/>
  <c r="B3114" i="22"/>
  <c r="D3058" i="22"/>
  <c r="J3058" i="22"/>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E2789" i="22"/>
  <c r="G2789" i="22"/>
  <c r="I2789" i="22"/>
  <c r="B2790" i="22"/>
  <c r="M2734" i="22"/>
  <c r="D2734" i="22"/>
  <c r="J2734" i="22"/>
  <c r="N2734" i="22" s="1"/>
  <c r="U2734" i="22" s="1"/>
  <c r="P2734" i="22"/>
  <c r="Q2734" i="22"/>
  <c r="R2734" i="22"/>
  <c r="L2735" i="22"/>
  <c r="C2735" i="22"/>
  <c r="E2735" i="22"/>
  <c r="G2735" i="22"/>
  <c r="I2735" i="22"/>
  <c r="B2736" i="22"/>
  <c r="P2680" i="22"/>
  <c r="Q2680" i="22"/>
  <c r="R2680" i="22"/>
  <c r="L2681" i="22"/>
  <c r="E2681" i="22"/>
  <c r="G2681" i="22"/>
  <c r="I2681" i="22"/>
  <c r="B2682" i="22"/>
  <c r="C2681" i="22"/>
  <c r="J2680" i="22"/>
  <c r="D2680" i="22"/>
  <c r="M2626" i="22"/>
  <c r="P2626" i="22"/>
  <c r="Q2626" i="22"/>
  <c r="R2626" i="22"/>
  <c r="L2627" i="22"/>
  <c r="G2627" i="22"/>
  <c r="I2627" i="22"/>
  <c r="C2627" i="22"/>
  <c r="E2627" i="22"/>
  <c r="B2628" i="22"/>
  <c r="J2626" i="22"/>
  <c r="N2626" i="22" s="1"/>
  <c r="U2626" i="22" s="1"/>
  <c r="D2626"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E2519" i="22"/>
  <c r="G2519" i="22"/>
  <c r="I2519" i="22"/>
  <c r="B2520" i="22"/>
  <c r="M2464" i="22"/>
  <c r="D2464" i="22"/>
  <c r="J2464" i="22"/>
  <c r="N2464" i="22" s="1"/>
  <c r="U2464" i="22" s="1"/>
  <c r="P2464" i="22"/>
  <c r="Q2464" i="22"/>
  <c r="R2464" i="22"/>
  <c r="L2465" i="22"/>
  <c r="C2465" i="22"/>
  <c r="E2465" i="22"/>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G2303" i="22"/>
  <c r="I2303" i="22"/>
  <c r="C2303" i="22"/>
  <c r="K2303" i="22" s="1"/>
  <c r="E2303" i="22"/>
  <c r="F2303" i="22"/>
  <c r="O2303" i="22" s="1"/>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E2195" i="22"/>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E1979" i="22"/>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E1871" i="22"/>
  <c r="G1871" i="22"/>
  <c r="I1871" i="22"/>
  <c r="B1872" i="22"/>
  <c r="M1816" i="22"/>
  <c r="D1816" i="22"/>
  <c r="J1816" i="22"/>
  <c r="N1816" i="22" s="1"/>
  <c r="U1816" i="22" s="1"/>
  <c r="P1816" i="22"/>
  <c r="Q1816" i="22"/>
  <c r="R1816" i="22"/>
  <c r="L1817" i="22"/>
  <c r="C1817" i="22"/>
  <c r="K1817" i="22" s="1"/>
  <c r="E1817" i="22"/>
  <c r="F1817" i="22"/>
  <c r="O1817" i="22" s="1"/>
  <c r="G1817" i="22"/>
  <c r="I1817" i="22"/>
  <c r="B1818" i="22"/>
  <c r="D1762" i="22"/>
  <c r="J1762" i="22"/>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E1601" i="22"/>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K1493" i="22" s="1"/>
  <c r="E1493" i="22"/>
  <c r="F1493" i="22"/>
  <c r="O1493" i="22" s="1"/>
  <c r="G1493" i="22"/>
  <c r="I1493" i="22"/>
  <c r="B1494" i="22"/>
  <c r="D1438" i="22"/>
  <c r="J1438" i="22"/>
  <c r="P1438" i="22"/>
  <c r="Q1438" i="22"/>
  <c r="R1438" i="22"/>
  <c r="L1439" i="22"/>
  <c r="C1439" i="22"/>
  <c r="E1439" i="22"/>
  <c r="G1439" i="22"/>
  <c r="I1439" i="22"/>
  <c r="B1440" i="22"/>
  <c r="M1384" i="22"/>
  <c r="P1384" i="22"/>
  <c r="Q1384" i="22"/>
  <c r="R1384" i="22"/>
  <c r="D1384" i="22"/>
  <c r="J1384" i="22"/>
  <c r="N1384" i="22" s="1"/>
  <c r="U1384" i="22" s="1"/>
  <c r="L1385" i="22"/>
  <c r="C1385" i="22"/>
  <c r="K1385" i="22" s="1"/>
  <c r="F1385" i="22"/>
  <c r="O1385" i="22" s="1"/>
  <c r="G1385" i="22"/>
  <c r="B1386" i="22"/>
  <c r="E1385" i="22"/>
  <c r="I1385"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E1277" i="22"/>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E1169" i="22"/>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E953" i="22"/>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D790" i="22"/>
  <c r="J790" i="22"/>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K575" i="22" s="1"/>
  <c r="E575" i="22"/>
  <c r="F575" i="22"/>
  <c r="O575" i="22" s="1"/>
  <c r="G575" i="22"/>
  <c r="I575" i="22"/>
  <c r="B576" i="22"/>
  <c r="D520" i="22"/>
  <c r="J520" i="22"/>
  <c r="P520" i="22"/>
  <c r="Q520" i="22"/>
  <c r="R520" i="22"/>
  <c r="L521" i="22"/>
  <c r="C521" i="22"/>
  <c r="K521" i="22" s="1"/>
  <c r="E521" i="22"/>
  <c r="F521" i="22"/>
  <c r="O521" i="22" s="1"/>
  <c r="G521" i="22"/>
  <c r="B522" i="22"/>
  <c r="I521"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E413" i="22"/>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L143" i="22"/>
  <c r="G143" i="22"/>
  <c r="B144" i="22"/>
  <c r="I143" i="22"/>
  <c r="C143" i="22"/>
  <c r="K143" i="22" s="1"/>
  <c r="E143" i="22"/>
  <c r="F143" i="22"/>
  <c r="O143" i="22" s="1"/>
  <c r="D142" i="22"/>
  <c r="J142" i="22"/>
  <c r="P142" i="22"/>
  <c r="Q142" i="22"/>
  <c r="R142"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F26" i="18" s="1"/>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490" i="23"/>
  <c r="N1490" i="23"/>
  <c r="AE1490" i="23" s="1"/>
  <c r="M1434" i="23"/>
  <c r="N1434" i="23"/>
  <c r="AE1434" i="23" s="1"/>
  <c r="M1378" i="23"/>
  <c r="N1378" i="23"/>
  <c r="AE1378" i="23" s="1"/>
  <c r="M1210" i="23"/>
  <c r="N1210" i="23"/>
  <c r="AE1210" i="23" s="1"/>
  <c r="M1154" i="23"/>
  <c r="N1154" i="23"/>
  <c r="AE1154" i="23" s="1"/>
  <c r="N1098" i="23"/>
  <c r="AE1098" i="23" s="1"/>
  <c r="M1098" i="23"/>
  <c r="M1042" i="23"/>
  <c r="N1042" i="23"/>
  <c r="AE1042" i="23" s="1"/>
  <c r="M986" i="23"/>
  <c r="N986" i="23"/>
  <c r="AE986" i="23" s="1"/>
  <c r="M370" i="23"/>
  <c r="N370" i="23"/>
  <c r="AE370" i="23" s="1"/>
  <c r="M4683" i="22"/>
  <c r="N4683" i="22"/>
  <c r="M3759" i="22"/>
  <c r="N3759" i="22"/>
  <c r="U3759" i="22" s="1"/>
  <c r="M3705" i="22"/>
  <c r="N3705" i="22"/>
  <c r="U3705" i="22" s="1"/>
  <c r="M3381" i="22"/>
  <c r="N3381" i="22"/>
  <c r="U3381" i="22" s="1"/>
  <c r="M2679" i="22"/>
  <c r="N2679" i="22"/>
  <c r="U2679" i="22" s="1"/>
  <c r="M2625" i="22"/>
  <c r="N2625" i="22"/>
  <c r="U2625" i="22" s="1"/>
  <c r="M1977" i="22"/>
  <c r="N1977" i="22"/>
  <c r="U1977" i="22" s="1"/>
  <c r="M1599" i="22"/>
  <c r="N1599" i="22"/>
  <c r="U1599" i="22" s="1"/>
  <c r="M1545" i="22"/>
  <c r="N1545" i="22"/>
  <c r="U1545" i="22" s="1"/>
  <c r="M1437" i="22"/>
  <c r="N1437" i="22"/>
  <c r="U1437" i="22" s="1"/>
  <c r="M1383" i="22"/>
  <c r="N1383" i="22"/>
  <c r="U1383" i="22" s="1"/>
  <c r="M1275" i="22"/>
  <c r="N1275" i="22"/>
  <c r="U1275" i="22" s="1"/>
  <c r="M1221" i="22"/>
  <c r="N1221" i="22"/>
  <c r="U1221" i="22" s="1"/>
  <c r="M897" i="22"/>
  <c r="N897" i="22"/>
  <c r="U897" i="22" s="1"/>
  <c r="M843" i="22"/>
  <c r="N843" i="22"/>
  <c r="U843" i="22" s="1"/>
  <c r="M789" i="22"/>
  <c r="N789" i="22"/>
  <c r="U789" i="22" s="1"/>
  <c r="M573" i="22"/>
  <c r="N573" i="22"/>
  <c r="U573" i="22" s="1"/>
  <c r="N519" i="22"/>
  <c r="U519" i="22" s="1"/>
  <c r="M519" i="22"/>
  <c r="M465" i="22"/>
  <c r="N465" i="22"/>
  <c r="U465" i="22" s="1"/>
  <c r="M141" i="22"/>
  <c r="N141" i="22"/>
  <c r="U141" i="22" s="1"/>
  <c r="M87" i="22"/>
  <c r="N87" i="22"/>
  <c r="U87" i="22" s="1"/>
  <c r="F1435" i="23"/>
  <c r="O1435" i="23" s="1"/>
  <c r="K1435" i="23"/>
  <c r="F1379" i="23"/>
  <c r="O1379" i="23" s="1"/>
  <c r="K1379" i="23"/>
  <c r="F1211" i="23"/>
  <c r="O1211" i="23" s="1"/>
  <c r="K1211" i="23"/>
  <c r="K1155" i="23"/>
  <c r="F1155" i="23"/>
  <c r="O1155" i="23" s="1"/>
  <c r="K1099" i="23"/>
  <c r="F1099" i="23"/>
  <c r="O1099" i="23" s="1"/>
  <c r="K1043" i="23"/>
  <c r="F1043" i="23"/>
  <c r="O1043" i="23" s="1"/>
  <c r="F931" i="23"/>
  <c r="O931" i="23" s="1"/>
  <c r="K931" i="23"/>
  <c r="K763" i="23"/>
  <c r="F763" i="23"/>
  <c r="O763" i="23" s="1"/>
  <c r="F483" i="23"/>
  <c r="O483" i="23" s="1"/>
  <c r="K483" i="23"/>
  <c r="K4684" i="22"/>
  <c r="F4684" i="22"/>
  <c r="D4630" i="22"/>
  <c r="F4630" i="22"/>
  <c r="O4630" i="22" s="1"/>
  <c r="K3544" i="22"/>
  <c r="F3544" i="22"/>
  <c r="O3544" i="22" s="1"/>
  <c r="F3382" i="22"/>
  <c r="O3382" i="22" s="1"/>
  <c r="K3382" i="22"/>
  <c r="F3328" i="22"/>
  <c r="O3328" i="22" s="1"/>
  <c r="K3328" i="22"/>
  <c r="F3274" i="22"/>
  <c r="O3274" i="22" s="1"/>
  <c r="K3274" i="22"/>
  <c r="F3058" i="22"/>
  <c r="O3058" i="22" s="1"/>
  <c r="K3058" i="22"/>
  <c r="K2680" i="22"/>
  <c r="F2680" i="22"/>
  <c r="O2680" i="22" s="1"/>
  <c r="F1762" i="22"/>
  <c r="O1762" i="22" s="1"/>
  <c r="K1762" i="22"/>
  <c r="K1438" i="22"/>
  <c r="F1438" i="22"/>
  <c r="O1438" i="22" s="1"/>
  <c r="F790" i="22"/>
  <c r="O790" i="22" s="1"/>
  <c r="K790" i="22"/>
  <c r="K520" i="22"/>
  <c r="F520" i="22"/>
  <c r="O520" i="22" s="1"/>
  <c r="F142" i="22"/>
  <c r="O142" i="22" s="1"/>
  <c r="K142" i="22"/>
  <c r="K316" i="23" l="1"/>
  <c r="F316" i="23"/>
  <c r="O316" i="23" s="1"/>
  <c r="K3545" i="22"/>
  <c r="F3545" i="22"/>
  <c r="O3545" i="22" s="1"/>
  <c r="K3275" i="22"/>
  <c r="F3275" i="22"/>
  <c r="O3275" i="22" s="1"/>
  <c r="K2735" i="22"/>
  <c r="F2735" i="22"/>
  <c r="O2735" i="22" s="1"/>
  <c r="K1979" i="22"/>
  <c r="F1979" i="22"/>
  <c r="O1979" i="22" s="1"/>
  <c r="K1439" i="22"/>
  <c r="F1439" i="22"/>
  <c r="O1439" i="22" s="1"/>
  <c r="K1169" i="22"/>
  <c r="F1169" i="22"/>
  <c r="O1169" i="22" s="1"/>
  <c r="K413" i="22"/>
  <c r="F413" i="22"/>
  <c r="O413"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L1493" i="23"/>
  <c r="I1493" i="23"/>
  <c r="C1493" i="23"/>
  <c r="E1493" i="23"/>
  <c r="G1493" i="23"/>
  <c r="B1494" i="23"/>
  <c r="J1492" i="23"/>
  <c r="D1492" i="23"/>
  <c r="P1492" i="23"/>
  <c r="Q1492" i="23"/>
  <c r="R1492" i="23"/>
  <c r="M1436" i="23"/>
  <c r="J1436" i="23"/>
  <c r="N1436" i="23" s="1"/>
  <c r="AE1436" i="23" s="1"/>
  <c r="D1436" i="23"/>
  <c r="P1436" i="23"/>
  <c r="Q1436" i="23"/>
  <c r="R1436" i="23"/>
  <c r="L1437" i="23"/>
  <c r="I1437" i="23"/>
  <c r="C1437" i="23"/>
  <c r="E1437" i="23"/>
  <c r="G1437" i="23"/>
  <c r="B1438" i="23"/>
  <c r="L1381" i="23"/>
  <c r="I1381" i="23"/>
  <c r="G1381" i="23"/>
  <c r="B1382" i="23"/>
  <c r="C1381" i="23"/>
  <c r="E1381" i="23"/>
  <c r="J1380" i="23"/>
  <c r="D1380" i="23"/>
  <c r="P1380" i="23"/>
  <c r="Q1380" i="23"/>
  <c r="R1380"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J1212" i="23"/>
  <c r="D1212" i="23"/>
  <c r="P1212" i="23"/>
  <c r="Q1212" i="23"/>
  <c r="R1212" i="23"/>
  <c r="K1213" i="23"/>
  <c r="L1213" i="23"/>
  <c r="I1213" i="23"/>
  <c r="C1213" i="23"/>
  <c r="E1213" i="23"/>
  <c r="F1213" i="23"/>
  <c r="O1213" i="23" s="1"/>
  <c r="G1213" i="23"/>
  <c r="B1214" i="23"/>
  <c r="P1156" i="23"/>
  <c r="Q1156" i="23"/>
  <c r="R1156" i="23"/>
  <c r="J1156" i="23"/>
  <c r="D1156" i="23"/>
  <c r="L1157" i="23"/>
  <c r="I1157" i="23"/>
  <c r="G1157" i="23"/>
  <c r="C1157" i="23"/>
  <c r="E1157" i="23"/>
  <c r="B1158" i="23"/>
  <c r="M1100" i="23"/>
  <c r="J1100" i="23"/>
  <c r="N1100" i="23" s="1"/>
  <c r="AE1100" i="23" s="1"/>
  <c r="D1100" i="23"/>
  <c r="P1100" i="23"/>
  <c r="Q1100" i="23"/>
  <c r="R1100" i="23"/>
  <c r="L1101" i="23"/>
  <c r="I1101" i="23"/>
  <c r="G1101" i="23"/>
  <c r="B1102" i="23"/>
  <c r="C1101" i="23"/>
  <c r="E1101" i="23"/>
  <c r="L1045" i="23"/>
  <c r="I1045" i="23"/>
  <c r="C1045" i="23"/>
  <c r="K1045" i="23" s="1"/>
  <c r="E1045" i="23"/>
  <c r="F1045" i="23"/>
  <c r="O1045" i="23" s="1"/>
  <c r="G1045" i="23"/>
  <c r="B1046" i="23"/>
  <c r="J1044" i="23"/>
  <c r="D1044" i="23"/>
  <c r="P1044" i="23"/>
  <c r="Q1044" i="23"/>
  <c r="R1044" i="23"/>
  <c r="J988" i="23"/>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E877" i="23"/>
  <c r="G877" i="23"/>
  <c r="B878" i="23"/>
  <c r="M820" i="23"/>
  <c r="J820" i="23"/>
  <c r="N820" i="23" s="1"/>
  <c r="AE820" i="23" s="1"/>
  <c r="D820" i="23"/>
  <c r="P820" i="23"/>
  <c r="Q820" i="23"/>
  <c r="R820" i="23"/>
  <c r="L821" i="23"/>
  <c r="I821" i="23"/>
  <c r="C821" i="23"/>
  <c r="K821" i="23" s="1"/>
  <c r="E821" i="23"/>
  <c r="F821" i="23"/>
  <c r="O821" i="23" s="1"/>
  <c r="G821" i="23"/>
  <c r="B822" i="23"/>
  <c r="J764" i="23"/>
  <c r="D764" i="23"/>
  <c r="P764" i="23"/>
  <c r="Q764" i="23"/>
  <c r="R764" i="23"/>
  <c r="L765" i="23"/>
  <c r="I765" i="23"/>
  <c r="C765" i="23"/>
  <c r="K765" i="23" s="1"/>
  <c r="E765" i="23"/>
  <c r="F765" i="23"/>
  <c r="O765" i="23" s="1"/>
  <c r="G765" i="23"/>
  <c r="B766" i="23"/>
  <c r="M708" i="23"/>
  <c r="J708" i="23"/>
  <c r="N708" i="23" s="1"/>
  <c r="AE708" i="23" s="1"/>
  <c r="D708" i="23"/>
  <c r="Q708" i="23"/>
  <c r="P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P4739" i="22"/>
  <c r="Q4739" i="22"/>
  <c r="R4739" i="22"/>
  <c r="M4739" i="22"/>
  <c r="J4739" i="22"/>
  <c r="N4739" i="22" s="1"/>
  <c r="D4739" i="22"/>
  <c r="B4741" i="22"/>
  <c r="C4740" i="22"/>
  <c r="E4740" i="22"/>
  <c r="F4740" i="22"/>
  <c r="G4740" i="22"/>
  <c r="I4740" i="22"/>
  <c r="K4740" i="22"/>
  <c r="L4740" i="22"/>
  <c r="U4684" i="22"/>
  <c r="S4684" i="22"/>
  <c r="M4685" i="22"/>
  <c r="D4685" i="22"/>
  <c r="J4685" i="22"/>
  <c r="N4685" i="22" s="1"/>
  <c r="P4685" i="22"/>
  <c r="Q4685" i="22"/>
  <c r="R4685" i="22"/>
  <c r="L4686" i="22"/>
  <c r="C4686" i="22"/>
  <c r="K4686" i="22" s="1"/>
  <c r="E4686" i="22"/>
  <c r="F4686" i="22"/>
  <c r="G4686" i="22"/>
  <c r="I4686" i="22"/>
  <c r="B4687" i="22"/>
  <c r="P4631" i="22"/>
  <c r="Q4631" i="22"/>
  <c r="R4631" i="22"/>
  <c r="C4632" i="22"/>
  <c r="E4632" i="22"/>
  <c r="G4632" i="22"/>
  <c r="B4633" i="22"/>
  <c r="J4577" i="22"/>
  <c r="D4577" i="22"/>
  <c r="P4577" i="22"/>
  <c r="Q4577" i="22"/>
  <c r="R4577" i="22"/>
  <c r="I4578" i="22"/>
  <c r="L4578" i="22"/>
  <c r="C4578" i="22"/>
  <c r="K4578" i="22" s="1"/>
  <c r="E4578" i="22"/>
  <c r="F4578" i="22"/>
  <c r="G4578" i="22"/>
  <c r="B4579" i="22"/>
  <c r="D4523" i="22"/>
  <c r="J4523" i="22"/>
  <c r="P4523" i="22"/>
  <c r="Q4523" i="22"/>
  <c r="R4523" i="22"/>
  <c r="L4524" i="22"/>
  <c r="C4524" i="22"/>
  <c r="E4524" i="22"/>
  <c r="G4524" i="22"/>
  <c r="I4524" i="22"/>
  <c r="B4525" i="22"/>
  <c r="D4223" i="22"/>
  <c r="J4223" i="22"/>
  <c r="P4223" i="22"/>
  <c r="Q4223" i="22"/>
  <c r="R4223" i="22"/>
  <c r="L4224" i="22"/>
  <c r="C4224" i="22"/>
  <c r="E4224" i="22"/>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N4115" i="22" s="1"/>
  <c r="U4115" i="22" s="1"/>
  <c r="P4115" i="22"/>
  <c r="Q4115" i="22"/>
  <c r="R4115" i="22"/>
  <c r="M4115" i="22"/>
  <c r="C4116" i="22"/>
  <c r="F4116" i="22" s="1"/>
  <c r="O4116" i="22" s="1"/>
  <c r="E4116" i="22"/>
  <c r="G4116" i="22"/>
  <c r="I4116" i="22"/>
  <c r="K4116" i="22"/>
  <c r="L4116" i="22"/>
  <c r="B4117" i="22"/>
  <c r="P4061" i="22"/>
  <c r="R4061" i="22"/>
  <c r="Q4061" i="22"/>
  <c r="J4061" i="22"/>
  <c r="D4061" i="22"/>
  <c r="M4061" i="22"/>
  <c r="N4061" i="22"/>
  <c r="U4061" i="22" s="1"/>
  <c r="G4062" i="22"/>
  <c r="I4062" i="22"/>
  <c r="L4062" i="22"/>
  <c r="B4063" i="22"/>
  <c r="C4062" i="22"/>
  <c r="E4062" i="22"/>
  <c r="M3761" i="22"/>
  <c r="D3761" i="22"/>
  <c r="J3761" i="22"/>
  <c r="N3761" i="22" s="1"/>
  <c r="U3761" i="22" s="1"/>
  <c r="P3761" i="22"/>
  <c r="Q3761" i="22"/>
  <c r="R3761" i="22"/>
  <c r="L3762" i="22"/>
  <c r="C3762" i="22"/>
  <c r="E3762" i="22"/>
  <c r="G3762" i="22"/>
  <c r="I3762" i="22"/>
  <c r="B3763" i="22"/>
  <c r="D3707" i="22"/>
  <c r="J3707" i="22"/>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E3600" i="22"/>
  <c r="G3600" i="22"/>
  <c r="I3600" i="22"/>
  <c r="B3601" i="22"/>
  <c r="M3545" i="22"/>
  <c r="P3545" i="22"/>
  <c r="Q3545" i="22"/>
  <c r="R3545" i="22"/>
  <c r="L3546" i="22"/>
  <c r="I3546" i="22"/>
  <c r="C3546" i="22"/>
  <c r="E3546" i="22"/>
  <c r="G3546" i="22"/>
  <c r="B3547" i="22"/>
  <c r="D3545" i="22"/>
  <c r="J3545" i="22"/>
  <c r="N3545" i="22" s="1"/>
  <c r="U3545" i="22" s="1"/>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D3383" i="22"/>
  <c r="J3383" i="22"/>
  <c r="P3383" i="22"/>
  <c r="Q3383" i="22"/>
  <c r="R3383" i="22"/>
  <c r="L3384" i="22"/>
  <c r="C3384" i="22"/>
  <c r="E3384" i="22"/>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L3276" i="22"/>
  <c r="G3276" i="22"/>
  <c r="C3276" i="22"/>
  <c r="K3276" i="22" s="1"/>
  <c r="E3276" i="22"/>
  <c r="I3276" i="22"/>
  <c r="B3277" i="22"/>
  <c r="F3276" i="22"/>
  <c r="O3276" i="22" s="1"/>
  <c r="P3275" i="22"/>
  <c r="Q3275" i="22"/>
  <c r="R3275" i="22"/>
  <c r="M3221" i="22"/>
  <c r="Q3221" i="22"/>
  <c r="P3221" i="22"/>
  <c r="R3221" i="22"/>
  <c r="L3222" i="22"/>
  <c r="B3223" i="22"/>
  <c r="C3222" i="22"/>
  <c r="I3222" i="22"/>
  <c r="G3222" i="22"/>
  <c r="E3222" i="22"/>
  <c r="D3221" i="22"/>
  <c r="J3221" i="22"/>
  <c r="N3221" i="22" s="1"/>
  <c r="U3221" i="22" s="1"/>
  <c r="M3167" i="22"/>
  <c r="D3167" i="22"/>
  <c r="J3167" i="22"/>
  <c r="N3167" i="22" s="1"/>
  <c r="U3167" i="22" s="1"/>
  <c r="P3167" i="22"/>
  <c r="Q3167" i="22"/>
  <c r="R3167" i="22"/>
  <c r="L3168" i="22"/>
  <c r="C3168" i="22"/>
  <c r="E3168" i="22"/>
  <c r="G3168" i="22"/>
  <c r="I3168" i="22"/>
  <c r="B3169" i="22"/>
  <c r="D3113" i="22"/>
  <c r="J3113" i="22"/>
  <c r="P3113" i="22"/>
  <c r="Q3113" i="22"/>
  <c r="R3113" i="22"/>
  <c r="L3114" i="22"/>
  <c r="C3114" i="22"/>
  <c r="E3114" i="22"/>
  <c r="G3114" i="22"/>
  <c r="I3114" i="22"/>
  <c r="B3115" i="22"/>
  <c r="M3059" i="22"/>
  <c r="D3059" i="22"/>
  <c r="J3059" i="22"/>
  <c r="N3059" i="22" s="1"/>
  <c r="U3059" i="22" s="1"/>
  <c r="P3059" i="22"/>
  <c r="Q3059" i="22"/>
  <c r="R3059" i="22"/>
  <c r="L3060" i="22"/>
  <c r="C3060" i="22"/>
  <c r="E3060" i="22"/>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E2844" i="22"/>
  <c r="G2844" i="22"/>
  <c r="I2844" i="22"/>
  <c r="B2845" i="22"/>
  <c r="D2789" i="22"/>
  <c r="J2789" i="22"/>
  <c r="P2789" i="22"/>
  <c r="Q2789" i="22"/>
  <c r="R2789" i="22"/>
  <c r="L2790" i="22"/>
  <c r="C2790" i="22"/>
  <c r="E2790" i="22"/>
  <c r="G2790" i="22"/>
  <c r="I2790" i="22"/>
  <c r="B2791" i="22"/>
  <c r="M2735" i="22"/>
  <c r="D2735" i="22"/>
  <c r="J2735" i="22"/>
  <c r="N2735" i="22" s="1"/>
  <c r="U2735" i="22" s="1"/>
  <c r="P2735" i="22"/>
  <c r="Q2735" i="22"/>
  <c r="R2735" i="22"/>
  <c r="L2736" i="22"/>
  <c r="C2736" i="22"/>
  <c r="K2736" i="22" s="1"/>
  <c r="E2736" i="22"/>
  <c r="F2736" i="22"/>
  <c r="O2736" i="22" s="1"/>
  <c r="G2736" i="22"/>
  <c r="I2736" i="22"/>
  <c r="B2737" i="22"/>
  <c r="P2681" i="22"/>
  <c r="Q2681" i="22"/>
  <c r="R2681" i="22"/>
  <c r="L2682" i="22"/>
  <c r="C2682" i="22"/>
  <c r="K2682" i="22" s="1"/>
  <c r="F2682" i="22"/>
  <c r="O2682" i="22" s="1"/>
  <c r="I2682" i="22"/>
  <c r="E2682" i="22"/>
  <c r="G2682" i="22"/>
  <c r="B2683" i="22"/>
  <c r="J2681" i="22"/>
  <c r="D2681" i="22"/>
  <c r="P2627" i="22"/>
  <c r="Q2627" i="22"/>
  <c r="R2627" i="22"/>
  <c r="J2627" i="22"/>
  <c r="D2627" i="22"/>
  <c r="L2628" i="22"/>
  <c r="E2628" i="22"/>
  <c r="G2628" i="22"/>
  <c r="B2629" i="22"/>
  <c r="C2628" i="22"/>
  <c r="K2628" i="22" s="1"/>
  <c r="F2628" i="22"/>
  <c r="O2628" i="22" s="1"/>
  <c r="I2628" i="22"/>
  <c r="M2573" i="22"/>
  <c r="D2573" i="22"/>
  <c r="J2573" i="22"/>
  <c r="N2573" i="22" s="1"/>
  <c r="U2573" i="22" s="1"/>
  <c r="P2573" i="22"/>
  <c r="Q2573" i="22"/>
  <c r="R2573" i="22"/>
  <c r="L2574" i="22"/>
  <c r="C2574" i="22"/>
  <c r="K2574" i="22" s="1"/>
  <c r="E2574" i="22"/>
  <c r="F2574" i="22"/>
  <c r="O2574" i="22" s="1"/>
  <c r="G2574" i="22"/>
  <c r="I2574" i="22"/>
  <c r="B2575" i="22"/>
  <c r="D2519" i="22"/>
  <c r="J2519" i="22"/>
  <c r="P2519" i="22"/>
  <c r="Q2519" i="22"/>
  <c r="R2519" i="22"/>
  <c r="L2520" i="22"/>
  <c r="C2520" i="22"/>
  <c r="K2520" i="22" s="1"/>
  <c r="E2520" i="22"/>
  <c r="F2520" i="22"/>
  <c r="O2520" i="22" s="1"/>
  <c r="G2520" i="22"/>
  <c r="I2520" i="22"/>
  <c r="B2521" i="22"/>
  <c r="D2465" i="22"/>
  <c r="J2465" i="22"/>
  <c r="P2465" i="22"/>
  <c r="Q2465" i="22"/>
  <c r="R2465" i="22"/>
  <c r="L2466" i="22"/>
  <c r="C2466" i="22"/>
  <c r="E2466" i="22"/>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P2303" i="22"/>
  <c r="Q2303" i="22"/>
  <c r="R2303" i="22"/>
  <c r="D2303" i="22"/>
  <c r="J2303" i="22"/>
  <c r="N2303" i="22" s="1"/>
  <c r="U2303" i="22" s="1"/>
  <c r="L2304" i="22"/>
  <c r="B2305" i="22"/>
  <c r="E2304" i="22"/>
  <c r="I2304" i="22"/>
  <c r="G2304" i="22"/>
  <c r="C2304" i="22"/>
  <c r="K2304" i="22" s="1"/>
  <c r="F2304" i="22"/>
  <c r="O2304" i="22" s="1"/>
  <c r="M2249" i="22"/>
  <c r="D2249" i="22"/>
  <c r="J2249" i="22"/>
  <c r="N2249" i="22" s="1"/>
  <c r="U2249" i="22" s="1"/>
  <c r="P2249" i="22"/>
  <c r="Q2249" i="22"/>
  <c r="R2249" i="22"/>
  <c r="L2250" i="22"/>
  <c r="C2250" i="22"/>
  <c r="K2250" i="22" s="1"/>
  <c r="E2250" i="22"/>
  <c r="F2250" i="22"/>
  <c r="O2250" i="22" s="1"/>
  <c r="G2250" i="22"/>
  <c r="I2250" i="22"/>
  <c r="B2251" i="22"/>
  <c r="D2195" i="22"/>
  <c r="J2195" i="22"/>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E2142" i="22"/>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E1980" i="22"/>
  <c r="G1980" i="22"/>
  <c r="I1980" i="22"/>
  <c r="B1981" i="22"/>
  <c r="M1925" i="22"/>
  <c r="D1925" i="22"/>
  <c r="J1925" i="22"/>
  <c r="N1925" i="22" s="1"/>
  <c r="U1925" i="22" s="1"/>
  <c r="P1925" i="22"/>
  <c r="Q1925" i="22"/>
  <c r="R1925" i="22"/>
  <c r="L1926" i="22"/>
  <c r="C1926" i="22"/>
  <c r="K1926" i="22" s="1"/>
  <c r="E1926" i="22"/>
  <c r="F1926" i="22"/>
  <c r="O1926" i="22" s="1"/>
  <c r="G1926" i="22"/>
  <c r="I1926" i="22"/>
  <c r="B1927" i="22"/>
  <c r="D1871" i="22"/>
  <c r="J1871" i="22"/>
  <c r="P1871" i="22"/>
  <c r="Q1871" i="22"/>
  <c r="R1871" i="22"/>
  <c r="L1872" i="22"/>
  <c r="C1872" i="22"/>
  <c r="E1872" i="22"/>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D1601" i="22"/>
  <c r="J1601" i="22"/>
  <c r="P1601" i="22"/>
  <c r="Q1601" i="22"/>
  <c r="R1601" i="22"/>
  <c r="L1602" i="22"/>
  <c r="C1602" i="22"/>
  <c r="E1602" i="22"/>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E1386" i="22"/>
  <c r="G1386" i="22"/>
  <c r="I1386" i="22"/>
  <c r="B1387" i="22"/>
  <c r="M1331" i="22"/>
  <c r="D1331" i="22"/>
  <c r="J1331" i="22"/>
  <c r="N1331" i="22" s="1"/>
  <c r="U1331" i="22" s="1"/>
  <c r="P1331" i="22"/>
  <c r="Q1331" i="22"/>
  <c r="R1331" i="22"/>
  <c r="L1332" i="22"/>
  <c r="C1332" i="22"/>
  <c r="K1332" i="22" s="1"/>
  <c r="E1332" i="22"/>
  <c r="F1332" i="22"/>
  <c r="O1332" i="22" s="1"/>
  <c r="G1332" i="22"/>
  <c r="I1332" i="22"/>
  <c r="B1333" i="22"/>
  <c r="D1277" i="22"/>
  <c r="J1277" i="22"/>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E1062" i="22"/>
  <c r="G1062" i="22"/>
  <c r="I1062" i="22"/>
  <c r="B1063" i="22"/>
  <c r="M1007" i="22"/>
  <c r="D1007" i="22"/>
  <c r="J1007" i="22"/>
  <c r="N1007" i="22" s="1"/>
  <c r="U1007" i="22" s="1"/>
  <c r="P1007" i="22"/>
  <c r="Q1007" i="22"/>
  <c r="R1007" i="22"/>
  <c r="L1008" i="22"/>
  <c r="C1008" i="22"/>
  <c r="K1008" i="22" s="1"/>
  <c r="E1008" i="22"/>
  <c r="F1008" i="22"/>
  <c r="O1008" i="22" s="1"/>
  <c r="G1008" i="22"/>
  <c r="I1008" i="22"/>
  <c r="B1009" i="22"/>
  <c r="D953" i="22"/>
  <c r="J953" i="22"/>
  <c r="P953" i="22"/>
  <c r="Q953" i="22"/>
  <c r="R953" i="22"/>
  <c r="L954" i="22"/>
  <c r="C954" i="22"/>
  <c r="E954" i="22"/>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Q575" i="22"/>
  <c r="P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E468" i="22"/>
  <c r="G468" i="22"/>
  <c r="B469" i="22"/>
  <c r="I468" i="22"/>
  <c r="M413" i="22"/>
  <c r="D413" i="22"/>
  <c r="J413" i="22"/>
  <c r="N413" i="22" s="1"/>
  <c r="U413" i="22" s="1"/>
  <c r="P413" i="22"/>
  <c r="Q413" i="22"/>
  <c r="R413" i="22"/>
  <c r="L414" i="22"/>
  <c r="C414" i="22"/>
  <c r="E414" i="22"/>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P143" i="22"/>
  <c r="Q143" i="22"/>
  <c r="R143" i="22"/>
  <c r="L144" i="22"/>
  <c r="C144" i="22"/>
  <c r="E144" i="22"/>
  <c r="G144" i="22"/>
  <c r="B145" i="22"/>
  <c r="I144" i="22"/>
  <c r="D143" i="22"/>
  <c r="J143" i="22"/>
  <c r="N143" i="22" s="1"/>
  <c r="U143" i="22" s="1"/>
  <c r="M89" i="22"/>
  <c r="D89" i="22"/>
  <c r="J89" i="22"/>
  <c r="N89" i="22" s="1"/>
  <c r="U89" i="22" s="1"/>
  <c r="P89" i="22"/>
  <c r="Q89" i="22"/>
  <c r="R89" i="22"/>
  <c r="L90" i="22"/>
  <c r="C90" i="22"/>
  <c r="E90" i="22"/>
  <c r="G90" i="22"/>
  <c r="I90" i="22"/>
  <c r="B91" i="22"/>
  <c r="M27" i="17"/>
  <c r="D27" i="17"/>
  <c r="J27" i="17"/>
  <c r="N27" i="17" s="1"/>
  <c r="U27" i="17" s="1"/>
  <c r="AE27" i="17"/>
  <c r="AD27" i="17"/>
  <c r="AC27" i="17"/>
  <c r="AB27" i="17"/>
  <c r="AA27" i="17"/>
  <c r="Z27" i="17"/>
  <c r="Y27" i="17"/>
  <c r="X27" i="17"/>
  <c r="W27" i="17"/>
  <c r="P27" i="17"/>
  <c r="Q27" i="17"/>
  <c r="G27" i="18" s="1"/>
  <c r="R27" i="17"/>
  <c r="H27" i="18" s="1"/>
  <c r="V27" i="17"/>
  <c r="L28" i="17"/>
  <c r="C28" i="17"/>
  <c r="K28" i="17" s="1"/>
  <c r="E28" i="17"/>
  <c r="F28" i="17"/>
  <c r="C28" i="18" s="1"/>
  <c r="E28" i="18" s="1"/>
  <c r="O28" i="17" s="1"/>
  <c r="G28" i="17"/>
  <c r="AG28" i="17" s="1"/>
  <c r="I28" i="17"/>
  <c r="B29" i="17"/>
  <c r="B28" i="18"/>
  <c r="AI16" i="17"/>
  <c r="B93" i="12"/>
  <c r="I93" i="12" s="1"/>
  <c r="AH15" i="17"/>
  <c r="AG17" i="17"/>
  <c r="AG18" i="17"/>
  <c r="AG19" i="17"/>
  <c r="AG20" i="17"/>
  <c r="AG21" i="17"/>
  <c r="AG22" i="17"/>
  <c r="AG23" i="17"/>
  <c r="AG24" i="17"/>
  <c r="AG25" i="17"/>
  <c r="AG26" i="17"/>
  <c r="AG27" i="17"/>
  <c r="M1435" i="23"/>
  <c r="N1435" i="23"/>
  <c r="AE1435" i="23" s="1"/>
  <c r="M1379" i="23"/>
  <c r="N1379" i="23"/>
  <c r="AE1379" i="23" s="1"/>
  <c r="M1211" i="23"/>
  <c r="N1211" i="23"/>
  <c r="AE1211" i="23" s="1"/>
  <c r="M1155" i="23"/>
  <c r="N1155" i="23"/>
  <c r="AE1155" i="23" s="1"/>
  <c r="M1099" i="23"/>
  <c r="N1099" i="23"/>
  <c r="AE1099" i="23" s="1"/>
  <c r="M1043" i="23"/>
  <c r="N1043" i="23"/>
  <c r="AE1043" i="23" s="1"/>
  <c r="M931" i="23"/>
  <c r="N931" i="23"/>
  <c r="AE931" i="23" s="1"/>
  <c r="M763" i="23"/>
  <c r="N763" i="23"/>
  <c r="AE763" i="23" s="1"/>
  <c r="M483" i="23"/>
  <c r="N483" i="23"/>
  <c r="AE483" i="23" s="1"/>
  <c r="M4684" i="22"/>
  <c r="N4684" i="22"/>
  <c r="M3544" i="22"/>
  <c r="N3544" i="22"/>
  <c r="U3544" i="22" s="1"/>
  <c r="M3382" i="22"/>
  <c r="N3382" i="22"/>
  <c r="U3382" i="22" s="1"/>
  <c r="M3328" i="22"/>
  <c r="N3328" i="22"/>
  <c r="U3328" i="22" s="1"/>
  <c r="M3274" i="22"/>
  <c r="N3274" i="22"/>
  <c r="U3274" i="22" s="1"/>
  <c r="M3058" i="22"/>
  <c r="N3058" i="22"/>
  <c r="U3058" i="22" s="1"/>
  <c r="M2680" i="22"/>
  <c r="N2680" i="22"/>
  <c r="U2680" i="22" s="1"/>
  <c r="M1762" i="22"/>
  <c r="N1762" i="22"/>
  <c r="U1762" i="22" s="1"/>
  <c r="M1438" i="22"/>
  <c r="N1438" i="22"/>
  <c r="U1438" i="22" s="1"/>
  <c r="M790" i="22"/>
  <c r="N790" i="22"/>
  <c r="U790" i="22" s="1"/>
  <c r="M520" i="22"/>
  <c r="N520" i="22"/>
  <c r="U520" i="22" s="1"/>
  <c r="N142" i="22"/>
  <c r="U142" i="22" s="1"/>
  <c r="M142" i="22"/>
  <c r="K1492" i="23"/>
  <c r="F1492" i="23"/>
  <c r="O1492" i="23" s="1"/>
  <c r="K1380" i="23"/>
  <c r="F1380" i="23"/>
  <c r="O1380" i="23" s="1"/>
  <c r="F1212" i="23"/>
  <c r="O1212" i="23" s="1"/>
  <c r="K1212" i="23"/>
  <c r="K1156" i="23"/>
  <c r="F1156" i="23"/>
  <c r="O1156" i="23" s="1"/>
  <c r="K1044" i="23"/>
  <c r="F1044" i="23"/>
  <c r="O1044" i="23" s="1"/>
  <c r="F988" i="23"/>
  <c r="O988" i="23" s="1"/>
  <c r="K988" i="23"/>
  <c r="F764" i="23"/>
  <c r="O764" i="23" s="1"/>
  <c r="K764" i="23"/>
  <c r="D4631" i="22"/>
  <c r="F4631" i="22"/>
  <c r="O4631" i="22" s="1"/>
  <c r="K4577" i="22"/>
  <c r="F4577" i="22"/>
  <c r="K4523" i="22"/>
  <c r="F4523" i="22"/>
  <c r="K4223" i="22"/>
  <c r="F4223" i="22"/>
  <c r="O4223" i="22" s="1"/>
  <c r="F3707" i="22"/>
  <c r="O3707" i="22" s="1"/>
  <c r="K3707" i="22"/>
  <c r="F3383" i="22"/>
  <c r="O3383" i="22" s="1"/>
  <c r="K3383" i="22"/>
  <c r="F3113" i="22"/>
  <c r="O3113" i="22" s="1"/>
  <c r="K3113" i="22"/>
  <c r="K2789" i="22"/>
  <c r="F2789" i="22"/>
  <c r="O2789" i="22" s="1"/>
  <c r="K2681" i="22"/>
  <c r="F2681" i="22"/>
  <c r="O2681" i="22" s="1"/>
  <c r="K2627" i="22"/>
  <c r="F2627" i="22"/>
  <c r="O2627" i="22" s="1"/>
  <c r="F2519" i="22"/>
  <c r="O2519" i="22" s="1"/>
  <c r="K2519" i="22"/>
  <c r="K2465" i="22"/>
  <c r="F2465" i="22"/>
  <c r="O2465" i="22" s="1"/>
  <c r="K2195" i="22"/>
  <c r="F2195" i="22"/>
  <c r="O2195" i="22" s="1"/>
  <c r="K1871" i="22"/>
  <c r="F1871" i="22"/>
  <c r="O1871" i="22" s="1"/>
  <c r="F1601" i="22"/>
  <c r="O1601" i="22" s="1"/>
  <c r="K1601" i="22"/>
  <c r="F1277" i="22"/>
  <c r="O1277" i="22" s="1"/>
  <c r="K1277" i="22"/>
  <c r="F953" i="22"/>
  <c r="O953" i="22" s="1"/>
  <c r="K953" i="22"/>
  <c r="G26" i="18"/>
  <c r="H26" i="18"/>
  <c r="D4632" i="22" l="1"/>
  <c r="F4632" i="22"/>
  <c r="O4632" i="22" s="1"/>
  <c r="K3600" i="22"/>
  <c r="F3600" i="22"/>
  <c r="O3600" i="22" s="1"/>
  <c r="K1980" i="22"/>
  <c r="F1980" i="22"/>
  <c r="O1980" i="22" s="1"/>
  <c r="K954" i="22"/>
  <c r="F954" i="22"/>
  <c r="O954" i="22" s="1"/>
  <c r="K468" i="22"/>
  <c r="F468" i="22"/>
  <c r="O468"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J1493" i="23"/>
  <c r="D1493" i="23"/>
  <c r="P1493" i="23"/>
  <c r="Q1493" i="23"/>
  <c r="R1493" i="23"/>
  <c r="L1494" i="23"/>
  <c r="I1494" i="23"/>
  <c r="G1494" i="23"/>
  <c r="C1494" i="23"/>
  <c r="E1494" i="23"/>
  <c r="B1495" i="23"/>
  <c r="J1437" i="23"/>
  <c r="D1437" i="23"/>
  <c r="P1437" i="23"/>
  <c r="Q1437" i="23"/>
  <c r="R1437" i="23"/>
  <c r="L1438" i="23"/>
  <c r="I1438" i="23"/>
  <c r="B1439" i="23"/>
  <c r="C1438" i="23"/>
  <c r="E1438" i="23"/>
  <c r="G1438" i="23"/>
  <c r="P1381" i="23"/>
  <c r="Q1381" i="23"/>
  <c r="R1381" i="23"/>
  <c r="L1382" i="23"/>
  <c r="I1382" i="23"/>
  <c r="C1382" i="23"/>
  <c r="K1382" i="23" s="1"/>
  <c r="E1382" i="23"/>
  <c r="F1382" i="23"/>
  <c r="O1382" i="23" s="1"/>
  <c r="G1382" i="23"/>
  <c r="B1383" i="23"/>
  <c r="J1381" i="23"/>
  <c r="D1381" i="23"/>
  <c r="M1325" i="23"/>
  <c r="J1325" i="23"/>
  <c r="N1325" i="23" s="1"/>
  <c r="AE1325" i="23" s="1"/>
  <c r="D1325" i="23"/>
  <c r="P1325" i="23"/>
  <c r="Q1325" i="23"/>
  <c r="R1325" i="23"/>
  <c r="L1326" i="23"/>
  <c r="I1326" i="23"/>
  <c r="C1326" i="23"/>
  <c r="E1326" i="23"/>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P1157" i="23"/>
  <c r="Q1157" i="23"/>
  <c r="R1157" i="23"/>
  <c r="J1157" i="23"/>
  <c r="D1157" i="23"/>
  <c r="L1158" i="23"/>
  <c r="I1158" i="23"/>
  <c r="C1158" i="23"/>
  <c r="K1158" i="23" s="1"/>
  <c r="E1158" i="23"/>
  <c r="F1158" i="23"/>
  <c r="O1158" i="23" s="1"/>
  <c r="G1158" i="23"/>
  <c r="B1159" i="23"/>
  <c r="P1101" i="23"/>
  <c r="Q1101" i="23"/>
  <c r="R1101" i="23"/>
  <c r="L1102" i="23"/>
  <c r="I1102" i="23"/>
  <c r="C1102" i="23"/>
  <c r="K1102" i="23" s="1"/>
  <c r="E1102" i="23"/>
  <c r="F1102" i="23"/>
  <c r="O1102" i="23" s="1"/>
  <c r="G1102" i="23"/>
  <c r="B1103" i="23"/>
  <c r="J1101" i="23"/>
  <c r="D1101"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E934" i="23"/>
  <c r="G934" i="23"/>
  <c r="B935" i="23"/>
  <c r="J877" i="23"/>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Q709" i="23"/>
  <c r="P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E486" i="23"/>
  <c r="G486" i="23"/>
  <c r="B487" i="23"/>
  <c r="M429" i="23"/>
  <c r="J429" i="23"/>
  <c r="N429" i="23" s="1"/>
  <c r="AE429" i="23" s="1"/>
  <c r="D429" i="23"/>
  <c r="P429" i="23"/>
  <c r="Q429" i="23"/>
  <c r="R429" i="23"/>
  <c r="L430" i="23"/>
  <c r="I430" i="23"/>
  <c r="C430" i="23"/>
  <c r="E430" i="23"/>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I4741" i="22"/>
  <c r="L4741" i="22"/>
  <c r="C4741" i="22"/>
  <c r="E4741" i="22"/>
  <c r="F4741" i="22"/>
  <c r="G4741" i="22"/>
  <c r="K4741" i="22"/>
  <c r="B4742" i="22"/>
  <c r="D4740" i="22"/>
  <c r="J4740" i="22"/>
  <c r="P4740" i="22"/>
  <c r="Q4740" i="22"/>
  <c r="R4740" i="22"/>
  <c r="M4740" i="22"/>
  <c r="N4740" i="22"/>
  <c r="T4684" i="22"/>
  <c r="U4685" i="22"/>
  <c r="S4685" i="22"/>
  <c r="T4685" i="22" s="1"/>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E4579" i="22"/>
  <c r="G4579" i="22"/>
  <c r="B4580" i="22"/>
  <c r="D4524" i="22"/>
  <c r="J4524" i="22"/>
  <c r="P4524" i="22"/>
  <c r="Q4524" i="22"/>
  <c r="R4524" i="22"/>
  <c r="L4525" i="22"/>
  <c r="C4525" i="22"/>
  <c r="K4525" i="22" s="1"/>
  <c r="E4525" i="22"/>
  <c r="F4525" i="22"/>
  <c r="G4525" i="22"/>
  <c r="I4525" i="22"/>
  <c r="B4526" i="22"/>
  <c r="D4224" i="22"/>
  <c r="J4224" i="22"/>
  <c r="P4224" i="22"/>
  <c r="Q4224" i="22"/>
  <c r="R4224" i="22"/>
  <c r="L4225" i="22"/>
  <c r="C4225" i="22"/>
  <c r="E4225" i="22"/>
  <c r="G4225" i="22"/>
  <c r="I4225" i="22"/>
  <c r="B4226" i="22"/>
  <c r="M4170" i="22"/>
  <c r="D4170" i="22"/>
  <c r="J4170" i="22"/>
  <c r="N4170" i="22" s="1"/>
  <c r="U4170" i="22" s="1"/>
  <c r="P4170" i="22"/>
  <c r="Q4170" i="22"/>
  <c r="R4170" i="22"/>
  <c r="L4171" i="22"/>
  <c r="C4171" i="22"/>
  <c r="K4171" i="22" s="1"/>
  <c r="E4171" i="22"/>
  <c r="F4171" i="22"/>
  <c r="O4171" i="22" s="1"/>
  <c r="G4171" i="22"/>
  <c r="I4171" i="22"/>
  <c r="B4172" i="22"/>
  <c r="D4116" i="22"/>
  <c r="J4116" i="22"/>
  <c r="P4116" i="22"/>
  <c r="Q4116" i="22"/>
  <c r="R4116" i="22"/>
  <c r="M4116" i="22"/>
  <c r="N4116" i="22"/>
  <c r="U4116" i="22" s="1"/>
  <c r="C4117" i="22"/>
  <c r="E4117" i="22"/>
  <c r="F4117" i="22"/>
  <c r="O4117" i="22" s="1"/>
  <c r="G4117" i="22"/>
  <c r="I4117" i="22"/>
  <c r="K4117" i="22"/>
  <c r="L4117" i="22"/>
  <c r="B4118" i="22"/>
  <c r="P4062" i="22"/>
  <c r="Q4062" i="22"/>
  <c r="R4062" i="22"/>
  <c r="E4063" i="22"/>
  <c r="I4063" i="22"/>
  <c r="B4064" i="22"/>
  <c r="C4063" i="22"/>
  <c r="K4063" i="22" s="1"/>
  <c r="F4063" i="22"/>
  <c r="O4063" i="22" s="1"/>
  <c r="G4063" i="22"/>
  <c r="L4063" i="22"/>
  <c r="J4062" i="22"/>
  <c r="D4062" i="22"/>
  <c r="D3762" i="22"/>
  <c r="J3762" i="22"/>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E3709" i="22"/>
  <c r="G3709" i="22"/>
  <c r="I3709" i="22"/>
  <c r="B3710" i="22"/>
  <c r="M3654" i="22"/>
  <c r="D3654" i="22"/>
  <c r="J3654" i="22"/>
  <c r="N3654" i="22" s="1"/>
  <c r="U3654" i="22" s="1"/>
  <c r="P3654" i="22"/>
  <c r="Q3654" i="22"/>
  <c r="R3654" i="22"/>
  <c r="L3655" i="22"/>
  <c r="C3655" i="22"/>
  <c r="E3655" i="22"/>
  <c r="G3655" i="22"/>
  <c r="I3655" i="22"/>
  <c r="B3656" i="22"/>
  <c r="M3600" i="22"/>
  <c r="D3600" i="22"/>
  <c r="J3600" i="22"/>
  <c r="N3600" i="22" s="1"/>
  <c r="U3600" i="22" s="1"/>
  <c r="P3600" i="22"/>
  <c r="Q3600" i="22"/>
  <c r="R3600" i="22"/>
  <c r="L3601" i="22"/>
  <c r="C3601" i="22"/>
  <c r="K3601" i="22" s="1"/>
  <c r="E3601" i="22"/>
  <c r="F3601" i="22"/>
  <c r="O3601" i="22" s="1"/>
  <c r="G3601" i="22"/>
  <c r="I3601" i="22"/>
  <c r="B3602" i="22"/>
  <c r="J3546" i="22"/>
  <c r="D3546" i="22"/>
  <c r="P3546" i="22"/>
  <c r="Q3546" i="22"/>
  <c r="R3546" i="22"/>
  <c r="L3547" i="22"/>
  <c r="G3547" i="22"/>
  <c r="B3548" i="22"/>
  <c r="C3547" i="22"/>
  <c r="E3547" i="22"/>
  <c r="I3547"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D3384" i="22"/>
  <c r="J3384" i="22"/>
  <c r="P3384" i="22"/>
  <c r="Q3384" i="22"/>
  <c r="R3384" i="22"/>
  <c r="L3385" i="22"/>
  <c r="C3385" i="22"/>
  <c r="E3385" i="22"/>
  <c r="G3385" i="22"/>
  <c r="I3385" i="22"/>
  <c r="B3386" i="22"/>
  <c r="M3330" i="22"/>
  <c r="D3330" i="22"/>
  <c r="J3330" i="22"/>
  <c r="N3330" i="22" s="1"/>
  <c r="U3330" i="22" s="1"/>
  <c r="P3330" i="22"/>
  <c r="Q3330" i="22"/>
  <c r="R3330" i="22"/>
  <c r="L3331" i="22"/>
  <c r="C3331" i="22"/>
  <c r="E3331" i="22"/>
  <c r="G3331" i="22"/>
  <c r="I3331" i="22"/>
  <c r="B3332" i="22"/>
  <c r="M3276" i="22"/>
  <c r="P3276" i="22"/>
  <c r="Q3276" i="22"/>
  <c r="R3276" i="22"/>
  <c r="D3276" i="22"/>
  <c r="J3276" i="22"/>
  <c r="N3276" i="22" s="1"/>
  <c r="U3276" i="22" s="1"/>
  <c r="L3277" i="22"/>
  <c r="E3277" i="22"/>
  <c r="C3277" i="22"/>
  <c r="G3277" i="22"/>
  <c r="I3277" i="22"/>
  <c r="B3278" i="22"/>
  <c r="L3223" i="22"/>
  <c r="G3223" i="22"/>
  <c r="C3223" i="22"/>
  <c r="K3223" i="22" s="1"/>
  <c r="I3223" i="22"/>
  <c r="E3223" i="22"/>
  <c r="F3223" i="22"/>
  <c r="O3223" i="22" s="1"/>
  <c r="B3224" i="22"/>
  <c r="D3222" i="22"/>
  <c r="J3222" i="22"/>
  <c r="P3222" i="22"/>
  <c r="Q3222" i="22"/>
  <c r="R3222" i="22"/>
  <c r="D3168" i="22"/>
  <c r="J3168" i="22"/>
  <c r="P3168" i="22"/>
  <c r="Q3168" i="22"/>
  <c r="R3168" i="22"/>
  <c r="L3169" i="22"/>
  <c r="C3169" i="22"/>
  <c r="K3169" i="22" s="1"/>
  <c r="E3169" i="22"/>
  <c r="F3169" i="22"/>
  <c r="O3169" i="22" s="1"/>
  <c r="G3169" i="22"/>
  <c r="I3169" i="22"/>
  <c r="B3170" i="22"/>
  <c r="D3114" i="22"/>
  <c r="J3114" i="22"/>
  <c r="P3114" i="22"/>
  <c r="Q3114" i="22"/>
  <c r="R3114" i="22"/>
  <c r="L3115" i="22"/>
  <c r="C3115" i="22"/>
  <c r="K3115" i="22" s="1"/>
  <c r="E3115" i="22"/>
  <c r="F3115" i="22"/>
  <c r="O3115" i="22" s="1"/>
  <c r="G3115" i="22"/>
  <c r="I3115" i="22"/>
  <c r="B3116" i="22"/>
  <c r="D3060" i="22"/>
  <c r="J3060" i="22"/>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E2953" i="22"/>
  <c r="G2953" i="22"/>
  <c r="I2953" i="22"/>
  <c r="B2954" i="22"/>
  <c r="M2898" i="22"/>
  <c r="D2898" i="22"/>
  <c r="J2898" i="22"/>
  <c r="N2898" i="22" s="1"/>
  <c r="U2898" i="22" s="1"/>
  <c r="P2898" i="22"/>
  <c r="Q2898" i="22"/>
  <c r="R2898" i="22"/>
  <c r="L2899" i="22"/>
  <c r="C2899" i="22"/>
  <c r="K2899" i="22" s="1"/>
  <c r="E2899" i="22"/>
  <c r="F2899" i="22"/>
  <c r="O2899" i="22" s="1"/>
  <c r="G2899" i="22"/>
  <c r="I2899" i="22"/>
  <c r="B2900" i="22"/>
  <c r="D2844" i="22"/>
  <c r="J2844" i="22"/>
  <c r="P2844" i="22"/>
  <c r="Q2844" i="22"/>
  <c r="R2844" i="22"/>
  <c r="L2845" i="22"/>
  <c r="C2845" i="22"/>
  <c r="K2845" i="22" s="1"/>
  <c r="E2845" i="22"/>
  <c r="F2845" i="22"/>
  <c r="O2845" i="22" s="1"/>
  <c r="G2845" i="22"/>
  <c r="I2845" i="22"/>
  <c r="B2846" i="22"/>
  <c r="D2790" i="22"/>
  <c r="J2790" i="22"/>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E2737" i="22"/>
  <c r="G2737" i="22"/>
  <c r="I2737" i="22"/>
  <c r="B2738" i="22"/>
  <c r="M2682" i="22"/>
  <c r="D2682" i="22"/>
  <c r="J2682" i="22"/>
  <c r="N2682" i="22" s="1"/>
  <c r="U2682" i="22" s="1"/>
  <c r="P2682" i="22"/>
  <c r="Q2682" i="22"/>
  <c r="R2682" i="22"/>
  <c r="L2683" i="22"/>
  <c r="I2683" i="22"/>
  <c r="C2683" i="22"/>
  <c r="E2683" i="22"/>
  <c r="G2683" i="22"/>
  <c r="B2684" i="22"/>
  <c r="M2628" i="22"/>
  <c r="P2628" i="22"/>
  <c r="Q2628" i="22"/>
  <c r="R2628" i="22"/>
  <c r="L2629" i="22"/>
  <c r="G2629" i="22"/>
  <c r="I2629" i="22"/>
  <c r="C2629" i="22"/>
  <c r="E2629" i="22"/>
  <c r="B2630" i="22"/>
  <c r="D2628" i="22"/>
  <c r="J2628" i="22"/>
  <c r="N2628" i="22" s="1"/>
  <c r="U2628" i="22" s="1"/>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D2466" i="22"/>
  <c r="J2466" i="22"/>
  <c r="P2466" i="22"/>
  <c r="Q2466" i="22"/>
  <c r="R2466" i="22"/>
  <c r="L2467" i="22"/>
  <c r="C2467" i="22"/>
  <c r="E2467" i="22"/>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L2305" i="22"/>
  <c r="C2305" i="22"/>
  <c r="K2305" i="22" s="1"/>
  <c r="I2305" i="22"/>
  <c r="E2305" i="22"/>
  <c r="G2305" i="22"/>
  <c r="B2306" i="22"/>
  <c r="F2305" i="22"/>
  <c r="O2305" i="22" s="1"/>
  <c r="P2304" i="22"/>
  <c r="Q2304" i="22"/>
  <c r="R2304" i="22"/>
  <c r="D2304" i="22"/>
  <c r="J2304" i="22"/>
  <c r="N2304" i="22" s="1"/>
  <c r="U2304" i="22" s="1"/>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D2142" i="22"/>
  <c r="J2142" i="22"/>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E2035" i="22"/>
  <c r="G2035" i="22"/>
  <c r="I2035" i="22"/>
  <c r="B2036" i="22"/>
  <c r="M1980" i="22"/>
  <c r="D1980" i="22"/>
  <c r="J1980" i="22"/>
  <c r="N1980" i="22" s="1"/>
  <c r="U1980" i="22" s="1"/>
  <c r="P1980" i="22"/>
  <c r="Q1980" i="22"/>
  <c r="R1980" i="22"/>
  <c r="L1981" i="22"/>
  <c r="C1981" i="22"/>
  <c r="E1981" i="22"/>
  <c r="G1981" i="22"/>
  <c r="I1981" i="22"/>
  <c r="B1982" i="22"/>
  <c r="M1926" i="22"/>
  <c r="D1926" i="22"/>
  <c r="J1926" i="22"/>
  <c r="N1926" i="22" s="1"/>
  <c r="U1926" i="22" s="1"/>
  <c r="P1926" i="22"/>
  <c r="Q1926" i="22"/>
  <c r="R1926" i="22"/>
  <c r="L1927" i="22"/>
  <c r="C1927" i="22"/>
  <c r="K1927" i="22" s="1"/>
  <c r="E1927" i="22"/>
  <c r="F1927" i="22"/>
  <c r="O1927" i="22" s="1"/>
  <c r="G1927" i="22"/>
  <c r="I1927" i="22"/>
  <c r="B1928" i="22"/>
  <c r="D1872" i="22"/>
  <c r="J1872" i="22"/>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E1711" i="22"/>
  <c r="G1711" i="22"/>
  <c r="I1711" i="22"/>
  <c r="B1712" i="22"/>
  <c r="M1656" i="22"/>
  <c r="D1656" i="22"/>
  <c r="J1656" i="22"/>
  <c r="N1656" i="22" s="1"/>
  <c r="U1656" i="22" s="1"/>
  <c r="P1656" i="22"/>
  <c r="Q1656" i="22"/>
  <c r="R1656" i="22"/>
  <c r="L1657" i="22"/>
  <c r="C1657" i="22"/>
  <c r="K1657" i="22" s="1"/>
  <c r="E1657" i="22"/>
  <c r="F1657" i="22"/>
  <c r="O1657" i="22" s="1"/>
  <c r="G1657" i="22"/>
  <c r="I1657" i="22"/>
  <c r="B1658" i="22"/>
  <c r="D1602" i="22"/>
  <c r="J1602" i="22"/>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D1386" i="22"/>
  <c r="J1386" i="22"/>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E1333" i="22"/>
  <c r="G1333" i="22"/>
  <c r="I1333" i="22"/>
  <c r="B1334" i="22"/>
  <c r="M1278" i="22"/>
  <c r="D1278" i="22"/>
  <c r="J1278" i="22"/>
  <c r="N1278" i="22" s="1"/>
  <c r="U1278" i="22" s="1"/>
  <c r="P1278" i="22"/>
  <c r="Q1278" i="22"/>
  <c r="R1278" i="22"/>
  <c r="L1279" i="22"/>
  <c r="C1279" i="22"/>
  <c r="E1279" i="22"/>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D1062" i="22"/>
  <c r="J1062" i="22"/>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E1009" i="22"/>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D738" i="22"/>
  <c r="J738" i="22"/>
  <c r="P738" i="22"/>
  <c r="Q738" i="22"/>
  <c r="R738" i="22"/>
  <c r="L739" i="22"/>
  <c r="C739" i="22"/>
  <c r="E739" i="22"/>
  <c r="G739" i="22"/>
  <c r="I739" i="22"/>
  <c r="B740" i="22"/>
  <c r="M684" i="22"/>
  <c r="D684" i="22"/>
  <c r="J684" i="22"/>
  <c r="N684" i="22" s="1"/>
  <c r="U684" i="22" s="1"/>
  <c r="P684" i="22"/>
  <c r="Q684" i="22"/>
  <c r="R684" i="22"/>
  <c r="L685" i="22"/>
  <c r="C685" i="22"/>
  <c r="E685" i="22"/>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B470" i="22"/>
  <c r="I469" i="22"/>
  <c r="D414" i="22"/>
  <c r="J414" i="22"/>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J144" i="22"/>
  <c r="D144" i="22"/>
  <c r="P144" i="22"/>
  <c r="Q144" i="22"/>
  <c r="R144" i="22"/>
  <c r="L145" i="22"/>
  <c r="E145" i="22"/>
  <c r="G145" i="22"/>
  <c r="I145" i="22"/>
  <c r="B146" i="22"/>
  <c r="C145" i="22"/>
  <c r="D90" i="22"/>
  <c r="J90" i="22"/>
  <c r="P90" i="22"/>
  <c r="Q90" i="22"/>
  <c r="R90" i="22"/>
  <c r="L91" i="22"/>
  <c r="C91" i="22"/>
  <c r="E91" i="22"/>
  <c r="G91" i="22"/>
  <c r="I91" i="22"/>
  <c r="B92" i="22"/>
  <c r="F27" i="18"/>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492" i="23"/>
  <c r="N1492" i="23"/>
  <c r="AE1492" i="23" s="1"/>
  <c r="M1380" i="23"/>
  <c r="N1380" i="23"/>
  <c r="AE1380" i="23" s="1"/>
  <c r="M1212" i="23"/>
  <c r="N1212" i="23"/>
  <c r="AE1212" i="23" s="1"/>
  <c r="M1156" i="23"/>
  <c r="N1156" i="23"/>
  <c r="AE1156" i="23" s="1"/>
  <c r="N1044" i="23"/>
  <c r="AE1044" i="23" s="1"/>
  <c r="M1044" i="23"/>
  <c r="M988" i="23"/>
  <c r="N988" i="23"/>
  <c r="AE988" i="23" s="1"/>
  <c r="M764" i="23"/>
  <c r="N764" i="23"/>
  <c r="AE764" i="23" s="1"/>
  <c r="M4577" i="22"/>
  <c r="N4577" i="22"/>
  <c r="M4523" i="22"/>
  <c r="N4523" i="22"/>
  <c r="M4223" i="22"/>
  <c r="N4223" i="22"/>
  <c r="U4223" i="22" s="1"/>
  <c r="M3707" i="22"/>
  <c r="N3707" i="22"/>
  <c r="U3707" i="22" s="1"/>
  <c r="M3383" i="22"/>
  <c r="N3383" i="22"/>
  <c r="U3383" i="22" s="1"/>
  <c r="M3113" i="22"/>
  <c r="N3113" i="22"/>
  <c r="U3113" i="22" s="1"/>
  <c r="M2789" i="22"/>
  <c r="N2789" i="22"/>
  <c r="S2789" i="22" s="1"/>
  <c r="T2789" i="22" s="1"/>
  <c r="U2789" i="22" s="1"/>
  <c r="M2681" i="22"/>
  <c r="N2681" i="22"/>
  <c r="U2681" i="22" s="1"/>
  <c r="M2627" i="22"/>
  <c r="N2627" i="22"/>
  <c r="U2627" i="22" s="1"/>
  <c r="M2519" i="22"/>
  <c r="N2519" i="22"/>
  <c r="U2519" i="22" s="1"/>
  <c r="M2465" i="22"/>
  <c r="N2465" i="22"/>
  <c r="U2465" i="22" s="1"/>
  <c r="M2195" i="22"/>
  <c r="N2195" i="22"/>
  <c r="U2195" i="22" s="1"/>
  <c r="M1871" i="22"/>
  <c r="N1871" i="22"/>
  <c r="U1871" i="22" s="1"/>
  <c r="M1601" i="22"/>
  <c r="N1601" i="22"/>
  <c r="U1601" i="22" s="1"/>
  <c r="M1277" i="22"/>
  <c r="N1277" i="22"/>
  <c r="U1277" i="22" s="1"/>
  <c r="M953" i="22"/>
  <c r="N953" i="22"/>
  <c r="U953" i="22" s="1"/>
  <c r="K1493" i="23"/>
  <c r="F1493" i="23"/>
  <c r="O1493" i="23" s="1"/>
  <c r="K1437" i="23"/>
  <c r="F1437" i="23"/>
  <c r="O1437" i="23" s="1"/>
  <c r="K1381" i="23"/>
  <c r="F1381" i="23"/>
  <c r="O1381" i="23" s="1"/>
  <c r="K1157" i="23"/>
  <c r="F1157" i="23"/>
  <c r="O1157" i="23" s="1"/>
  <c r="K1101" i="23"/>
  <c r="F1101" i="23"/>
  <c r="O1101" i="23" s="1"/>
  <c r="F877" i="23"/>
  <c r="O877" i="23" s="1"/>
  <c r="K877" i="23"/>
  <c r="F4524" i="22"/>
  <c r="K4524" i="22"/>
  <c r="K4224" i="22"/>
  <c r="F4224" i="22"/>
  <c r="O4224" i="22" s="1"/>
  <c r="F4062" i="22"/>
  <c r="O4062" i="22" s="1"/>
  <c r="K4062" i="22"/>
  <c r="K3762" i="22"/>
  <c r="F3762" i="22"/>
  <c r="O3762" i="22" s="1"/>
  <c r="F3546" i="22"/>
  <c r="O3546" i="22" s="1"/>
  <c r="K3546" i="22"/>
  <c r="K3384" i="22"/>
  <c r="F3384" i="22"/>
  <c r="O3384" i="22" s="1"/>
  <c r="F3222" i="22"/>
  <c r="O3222" i="22" s="1"/>
  <c r="K3222" i="22"/>
  <c r="K3168" i="22"/>
  <c r="F3168" i="22"/>
  <c r="O3168" i="22" s="1"/>
  <c r="K3114" i="22"/>
  <c r="F3114" i="22"/>
  <c r="O3114" i="22" s="1"/>
  <c r="K3060" i="22"/>
  <c r="F3060" i="22"/>
  <c r="O3060" i="22" s="1"/>
  <c r="K2844" i="22"/>
  <c r="F2844" i="22"/>
  <c r="O2844" i="22" s="1"/>
  <c r="F2790" i="22"/>
  <c r="O2790" i="22" s="1"/>
  <c r="K2790" i="22"/>
  <c r="K2466" i="22"/>
  <c r="F2466" i="22"/>
  <c r="O2466" i="22" s="1"/>
  <c r="K2142" i="22"/>
  <c r="F2142" i="22"/>
  <c r="O2142" i="22" s="1"/>
  <c r="F1872" i="22"/>
  <c r="O1872" i="22" s="1"/>
  <c r="K1872" i="22"/>
  <c r="F1602" i="22"/>
  <c r="O1602" i="22" s="1"/>
  <c r="K1602" i="22"/>
  <c r="K1386" i="22"/>
  <c r="F1386" i="22"/>
  <c r="O1386" i="22" s="1"/>
  <c r="F1062" i="22"/>
  <c r="O1062" i="22" s="1"/>
  <c r="K1062" i="22"/>
  <c r="F738" i="22"/>
  <c r="O738" i="22" s="1"/>
  <c r="K738" i="22"/>
  <c r="F414" i="22"/>
  <c r="O414" i="22" s="1"/>
  <c r="K414" i="22"/>
  <c r="F144" i="22"/>
  <c r="O144" i="22" s="1"/>
  <c r="K144" i="22"/>
  <c r="F90" i="22"/>
  <c r="O90" i="22" s="1"/>
  <c r="K90" i="22"/>
  <c r="K3277" i="22" l="1"/>
  <c r="F3277" i="22"/>
  <c r="O3277" i="22" s="1"/>
  <c r="K2737" i="22"/>
  <c r="F2737" i="22"/>
  <c r="O2737" i="22" s="1"/>
  <c r="K2467" i="22"/>
  <c r="F2467" i="22"/>
  <c r="O2467"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P1494" i="23"/>
  <c r="Q1494" i="23"/>
  <c r="R1494" i="23"/>
  <c r="J1494" i="23"/>
  <c r="D1494" i="23"/>
  <c r="L1495" i="23"/>
  <c r="I1495" i="23"/>
  <c r="C1495" i="23"/>
  <c r="K1495" i="23" s="1"/>
  <c r="E1495" i="23"/>
  <c r="F1495" i="23"/>
  <c r="O1495" i="23" s="1"/>
  <c r="G1495" i="23"/>
  <c r="B1496" i="23"/>
  <c r="L1439" i="23"/>
  <c r="I1439" i="23"/>
  <c r="C1439" i="23"/>
  <c r="E1439" i="23"/>
  <c r="G1439" i="23"/>
  <c r="B1440" i="23"/>
  <c r="J1438" i="23"/>
  <c r="D1438" i="23"/>
  <c r="P1438" i="23"/>
  <c r="Q1438" i="23"/>
  <c r="R1438" i="23"/>
  <c r="M1382" i="23"/>
  <c r="J1382" i="23"/>
  <c r="N1382" i="23" s="1"/>
  <c r="AE1382" i="23" s="1"/>
  <c r="D1382" i="23"/>
  <c r="P1382" i="23"/>
  <c r="Q1382" i="23"/>
  <c r="R1382" i="23"/>
  <c r="L1383" i="23"/>
  <c r="I1383" i="23"/>
  <c r="G1383" i="23"/>
  <c r="B1384" i="23"/>
  <c r="C1383" i="23"/>
  <c r="E1383" i="23"/>
  <c r="J1326" i="23"/>
  <c r="D1326" i="23"/>
  <c r="P1326" i="23"/>
  <c r="Q1326" i="23"/>
  <c r="R1326" i="23"/>
  <c r="L1327" i="23"/>
  <c r="I1327" i="23"/>
  <c r="C1327" i="23"/>
  <c r="K1327" i="23" s="1"/>
  <c r="E1327" i="23"/>
  <c r="F1327" i="23"/>
  <c r="O1327" i="23" s="1"/>
  <c r="G1327" i="23"/>
  <c r="B1328" i="23"/>
  <c r="J1270" i="23"/>
  <c r="D1270" i="23"/>
  <c r="M1270" i="23" s="1"/>
  <c r="N1270" i="23" s="1"/>
  <c r="AE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E1215" i="23"/>
  <c r="G1215" i="23"/>
  <c r="B1216" i="23"/>
  <c r="M1158" i="23"/>
  <c r="J1158" i="23"/>
  <c r="N1158" i="23" s="1"/>
  <c r="AE1158" i="23" s="1"/>
  <c r="D1158" i="23"/>
  <c r="P1158" i="23"/>
  <c r="Q1158" i="23"/>
  <c r="R1158" i="23"/>
  <c r="L1159" i="23"/>
  <c r="I1159" i="23"/>
  <c r="G1159" i="23"/>
  <c r="C1159" i="23"/>
  <c r="E1159" i="23"/>
  <c r="B1160" i="23"/>
  <c r="M1102" i="23"/>
  <c r="J1102" i="23"/>
  <c r="N1102" i="23" s="1"/>
  <c r="AE1102" i="23" s="1"/>
  <c r="D1102" i="23"/>
  <c r="P1102" i="23"/>
  <c r="Q1102" i="23"/>
  <c r="R1102" i="23"/>
  <c r="L1103" i="23"/>
  <c r="I1103" i="23"/>
  <c r="B1104" i="23"/>
  <c r="C1103" i="23"/>
  <c r="E1103" i="23"/>
  <c r="G1103" i="23"/>
  <c r="M1046" i="23"/>
  <c r="J1046" i="23"/>
  <c r="N1046" i="23" s="1"/>
  <c r="AE1046" i="23" s="1"/>
  <c r="D1046" i="23"/>
  <c r="P1046" i="23"/>
  <c r="Q1046" i="23"/>
  <c r="R1046" i="23"/>
  <c r="L1047" i="23"/>
  <c r="I1047" i="23"/>
  <c r="G1047" i="23"/>
  <c r="B1048" i="23"/>
  <c r="C1047" i="23"/>
  <c r="K1047" i="23" s="1"/>
  <c r="E1047" i="23"/>
  <c r="F1047" i="23"/>
  <c r="O1047" i="23" s="1"/>
  <c r="M990" i="23"/>
  <c r="J990" i="23"/>
  <c r="N990" i="23" s="1"/>
  <c r="AE990" i="23" s="1"/>
  <c r="D990" i="23"/>
  <c r="P990" i="23"/>
  <c r="Q990" i="23"/>
  <c r="R990" i="23"/>
  <c r="L991" i="23"/>
  <c r="I991" i="23"/>
  <c r="C991" i="23"/>
  <c r="K991" i="23" s="1"/>
  <c r="E991" i="23"/>
  <c r="F991" i="23"/>
  <c r="O991" i="23" s="1"/>
  <c r="G991" i="23"/>
  <c r="B992" i="23"/>
  <c r="J934" i="23"/>
  <c r="D934" i="23"/>
  <c r="P934" i="23"/>
  <c r="Q934" i="23"/>
  <c r="R934" i="23"/>
  <c r="L935" i="23"/>
  <c r="I935" i="23"/>
  <c r="C935" i="23"/>
  <c r="E935" i="23"/>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Q710" i="23"/>
  <c r="R710" i="23"/>
  <c r="P710" i="23"/>
  <c r="L711" i="23"/>
  <c r="I711" i="23"/>
  <c r="C711" i="23"/>
  <c r="K711" i="23" s="1"/>
  <c r="E711" i="23"/>
  <c r="F711" i="23"/>
  <c r="O711" i="23" s="1"/>
  <c r="G711" i="23"/>
  <c r="B712" i="23"/>
  <c r="M654" i="23"/>
  <c r="J654" i="23"/>
  <c r="N654" i="23" s="1"/>
  <c r="AE654" i="23" s="1"/>
  <c r="D654" i="23"/>
  <c r="P654" i="23"/>
  <c r="Q654" i="23"/>
  <c r="R654" i="23"/>
  <c r="L655" i="23"/>
  <c r="I655" i="23"/>
  <c r="C655" i="23"/>
  <c r="E655" i="23"/>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J486" i="23"/>
  <c r="D486" i="23"/>
  <c r="P486" i="23"/>
  <c r="Q486" i="23"/>
  <c r="R486" i="23"/>
  <c r="L487" i="23"/>
  <c r="I487" i="23"/>
  <c r="C487" i="23"/>
  <c r="K487" i="23" s="1"/>
  <c r="E487" i="23"/>
  <c r="F487" i="23"/>
  <c r="O487" i="23" s="1"/>
  <c r="G487" i="23"/>
  <c r="B488" i="23"/>
  <c r="J430" i="23"/>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E375" i="23"/>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J4741" i="22"/>
  <c r="D4741" i="22"/>
  <c r="P4741" i="22"/>
  <c r="Q4741" i="22"/>
  <c r="R4741" i="22"/>
  <c r="M4741" i="22"/>
  <c r="N4741" i="22"/>
  <c r="E4742" i="22"/>
  <c r="G4742" i="22"/>
  <c r="I4742" i="22"/>
  <c r="C4742" i="22"/>
  <c r="K4742" i="22" s="1"/>
  <c r="F4742" i="22"/>
  <c r="L4742" i="22"/>
  <c r="B4743" i="22"/>
  <c r="U4686" i="22"/>
  <c r="S4686" i="22"/>
  <c r="D4687" i="22"/>
  <c r="J4687" i="22"/>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J4579" i="22"/>
  <c r="D4579" i="22"/>
  <c r="P4579" i="22"/>
  <c r="Q4579" i="22"/>
  <c r="R4579" i="22"/>
  <c r="I4580" i="22"/>
  <c r="L4580" i="22"/>
  <c r="C4580" i="22"/>
  <c r="E4580" i="22"/>
  <c r="G4580" i="22"/>
  <c r="B4581" i="22"/>
  <c r="M4525" i="22"/>
  <c r="D4525" i="22"/>
  <c r="J4525" i="22"/>
  <c r="N4525" i="22" s="1"/>
  <c r="P4525" i="22"/>
  <c r="Q4525" i="22"/>
  <c r="R4525" i="22"/>
  <c r="L4526" i="22"/>
  <c r="C4526" i="22"/>
  <c r="K4526" i="22" s="1"/>
  <c r="E4526" i="22"/>
  <c r="F4526" i="22"/>
  <c r="G4526" i="22"/>
  <c r="I4526" i="22"/>
  <c r="B4527" i="22"/>
  <c r="D4225" i="22"/>
  <c r="J4225" i="22"/>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E4172" i="22"/>
  <c r="G4172" i="22"/>
  <c r="I4172" i="22"/>
  <c r="B4173" i="22"/>
  <c r="D4117" i="22"/>
  <c r="J4117" i="22"/>
  <c r="P4117" i="22"/>
  <c r="Q4117" i="22"/>
  <c r="R4117" i="22"/>
  <c r="M4117" i="22"/>
  <c r="N4117" i="22"/>
  <c r="U4117" i="22" s="1"/>
  <c r="C4118" i="22"/>
  <c r="E4118" i="22"/>
  <c r="F4118" i="22"/>
  <c r="O4118" i="22" s="1"/>
  <c r="G4118" i="22"/>
  <c r="I4118" i="22"/>
  <c r="K4118" i="22"/>
  <c r="L4118" i="22"/>
  <c r="B4119" i="22"/>
  <c r="M4063" i="22"/>
  <c r="E4064" i="22"/>
  <c r="I4064" i="22"/>
  <c r="C4064" i="22"/>
  <c r="G4064" i="22"/>
  <c r="L4064" i="22"/>
  <c r="B4065" i="22"/>
  <c r="J4063" i="22"/>
  <c r="N4063" i="22" s="1"/>
  <c r="U4063" i="22" s="1"/>
  <c r="D4063" i="22"/>
  <c r="P4063" i="22"/>
  <c r="Q4063" i="22"/>
  <c r="R4063" i="22"/>
  <c r="M3763" i="22"/>
  <c r="D3763" i="22"/>
  <c r="J3763" i="22"/>
  <c r="N3763" i="22" s="1"/>
  <c r="U3763" i="22" s="1"/>
  <c r="P3763" i="22"/>
  <c r="Q3763" i="22"/>
  <c r="R3763" i="22"/>
  <c r="L3764" i="22"/>
  <c r="C3764" i="22"/>
  <c r="K3764" i="22" s="1"/>
  <c r="E3764" i="22"/>
  <c r="F3764" i="22"/>
  <c r="O3764" i="22" s="1"/>
  <c r="G3764" i="22"/>
  <c r="I3764" i="22"/>
  <c r="B3765" i="22"/>
  <c r="D3709" i="22"/>
  <c r="J3709" i="22"/>
  <c r="P3709" i="22"/>
  <c r="Q3709" i="22"/>
  <c r="R3709" i="22"/>
  <c r="L3710" i="22"/>
  <c r="C3710" i="22"/>
  <c r="E3710" i="22"/>
  <c r="G3710" i="22"/>
  <c r="I3710" i="22"/>
  <c r="B3711" i="22"/>
  <c r="D3655" i="22"/>
  <c r="J3655" i="22"/>
  <c r="P3655" i="22"/>
  <c r="Q3655" i="22"/>
  <c r="R3655" i="22"/>
  <c r="L3656" i="22"/>
  <c r="C3656" i="22"/>
  <c r="E3656" i="22"/>
  <c r="G3656" i="22"/>
  <c r="I3656" i="22"/>
  <c r="B3657" i="22"/>
  <c r="M3601" i="22"/>
  <c r="D3601" i="22"/>
  <c r="J3601" i="22"/>
  <c r="N3601" i="22" s="1"/>
  <c r="U3601" i="22" s="1"/>
  <c r="P3601" i="22"/>
  <c r="Q3601" i="22"/>
  <c r="R3601" i="22"/>
  <c r="L3602" i="22"/>
  <c r="C3602" i="22"/>
  <c r="E3602" i="22"/>
  <c r="G3602" i="22"/>
  <c r="I3602" i="22"/>
  <c r="B3603" i="22"/>
  <c r="P3547" i="22"/>
  <c r="Q3547" i="22"/>
  <c r="R3547" i="22"/>
  <c r="L3548" i="22"/>
  <c r="E3548" i="22"/>
  <c r="B3549" i="22"/>
  <c r="C3548" i="22"/>
  <c r="K3548" i="22" s="1"/>
  <c r="F3548" i="22"/>
  <c r="O3548" i="22" s="1"/>
  <c r="G3548" i="22"/>
  <c r="I3548" i="22"/>
  <c r="D3547" i="22"/>
  <c r="J3547"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D3385" i="22"/>
  <c r="J3385" i="22"/>
  <c r="P3385" i="22"/>
  <c r="Q3385" i="22"/>
  <c r="R3385" i="22"/>
  <c r="L3386" i="22"/>
  <c r="C3386" i="22"/>
  <c r="K3386" i="22" s="1"/>
  <c r="E3386" i="22"/>
  <c r="F3386" i="22"/>
  <c r="O3386" i="22" s="1"/>
  <c r="G3386" i="22"/>
  <c r="I3386" i="22"/>
  <c r="B3387" i="22"/>
  <c r="D3331" i="22"/>
  <c r="J3331" i="22"/>
  <c r="P3331" i="22"/>
  <c r="Q3331" i="22"/>
  <c r="R3331" i="22"/>
  <c r="L3332" i="22"/>
  <c r="C3332" i="22"/>
  <c r="E3332" i="22"/>
  <c r="G3332" i="22"/>
  <c r="I3332" i="22"/>
  <c r="B3333" i="22"/>
  <c r="M3277" i="22"/>
  <c r="J3277" i="22"/>
  <c r="N3277" i="22" s="1"/>
  <c r="U3277" i="22" s="1"/>
  <c r="D3277" i="22"/>
  <c r="P3277" i="22"/>
  <c r="Q3277" i="22"/>
  <c r="R3277" i="22"/>
  <c r="L3278" i="22"/>
  <c r="G3278" i="22"/>
  <c r="I3278" i="22"/>
  <c r="B3279" i="22"/>
  <c r="E3278" i="22"/>
  <c r="C3278" i="22"/>
  <c r="M3223" i="22"/>
  <c r="P3223" i="22"/>
  <c r="Q3223" i="22"/>
  <c r="R3223" i="22"/>
  <c r="J3223" i="22"/>
  <c r="N3223" i="22" s="1"/>
  <c r="U3223" i="22" s="1"/>
  <c r="D3223" i="22"/>
  <c r="L3224" i="22"/>
  <c r="C3224" i="22"/>
  <c r="K3224" i="22" s="1"/>
  <c r="E3224" i="22"/>
  <c r="G3224" i="22"/>
  <c r="F3224" i="22"/>
  <c r="O3224" i="22" s="1"/>
  <c r="B3225" i="22"/>
  <c r="I3224"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D2953" i="22"/>
  <c r="J2953" i="22"/>
  <c r="P2953" i="22"/>
  <c r="Q2953" i="22"/>
  <c r="R2953" i="22"/>
  <c r="L2954" i="22"/>
  <c r="C2954" i="22"/>
  <c r="E2954" i="22"/>
  <c r="G2954" i="22"/>
  <c r="I2954" i="22"/>
  <c r="B2955" i="22"/>
  <c r="M2899" i="22"/>
  <c r="D2899" i="22"/>
  <c r="J2899" i="22"/>
  <c r="N2899" i="22" s="1"/>
  <c r="U2899" i="22" s="1"/>
  <c r="P2899" i="22"/>
  <c r="Q2899" i="22"/>
  <c r="R2899" i="22"/>
  <c r="L2900" i="22"/>
  <c r="C2900" i="22"/>
  <c r="E2900" i="22"/>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J2683" i="22"/>
  <c r="D2683" i="22"/>
  <c r="P2683" i="22"/>
  <c r="Q2683" i="22"/>
  <c r="R2683" i="22"/>
  <c r="L2684" i="22"/>
  <c r="G2684" i="22"/>
  <c r="I2684" i="22"/>
  <c r="B2685" i="22"/>
  <c r="C2684" i="22"/>
  <c r="K2684" i="22" s="1"/>
  <c r="E2684" i="22"/>
  <c r="F2684" i="22"/>
  <c r="O2684" i="22" s="1"/>
  <c r="P2629" i="22"/>
  <c r="Q2629" i="22"/>
  <c r="R2629" i="22"/>
  <c r="J2629" i="22"/>
  <c r="D2629" i="22"/>
  <c r="L2630" i="22"/>
  <c r="E2630" i="22"/>
  <c r="G2630" i="22"/>
  <c r="B2631" i="22"/>
  <c r="C2630" i="22"/>
  <c r="I2630"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J2305" i="22"/>
  <c r="N2305" i="22" s="1"/>
  <c r="U2305" i="22" s="1"/>
  <c r="D2305" i="22"/>
  <c r="P2305" i="22"/>
  <c r="Q2305" i="22"/>
  <c r="R2305" i="22"/>
  <c r="L2306" i="22"/>
  <c r="I2306" i="22"/>
  <c r="B2307" i="22"/>
  <c r="C2306" i="22"/>
  <c r="K2306" i="22" s="1"/>
  <c r="F2306" i="22"/>
  <c r="O2306" i="22" s="1"/>
  <c r="G2306" i="22"/>
  <c r="E2306"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E2198" i="22"/>
  <c r="G2198" i="22"/>
  <c r="I2198" i="22"/>
  <c r="B2199" i="22"/>
  <c r="M2143" i="22"/>
  <c r="D2143" i="22"/>
  <c r="J2143" i="22"/>
  <c r="N2143" i="22" s="1"/>
  <c r="U2143" i="22" s="1"/>
  <c r="P2143" i="22"/>
  <c r="Q2143" i="22"/>
  <c r="R2143" i="22"/>
  <c r="L2144" i="22"/>
  <c r="C2144" i="22"/>
  <c r="E2144" i="22"/>
  <c r="G2144" i="22"/>
  <c r="I2144" i="22"/>
  <c r="B2145" i="22"/>
  <c r="M2089" i="22"/>
  <c r="D2089" i="22"/>
  <c r="J2089" i="22"/>
  <c r="N2089" i="22" s="1"/>
  <c r="U2089" i="22" s="1"/>
  <c r="P2089" i="22"/>
  <c r="Q2089" i="22"/>
  <c r="R2089" i="22"/>
  <c r="L2090" i="22"/>
  <c r="C2090" i="22"/>
  <c r="E2090" i="22"/>
  <c r="G2090" i="22"/>
  <c r="I2090" i="22"/>
  <c r="B2091" i="22"/>
  <c r="D2035" i="22"/>
  <c r="J2035" i="22"/>
  <c r="P2035" i="22"/>
  <c r="Q2035" i="22"/>
  <c r="R2035" i="22"/>
  <c r="L2036" i="22"/>
  <c r="C2036" i="22"/>
  <c r="E2036" i="22"/>
  <c r="G2036" i="22"/>
  <c r="I2036" i="22"/>
  <c r="B2037" i="22"/>
  <c r="D1981" i="22"/>
  <c r="J1981" i="22"/>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E1928" i="22"/>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E1820" i="22"/>
  <c r="G1820" i="22"/>
  <c r="I1820" i="22"/>
  <c r="B1821" i="22"/>
  <c r="M1765" i="22"/>
  <c r="D1765" i="22"/>
  <c r="J1765" i="22"/>
  <c r="N1765" i="22" s="1"/>
  <c r="U1765" i="22" s="1"/>
  <c r="P1765" i="22"/>
  <c r="Q1765" i="22"/>
  <c r="R1765" i="22"/>
  <c r="L1766" i="22"/>
  <c r="C1766" i="22"/>
  <c r="K1766" i="22" s="1"/>
  <c r="E1766" i="22"/>
  <c r="F1766" i="22"/>
  <c r="O1766" i="22" s="1"/>
  <c r="G1766" i="22"/>
  <c r="I1766" i="22"/>
  <c r="B1767" i="22"/>
  <c r="D1711" i="22"/>
  <c r="J1711" i="22"/>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I1388" i="22"/>
  <c r="C1388" i="22"/>
  <c r="E1388" i="22"/>
  <c r="G1388" i="22"/>
  <c r="B1389" i="22"/>
  <c r="D1333" i="22"/>
  <c r="J1333" i="22"/>
  <c r="P1333" i="22"/>
  <c r="Q1333" i="22"/>
  <c r="R1333" i="22"/>
  <c r="L1334" i="22"/>
  <c r="C1334" i="22"/>
  <c r="K1334" i="22" s="1"/>
  <c r="E1334" i="22"/>
  <c r="F1334" i="22"/>
  <c r="O1334" i="22" s="1"/>
  <c r="G1334" i="22"/>
  <c r="I1334" i="22"/>
  <c r="B1335" i="22"/>
  <c r="D1279" i="22"/>
  <c r="J1279" i="22"/>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E1226" i="22"/>
  <c r="G1226" i="22"/>
  <c r="I1226" i="22"/>
  <c r="B1227" i="22"/>
  <c r="M1171" i="22"/>
  <c r="D1171" i="22"/>
  <c r="J1171" i="22"/>
  <c r="N1171" i="22" s="1"/>
  <c r="U1171" i="22" s="1"/>
  <c r="P1171" i="22"/>
  <c r="Q1171" i="22"/>
  <c r="R1171" i="22"/>
  <c r="L1172" i="22"/>
  <c r="C1172" i="22"/>
  <c r="E1172" i="22"/>
  <c r="G1172" i="22"/>
  <c r="I1172" i="22"/>
  <c r="B1173" i="22"/>
  <c r="M1117" i="22"/>
  <c r="D1117" i="22"/>
  <c r="J1117" i="22"/>
  <c r="N1117" i="22" s="1"/>
  <c r="U1117" i="22" s="1"/>
  <c r="P1117" i="22"/>
  <c r="Q1117" i="22"/>
  <c r="R1117" i="22"/>
  <c r="L1118" i="22"/>
  <c r="C1118" i="22"/>
  <c r="K1118" i="22" s="1"/>
  <c r="E1118" i="22"/>
  <c r="F1118" i="22"/>
  <c r="O1118" i="22" s="1"/>
  <c r="G1118" i="22"/>
  <c r="I1118" i="22"/>
  <c r="B1119" i="22"/>
  <c r="M1063" i="22"/>
  <c r="D1063" i="22"/>
  <c r="J1063" i="22"/>
  <c r="N1063" i="22" s="1"/>
  <c r="U1063" i="22" s="1"/>
  <c r="P1063" i="22"/>
  <c r="Q1063" i="22"/>
  <c r="R1063" i="22"/>
  <c r="L1064" i="22"/>
  <c r="C1064" i="22"/>
  <c r="K1064" i="22" s="1"/>
  <c r="E1064" i="22"/>
  <c r="F1064" i="22"/>
  <c r="O1064" i="22" s="1"/>
  <c r="G1064" i="22"/>
  <c r="I1064" i="22"/>
  <c r="B1065" i="22"/>
  <c r="D1009" i="22"/>
  <c r="J1009" i="22"/>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E848" i="22"/>
  <c r="G848" i="22"/>
  <c r="I848" i="22"/>
  <c r="B849" i="22"/>
  <c r="M793" i="22"/>
  <c r="D793" i="22"/>
  <c r="J793" i="22"/>
  <c r="N793" i="22" s="1"/>
  <c r="U793" i="22" s="1"/>
  <c r="P793" i="22"/>
  <c r="Q793" i="22"/>
  <c r="R793" i="22"/>
  <c r="L794" i="22"/>
  <c r="C794" i="22"/>
  <c r="K794" i="22" s="1"/>
  <c r="E794" i="22"/>
  <c r="F794" i="22"/>
  <c r="O794" i="22" s="1"/>
  <c r="G794" i="22"/>
  <c r="I794" i="22"/>
  <c r="B795" i="22"/>
  <c r="D739" i="22"/>
  <c r="J739" i="22"/>
  <c r="P739" i="22"/>
  <c r="Q739" i="22"/>
  <c r="R739" i="22"/>
  <c r="L740" i="22"/>
  <c r="C740" i="22"/>
  <c r="K740" i="22" s="1"/>
  <c r="E740" i="22"/>
  <c r="F740" i="22"/>
  <c r="O740" i="22" s="1"/>
  <c r="G740" i="22"/>
  <c r="I740" i="22"/>
  <c r="B741" i="22"/>
  <c r="D685" i="22"/>
  <c r="J685" i="22"/>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E578" i="22"/>
  <c r="G578" i="22"/>
  <c r="I578" i="22"/>
  <c r="B579" i="22"/>
  <c r="M523" i="22"/>
  <c r="D523" i="22"/>
  <c r="J523" i="22"/>
  <c r="N523" i="22" s="1"/>
  <c r="U523" i="22" s="1"/>
  <c r="P523" i="22"/>
  <c r="Q523" i="22"/>
  <c r="R523" i="22"/>
  <c r="L524" i="22"/>
  <c r="C524" i="22"/>
  <c r="E524" i="22"/>
  <c r="G524" i="22"/>
  <c r="I524" i="22"/>
  <c r="B525" i="22"/>
  <c r="M469" i="22"/>
  <c r="D469" i="22"/>
  <c r="J469" i="22"/>
  <c r="N469" i="22" s="1"/>
  <c r="U469" i="22" s="1"/>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B417" i="22"/>
  <c r="I416" i="22"/>
  <c r="M361" i="22"/>
  <c r="D361" i="22"/>
  <c r="J361" i="22"/>
  <c r="N361" i="22" s="1"/>
  <c r="U361" i="22" s="1"/>
  <c r="P361" i="22"/>
  <c r="Q361" i="22"/>
  <c r="R361" i="22"/>
  <c r="L362" i="22"/>
  <c r="C362" i="22"/>
  <c r="E362" i="22"/>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P145" i="22"/>
  <c r="Q145" i="22"/>
  <c r="R145" i="22"/>
  <c r="L146" i="22"/>
  <c r="E146" i="22"/>
  <c r="C146" i="22"/>
  <c r="K146" i="22" s="1"/>
  <c r="F146" i="22"/>
  <c r="O146" i="22" s="1"/>
  <c r="G146" i="22"/>
  <c r="I146" i="22"/>
  <c r="B147" i="22"/>
  <c r="D145" i="22"/>
  <c r="J145" i="22"/>
  <c r="D91" i="22"/>
  <c r="J91" i="22"/>
  <c r="P91" i="22"/>
  <c r="Q91" i="22"/>
  <c r="R91" i="22"/>
  <c r="L92" i="22"/>
  <c r="C92" i="22"/>
  <c r="K92" i="22" s="1"/>
  <c r="E92" i="22"/>
  <c r="F92" i="22"/>
  <c r="O92" i="22" s="1"/>
  <c r="G92" i="22"/>
  <c r="I92" i="22"/>
  <c r="B93" i="22"/>
  <c r="G28" i="18"/>
  <c r="H28" i="18"/>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493" i="23"/>
  <c r="N1493" i="23"/>
  <c r="AE1493" i="23" s="1"/>
  <c r="M1437" i="23"/>
  <c r="N1437" i="23"/>
  <c r="AE1437" i="23" s="1"/>
  <c r="M1381" i="23"/>
  <c r="N1381" i="23"/>
  <c r="AE1381" i="23" s="1"/>
  <c r="M1157" i="23"/>
  <c r="N1157" i="23"/>
  <c r="AE1157" i="23" s="1"/>
  <c r="M1101" i="23"/>
  <c r="N1101" i="23"/>
  <c r="AE1101" i="23" s="1"/>
  <c r="M877" i="23"/>
  <c r="N877" i="23"/>
  <c r="AE877" i="23" s="1"/>
  <c r="M4524" i="22"/>
  <c r="N4524" i="22"/>
  <c r="M4224" i="22"/>
  <c r="N4224" i="22"/>
  <c r="U4224" i="22" s="1"/>
  <c r="M4062" i="22"/>
  <c r="N4062" i="22"/>
  <c r="U4062" i="22" s="1"/>
  <c r="M3762" i="22"/>
  <c r="N3762" i="22"/>
  <c r="U3762" i="22" s="1"/>
  <c r="M3546" i="22"/>
  <c r="N3546" i="22"/>
  <c r="U3546" i="22" s="1"/>
  <c r="M3384" i="22"/>
  <c r="N3384" i="22"/>
  <c r="U3384" i="22" s="1"/>
  <c r="N3222" i="22"/>
  <c r="U3222" i="22" s="1"/>
  <c r="M3222" i="22"/>
  <c r="M3168" i="22"/>
  <c r="N3168" i="22"/>
  <c r="U3168" i="22" s="1"/>
  <c r="M3114" i="22"/>
  <c r="N3114" i="22"/>
  <c r="U3114" i="22" s="1"/>
  <c r="M3060" i="22"/>
  <c r="N3060" i="22"/>
  <c r="U3060" i="22" s="1"/>
  <c r="M2844" i="22"/>
  <c r="N2844" i="22"/>
  <c r="U2844" i="22" s="1"/>
  <c r="M2790" i="22"/>
  <c r="N2790" i="22"/>
  <c r="S2790" i="22" s="1"/>
  <c r="T2790" i="22" s="1"/>
  <c r="U2790" i="22" s="1"/>
  <c r="M2466" i="22"/>
  <c r="N2466" i="22"/>
  <c r="U2466" i="22" s="1"/>
  <c r="M2142" i="22"/>
  <c r="N2142" i="22"/>
  <c r="U2142" i="22" s="1"/>
  <c r="M1872" i="22"/>
  <c r="N1872" i="22"/>
  <c r="U1872" i="22" s="1"/>
  <c r="M1602" i="22"/>
  <c r="N1602" i="22"/>
  <c r="U1602" i="22" s="1"/>
  <c r="M1386" i="22"/>
  <c r="N1386" i="22"/>
  <c r="U1386" i="22" s="1"/>
  <c r="M1062" i="22"/>
  <c r="N1062" i="22"/>
  <c r="U1062" i="22" s="1"/>
  <c r="M738" i="22"/>
  <c r="N738" i="22"/>
  <c r="U738" i="22" s="1"/>
  <c r="M414" i="22"/>
  <c r="N414" i="22"/>
  <c r="U414" i="22" s="1"/>
  <c r="M144" i="22"/>
  <c r="N144" i="22"/>
  <c r="U144" i="22" s="1"/>
  <c r="M90" i="22"/>
  <c r="N90" i="22"/>
  <c r="U90" i="22" s="1"/>
  <c r="F1494" i="23"/>
  <c r="O1494" i="23" s="1"/>
  <c r="K1494" i="23"/>
  <c r="K1438" i="23"/>
  <c r="F1438" i="23"/>
  <c r="O1438" i="23" s="1"/>
  <c r="K1326" i="23"/>
  <c r="F1326" i="23"/>
  <c r="O1326" i="23" s="1"/>
  <c r="F934" i="23"/>
  <c r="O934" i="23" s="1"/>
  <c r="K934" i="23"/>
  <c r="F486" i="23"/>
  <c r="O486" i="23" s="1"/>
  <c r="K486" i="23"/>
  <c r="K430" i="23"/>
  <c r="F430" i="23"/>
  <c r="O430" i="23" s="1"/>
  <c r="F4687" i="22"/>
  <c r="K4687" i="22"/>
  <c r="K4579" i="22"/>
  <c r="F4579" i="22"/>
  <c r="K4225" i="22"/>
  <c r="F4225" i="22"/>
  <c r="O4225" i="22" s="1"/>
  <c r="K3709" i="22"/>
  <c r="F3709" i="22"/>
  <c r="O3709" i="22" s="1"/>
  <c r="K3655" i="22"/>
  <c r="F3655" i="22"/>
  <c r="O3655" i="22" s="1"/>
  <c r="K3547" i="22"/>
  <c r="F3547" i="22"/>
  <c r="O3547" i="22" s="1"/>
  <c r="F3385" i="22"/>
  <c r="O3385" i="22" s="1"/>
  <c r="K3385" i="22"/>
  <c r="K3331" i="22"/>
  <c r="F3331" i="22"/>
  <c r="O3331" i="22" s="1"/>
  <c r="F2953" i="22"/>
  <c r="O2953" i="22" s="1"/>
  <c r="K2953" i="22"/>
  <c r="K2683" i="22"/>
  <c r="F2683" i="22"/>
  <c r="O2683" i="22" s="1"/>
  <c r="K2629" i="22"/>
  <c r="F2629" i="22"/>
  <c r="O2629" i="22" s="1"/>
  <c r="F2035" i="22"/>
  <c r="O2035" i="22" s="1"/>
  <c r="K2035" i="22"/>
  <c r="K1981" i="22"/>
  <c r="F1981" i="22"/>
  <c r="O1981" i="22" s="1"/>
  <c r="K1711" i="22"/>
  <c r="F1711" i="22"/>
  <c r="O1711" i="22" s="1"/>
  <c r="F1333" i="22"/>
  <c r="O1333" i="22" s="1"/>
  <c r="K1333" i="22"/>
  <c r="K1279" i="22"/>
  <c r="F1279" i="22"/>
  <c r="O1279" i="22" s="1"/>
  <c r="F1009" i="22"/>
  <c r="O1009" i="22" s="1"/>
  <c r="K1009" i="22"/>
  <c r="F739" i="22"/>
  <c r="O739" i="22" s="1"/>
  <c r="K739" i="22"/>
  <c r="F685" i="22"/>
  <c r="O685" i="22" s="1"/>
  <c r="K685" i="22"/>
  <c r="K145" i="22"/>
  <c r="F145" i="22"/>
  <c r="O145" i="22" s="1"/>
  <c r="F91" i="22"/>
  <c r="O91" i="22" s="1"/>
  <c r="K91" i="22"/>
  <c r="F28" i="18"/>
  <c r="K655" i="23" l="1"/>
  <c r="F655" i="23"/>
  <c r="O655" i="23" s="1"/>
  <c r="K2144" i="22"/>
  <c r="F2144" i="22"/>
  <c r="O2144" i="22" s="1"/>
  <c r="K2090" i="22"/>
  <c r="F2090" i="22"/>
  <c r="O2090" i="22" s="1"/>
  <c r="K2036" i="22"/>
  <c r="F2036" i="22"/>
  <c r="O2036" i="22" s="1"/>
  <c r="K1928" i="22"/>
  <c r="F1928" i="22"/>
  <c r="O1928" i="22" s="1"/>
  <c r="K362" i="22"/>
  <c r="F362" i="22"/>
  <c r="O362"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G1496" i="23"/>
  <c r="C1496" i="23"/>
  <c r="E1496" i="23"/>
  <c r="B1497" i="23"/>
  <c r="J1439" i="23"/>
  <c r="D1439" i="23"/>
  <c r="P1439" i="23"/>
  <c r="Q1439" i="23"/>
  <c r="R1439" i="23"/>
  <c r="L1440" i="23"/>
  <c r="I1440" i="23"/>
  <c r="G1440" i="23"/>
  <c r="B1441" i="23"/>
  <c r="C1440" i="23"/>
  <c r="E1440" i="23"/>
  <c r="P1383" i="23"/>
  <c r="Q1383" i="23"/>
  <c r="R1383" i="23"/>
  <c r="L1384" i="23"/>
  <c r="I1384" i="23"/>
  <c r="G1384" i="23"/>
  <c r="B1385" i="23"/>
  <c r="C1384" i="23"/>
  <c r="E1384" i="23"/>
  <c r="J1383" i="23"/>
  <c r="D1383" i="23"/>
  <c r="J1327" i="23"/>
  <c r="D1327" i="23"/>
  <c r="M1327" i="23" s="1"/>
  <c r="N1327" i="23" s="1"/>
  <c r="AE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J1215" i="23"/>
  <c r="D1215" i="23"/>
  <c r="P1215" i="23"/>
  <c r="Q1215" i="23"/>
  <c r="R1215" i="23"/>
  <c r="L1216" i="23"/>
  <c r="I1216" i="23"/>
  <c r="C1216" i="23"/>
  <c r="K1216" i="23" s="1"/>
  <c r="E1216" i="23"/>
  <c r="F1216" i="23"/>
  <c r="O1216" i="23" s="1"/>
  <c r="G1216" i="23"/>
  <c r="B1217" i="23"/>
  <c r="P1159" i="23"/>
  <c r="Q1159" i="23"/>
  <c r="R1159" i="23"/>
  <c r="J1159" i="23"/>
  <c r="D1159" i="23"/>
  <c r="L1160" i="23"/>
  <c r="I1160" i="23"/>
  <c r="C1160" i="23"/>
  <c r="E1160" i="23"/>
  <c r="G1160" i="23"/>
  <c r="B1161" i="23"/>
  <c r="L1104" i="23"/>
  <c r="I1104" i="23"/>
  <c r="G1104" i="23"/>
  <c r="C1104" i="23"/>
  <c r="E1104" i="23"/>
  <c r="B1105" i="23"/>
  <c r="J1103" i="23"/>
  <c r="D1103" i="23"/>
  <c r="P1103" i="23"/>
  <c r="Q1103" i="23"/>
  <c r="R1103" i="23"/>
  <c r="M1047" i="23"/>
  <c r="P1047" i="23"/>
  <c r="Q1047" i="23"/>
  <c r="R1047" i="23"/>
  <c r="L1048" i="23"/>
  <c r="I1048" i="23"/>
  <c r="C1048" i="23"/>
  <c r="E1048" i="23"/>
  <c r="G1048" i="23"/>
  <c r="B1049" i="23"/>
  <c r="J1047" i="23"/>
  <c r="N1047" i="23" s="1"/>
  <c r="AE1047" i="23" s="1"/>
  <c r="D1047" i="23"/>
  <c r="M991" i="23"/>
  <c r="J991" i="23"/>
  <c r="N991" i="23" s="1"/>
  <c r="AE991" i="23" s="1"/>
  <c r="D991" i="23"/>
  <c r="P991" i="23"/>
  <c r="Q991" i="23"/>
  <c r="R991" i="23"/>
  <c r="L992" i="23"/>
  <c r="I992" i="23"/>
  <c r="C992" i="23"/>
  <c r="K992" i="23" s="1"/>
  <c r="E992" i="23"/>
  <c r="F992" i="23"/>
  <c r="O992" i="23" s="1"/>
  <c r="G992" i="23"/>
  <c r="B993" i="23"/>
  <c r="J935" i="23"/>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N655" i="23" s="1"/>
  <c r="AE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E488" i="23"/>
  <c r="G488" i="23"/>
  <c r="B489" i="23"/>
  <c r="M431" i="23"/>
  <c r="J431" i="23"/>
  <c r="N431" i="23" s="1"/>
  <c r="AE431" i="23" s="1"/>
  <c r="D431" i="23"/>
  <c r="P431" i="23"/>
  <c r="Q431" i="23"/>
  <c r="R431" i="23"/>
  <c r="L432" i="23"/>
  <c r="I432" i="23"/>
  <c r="C432" i="23"/>
  <c r="E432" i="23"/>
  <c r="G432" i="23"/>
  <c r="B433" i="23"/>
  <c r="J375" i="23"/>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P4742" i="22"/>
  <c r="Q4742" i="22"/>
  <c r="R4742" i="22"/>
  <c r="M4742" i="22"/>
  <c r="J4742" i="22"/>
  <c r="N4742" i="22" s="1"/>
  <c r="D4742" i="22"/>
  <c r="G4743" i="22"/>
  <c r="C4743" i="22"/>
  <c r="E4743" i="22"/>
  <c r="I4743" i="22"/>
  <c r="L4743" i="22"/>
  <c r="B4744" i="22"/>
  <c r="T4686" i="22"/>
  <c r="U4687" i="22"/>
  <c r="S4687" i="22"/>
  <c r="T4687" i="22" s="1"/>
  <c r="M4688" i="22"/>
  <c r="D4688" i="22"/>
  <c r="J4688" i="22"/>
  <c r="N4688" i="22" s="1"/>
  <c r="P4688" i="22"/>
  <c r="Q4688" i="22"/>
  <c r="R4688" i="22"/>
  <c r="L4689" i="22"/>
  <c r="C4689" i="22"/>
  <c r="E4689" i="22"/>
  <c r="G4689" i="22"/>
  <c r="I4689" i="22"/>
  <c r="B4690" i="22"/>
  <c r="P4634" i="22"/>
  <c r="Q4634" i="22"/>
  <c r="R4634" i="22"/>
  <c r="C4635" i="22"/>
  <c r="D4635" i="22" s="1"/>
  <c r="E4635" i="22"/>
  <c r="F4635" i="22"/>
  <c r="O4635" i="22" s="1"/>
  <c r="G4635" i="22"/>
  <c r="B4636" i="22"/>
  <c r="J4580" i="22"/>
  <c r="D4580" i="22"/>
  <c r="P4580" i="22"/>
  <c r="Q4580" i="22"/>
  <c r="R4580" i="22"/>
  <c r="I4581" i="22"/>
  <c r="L4581" i="22"/>
  <c r="C4581" i="22"/>
  <c r="E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E4227" i="22"/>
  <c r="G4227" i="22"/>
  <c r="I4227" i="22"/>
  <c r="B4228" i="22"/>
  <c r="D4172" i="22"/>
  <c r="J4172" i="22"/>
  <c r="P4172" i="22"/>
  <c r="Q4172" i="22"/>
  <c r="R4172" i="22"/>
  <c r="L4173" i="22"/>
  <c r="C4173" i="22"/>
  <c r="K4173" i="22" s="1"/>
  <c r="E4173" i="22"/>
  <c r="F4173" i="22"/>
  <c r="O4173" i="22" s="1"/>
  <c r="G4173" i="22"/>
  <c r="I4173" i="22"/>
  <c r="B4174" i="22"/>
  <c r="D4118" i="22"/>
  <c r="J4118" i="22"/>
  <c r="P4118" i="22"/>
  <c r="Q4118" i="22"/>
  <c r="R4118" i="22"/>
  <c r="M4118" i="22"/>
  <c r="N4118" i="22"/>
  <c r="U4118" i="22" s="1"/>
  <c r="C4119" i="22"/>
  <c r="E4119" i="22"/>
  <c r="F4119" i="22"/>
  <c r="O4119" i="22" s="1"/>
  <c r="G4119" i="22"/>
  <c r="I4119" i="22"/>
  <c r="K4119" i="22"/>
  <c r="L4119" i="22"/>
  <c r="B4120" i="22"/>
  <c r="J4064" i="22"/>
  <c r="D4064" i="22"/>
  <c r="P4064" i="22"/>
  <c r="Q4064" i="22"/>
  <c r="R4064" i="22"/>
  <c r="G4065" i="22"/>
  <c r="I4065" i="22"/>
  <c r="B4066" i="22"/>
  <c r="C4065" i="22"/>
  <c r="E4065" i="22"/>
  <c r="F4065" i="22"/>
  <c r="O4065" i="22" s="1"/>
  <c r="K4065" i="22"/>
  <c r="L4065" i="22"/>
  <c r="M3764" i="22"/>
  <c r="D3764" i="22"/>
  <c r="J3764" i="22"/>
  <c r="N3764" i="22" s="1"/>
  <c r="U3764" i="22" s="1"/>
  <c r="P3764" i="22"/>
  <c r="Q3764" i="22"/>
  <c r="R3764" i="22"/>
  <c r="L3765" i="22"/>
  <c r="C3765" i="22"/>
  <c r="E3765" i="22"/>
  <c r="G3765" i="22"/>
  <c r="I3765" i="22"/>
  <c r="B3766" i="22"/>
  <c r="D3710" i="22"/>
  <c r="J3710" i="22"/>
  <c r="P3710" i="22"/>
  <c r="Q3710" i="22"/>
  <c r="R3710" i="22"/>
  <c r="L3711" i="22"/>
  <c r="C3711" i="22"/>
  <c r="K3711" i="22" s="1"/>
  <c r="E3711" i="22"/>
  <c r="F3711" i="22"/>
  <c r="O3711" i="22" s="1"/>
  <c r="G3711" i="22"/>
  <c r="I3711" i="22"/>
  <c r="B3712" i="22"/>
  <c r="D3656" i="22"/>
  <c r="J3656" i="22"/>
  <c r="P3656" i="22"/>
  <c r="Q3656" i="22"/>
  <c r="R3656" i="22"/>
  <c r="L3657" i="22"/>
  <c r="C3657" i="22"/>
  <c r="E3657" i="22"/>
  <c r="G3657" i="22"/>
  <c r="I3657" i="22"/>
  <c r="B3658" i="22"/>
  <c r="D3602" i="22"/>
  <c r="J3602" i="22"/>
  <c r="P3602" i="22"/>
  <c r="Q3602" i="22"/>
  <c r="R3602" i="22"/>
  <c r="L3603" i="22"/>
  <c r="C3603" i="22"/>
  <c r="K3603" i="22" s="1"/>
  <c r="E3603" i="22"/>
  <c r="F3603" i="22"/>
  <c r="O3603" i="22" s="1"/>
  <c r="G3603" i="22"/>
  <c r="I3603" i="22"/>
  <c r="B3604" i="22"/>
  <c r="M3548" i="22"/>
  <c r="L3549" i="22"/>
  <c r="B3550" i="22"/>
  <c r="C3549" i="22"/>
  <c r="E3549" i="22"/>
  <c r="G3549" i="22"/>
  <c r="I3549" i="22"/>
  <c r="D3548" i="22"/>
  <c r="J3548" i="22"/>
  <c r="N3548" i="22" s="1"/>
  <c r="U3548" i="22" s="1"/>
  <c r="P3548" i="22"/>
  <c r="Q3548" i="22"/>
  <c r="R3548"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D3332" i="22"/>
  <c r="J3332" i="22"/>
  <c r="P3332" i="22"/>
  <c r="Q3332" i="22"/>
  <c r="R3332" i="22"/>
  <c r="L3333" i="22"/>
  <c r="C3333" i="22"/>
  <c r="E3333" i="22"/>
  <c r="G3333" i="22"/>
  <c r="I3333" i="22"/>
  <c r="B3334" i="22"/>
  <c r="P3278" i="22"/>
  <c r="Q3278" i="22"/>
  <c r="R3278" i="22"/>
  <c r="L3279" i="22"/>
  <c r="E3279" i="22"/>
  <c r="C3279" i="22"/>
  <c r="K3279" i="22" s="1"/>
  <c r="G3279" i="22"/>
  <c r="I3279" i="22"/>
  <c r="F3279" i="22"/>
  <c r="O3279" i="22" s="1"/>
  <c r="B3280" i="22"/>
  <c r="D3278" i="22"/>
  <c r="J3278" i="22"/>
  <c r="M3224" i="22"/>
  <c r="D3224" i="22"/>
  <c r="J3224" i="22"/>
  <c r="N3224" i="22" s="1"/>
  <c r="U3224" i="22" s="1"/>
  <c r="P3224" i="22"/>
  <c r="Q3224" i="22"/>
  <c r="R3224" i="22"/>
  <c r="L3225" i="22"/>
  <c r="E3225" i="22"/>
  <c r="B3226" i="22"/>
  <c r="C3225" i="22"/>
  <c r="G3225" i="22"/>
  <c r="I3225"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E3009" i="22"/>
  <c r="G3009" i="22"/>
  <c r="I3009" i="22"/>
  <c r="B3010" i="22"/>
  <c r="D2954" i="22"/>
  <c r="J2954" i="22"/>
  <c r="P2954" i="22"/>
  <c r="Q2954" i="22"/>
  <c r="R2954" i="22"/>
  <c r="L2955" i="22"/>
  <c r="C2955" i="22"/>
  <c r="E2955" i="22"/>
  <c r="G2955" i="22"/>
  <c r="I2955" i="22"/>
  <c r="B2956" i="22"/>
  <c r="D2900" i="22"/>
  <c r="J2900" i="22"/>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P2684" i="22"/>
  <c r="Q2684" i="22"/>
  <c r="R2684" i="22"/>
  <c r="L2685" i="22"/>
  <c r="G2685" i="22"/>
  <c r="I2685" i="22"/>
  <c r="B2686" i="22"/>
  <c r="C2685" i="22"/>
  <c r="E2685" i="22"/>
  <c r="J2684" i="22"/>
  <c r="N2684" i="22" s="1"/>
  <c r="U2684" i="22" s="1"/>
  <c r="D2684" i="22"/>
  <c r="P2630" i="22"/>
  <c r="Q2630" i="22"/>
  <c r="R2630" i="22"/>
  <c r="L2631" i="22"/>
  <c r="E2631" i="22"/>
  <c r="I2631" i="22"/>
  <c r="B2632" i="22"/>
  <c r="C2631" i="22"/>
  <c r="G2631" i="22"/>
  <c r="D2630" i="22"/>
  <c r="J2630"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E2361" i="22"/>
  <c r="G2361" i="22"/>
  <c r="I2361" i="22"/>
  <c r="B2362" i="22"/>
  <c r="M2306" i="22"/>
  <c r="L2307" i="22"/>
  <c r="B2308" i="22"/>
  <c r="E2307" i="22"/>
  <c r="I2307" i="22"/>
  <c r="C2307" i="22"/>
  <c r="G2307" i="22"/>
  <c r="D2306" i="22"/>
  <c r="J2306" i="22"/>
  <c r="N2306" i="22" s="1"/>
  <c r="U2306" i="22" s="1"/>
  <c r="P2306" i="22"/>
  <c r="Q2306" i="22"/>
  <c r="R2306" i="22"/>
  <c r="M2252" i="22"/>
  <c r="D2252" i="22"/>
  <c r="J2252" i="22"/>
  <c r="N2252" i="22" s="1"/>
  <c r="U2252" i="22" s="1"/>
  <c r="P2252" i="22"/>
  <c r="Q2252" i="22"/>
  <c r="R2252" i="22"/>
  <c r="L2253" i="22"/>
  <c r="C2253" i="22"/>
  <c r="K2253" i="22" s="1"/>
  <c r="E2253" i="22"/>
  <c r="F2253" i="22"/>
  <c r="O2253" i="22" s="1"/>
  <c r="G2253" i="22"/>
  <c r="I2253" i="22"/>
  <c r="B2254" i="22"/>
  <c r="D2198" i="22"/>
  <c r="J2198" i="22"/>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E1983" i="22"/>
  <c r="G1983" i="22"/>
  <c r="I1983" i="22"/>
  <c r="B1984" i="22"/>
  <c r="M1928" i="22"/>
  <c r="D1928" i="22"/>
  <c r="J1928" i="22"/>
  <c r="N1928" i="22" s="1"/>
  <c r="U1928" i="22" s="1"/>
  <c r="P1928" i="22"/>
  <c r="Q1928" i="22"/>
  <c r="R1928" i="22"/>
  <c r="L1929" i="22"/>
  <c r="C1929" i="22"/>
  <c r="E1929" i="22"/>
  <c r="G1929" i="22"/>
  <c r="I1929" i="22"/>
  <c r="B1930" i="22"/>
  <c r="M1874" i="22"/>
  <c r="D1874" i="22"/>
  <c r="J1874" i="22"/>
  <c r="N1874" i="22" s="1"/>
  <c r="U1874" i="22" s="1"/>
  <c r="P1874" i="22"/>
  <c r="Q1874" i="22"/>
  <c r="R1874" i="22"/>
  <c r="L1875" i="22"/>
  <c r="C1875" i="22"/>
  <c r="K1875" i="22" s="1"/>
  <c r="E1875" i="22"/>
  <c r="F1875" i="22"/>
  <c r="O1875" i="22" s="1"/>
  <c r="G1875" i="22"/>
  <c r="I1875" i="22"/>
  <c r="B1876" i="22"/>
  <c r="D1820" i="22"/>
  <c r="J1820" i="22"/>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E1713" i="22"/>
  <c r="G1713" i="22"/>
  <c r="I1713" i="22"/>
  <c r="B1714" i="22"/>
  <c r="M1658" i="22"/>
  <c r="D1658" i="22"/>
  <c r="J1658" i="22"/>
  <c r="N1658" i="22" s="1"/>
  <c r="U1658" i="22" s="1"/>
  <c r="P1658" i="22"/>
  <c r="Q1658" i="22"/>
  <c r="R1658" i="22"/>
  <c r="L1659" i="22"/>
  <c r="C1659" i="22"/>
  <c r="E1659" i="22"/>
  <c r="G1659" i="22"/>
  <c r="I1659" i="22"/>
  <c r="B1660" i="22"/>
  <c r="M1604" i="22"/>
  <c r="D1604" i="22"/>
  <c r="J1604" i="22"/>
  <c r="N1604" i="22" s="1"/>
  <c r="U1604" i="22" s="1"/>
  <c r="P1604" i="22"/>
  <c r="Q1604" i="22"/>
  <c r="R1604" i="22"/>
  <c r="L1605" i="22"/>
  <c r="C1605" i="22"/>
  <c r="K1605" i="22" s="1"/>
  <c r="E1605" i="22"/>
  <c r="F1605" i="22"/>
  <c r="O1605" i="22" s="1"/>
  <c r="G1605" i="22"/>
  <c r="I1605" i="22"/>
  <c r="B1606" i="22"/>
  <c r="D1550" i="22"/>
  <c r="J1550" i="22"/>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E1443" i="22"/>
  <c r="G1443" i="22"/>
  <c r="I1443" i="22"/>
  <c r="B1444" i="22"/>
  <c r="J1388" i="22"/>
  <c r="D1388" i="22"/>
  <c r="P1388" i="22"/>
  <c r="Q1388" i="22"/>
  <c r="R1388" i="22"/>
  <c r="L1389" i="22"/>
  <c r="I1389" i="22"/>
  <c r="C1389" i="22"/>
  <c r="E1389" i="22"/>
  <c r="G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D1226" i="22"/>
  <c r="J1226" i="22"/>
  <c r="P1226" i="22"/>
  <c r="Q1226" i="22"/>
  <c r="R1226" i="22"/>
  <c r="L1227" i="22"/>
  <c r="C1227" i="22"/>
  <c r="K1227" i="22" s="1"/>
  <c r="E1227" i="22"/>
  <c r="F1227" i="22"/>
  <c r="O1227" i="22" s="1"/>
  <c r="G1227" i="22"/>
  <c r="I1227" i="22"/>
  <c r="B1228" i="22"/>
  <c r="D1172" i="22"/>
  <c r="J1172" i="22"/>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E1119" i="22"/>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D848" i="22"/>
  <c r="J848" i="22"/>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D578" i="22"/>
  <c r="J578" i="22"/>
  <c r="Q578" i="22"/>
  <c r="P578" i="22"/>
  <c r="R578" i="22"/>
  <c r="L579" i="22"/>
  <c r="C579" i="22"/>
  <c r="K579" i="22" s="1"/>
  <c r="E579" i="22"/>
  <c r="F579" i="22"/>
  <c r="O579" i="22" s="1"/>
  <c r="G579" i="22"/>
  <c r="I579" i="22"/>
  <c r="B580" i="22"/>
  <c r="D524" i="22"/>
  <c r="J524" i="22"/>
  <c r="P524" i="22"/>
  <c r="Q524" i="22"/>
  <c r="R524" i="22"/>
  <c r="L525" i="22"/>
  <c r="C525" i="22"/>
  <c r="K525" i="22" s="1"/>
  <c r="E525" i="22"/>
  <c r="F525" i="22"/>
  <c r="O525" i="22" s="1"/>
  <c r="G525" i="22"/>
  <c r="B526" i="22"/>
  <c r="I525" i="22"/>
  <c r="M470" i="22"/>
  <c r="D470" i="22"/>
  <c r="J470" i="22"/>
  <c r="N470" i="22" s="1"/>
  <c r="U470" i="22" s="1"/>
  <c r="P470" i="22"/>
  <c r="Q470" i="22"/>
  <c r="R470" i="22"/>
  <c r="L471" i="22"/>
  <c r="C471" i="22"/>
  <c r="K471" i="22" s="1"/>
  <c r="E471" i="22"/>
  <c r="F471" i="22"/>
  <c r="O471" i="22" s="1"/>
  <c r="G471" i="22"/>
  <c r="B472" i="22"/>
  <c r="I471" i="22"/>
  <c r="M416" i="22"/>
  <c r="D416" i="22"/>
  <c r="J416" i="22"/>
  <c r="N416" i="22" s="1"/>
  <c r="U416" i="22" s="1"/>
  <c r="P416" i="22"/>
  <c r="Q416" i="22"/>
  <c r="R416" i="22"/>
  <c r="L417" i="22"/>
  <c r="B418" i="22"/>
  <c r="C417" i="22"/>
  <c r="K417" i="22" s="1"/>
  <c r="E417" i="22"/>
  <c r="F417" i="22"/>
  <c r="O417" i="22" s="1"/>
  <c r="G417" i="22"/>
  <c r="I417" i="22"/>
  <c r="M362" i="22"/>
  <c r="D362" i="22"/>
  <c r="J362" i="22"/>
  <c r="N362" i="22" s="1"/>
  <c r="U362" i="22" s="1"/>
  <c r="P362" i="22"/>
  <c r="Q362" i="22"/>
  <c r="R362" i="22"/>
  <c r="L363" i="22"/>
  <c r="C363" i="22"/>
  <c r="E363" i="22"/>
  <c r="G363" i="22"/>
  <c r="I363" i="22"/>
  <c r="B364" i="22"/>
  <c r="M308" i="22"/>
  <c r="D308" i="22"/>
  <c r="J308" i="22"/>
  <c r="N308" i="22" s="1"/>
  <c r="U308" i="22" s="1"/>
  <c r="P308" i="22"/>
  <c r="Q308" i="22"/>
  <c r="R308" i="22"/>
  <c r="L309" i="22"/>
  <c r="C309" i="22"/>
  <c r="E309" i="22"/>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E147" i="22"/>
  <c r="G147" i="22"/>
  <c r="B148" i="22"/>
  <c r="I147" i="22"/>
  <c r="C147" i="22"/>
  <c r="K147" i="22" s="1"/>
  <c r="F147" i="22"/>
  <c r="O147" i="22" s="1"/>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E31" i="17"/>
  <c r="G31" i="17"/>
  <c r="I31" i="17"/>
  <c r="B32" i="17"/>
  <c r="B31" i="18"/>
  <c r="AL16" i="17"/>
  <c r="B96" i="12"/>
  <c r="I96" i="12" s="1"/>
  <c r="AK15" i="17"/>
  <c r="AJ17" i="17"/>
  <c r="AJ18" i="17"/>
  <c r="AJ19" i="17"/>
  <c r="AJ20" i="17"/>
  <c r="AJ21" i="17"/>
  <c r="AJ22" i="17"/>
  <c r="AJ23" i="17"/>
  <c r="AJ24" i="17"/>
  <c r="AJ25" i="17"/>
  <c r="AJ26" i="17"/>
  <c r="AJ27" i="17"/>
  <c r="AJ28" i="17"/>
  <c r="AJ29" i="17"/>
  <c r="AJ30" i="17"/>
  <c r="AJ31" i="17"/>
  <c r="M1494" i="23"/>
  <c r="N1494" i="23"/>
  <c r="AE1494" i="23" s="1"/>
  <c r="M1438" i="23"/>
  <c r="N1438" i="23"/>
  <c r="AE1438" i="23" s="1"/>
  <c r="M1326" i="23"/>
  <c r="N1326" i="23"/>
  <c r="AE1326" i="23" s="1"/>
  <c r="M934" i="23"/>
  <c r="N934" i="23"/>
  <c r="AE934" i="23" s="1"/>
  <c r="M486" i="23"/>
  <c r="N486" i="23"/>
  <c r="AE486" i="23" s="1"/>
  <c r="M430" i="23"/>
  <c r="N430" i="23"/>
  <c r="AE430" i="23" s="1"/>
  <c r="M4687" i="22"/>
  <c r="N4687" i="22"/>
  <c r="M4579" i="22"/>
  <c r="N4579" i="22"/>
  <c r="M4225" i="22"/>
  <c r="N4225" i="22"/>
  <c r="U4225" i="22" s="1"/>
  <c r="M3709" i="22"/>
  <c r="N3709" i="22"/>
  <c r="U3709" i="22" s="1"/>
  <c r="M3655" i="22"/>
  <c r="N3655" i="22"/>
  <c r="U3655" i="22" s="1"/>
  <c r="M3547" i="22"/>
  <c r="N3547" i="22"/>
  <c r="U3547" i="22" s="1"/>
  <c r="M3385" i="22"/>
  <c r="N3385" i="22"/>
  <c r="U3385" i="22" s="1"/>
  <c r="M3331" i="22"/>
  <c r="N3331" i="22"/>
  <c r="U3331" i="22" s="1"/>
  <c r="M2953" i="22"/>
  <c r="N2953" i="22"/>
  <c r="U2953" i="22" s="1"/>
  <c r="N2683" i="22"/>
  <c r="U2683" i="22" s="1"/>
  <c r="M2683" i="22"/>
  <c r="M2629" i="22"/>
  <c r="N2629" i="22"/>
  <c r="U2629" i="22" s="1"/>
  <c r="M2035" i="22"/>
  <c r="N2035" i="22"/>
  <c r="U2035" i="22" s="1"/>
  <c r="M1981" i="22"/>
  <c r="N1981" i="22"/>
  <c r="U1981" i="22" s="1"/>
  <c r="M1711" i="22"/>
  <c r="N1711" i="22"/>
  <c r="U1711" i="22" s="1"/>
  <c r="M1333" i="22"/>
  <c r="N1333" i="22"/>
  <c r="U1333" i="22" s="1"/>
  <c r="M1279" i="22"/>
  <c r="N1279" i="22"/>
  <c r="U1279" i="22" s="1"/>
  <c r="M1009" i="22"/>
  <c r="N1009" i="22"/>
  <c r="U1009" i="22" s="1"/>
  <c r="M739" i="22"/>
  <c r="N739" i="22"/>
  <c r="U739" i="22" s="1"/>
  <c r="M685" i="22"/>
  <c r="N685" i="22"/>
  <c r="U685" i="22" s="1"/>
  <c r="M145" i="22"/>
  <c r="N145" i="22"/>
  <c r="U145" i="22" s="1"/>
  <c r="M91" i="22"/>
  <c r="N91" i="22"/>
  <c r="U91" i="22" s="1"/>
  <c r="AE1606" i="23"/>
  <c r="AK1606" i="23"/>
  <c r="K1439" i="23"/>
  <c r="F1439" i="23"/>
  <c r="O1439" i="23" s="1"/>
  <c r="F1383" i="23"/>
  <c r="O1383" i="23" s="1"/>
  <c r="K1383" i="23"/>
  <c r="F1215" i="23"/>
  <c r="O1215" i="23" s="1"/>
  <c r="K1215" i="23"/>
  <c r="K1159" i="23"/>
  <c r="F1159" i="23"/>
  <c r="O1159" i="23" s="1"/>
  <c r="K1103" i="23"/>
  <c r="F1103" i="23"/>
  <c r="O1103" i="23" s="1"/>
  <c r="K935" i="23"/>
  <c r="F935" i="23"/>
  <c r="O935" i="23" s="1"/>
  <c r="F375" i="23"/>
  <c r="O375" i="23" s="1"/>
  <c r="K375" i="23"/>
  <c r="F4580" i="22"/>
  <c r="K4580" i="22"/>
  <c r="K4172" i="22"/>
  <c r="F4172" i="22"/>
  <c r="O4172" i="22" s="1"/>
  <c r="F4064" i="22"/>
  <c r="O4064" i="22" s="1"/>
  <c r="K4064" i="22"/>
  <c r="F3710" i="22"/>
  <c r="O3710" i="22" s="1"/>
  <c r="K3710" i="22"/>
  <c r="K3656" i="22"/>
  <c r="F3656" i="22"/>
  <c r="O3656" i="22" s="1"/>
  <c r="F3602" i="22"/>
  <c r="O3602" i="22" s="1"/>
  <c r="K3602" i="22"/>
  <c r="F3332" i="22"/>
  <c r="O3332" i="22" s="1"/>
  <c r="K3332" i="22"/>
  <c r="F3278" i="22"/>
  <c r="O3278" i="22" s="1"/>
  <c r="K3278" i="22"/>
  <c r="K2954" i="22"/>
  <c r="F2954" i="22"/>
  <c r="O2954" i="22" s="1"/>
  <c r="F2900" i="22"/>
  <c r="O2900" i="22" s="1"/>
  <c r="K2900" i="22"/>
  <c r="K2630" i="22"/>
  <c r="F2630" i="22"/>
  <c r="O2630" i="22" s="1"/>
  <c r="K2198" i="22"/>
  <c r="F2198" i="22"/>
  <c r="O2198" i="22" s="1"/>
  <c r="K1820" i="22"/>
  <c r="F1820" i="22"/>
  <c r="O1820" i="22" s="1"/>
  <c r="F1550" i="22"/>
  <c r="O1550" i="22" s="1"/>
  <c r="K1550" i="22"/>
  <c r="K1388" i="22"/>
  <c r="F1388" i="22"/>
  <c r="O1388" i="22" s="1"/>
  <c r="F1226" i="22"/>
  <c r="O1226" i="22" s="1"/>
  <c r="K1226" i="22"/>
  <c r="K1172" i="22"/>
  <c r="F1172" i="22"/>
  <c r="O1172" i="22" s="1"/>
  <c r="F848" i="22"/>
  <c r="O848" i="22" s="1"/>
  <c r="K848" i="22"/>
  <c r="F578" i="22"/>
  <c r="O578" i="22" s="1"/>
  <c r="K578" i="22"/>
  <c r="K524" i="22"/>
  <c r="F524" i="22"/>
  <c r="O524" i="22" s="1"/>
  <c r="F29" i="18"/>
  <c r="G29" i="18"/>
  <c r="H29" i="18"/>
  <c r="N3386" i="22" l="1"/>
  <c r="U3386" i="22" s="1"/>
  <c r="N2738" i="22"/>
  <c r="U2738" i="22" s="1"/>
  <c r="N2090" i="22"/>
  <c r="U2090" i="22" s="1"/>
  <c r="N1442" i="22"/>
  <c r="U1442" i="22" s="1"/>
  <c r="N794" i="22"/>
  <c r="U794" i="22" s="1"/>
  <c r="N146" i="22"/>
  <c r="U146" i="22" s="1"/>
  <c r="K1104" i="23"/>
  <c r="F1104" i="23"/>
  <c r="O1104" i="23" s="1"/>
  <c r="K4581" i="22"/>
  <c r="F4581" i="22"/>
  <c r="K3225" i="22"/>
  <c r="F3225" i="22"/>
  <c r="O3225" i="22" s="1"/>
  <c r="K2955" i="22"/>
  <c r="F2955" i="22"/>
  <c r="O2955" i="22" s="1"/>
  <c r="K1929" i="22"/>
  <c r="F1929" i="22"/>
  <c r="O1929" i="22" s="1"/>
  <c r="K1119" i="22"/>
  <c r="F1119" i="22"/>
  <c r="O1119" i="22" s="1"/>
  <c r="K363" i="22"/>
  <c r="F363" i="22"/>
  <c r="O363"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P1496" i="23"/>
  <c r="Q1496" i="23"/>
  <c r="R1496" i="23"/>
  <c r="J1496" i="23"/>
  <c r="D1496" i="23"/>
  <c r="L1497" i="23"/>
  <c r="I1497" i="23"/>
  <c r="C1497" i="23"/>
  <c r="E1497" i="23"/>
  <c r="G1497" i="23"/>
  <c r="B1498" i="23"/>
  <c r="P1440" i="23"/>
  <c r="Q1440" i="23"/>
  <c r="R1440" i="23"/>
  <c r="L1441" i="23"/>
  <c r="I1441" i="23"/>
  <c r="G1441" i="23"/>
  <c r="B1442" i="23"/>
  <c r="C1441" i="23"/>
  <c r="E1441" i="23"/>
  <c r="J1440" i="23"/>
  <c r="D1440" i="23"/>
  <c r="P1384" i="23"/>
  <c r="Q1384" i="23"/>
  <c r="R1384" i="23"/>
  <c r="L1385" i="23"/>
  <c r="I1385" i="23"/>
  <c r="E1385" i="23"/>
  <c r="G1385" i="23"/>
  <c r="B1386" i="23"/>
  <c r="C1385" i="23"/>
  <c r="J1384" i="23"/>
  <c r="D1384"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J1160" i="23"/>
  <c r="D1160" i="23"/>
  <c r="P1160" i="23"/>
  <c r="Q1160" i="23"/>
  <c r="R1160" i="23"/>
  <c r="L1161" i="23"/>
  <c r="I1161" i="23"/>
  <c r="G1161" i="23"/>
  <c r="C1161" i="23"/>
  <c r="E1161" i="23"/>
  <c r="B1162" i="23"/>
  <c r="M1104" i="23"/>
  <c r="P1104" i="23"/>
  <c r="Q1104" i="23"/>
  <c r="R1104" i="23"/>
  <c r="J1104" i="23"/>
  <c r="N1104" i="23" s="1"/>
  <c r="AE1104" i="23" s="1"/>
  <c r="D1104" i="23"/>
  <c r="L1105" i="23"/>
  <c r="I1105" i="23"/>
  <c r="C1105" i="23"/>
  <c r="E1105" i="23"/>
  <c r="G1105" i="23"/>
  <c r="B1106" i="23"/>
  <c r="J1048" i="23"/>
  <c r="D1048" i="23"/>
  <c r="P1048" i="23"/>
  <c r="Q1048" i="23"/>
  <c r="R1048" i="23"/>
  <c r="L1049" i="23"/>
  <c r="I1049" i="23"/>
  <c r="B1050" i="23"/>
  <c r="C1049" i="23"/>
  <c r="E1049" i="23"/>
  <c r="G1049" i="23"/>
  <c r="M992" i="23"/>
  <c r="J992" i="23"/>
  <c r="N992" i="23" s="1"/>
  <c r="AE992" i="23" s="1"/>
  <c r="D992" i="23"/>
  <c r="P992" i="23"/>
  <c r="Q992" i="23"/>
  <c r="R992" i="23"/>
  <c r="L993" i="23"/>
  <c r="I993" i="23"/>
  <c r="C993" i="23"/>
  <c r="E993" i="23"/>
  <c r="G993" i="23"/>
  <c r="B994" i="23"/>
  <c r="M936" i="23"/>
  <c r="J936" i="23"/>
  <c r="N936" i="23" s="1"/>
  <c r="AE936" i="23" s="1"/>
  <c r="D936" i="23"/>
  <c r="P936" i="23"/>
  <c r="Q936" i="23"/>
  <c r="R936" i="23"/>
  <c r="L937" i="23"/>
  <c r="I937" i="23"/>
  <c r="C937" i="23"/>
  <c r="K937" i="23" s="1"/>
  <c r="E937" i="23"/>
  <c r="F937" i="23"/>
  <c r="O937" i="23" s="1"/>
  <c r="G937" i="23"/>
  <c r="B938" i="23"/>
  <c r="J880" i="23"/>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Q712" i="23"/>
  <c r="P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E601" i="23"/>
  <c r="G601" i="23"/>
  <c r="B602" i="23"/>
  <c r="M544" i="23"/>
  <c r="J544" i="23"/>
  <c r="N544" i="23" s="1"/>
  <c r="AE544" i="23" s="1"/>
  <c r="D544" i="23"/>
  <c r="P544" i="23"/>
  <c r="Q544" i="23"/>
  <c r="R544" i="23"/>
  <c r="L545" i="23"/>
  <c r="I545" i="23"/>
  <c r="C545" i="23"/>
  <c r="K545" i="23" s="1"/>
  <c r="E545" i="23"/>
  <c r="F545" i="23"/>
  <c r="O545" i="23" s="1"/>
  <c r="G545" i="23"/>
  <c r="B546" i="23"/>
  <c r="J488" i="23"/>
  <c r="D488" i="23"/>
  <c r="P488" i="23"/>
  <c r="Q488" i="23"/>
  <c r="R488" i="23"/>
  <c r="L489" i="23"/>
  <c r="I489" i="23"/>
  <c r="C489" i="23"/>
  <c r="E489" i="23"/>
  <c r="G489" i="23"/>
  <c r="B490" i="23"/>
  <c r="J432" i="23"/>
  <c r="D432" i="23"/>
  <c r="P432" i="23"/>
  <c r="Q432" i="23"/>
  <c r="R432" i="23"/>
  <c r="L433" i="23"/>
  <c r="I433" i="23"/>
  <c r="C433" i="23"/>
  <c r="E433" i="23"/>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E321" i="23"/>
  <c r="G321" i="23"/>
  <c r="B322" i="23"/>
  <c r="M264" i="23"/>
  <c r="J264" i="23"/>
  <c r="N264" i="23" s="1"/>
  <c r="AE264" i="23" s="1"/>
  <c r="D264" i="23"/>
  <c r="P264" i="23"/>
  <c r="Q264" i="23"/>
  <c r="R264" i="23"/>
  <c r="L265" i="23"/>
  <c r="I265" i="23"/>
  <c r="C265" i="23"/>
  <c r="K265" i="23" s="1"/>
  <c r="E265" i="23"/>
  <c r="F265" i="23"/>
  <c r="O265" i="23" s="1"/>
  <c r="G265" i="23"/>
  <c r="B266" i="23"/>
  <c r="P4743" i="22"/>
  <c r="Q4743" i="22"/>
  <c r="R4743" i="22"/>
  <c r="D4743" i="22"/>
  <c r="J4743" i="22"/>
  <c r="E4744" i="22"/>
  <c r="G4744" i="22"/>
  <c r="L4744" i="22"/>
  <c r="B4745" i="22"/>
  <c r="C4744" i="22"/>
  <c r="F4744" i="22"/>
  <c r="I4744" i="22"/>
  <c r="K4744" i="22"/>
  <c r="U4688" i="22"/>
  <c r="S4688" i="22"/>
  <c r="D4689" i="22"/>
  <c r="J4689" i="22"/>
  <c r="P4689" i="22"/>
  <c r="Q4689" i="22"/>
  <c r="R4689" i="22"/>
  <c r="L4690" i="22"/>
  <c r="C4690" i="22"/>
  <c r="E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D4227" i="22"/>
  <c r="J4227" i="22"/>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D4119" i="22"/>
  <c r="J4119" i="22"/>
  <c r="P4119" i="22"/>
  <c r="Q4119" i="22"/>
  <c r="R4119" i="22"/>
  <c r="M4119" i="22"/>
  <c r="N4119" i="22"/>
  <c r="U4119" i="22" s="1"/>
  <c r="C4120" i="22"/>
  <c r="E4120" i="22"/>
  <c r="F4120" i="22"/>
  <c r="O4120" i="22" s="1"/>
  <c r="G4120" i="22"/>
  <c r="I4120" i="22"/>
  <c r="K4120" i="22"/>
  <c r="L4120" i="22"/>
  <c r="B4121" i="22"/>
  <c r="P4065" i="22"/>
  <c r="Q4065" i="22"/>
  <c r="R4065" i="22"/>
  <c r="I4066" i="22"/>
  <c r="L4066" i="22"/>
  <c r="B4067" i="22"/>
  <c r="C4066" i="22"/>
  <c r="E4066" i="22"/>
  <c r="G4066" i="22"/>
  <c r="J4065" i="22"/>
  <c r="N4065" i="22" s="1"/>
  <c r="U4065" i="22" s="1"/>
  <c r="D4065" i="22"/>
  <c r="M4065" i="22"/>
  <c r="D3765" i="22"/>
  <c r="J3765" i="22"/>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E3712" i="22"/>
  <c r="G3712" i="22"/>
  <c r="I3712" i="22"/>
  <c r="B3713" i="22"/>
  <c r="D3657" i="22"/>
  <c r="J3657" i="22"/>
  <c r="P3657" i="22"/>
  <c r="Q3657" i="22"/>
  <c r="R3657" i="22"/>
  <c r="L3658" i="22"/>
  <c r="C3658" i="22"/>
  <c r="E3658" i="22"/>
  <c r="G3658" i="22"/>
  <c r="I3658" i="22"/>
  <c r="B3659" i="22"/>
  <c r="M3603" i="22"/>
  <c r="D3603" i="22"/>
  <c r="J3603" i="22"/>
  <c r="N3603" i="22" s="1"/>
  <c r="U3603" i="22" s="1"/>
  <c r="P3603" i="22"/>
  <c r="Q3603" i="22"/>
  <c r="R3603" i="22"/>
  <c r="L3604" i="22"/>
  <c r="C3604" i="22"/>
  <c r="E3604" i="22"/>
  <c r="G3604" i="22"/>
  <c r="I3604" i="22"/>
  <c r="B3605" i="22"/>
  <c r="L3550" i="22"/>
  <c r="I3550" i="22"/>
  <c r="B3551" i="22"/>
  <c r="C3550" i="22"/>
  <c r="E3550" i="22"/>
  <c r="G3550" i="22"/>
  <c r="D3549" i="22"/>
  <c r="J3549" i="22"/>
  <c r="P3549" i="22"/>
  <c r="Q3549" i="22"/>
  <c r="R3549"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D3333" i="22"/>
  <c r="J3333" i="22"/>
  <c r="P3333" i="22"/>
  <c r="Q3333" i="22"/>
  <c r="R3333" i="22"/>
  <c r="L3334" i="22"/>
  <c r="C3334" i="22"/>
  <c r="E3334" i="22"/>
  <c r="G3334" i="22"/>
  <c r="I3334" i="22"/>
  <c r="B3335" i="22"/>
  <c r="M3279" i="22"/>
  <c r="D3279" i="22"/>
  <c r="J3279" i="22"/>
  <c r="N3279" i="22" s="1"/>
  <c r="U3279" i="22" s="1"/>
  <c r="P3279" i="22"/>
  <c r="Q3279" i="22"/>
  <c r="R3279" i="22"/>
  <c r="L3280" i="22"/>
  <c r="G3280" i="22"/>
  <c r="I3280" i="22"/>
  <c r="C3280" i="22"/>
  <c r="E3280" i="22"/>
  <c r="B3281" i="22"/>
  <c r="M3225" i="22"/>
  <c r="L3226" i="22"/>
  <c r="G3226" i="22"/>
  <c r="C3226" i="22"/>
  <c r="K3226" i="22" s="1"/>
  <c r="B3227" i="22"/>
  <c r="I3226" i="22"/>
  <c r="E3226" i="22"/>
  <c r="F3226" i="22"/>
  <c r="O3226" i="22" s="1"/>
  <c r="J3225" i="22"/>
  <c r="N3225" i="22" s="1"/>
  <c r="U3225" i="22" s="1"/>
  <c r="D3225" i="22"/>
  <c r="P3225" i="22"/>
  <c r="Q3225" i="22"/>
  <c r="R3225"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D3009" i="22"/>
  <c r="J3009" i="22"/>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E2848" i="22"/>
  <c r="G2848" i="22"/>
  <c r="I2848" i="22"/>
  <c r="B2849" i="22"/>
  <c r="M2793" i="22"/>
  <c r="D2793" i="22"/>
  <c r="J2793" i="22"/>
  <c r="N2793" i="22" s="1"/>
  <c r="S2793" i="22" s="1"/>
  <c r="T2793" i="22" s="1"/>
  <c r="U2793" i="22" s="1"/>
  <c r="P2793" i="22"/>
  <c r="Q2793" i="22"/>
  <c r="R2793" i="22"/>
  <c r="L2794" i="22"/>
  <c r="C2794" i="22"/>
  <c r="E2794" i="22"/>
  <c r="G2794" i="22"/>
  <c r="I2794" i="22"/>
  <c r="B2795" i="22"/>
  <c r="M2739" i="22"/>
  <c r="D2739" i="22"/>
  <c r="J2739" i="22"/>
  <c r="N2739" i="22" s="1"/>
  <c r="U2739" i="22" s="1"/>
  <c r="P2739" i="22"/>
  <c r="Q2739" i="22"/>
  <c r="R2739" i="22"/>
  <c r="L2740" i="22"/>
  <c r="C2740" i="22"/>
  <c r="E2740" i="22"/>
  <c r="G2740" i="22"/>
  <c r="I2740" i="22"/>
  <c r="B2741" i="22"/>
  <c r="P2685" i="22"/>
  <c r="Q2685" i="22"/>
  <c r="R2685" i="22"/>
  <c r="L2686" i="22"/>
  <c r="G2686" i="22"/>
  <c r="I2686" i="22"/>
  <c r="C2686" i="22"/>
  <c r="E2686" i="22"/>
  <c r="B2687" i="22"/>
  <c r="J2685" i="22"/>
  <c r="D2685" i="22"/>
  <c r="L2632" i="22"/>
  <c r="I2632" i="22"/>
  <c r="B2633" i="22"/>
  <c r="C2632" i="22"/>
  <c r="E2632" i="22"/>
  <c r="G2632" i="22"/>
  <c r="D2631" i="22"/>
  <c r="J2631" i="22"/>
  <c r="P2631" i="22"/>
  <c r="Q2631" i="22"/>
  <c r="R2631" i="22"/>
  <c r="M2577" i="22"/>
  <c r="D2577" i="22"/>
  <c r="J2577" i="22"/>
  <c r="N2577" i="22" s="1"/>
  <c r="U2577" i="22" s="1"/>
  <c r="P2577" i="22"/>
  <c r="Q2577" i="22"/>
  <c r="R2577" i="22"/>
  <c r="L2578" i="22"/>
  <c r="C2578" i="22"/>
  <c r="E2578" i="22"/>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E2470" i="22"/>
  <c r="G2470" i="22"/>
  <c r="I2470" i="22"/>
  <c r="B2471" i="22"/>
  <c r="M2415" i="22"/>
  <c r="D2415" i="22"/>
  <c r="J2415" i="22"/>
  <c r="N2415" i="22" s="1"/>
  <c r="U2415" i="22" s="1"/>
  <c r="P2415" i="22"/>
  <c r="Q2415" i="22"/>
  <c r="R2415" i="22"/>
  <c r="L2416" i="22"/>
  <c r="C2416" i="22"/>
  <c r="K2416" i="22" s="1"/>
  <c r="E2416" i="22"/>
  <c r="F2416" i="22"/>
  <c r="O2416" i="22" s="1"/>
  <c r="G2416" i="22"/>
  <c r="I2416" i="22"/>
  <c r="B2417" i="22"/>
  <c r="D2361" i="22"/>
  <c r="J2361" i="22"/>
  <c r="P2361" i="22"/>
  <c r="Q2361" i="22"/>
  <c r="R2361" i="22"/>
  <c r="L2362" i="22"/>
  <c r="C2362" i="22"/>
  <c r="K2362" i="22" s="1"/>
  <c r="E2362" i="22"/>
  <c r="F2362" i="22"/>
  <c r="O2362" i="22" s="1"/>
  <c r="G2362" i="22"/>
  <c r="I2362" i="22"/>
  <c r="B2363" i="22"/>
  <c r="L2308" i="22"/>
  <c r="G2308" i="22"/>
  <c r="B2309" i="22"/>
  <c r="I2308" i="22"/>
  <c r="E2308" i="22"/>
  <c r="C2308" i="22"/>
  <c r="D2307" i="22"/>
  <c r="J2307" i="22"/>
  <c r="P2307" i="22"/>
  <c r="Q2307" i="22"/>
  <c r="R2307"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E2200" i="22"/>
  <c r="G2200" i="22"/>
  <c r="I2200" i="22"/>
  <c r="B2201" i="22"/>
  <c r="M2145" i="22"/>
  <c r="D2145" i="22"/>
  <c r="J2145" i="22"/>
  <c r="N2145" i="22" s="1"/>
  <c r="U2145" i="22" s="1"/>
  <c r="P2145" i="22"/>
  <c r="Q2145" i="22"/>
  <c r="R2145" i="22"/>
  <c r="L2146" i="22"/>
  <c r="C2146" i="22"/>
  <c r="E2146" i="22"/>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D1983" i="22"/>
  <c r="J1983" i="22"/>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E1876" i="22"/>
  <c r="G1876" i="22"/>
  <c r="I1876" i="22"/>
  <c r="B1877" i="22"/>
  <c r="M1821" i="22"/>
  <c r="D1821" i="22"/>
  <c r="J1821" i="22"/>
  <c r="N1821" i="22" s="1"/>
  <c r="U1821" i="22" s="1"/>
  <c r="P1821" i="22"/>
  <c r="Q1821" i="22"/>
  <c r="R1821" i="22"/>
  <c r="L1822" i="22"/>
  <c r="C1822" i="22"/>
  <c r="E1822" i="22"/>
  <c r="G1822" i="22"/>
  <c r="I1822" i="22"/>
  <c r="B1823" i="22"/>
  <c r="M1767" i="22"/>
  <c r="D1767" i="22"/>
  <c r="J1767" i="22"/>
  <c r="N1767" i="22" s="1"/>
  <c r="U1767" i="22" s="1"/>
  <c r="P1767" i="22"/>
  <c r="Q1767" i="22"/>
  <c r="R1767" i="22"/>
  <c r="L1768" i="22"/>
  <c r="C1768" i="22"/>
  <c r="K1768" i="22" s="1"/>
  <c r="E1768" i="22"/>
  <c r="F1768" i="22"/>
  <c r="O1768" i="22" s="1"/>
  <c r="G1768" i="22"/>
  <c r="I1768" i="22"/>
  <c r="B1769" i="22"/>
  <c r="D1713" i="22"/>
  <c r="J1713" i="22"/>
  <c r="P1713" i="22"/>
  <c r="Q1713" i="22"/>
  <c r="R1713" i="22"/>
  <c r="L1714" i="22"/>
  <c r="C1714" i="22"/>
  <c r="K1714" i="22" s="1"/>
  <c r="E1714" i="22"/>
  <c r="F1714" i="22"/>
  <c r="O1714" i="22" s="1"/>
  <c r="G1714" i="22"/>
  <c r="I1714" i="22"/>
  <c r="B1715" i="22"/>
  <c r="D1659" i="22"/>
  <c r="J1659" i="22"/>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E1498" i="22"/>
  <c r="G1498" i="22"/>
  <c r="I1498" i="22"/>
  <c r="B1499" i="22"/>
  <c r="D1443" i="22"/>
  <c r="J1443" i="22"/>
  <c r="P1443" i="22"/>
  <c r="Q1443" i="22"/>
  <c r="R1443" i="22"/>
  <c r="L1444" i="22"/>
  <c r="C1444" i="22"/>
  <c r="K1444" i="22" s="1"/>
  <c r="E1444" i="22"/>
  <c r="F1444" i="22"/>
  <c r="O1444" i="22" s="1"/>
  <c r="G1444" i="22"/>
  <c r="I1444" i="22"/>
  <c r="B1445" i="22"/>
  <c r="J1389" i="22"/>
  <c r="D1389" i="22"/>
  <c r="P1389" i="22"/>
  <c r="Q1389" i="22"/>
  <c r="R1389" i="22"/>
  <c r="L1390" i="22"/>
  <c r="I1390" i="22"/>
  <c r="C1390" i="22"/>
  <c r="E1390" i="22"/>
  <c r="G1390" i="22"/>
  <c r="B1391"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E1228" i="22"/>
  <c r="G1228" i="22"/>
  <c r="I1228" i="22"/>
  <c r="B1229" i="22"/>
  <c r="M1173" i="22"/>
  <c r="D1173" i="22"/>
  <c r="J1173" i="22"/>
  <c r="N1173" i="22" s="1"/>
  <c r="U1173" i="22" s="1"/>
  <c r="P1173" i="22"/>
  <c r="Q1173" i="22"/>
  <c r="R1173" i="22"/>
  <c r="L1174" i="22"/>
  <c r="C1174" i="22"/>
  <c r="E1174" i="22"/>
  <c r="G1174" i="22"/>
  <c r="I1174" i="22"/>
  <c r="B1175" i="22"/>
  <c r="M1119" i="22"/>
  <c r="D1119" i="22"/>
  <c r="J1119" i="22"/>
  <c r="N1119" i="22" s="1"/>
  <c r="U1119" i="22" s="1"/>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E904" i="22"/>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E526" i="22"/>
  <c r="G526" i="22"/>
  <c r="I526" i="22"/>
  <c r="B527" i="22"/>
  <c r="M471" i="22"/>
  <c r="D471" i="22"/>
  <c r="J471" i="22"/>
  <c r="N471" i="22" s="1"/>
  <c r="U471" i="22" s="1"/>
  <c r="P471" i="22"/>
  <c r="Q471" i="22"/>
  <c r="R471" i="22"/>
  <c r="L472" i="22"/>
  <c r="C472" i="22"/>
  <c r="K472" i="22" s="1"/>
  <c r="E472" i="22"/>
  <c r="F472" i="22"/>
  <c r="O472" i="22" s="1"/>
  <c r="G472" i="22"/>
  <c r="B473" i="22"/>
  <c r="I472" i="22"/>
  <c r="M417" i="22"/>
  <c r="L418" i="22"/>
  <c r="C418" i="22"/>
  <c r="K418" i="22" s="1"/>
  <c r="E418" i="22"/>
  <c r="F418" i="22"/>
  <c r="O418" i="22" s="1"/>
  <c r="G418" i="22"/>
  <c r="I418" i="22"/>
  <c r="B419" i="22"/>
  <c r="D417" i="22"/>
  <c r="J417" i="22"/>
  <c r="N417" i="22" s="1"/>
  <c r="U417" i="22" s="1"/>
  <c r="P417" i="22"/>
  <c r="Q417" i="22"/>
  <c r="R417" i="22"/>
  <c r="M363" i="22"/>
  <c r="D363" i="22"/>
  <c r="J363" i="22"/>
  <c r="N363" i="22" s="1"/>
  <c r="U363" i="22" s="1"/>
  <c r="P363" i="22"/>
  <c r="Q363" i="22"/>
  <c r="R363" i="22"/>
  <c r="L364" i="22"/>
  <c r="C364" i="22"/>
  <c r="K364" i="22" s="1"/>
  <c r="E364" i="22"/>
  <c r="F364" i="22"/>
  <c r="O364" i="22" s="1"/>
  <c r="G364" i="22"/>
  <c r="I364" i="22"/>
  <c r="B365" i="22"/>
  <c r="D309" i="22"/>
  <c r="J309" i="22"/>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P147" i="22"/>
  <c r="Q147" i="22"/>
  <c r="R147" i="22"/>
  <c r="L148" i="22"/>
  <c r="C148" i="22"/>
  <c r="K148" i="22" s="1"/>
  <c r="E148" i="22"/>
  <c r="F148" i="22"/>
  <c r="O148" i="22" s="1"/>
  <c r="G148" i="22"/>
  <c r="B149" i="22"/>
  <c r="I148" i="22"/>
  <c r="D147" i="22"/>
  <c r="J147" i="22"/>
  <c r="N147" i="22" s="1"/>
  <c r="U147" i="22" s="1"/>
  <c r="M93" i="22"/>
  <c r="D93" i="22"/>
  <c r="J93" i="22"/>
  <c r="N93" i="22" s="1"/>
  <c r="U93" i="22" s="1"/>
  <c r="P93" i="22"/>
  <c r="Q93" i="22"/>
  <c r="R93" i="22"/>
  <c r="L94" i="22"/>
  <c r="C94" i="22"/>
  <c r="K94" i="22" s="1"/>
  <c r="E94" i="22"/>
  <c r="F94" i="22"/>
  <c r="O94" i="22" s="1"/>
  <c r="G94" i="22"/>
  <c r="I94" i="22"/>
  <c r="B95" i="22"/>
  <c r="G81" i="12"/>
  <c r="C82" i="12"/>
  <c r="D31" i="17"/>
  <c r="J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M1439" i="23"/>
  <c r="N1439" i="23"/>
  <c r="AE1439" i="23" s="1"/>
  <c r="M1383" i="23"/>
  <c r="N1383" i="23"/>
  <c r="AE1383" i="23" s="1"/>
  <c r="M1215" i="23"/>
  <c r="N1215" i="23"/>
  <c r="AE1215" i="23" s="1"/>
  <c r="M1159" i="23"/>
  <c r="N1159" i="23"/>
  <c r="AE1159" i="23" s="1"/>
  <c r="M1103" i="23"/>
  <c r="N1103" i="23"/>
  <c r="AE1103" i="23" s="1"/>
  <c r="M935" i="23"/>
  <c r="N935" i="23"/>
  <c r="AE935" i="23" s="1"/>
  <c r="M375" i="23"/>
  <c r="N375" i="23"/>
  <c r="AE375" i="23" s="1"/>
  <c r="M4580" i="22"/>
  <c r="N4580" i="22"/>
  <c r="M4172" i="22"/>
  <c r="N4172" i="22"/>
  <c r="U4172" i="22" s="1"/>
  <c r="M4064" i="22"/>
  <c r="N4064" i="22"/>
  <c r="U4064" i="22" s="1"/>
  <c r="M3710" i="22"/>
  <c r="N3710" i="22"/>
  <c r="U3710" i="22" s="1"/>
  <c r="M3656" i="22"/>
  <c r="N3656" i="22"/>
  <c r="U3656" i="22" s="1"/>
  <c r="M3602" i="22"/>
  <c r="N3602" i="22"/>
  <c r="U3602" i="22" s="1"/>
  <c r="M3332" i="22"/>
  <c r="N3332" i="22"/>
  <c r="U3332" i="22" s="1"/>
  <c r="M3278" i="22"/>
  <c r="N3278" i="22"/>
  <c r="U3278" i="22" s="1"/>
  <c r="M2954" i="22"/>
  <c r="N2954" i="22"/>
  <c r="U2954" i="22" s="1"/>
  <c r="M2900" i="22"/>
  <c r="N2900" i="22"/>
  <c r="U2900" i="22" s="1"/>
  <c r="M2630" i="22"/>
  <c r="N2630" i="22"/>
  <c r="U2630" i="22" s="1"/>
  <c r="M2198" i="22"/>
  <c r="N2198" i="22"/>
  <c r="U2198" i="22" s="1"/>
  <c r="M1820" i="22"/>
  <c r="N1820" i="22"/>
  <c r="U1820" i="22" s="1"/>
  <c r="M1550" i="22"/>
  <c r="N1550" i="22"/>
  <c r="U1550" i="22" s="1"/>
  <c r="M1388" i="22"/>
  <c r="N1388" i="22"/>
  <c r="U1388" i="22" s="1"/>
  <c r="M1226" i="22"/>
  <c r="N1226" i="22"/>
  <c r="U1226" i="22" s="1"/>
  <c r="M1172" i="22"/>
  <c r="N1172" i="22"/>
  <c r="U1172" i="22" s="1"/>
  <c r="M848" i="22"/>
  <c r="N848" i="22"/>
  <c r="U848" i="22" s="1"/>
  <c r="M578" i="22"/>
  <c r="N578" i="22"/>
  <c r="U578" i="22" s="1"/>
  <c r="N524" i="22"/>
  <c r="U524" i="22" s="1"/>
  <c r="M524" i="22"/>
  <c r="AE1607" i="23"/>
  <c r="AK1607" i="23"/>
  <c r="K1496" i="23"/>
  <c r="F1496" i="23"/>
  <c r="O1496" i="23" s="1"/>
  <c r="F1440" i="23"/>
  <c r="O1440" i="23" s="1"/>
  <c r="K1440" i="23"/>
  <c r="K1384" i="23"/>
  <c r="F1384" i="23"/>
  <c r="O1384" i="23" s="1"/>
  <c r="F1160" i="23"/>
  <c r="O1160" i="23" s="1"/>
  <c r="K1160" i="23"/>
  <c r="K1048" i="23"/>
  <c r="F1048" i="23"/>
  <c r="O1048" i="23" s="1"/>
  <c r="F880" i="23"/>
  <c r="O880" i="23" s="1"/>
  <c r="K880" i="23"/>
  <c r="K488" i="23"/>
  <c r="F488" i="23"/>
  <c r="O488" i="23" s="1"/>
  <c r="K432" i="23"/>
  <c r="F432" i="23"/>
  <c r="O432" i="23" s="1"/>
  <c r="F4743" i="22"/>
  <c r="K4743" i="22"/>
  <c r="F4689" i="22"/>
  <c r="K4689" i="22"/>
  <c r="F4227" i="22"/>
  <c r="O4227" i="22" s="1"/>
  <c r="K4227" i="22"/>
  <c r="K3765" i="22"/>
  <c r="F3765" i="22"/>
  <c r="O3765" i="22" s="1"/>
  <c r="F3657" i="22"/>
  <c r="O3657" i="22" s="1"/>
  <c r="K3657" i="22"/>
  <c r="K3549" i="22"/>
  <c r="F3549" i="22"/>
  <c r="O3549" i="22" s="1"/>
  <c r="K3333" i="22"/>
  <c r="F3333" i="22"/>
  <c r="O3333" i="22" s="1"/>
  <c r="F3009" i="22"/>
  <c r="O3009" i="22" s="1"/>
  <c r="K3009" i="22"/>
  <c r="F2685" i="22"/>
  <c r="O2685" i="22" s="1"/>
  <c r="K2685" i="22"/>
  <c r="F2631" i="22"/>
  <c r="O2631" i="22" s="1"/>
  <c r="K2631" i="22"/>
  <c r="F2361" i="22"/>
  <c r="O2361" i="22" s="1"/>
  <c r="K2361" i="22"/>
  <c r="K2307" i="22"/>
  <c r="F2307" i="22"/>
  <c r="O2307" i="22" s="1"/>
  <c r="F1983" i="22"/>
  <c r="O1983" i="22" s="1"/>
  <c r="K1983" i="22"/>
  <c r="K1713" i="22"/>
  <c r="F1713" i="22"/>
  <c r="O1713" i="22" s="1"/>
  <c r="K1659" i="22"/>
  <c r="F1659" i="22"/>
  <c r="O1659" i="22" s="1"/>
  <c r="K1443" i="22"/>
  <c r="F1443" i="22"/>
  <c r="O1443" i="22" s="1"/>
  <c r="F1389" i="22"/>
  <c r="O1389" i="22" s="1"/>
  <c r="K1389" i="22"/>
  <c r="K309" i="22"/>
  <c r="F309" i="22"/>
  <c r="O309" i="22" s="1"/>
  <c r="F30" i="18"/>
  <c r="G30" i="18"/>
  <c r="H30" i="18"/>
  <c r="K31" i="17"/>
  <c r="F31" i="17"/>
  <c r="C31" i="18" s="1"/>
  <c r="E31" i="18" s="1"/>
  <c r="K321" i="23" l="1"/>
  <c r="F321" i="23"/>
  <c r="O321" i="23" s="1"/>
  <c r="K2578" i="22"/>
  <c r="F2578" i="22"/>
  <c r="O2578" i="22" s="1"/>
  <c r="K2146" i="22"/>
  <c r="F2146" i="22"/>
  <c r="O2146" i="22" s="1"/>
  <c r="M1609" i="23"/>
  <c r="J1609" i="23"/>
  <c r="N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K1554" i="23" s="1"/>
  <c r="E1554" i="23"/>
  <c r="F1554" i="23"/>
  <c r="O1554" i="23" s="1"/>
  <c r="G1554" i="23"/>
  <c r="B1555" i="23"/>
  <c r="J1497" i="23"/>
  <c r="D1497" i="23"/>
  <c r="P1497" i="23"/>
  <c r="Q1497" i="23"/>
  <c r="R1497" i="23"/>
  <c r="L1498" i="23"/>
  <c r="I1498" i="23"/>
  <c r="E1498" i="23"/>
  <c r="G1498" i="23"/>
  <c r="C1498" i="23"/>
  <c r="K1498" i="23" s="1"/>
  <c r="F1498" i="23"/>
  <c r="O1498" i="23" s="1"/>
  <c r="B1499" i="23"/>
  <c r="P1441" i="23"/>
  <c r="Q1441" i="23"/>
  <c r="R1441" i="23"/>
  <c r="L1442" i="23"/>
  <c r="I1442" i="23"/>
  <c r="G1442" i="23"/>
  <c r="C1442" i="23"/>
  <c r="E1442" i="23"/>
  <c r="B1443" i="23"/>
  <c r="J1441" i="23"/>
  <c r="D1441" i="23"/>
  <c r="P1385" i="23"/>
  <c r="Q1385" i="23"/>
  <c r="R1385" i="23"/>
  <c r="L1386" i="23"/>
  <c r="I1386" i="23"/>
  <c r="B1387" i="23"/>
  <c r="C1386" i="23"/>
  <c r="E1386" i="23"/>
  <c r="G1386" i="23"/>
  <c r="J1385" i="23"/>
  <c r="D1385"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P1161" i="23"/>
  <c r="Q1161" i="23"/>
  <c r="R1161" i="23"/>
  <c r="J1161" i="23"/>
  <c r="D1161" i="23"/>
  <c r="L1162" i="23"/>
  <c r="I1162" i="23"/>
  <c r="E1162" i="23"/>
  <c r="G1162" i="23"/>
  <c r="C1162" i="23"/>
  <c r="K1162" i="23" s="1"/>
  <c r="F1162" i="23"/>
  <c r="O1162" i="23" s="1"/>
  <c r="B1163" i="23"/>
  <c r="J1105" i="23"/>
  <c r="D1105" i="23"/>
  <c r="P1105" i="23"/>
  <c r="Q1105" i="23"/>
  <c r="R1105" i="23"/>
  <c r="L1106" i="23"/>
  <c r="I1106" i="23"/>
  <c r="C1106" i="23"/>
  <c r="K1106" i="23" s="1"/>
  <c r="E1106" i="23"/>
  <c r="F1106" i="23"/>
  <c r="O1106" i="23" s="1"/>
  <c r="G1106" i="23"/>
  <c r="B1107" i="23"/>
  <c r="L1050" i="23"/>
  <c r="I1050" i="23"/>
  <c r="G1050" i="23"/>
  <c r="C1050" i="23"/>
  <c r="K1050" i="23" s="1"/>
  <c r="E1050" i="23"/>
  <c r="F1050" i="23"/>
  <c r="O1050" i="23" s="1"/>
  <c r="B1051" i="23"/>
  <c r="J1049" i="23"/>
  <c r="D1049" i="23"/>
  <c r="P1049" i="23"/>
  <c r="Q1049" i="23"/>
  <c r="R1049" i="23"/>
  <c r="J993" i="23"/>
  <c r="D993" i="23"/>
  <c r="P993" i="23"/>
  <c r="Q993" i="23"/>
  <c r="R993" i="23"/>
  <c r="L994" i="23"/>
  <c r="I994" i="23"/>
  <c r="C994" i="23"/>
  <c r="E994" i="23"/>
  <c r="G994" i="23"/>
  <c r="B995" i="23"/>
  <c r="M937" i="23"/>
  <c r="J937" i="23"/>
  <c r="N937" i="23" s="1"/>
  <c r="AE937" i="23" s="1"/>
  <c r="D937" i="23"/>
  <c r="P937" i="23"/>
  <c r="Q937" i="23"/>
  <c r="R937" i="23"/>
  <c r="L938" i="23"/>
  <c r="I938" i="23"/>
  <c r="C938" i="23"/>
  <c r="E938" i="23"/>
  <c r="G938" i="23"/>
  <c r="B939" i="23"/>
  <c r="M881" i="23"/>
  <c r="J881" i="23"/>
  <c r="N881" i="23" s="1"/>
  <c r="AE881" i="23" s="1"/>
  <c r="D881" i="23"/>
  <c r="P881" i="23"/>
  <c r="Q881" i="23"/>
  <c r="R881" i="23"/>
  <c r="L882" i="23"/>
  <c r="I882" i="23"/>
  <c r="C882" i="23"/>
  <c r="E882" i="23"/>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Q713" i="23"/>
  <c r="P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J601" i="23"/>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E546" i="23"/>
  <c r="G546" i="23"/>
  <c r="B547" i="23"/>
  <c r="J489" i="23"/>
  <c r="D489" i="23"/>
  <c r="P489" i="23"/>
  <c r="Q489" i="23"/>
  <c r="R489" i="23"/>
  <c r="L490" i="23"/>
  <c r="I490" i="23"/>
  <c r="C490" i="23"/>
  <c r="K490" i="23" s="1"/>
  <c r="E490" i="23"/>
  <c r="F490" i="23"/>
  <c r="O490" i="23" s="1"/>
  <c r="G490" i="23"/>
  <c r="B491" i="23"/>
  <c r="J433" i="23"/>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E266" i="23"/>
  <c r="G266" i="23"/>
  <c r="B267" i="23"/>
  <c r="P4744" i="22"/>
  <c r="Q4744" i="22"/>
  <c r="R4744" i="22"/>
  <c r="I4745" i="22"/>
  <c r="B4746" i="22"/>
  <c r="C4745" i="22"/>
  <c r="K4745" i="22" s="1"/>
  <c r="E4745" i="22"/>
  <c r="F4745" i="22"/>
  <c r="G4745" i="22"/>
  <c r="L4745" i="22"/>
  <c r="D4744" i="22"/>
  <c r="J4744" i="22"/>
  <c r="N4744" i="22"/>
  <c r="M4744" i="22"/>
  <c r="T4688" i="22"/>
  <c r="U4689" i="22"/>
  <c r="S4689" i="22"/>
  <c r="T4689" i="22" s="1"/>
  <c r="D4690" i="22"/>
  <c r="J4690" i="22"/>
  <c r="P4690" i="22"/>
  <c r="Q4690" i="22"/>
  <c r="R4690" i="22"/>
  <c r="L4691" i="22"/>
  <c r="C4691" i="22"/>
  <c r="K4691" i="22" s="1"/>
  <c r="E4691" i="22"/>
  <c r="F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E4529" i="22"/>
  <c r="G4529" i="22"/>
  <c r="I4529" i="22"/>
  <c r="B4530" i="22"/>
  <c r="M4228" i="22"/>
  <c r="D4228" i="22"/>
  <c r="J4228" i="22"/>
  <c r="N4228" i="22" s="1"/>
  <c r="U4228" i="22" s="1"/>
  <c r="P4228" i="22"/>
  <c r="R4228" i="22"/>
  <c r="Q4228" i="22"/>
  <c r="L4229" i="22"/>
  <c r="C4229" i="22"/>
  <c r="E4229" i="22"/>
  <c r="G4229" i="22"/>
  <c r="I4229" i="22"/>
  <c r="B4230" i="22"/>
  <c r="M4174" i="22"/>
  <c r="D4174" i="22"/>
  <c r="J4174" i="22"/>
  <c r="N4174" i="22" s="1"/>
  <c r="U4174" i="22" s="1"/>
  <c r="P4174" i="22"/>
  <c r="Q4174" i="22"/>
  <c r="R4174" i="22"/>
  <c r="L4175" i="22"/>
  <c r="C4175" i="22"/>
  <c r="E4175" i="22"/>
  <c r="G4175" i="22"/>
  <c r="I4175" i="22"/>
  <c r="B4176" i="22"/>
  <c r="D4120" i="22"/>
  <c r="J4120" i="22"/>
  <c r="P4120" i="22"/>
  <c r="Q4120" i="22"/>
  <c r="R4120" i="22"/>
  <c r="M4120" i="22"/>
  <c r="N4120" i="22"/>
  <c r="U4120" i="22" s="1"/>
  <c r="C4121" i="22"/>
  <c r="E4121" i="22"/>
  <c r="F4121" i="22"/>
  <c r="O4121" i="22" s="1"/>
  <c r="G4121" i="22"/>
  <c r="I4121" i="22"/>
  <c r="K4121" i="22"/>
  <c r="L4121" i="22"/>
  <c r="B4122" i="22"/>
  <c r="C4067" i="22"/>
  <c r="F4067" i="22" s="1"/>
  <c r="O4067" i="22" s="1"/>
  <c r="G4067" i="22"/>
  <c r="I4067" i="22"/>
  <c r="K4067" i="22"/>
  <c r="E4067" i="22"/>
  <c r="L4067" i="22"/>
  <c r="B4068" i="22"/>
  <c r="D4066" i="22"/>
  <c r="J4066" i="22"/>
  <c r="P4066" i="22"/>
  <c r="Q4066" i="22"/>
  <c r="R4066" i="22"/>
  <c r="M3766" i="22"/>
  <c r="D3766" i="22"/>
  <c r="J3766" i="22"/>
  <c r="N3766" i="22" s="1"/>
  <c r="U3766" i="22" s="1"/>
  <c r="P3766" i="22"/>
  <c r="Q3766" i="22"/>
  <c r="R3766" i="22"/>
  <c r="L3767" i="22"/>
  <c r="C3767" i="22"/>
  <c r="K3767" i="22" s="1"/>
  <c r="E3767" i="22"/>
  <c r="F3767" i="22"/>
  <c r="O3767" i="22" s="1"/>
  <c r="G3767" i="22"/>
  <c r="I3767" i="22"/>
  <c r="B3768" i="22"/>
  <c r="D3712" i="22"/>
  <c r="J3712" i="22"/>
  <c r="P3712" i="22"/>
  <c r="Q3712" i="22"/>
  <c r="R3712" i="22"/>
  <c r="L3713" i="22"/>
  <c r="C3713" i="22"/>
  <c r="E3713" i="22"/>
  <c r="G3713" i="22"/>
  <c r="I3713" i="22"/>
  <c r="B3714" i="22"/>
  <c r="D3658" i="22"/>
  <c r="J3658" i="22"/>
  <c r="P3658" i="22"/>
  <c r="Q3658" i="22"/>
  <c r="R3658" i="22"/>
  <c r="L3659" i="22"/>
  <c r="C3659" i="22"/>
  <c r="K3659" i="22" s="1"/>
  <c r="E3659" i="22"/>
  <c r="F3659" i="22"/>
  <c r="O3659" i="22" s="1"/>
  <c r="G3659" i="22"/>
  <c r="I3659" i="22"/>
  <c r="B3660" i="22"/>
  <c r="D3604" i="22"/>
  <c r="J3604" i="22"/>
  <c r="P3604" i="22"/>
  <c r="Q3604" i="22"/>
  <c r="R3604" i="22"/>
  <c r="L3605" i="22"/>
  <c r="C3605" i="22"/>
  <c r="E3605" i="22"/>
  <c r="G3605" i="22"/>
  <c r="I3605" i="22"/>
  <c r="B3606" i="22"/>
  <c r="L3551" i="22"/>
  <c r="I3551" i="22"/>
  <c r="B3552" i="22"/>
  <c r="C3551" i="22"/>
  <c r="E3551" i="22"/>
  <c r="G3551" i="22"/>
  <c r="J3550" i="22"/>
  <c r="D3550" i="22"/>
  <c r="P3550" i="22"/>
  <c r="Q3550" i="22"/>
  <c r="R3550"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E3443" i="22"/>
  <c r="G3443" i="22"/>
  <c r="I3443" i="22"/>
  <c r="B3444" i="22"/>
  <c r="M3388" i="22"/>
  <c r="D3388" i="22"/>
  <c r="J3388" i="22"/>
  <c r="N3388" i="22" s="1"/>
  <c r="U3388" i="22" s="1"/>
  <c r="P3388" i="22"/>
  <c r="Q3388" i="22"/>
  <c r="R3388" i="22"/>
  <c r="L3389" i="22"/>
  <c r="C3389" i="22"/>
  <c r="K3389" i="22" s="1"/>
  <c r="E3389" i="22"/>
  <c r="F3389" i="22"/>
  <c r="O3389" i="22" s="1"/>
  <c r="G3389" i="22"/>
  <c r="I3389" i="22"/>
  <c r="B3390" i="22"/>
  <c r="D3334" i="22"/>
  <c r="J3334" i="22"/>
  <c r="P3334" i="22"/>
  <c r="Q3334" i="22"/>
  <c r="R3334" i="22"/>
  <c r="L3335" i="22"/>
  <c r="C3335" i="22"/>
  <c r="K3335" i="22" s="1"/>
  <c r="E3335" i="22"/>
  <c r="F3335" i="22"/>
  <c r="O3335" i="22" s="1"/>
  <c r="G3335" i="22"/>
  <c r="I3335" i="22"/>
  <c r="B3336" i="22"/>
  <c r="P3280" i="22"/>
  <c r="Q3280" i="22"/>
  <c r="R3280" i="22"/>
  <c r="J3280" i="22"/>
  <c r="D3280" i="22"/>
  <c r="L3281" i="22"/>
  <c r="E3281" i="22"/>
  <c r="C3281" i="22"/>
  <c r="I3281" i="22"/>
  <c r="B3282" i="22"/>
  <c r="G3281" i="22"/>
  <c r="M3226" i="22"/>
  <c r="P3226" i="22"/>
  <c r="Q3226" i="22"/>
  <c r="R3226" i="22"/>
  <c r="D3226" i="22"/>
  <c r="J3226" i="22"/>
  <c r="N3226" i="22" s="1"/>
  <c r="U3226" i="22" s="1"/>
  <c r="L3227" i="22"/>
  <c r="B3228" i="22"/>
  <c r="E3227" i="22"/>
  <c r="G3227" i="22"/>
  <c r="C3227" i="22"/>
  <c r="I3227" i="22"/>
  <c r="M3172" i="22"/>
  <c r="D3172" i="22"/>
  <c r="J3172" i="22"/>
  <c r="N3172" i="22" s="1"/>
  <c r="U3172" i="22" s="1"/>
  <c r="P3172" i="22"/>
  <c r="Q3172" i="22"/>
  <c r="R3172" i="22"/>
  <c r="L3173" i="22"/>
  <c r="C3173" i="22"/>
  <c r="E3173" i="22"/>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K2903" i="22" s="1"/>
  <c r="E2903" i="22"/>
  <c r="F2903" i="22"/>
  <c r="O2903" i="22" s="1"/>
  <c r="G2903" i="22"/>
  <c r="I2903" i="22"/>
  <c r="B2904" i="22"/>
  <c r="D2848" i="22"/>
  <c r="J2848" i="22"/>
  <c r="P2848" i="22"/>
  <c r="Q2848" i="22"/>
  <c r="R2848" i="22"/>
  <c r="L2849" i="22"/>
  <c r="C2849" i="22"/>
  <c r="E2849" i="22"/>
  <c r="G2849" i="22"/>
  <c r="I2849" i="22"/>
  <c r="B2850" i="22"/>
  <c r="D2794" i="22"/>
  <c r="J2794" i="22"/>
  <c r="P2794" i="22"/>
  <c r="Q2794" i="22"/>
  <c r="R2794" i="22"/>
  <c r="L2795" i="22"/>
  <c r="C2795" i="22"/>
  <c r="K2795" i="22" s="1"/>
  <c r="E2795" i="22"/>
  <c r="F2795" i="22"/>
  <c r="O2795" i="22" s="1"/>
  <c r="G2795" i="22"/>
  <c r="I2795" i="22"/>
  <c r="B2796" i="22"/>
  <c r="D2740" i="22"/>
  <c r="J2740" i="22"/>
  <c r="P2740" i="22"/>
  <c r="Q2740" i="22"/>
  <c r="R2740" i="22"/>
  <c r="L2741" i="22"/>
  <c r="C2741" i="22"/>
  <c r="K2741" i="22" s="1"/>
  <c r="E2741" i="22"/>
  <c r="F2741" i="22"/>
  <c r="O2741" i="22" s="1"/>
  <c r="G2741" i="22"/>
  <c r="I2741" i="22"/>
  <c r="B2742" i="22"/>
  <c r="P2686" i="22"/>
  <c r="Q2686" i="22"/>
  <c r="R2686" i="22"/>
  <c r="J2686" i="22"/>
  <c r="D2686" i="22"/>
  <c r="L2687" i="22"/>
  <c r="G2687" i="22"/>
  <c r="C2687" i="22"/>
  <c r="K2687" i="22" s="1"/>
  <c r="E2687" i="22"/>
  <c r="F2687" i="22"/>
  <c r="O2687" i="22" s="1"/>
  <c r="I2687" i="22"/>
  <c r="B2688" i="22"/>
  <c r="L2633" i="22"/>
  <c r="I2633" i="22"/>
  <c r="B2634" i="22"/>
  <c r="C2633" i="22"/>
  <c r="K2633" i="22" s="1"/>
  <c r="E2633" i="22"/>
  <c r="F2633" i="22"/>
  <c r="O2633" i="22" s="1"/>
  <c r="G2633" i="22"/>
  <c r="J2632" i="22"/>
  <c r="D2632" i="22"/>
  <c r="P2632" i="22"/>
  <c r="Q2632" i="22"/>
  <c r="R2632" i="22"/>
  <c r="M2578" i="22"/>
  <c r="D2578" i="22"/>
  <c r="J2578" i="22"/>
  <c r="N2578" i="22" s="1"/>
  <c r="U2578" i="22" s="1"/>
  <c r="P2578" i="22"/>
  <c r="Q2578" i="22"/>
  <c r="R2578" i="22"/>
  <c r="L2579" i="22"/>
  <c r="C2579" i="22"/>
  <c r="E2579" i="22"/>
  <c r="G2579" i="22"/>
  <c r="I2579" i="22"/>
  <c r="B2580" i="22"/>
  <c r="M2524" i="22"/>
  <c r="D2524" i="22"/>
  <c r="J2524" i="22"/>
  <c r="N2524" i="22" s="1"/>
  <c r="U2524" i="22" s="1"/>
  <c r="P2524" i="22"/>
  <c r="Q2524" i="22"/>
  <c r="R2524" i="22"/>
  <c r="L2525" i="22"/>
  <c r="C2525" i="22"/>
  <c r="E2525" i="22"/>
  <c r="G2525" i="22"/>
  <c r="I2525" i="22"/>
  <c r="B2526" i="22"/>
  <c r="D2470" i="22"/>
  <c r="J2470" i="22"/>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E2363" i="22"/>
  <c r="G2363" i="22"/>
  <c r="I2363" i="22"/>
  <c r="B2364" i="22"/>
  <c r="P2308" i="22"/>
  <c r="Q2308" i="22"/>
  <c r="R2308" i="22"/>
  <c r="L2309" i="22"/>
  <c r="I2309" i="22"/>
  <c r="B2310" i="22"/>
  <c r="C2309" i="22"/>
  <c r="E2309" i="22"/>
  <c r="G2309" i="22"/>
  <c r="J2308" i="22"/>
  <c r="D2308" i="22"/>
  <c r="M2254" i="22"/>
  <c r="D2254" i="22"/>
  <c r="J2254" i="22"/>
  <c r="N2254" i="22" s="1"/>
  <c r="U2254" i="22" s="1"/>
  <c r="P2254" i="22"/>
  <c r="Q2254" i="22"/>
  <c r="R2254" i="22"/>
  <c r="L2255" i="22"/>
  <c r="C2255" i="22"/>
  <c r="K2255" i="22" s="1"/>
  <c r="E2255" i="22"/>
  <c r="F2255" i="22"/>
  <c r="O2255" i="22" s="1"/>
  <c r="G2255" i="22"/>
  <c r="I2255" i="22"/>
  <c r="B2256" i="22"/>
  <c r="D2200" i="22"/>
  <c r="J2200" i="22"/>
  <c r="P2200" i="22"/>
  <c r="Q2200" i="22"/>
  <c r="R2200" i="22"/>
  <c r="L2201" i="22"/>
  <c r="C2201" i="22"/>
  <c r="E2201" i="22"/>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E1931" i="22"/>
  <c r="G1931" i="22"/>
  <c r="I1931" i="22"/>
  <c r="B1932" i="22"/>
  <c r="D1876" i="22"/>
  <c r="J1876" i="22"/>
  <c r="P1876" i="22"/>
  <c r="Q1876" i="22"/>
  <c r="R1876" i="22"/>
  <c r="L1877" i="22"/>
  <c r="C1877" i="22"/>
  <c r="K1877" i="22" s="1"/>
  <c r="E1877" i="22"/>
  <c r="F1877" i="22"/>
  <c r="O1877" i="22" s="1"/>
  <c r="G1877" i="22"/>
  <c r="I1877" i="22"/>
  <c r="B1878" i="22"/>
  <c r="D1822" i="22"/>
  <c r="J1822" i="22"/>
  <c r="P1822" i="22"/>
  <c r="Q1822" i="22"/>
  <c r="R1822" i="22"/>
  <c r="L1823" i="22"/>
  <c r="C1823" i="22"/>
  <c r="E1823" i="22"/>
  <c r="G1823" i="22"/>
  <c r="I1823" i="22"/>
  <c r="B1824" i="22"/>
  <c r="M1768" i="22"/>
  <c r="D1768" i="22"/>
  <c r="J1768" i="22"/>
  <c r="N1768" i="22" s="1"/>
  <c r="U1768" i="22" s="1"/>
  <c r="P1768" i="22"/>
  <c r="Q1768" i="22"/>
  <c r="R1768" i="22"/>
  <c r="L1769" i="22"/>
  <c r="C1769" i="22"/>
  <c r="E1769" i="22"/>
  <c r="G1769" i="22"/>
  <c r="I1769" i="22"/>
  <c r="B1770" i="22"/>
  <c r="M1714" i="22"/>
  <c r="D1714" i="22"/>
  <c r="J1714" i="22"/>
  <c r="N1714" i="22" s="1"/>
  <c r="U1714" i="22" s="1"/>
  <c r="P1714" i="22"/>
  <c r="Q1714" i="22"/>
  <c r="R1714" i="22"/>
  <c r="L1715" i="22"/>
  <c r="C1715" i="22"/>
  <c r="E1715" i="22"/>
  <c r="G1715" i="22"/>
  <c r="I1715" i="22"/>
  <c r="B1716" i="22"/>
  <c r="M1660" i="22"/>
  <c r="D1660" i="22"/>
  <c r="J1660" i="22"/>
  <c r="N1660" i="22" s="1"/>
  <c r="U1660" i="22" s="1"/>
  <c r="P1660" i="22"/>
  <c r="Q1660" i="22"/>
  <c r="R1660" i="22"/>
  <c r="L1661" i="22"/>
  <c r="C1661" i="22"/>
  <c r="E1661" i="22"/>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K1553" i="22" s="1"/>
  <c r="E1553" i="22"/>
  <c r="F1553" i="22"/>
  <c r="O1553" i="22" s="1"/>
  <c r="G1553" i="22"/>
  <c r="I1553" i="22"/>
  <c r="B1554" i="22"/>
  <c r="D1498" i="22"/>
  <c r="J1498" i="22"/>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J1390" i="22"/>
  <c r="D1390" i="22"/>
  <c r="P1390" i="22"/>
  <c r="Q1390" i="22"/>
  <c r="R1390" i="22"/>
  <c r="L1391" i="22"/>
  <c r="B1392" i="22"/>
  <c r="C1391" i="22"/>
  <c r="E1391" i="22"/>
  <c r="G1391" i="22"/>
  <c r="I1391"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D1228" i="22"/>
  <c r="J1228" i="22"/>
  <c r="P1228" i="22"/>
  <c r="Q1228" i="22"/>
  <c r="R1228" i="22"/>
  <c r="L1229" i="22"/>
  <c r="C1229" i="22"/>
  <c r="E1229" i="22"/>
  <c r="G1229" i="22"/>
  <c r="I1229" i="22"/>
  <c r="B1230" i="22"/>
  <c r="D1174" i="22"/>
  <c r="J1174" i="22"/>
  <c r="P1174" i="22"/>
  <c r="Q1174" i="22"/>
  <c r="R1174" i="22"/>
  <c r="L1175" i="22"/>
  <c r="C1175" i="22"/>
  <c r="E1175" i="22"/>
  <c r="G1175" i="22"/>
  <c r="I1175" i="22"/>
  <c r="B1176" i="22"/>
  <c r="M1120" i="22"/>
  <c r="D1120" i="22"/>
  <c r="J1120" i="22"/>
  <c r="N1120" i="22" s="1"/>
  <c r="U1120" i="22" s="1"/>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E1013" i="22"/>
  <c r="G1013" i="22"/>
  <c r="I1013" i="22"/>
  <c r="B1014" i="22"/>
  <c r="M958" i="22"/>
  <c r="D958" i="22"/>
  <c r="J958" i="22"/>
  <c r="N958" i="22" s="1"/>
  <c r="U958" i="22" s="1"/>
  <c r="P958" i="22"/>
  <c r="Q958" i="22"/>
  <c r="R958" i="22"/>
  <c r="L959" i="22"/>
  <c r="C959" i="22"/>
  <c r="K959" i="22" s="1"/>
  <c r="E959" i="22"/>
  <c r="F959" i="22"/>
  <c r="O959" i="22" s="1"/>
  <c r="G959" i="22"/>
  <c r="I959" i="22"/>
  <c r="B960" i="22"/>
  <c r="D904" i="22"/>
  <c r="J904" i="22"/>
  <c r="P904" i="22"/>
  <c r="Q904" i="22"/>
  <c r="R904" i="22"/>
  <c r="L905" i="22"/>
  <c r="C905" i="22"/>
  <c r="E905" i="22"/>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D526" i="22"/>
  <c r="J526" i="22"/>
  <c r="P526" i="22"/>
  <c r="Q526" i="22"/>
  <c r="R526" i="22"/>
  <c r="L527" i="22"/>
  <c r="C527" i="22"/>
  <c r="K527" i="22" s="1"/>
  <c r="E527" i="22"/>
  <c r="F527" i="22"/>
  <c r="O527" i="22" s="1"/>
  <c r="G527" i="22"/>
  <c r="B528" i="22"/>
  <c r="I527" i="22"/>
  <c r="M472" i="22"/>
  <c r="D472" i="22"/>
  <c r="J472" i="22"/>
  <c r="N472" i="22" s="1"/>
  <c r="U472" i="22" s="1"/>
  <c r="P472" i="22"/>
  <c r="Q472" i="22"/>
  <c r="R472" i="22"/>
  <c r="L473" i="22"/>
  <c r="C473" i="22"/>
  <c r="K473" i="22" s="1"/>
  <c r="E473" i="22"/>
  <c r="F473" i="22"/>
  <c r="O473" i="22" s="1"/>
  <c r="G473" i="22"/>
  <c r="B474" i="22"/>
  <c r="I473"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E311" i="22"/>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B150" i="22"/>
  <c r="I149" i="22"/>
  <c r="M94" i="22"/>
  <c r="D94" i="22"/>
  <c r="J94" i="22"/>
  <c r="N94" i="22" s="1"/>
  <c r="U94" i="22" s="1"/>
  <c r="P94" i="22"/>
  <c r="Q94" i="22"/>
  <c r="R94" i="22"/>
  <c r="L95" i="22"/>
  <c r="C95" i="22"/>
  <c r="K95" i="22" s="1"/>
  <c r="E95" i="22"/>
  <c r="F95" i="22"/>
  <c r="O95" i="22" s="1"/>
  <c r="G95" i="22"/>
  <c r="I95" i="22"/>
  <c r="B96" i="22"/>
  <c r="G82"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E33" i="17"/>
  <c r="G33" i="17"/>
  <c r="I33" i="17"/>
  <c r="B34" i="17"/>
  <c r="B33" i="18"/>
  <c r="C33" i="17"/>
  <c r="K33" i="17" s="1"/>
  <c r="F33" i="17"/>
  <c r="C33" i="18" s="1"/>
  <c r="E33" i="18" s="1"/>
  <c r="L33" i="17"/>
  <c r="AN16" i="17"/>
  <c r="B98" i="12"/>
  <c r="I98" i="12" s="1"/>
  <c r="AM15" i="17"/>
  <c r="AL17" i="17"/>
  <c r="AL18" i="17"/>
  <c r="AL19" i="17"/>
  <c r="AL20" i="17"/>
  <c r="AL21" i="17"/>
  <c r="AL22" i="17"/>
  <c r="AL23" i="17"/>
  <c r="AL24" i="17"/>
  <c r="AL25" i="17"/>
  <c r="AL26" i="17"/>
  <c r="AL27" i="17"/>
  <c r="AL28" i="17"/>
  <c r="AL29" i="17"/>
  <c r="AL30" i="17"/>
  <c r="AL31" i="17"/>
  <c r="AL32" i="17"/>
  <c r="M1496" i="23"/>
  <c r="N1496" i="23"/>
  <c r="AE1496" i="23" s="1"/>
  <c r="M1440" i="23"/>
  <c r="N1440" i="23"/>
  <c r="AE1440" i="23" s="1"/>
  <c r="M1384" i="23"/>
  <c r="N1384" i="23"/>
  <c r="AE1384" i="23" s="1"/>
  <c r="M1160" i="23"/>
  <c r="N1160" i="23"/>
  <c r="AE1160" i="23" s="1"/>
  <c r="M1048" i="23"/>
  <c r="N1048" i="23"/>
  <c r="AE1048" i="23" s="1"/>
  <c r="M880" i="23"/>
  <c r="N880" i="23"/>
  <c r="AE880" i="23" s="1"/>
  <c r="M488" i="23"/>
  <c r="N488" i="23"/>
  <c r="AE488" i="23" s="1"/>
  <c r="M432" i="23"/>
  <c r="N432" i="23"/>
  <c r="AE432" i="23" s="1"/>
  <c r="N4743" i="22"/>
  <c r="M4743" i="22"/>
  <c r="M4689" i="22"/>
  <c r="N4689" i="22"/>
  <c r="M4227" i="22"/>
  <c r="N4227" i="22"/>
  <c r="U4227" i="22" s="1"/>
  <c r="M3765" i="22"/>
  <c r="N3765" i="22"/>
  <c r="U3765" i="22" s="1"/>
  <c r="M3657" i="22"/>
  <c r="N3657" i="22"/>
  <c r="U3657" i="22" s="1"/>
  <c r="M3549" i="22"/>
  <c r="N3549" i="22"/>
  <c r="U3549" i="22" s="1"/>
  <c r="M3333" i="22"/>
  <c r="N3333" i="22"/>
  <c r="U3333" i="22" s="1"/>
  <c r="M3009" i="22"/>
  <c r="N3009" i="22"/>
  <c r="U3009" i="22" s="1"/>
  <c r="M2685" i="22"/>
  <c r="N2685" i="22"/>
  <c r="U2685" i="22" s="1"/>
  <c r="M2631" i="22"/>
  <c r="N2631" i="22"/>
  <c r="U2631" i="22" s="1"/>
  <c r="M2361" i="22"/>
  <c r="N2361" i="22"/>
  <c r="U2361" i="22" s="1"/>
  <c r="M2307" i="22"/>
  <c r="N2307" i="22"/>
  <c r="U2307" i="22" s="1"/>
  <c r="M1983" i="22"/>
  <c r="N1983" i="22"/>
  <c r="U1983" i="22" s="1"/>
  <c r="M1713" i="22"/>
  <c r="N1713" i="22"/>
  <c r="U1713" i="22" s="1"/>
  <c r="M1659" i="22"/>
  <c r="N1659" i="22"/>
  <c r="U1659" i="22" s="1"/>
  <c r="M1443" i="22"/>
  <c r="N1443" i="22"/>
  <c r="U1443" i="22" s="1"/>
  <c r="M1389" i="22"/>
  <c r="N1389" i="22"/>
  <c r="U1389" i="22" s="1"/>
  <c r="M309" i="22"/>
  <c r="N309" i="22"/>
  <c r="U309" i="22" s="1"/>
  <c r="M31" i="17"/>
  <c r="N31" i="17"/>
  <c r="U31" i="17" s="1"/>
  <c r="O31" i="17"/>
  <c r="E83" i="12"/>
  <c r="AE1608" i="23"/>
  <c r="AK1608" i="23"/>
  <c r="K1553" i="23"/>
  <c r="F1553" i="23"/>
  <c r="O1553" i="23" s="1"/>
  <c r="F1497" i="23"/>
  <c r="O1497" i="23" s="1"/>
  <c r="K1497" i="23"/>
  <c r="F1441" i="23"/>
  <c r="O1441" i="23" s="1"/>
  <c r="K1441" i="23"/>
  <c r="F1385" i="23"/>
  <c r="O1385" i="23" s="1"/>
  <c r="K1385" i="23"/>
  <c r="K1161" i="23"/>
  <c r="F1161" i="23"/>
  <c r="O1161" i="23" s="1"/>
  <c r="F1105" i="23"/>
  <c r="O1105" i="23" s="1"/>
  <c r="K1105" i="23"/>
  <c r="K1049" i="23"/>
  <c r="F1049" i="23"/>
  <c r="O1049" i="23" s="1"/>
  <c r="F993" i="23"/>
  <c r="O993" i="23" s="1"/>
  <c r="K993" i="23"/>
  <c r="K601" i="23"/>
  <c r="F601" i="23"/>
  <c r="O601" i="23" s="1"/>
  <c r="K489" i="23"/>
  <c r="F489" i="23"/>
  <c r="O489" i="23" s="1"/>
  <c r="K433" i="23"/>
  <c r="F433" i="23"/>
  <c r="O433" i="23" s="1"/>
  <c r="K4690" i="22"/>
  <c r="F4690" i="22"/>
  <c r="D4636" i="22"/>
  <c r="F4636" i="22"/>
  <c r="O4636" i="22" s="1"/>
  <c r="F4066" i="22"/>
  <c r="O4066" i="22" s="1"/>
  <c r="K4066" i="22"/>
  <c r="K3712" i="22"/>
  <c r="F3712" i="22"/>
  <c r="O3712" i="22" s="1"/>
  <c r="K3658" i="22"/>
  <c r="F3658" i="22"/>
  <c r="O3658" i="22" s="1"/>
  <c r="K3604" i="22"/>
  <c r="F3604" i="22"/>
  <c r="O3604" i="22" s="1"/>
  <c r="K3550" i="22"/>
  <c r="F3550" i="22"/>
  <c r="O3550" i="22" s="1"/>
  <c r="K3334" i="22"/>
  <c r="F3334" i="22"/>
  <c r="O3334" i="22" s="1"/>
  <c r="F3280" i="22"/>
  <c r="O3280" i="22" s="1"/>
  <c r="K3280" i="22"/>
  <c r="K2848" i="22"/>
  <c r="F2848" i="22"/>
  <c r="O2848" i="22" s="1"/>
  <c r="K2794" i="22"/>
  <c r="F2794" i="22"/>
  <c r="O2794" i="22" s="1"/>
  <c r="F2740" i="22"/>
  <c r="O2740" i="22" s="1"/>
  <c r="K2740" i="22"/>
  <c r="F2686" i="22"/>
  <c r="O2686" i="22" s="1"/>
  <c r="K2686" i="22"/>
  <c r="F2632" i="22"/>
  <c r="O2632" i="22" s="1"/>
  <c r="K2632" i="22"/>
  <c r="K2470" i="22"/>
  <c r="F2470" i="22"/>
  <c r="O2470" i="22" s="1"/>
  <c r="K2308" i="22"/>
  <c r="F2308" i="22"/>
  <c r="O2308" i="22" s="1"/>
  <c r="K2200" i="22"/>
  <c r="F2200" i="22"/>
  <c r="O2200" i="22" s="1"/>
  <c r="K1876" i="22"/>
  <c r="F1876" i="22"/>
  <c r="O1876" i="22" s="1"/>
  <c r="F1822" i="22"/>
  <c r="O1822" i="22" s="1"/>
  <c r="K1822" i="22"/>
  <c r="F1498" i="22"/>
  <c r="O1498" i="22" s="1"/>
  <c r="K1498" i="22"/>
  <c r="F1390" i="22"/>
  <c r="O1390" i="22" s="1"/>
  <c r="K1390" i="22"/>
  <c r="K1228" i="22"/>
  <c r="F1228" i="22"/>
  <c r="O1228" i="22" s="1"/>
  <c r="K1174" i="22"/>
  <c r="F1174" i="22"/>
  <c r="O1174" i="22" s="1"/>
  <c r="K904" i="22"/>
  <c r="F904" i="22"/>
  <c r="O904" i="22" s="1"/>
  <c r="K526" i="22"/>
  <c r="F526" i="22"/>
  <c r="O526" i="22" s="1"/>
  <c r="F31" i="18"/>
  <c r="G31" i="18"/>
  <c r="H31" i="18"/>
  <c r="N1552" i="22" l="1"/>
  <c r="U1552" i="22" s="1"/>
  <c r="N1336" i="22"/>
  <c r="U1336" i="22" s="1"/>
  <c r="N256" i="22"/>
  <c r="U256" i="22" s="1"/>
  <c r="K938" i="23"/>
  <c r="F938" i="23"/>
  <c r="O938" i="23" s="1"/>
  <c r="K266" i="23"/>
  <c r="F266" i="23"/>
  <c r="O266" i="23" s="1"/>
  <c r="K4529" i="22"/>
  <c r="F4529" i="22"/>
  <c r="K3443" i="22"/>
  <c r="F3443" i="22"/>
  <c r="O3443" i="22" s="1"/>
  <c r="K2363" i="22"/>
  <c r="F2363" i="22"/>
  <c r="O2363" i="22" s="1"/>
  <c r="K1823" i="22"/>
  <c r="F1823" i="22"/>
  <c r="O1823" i="22" s="1"/>
  <c r="K1769" i="22"/>
  <c r="F1769" i="22"/>
  <c r="O1769" i="22" s="1"/>
  <c r="K1715" i="22"/>
  <c r="F1715" i="22"/>
  <c r="O1715" i="22" s="1"/>
  <c r="K1661" i="22"/>
  <c r="F1661" i="22"/>
  <c r="O1661" i="22" s="1"/>
  <c r="K1013" i="22"/>
  <c r="F1013" i="22"/>
  <c r="O1013"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E1555" i="23"/>
  <c r="G1555" i="23"/>
  <c r="B1556" i="23"/>
  <c r="M1498" i="23"/>
  <c r="P1498" i="23"/>
  <c r="Q1498" i="23"/>
  <c r="R1498" i="23"/>
  <c r="J1498" i="23"/>
  <c r="N1498" i="23" s="1"/>
  <c r="AE1498" i="23" s="1"/>
  <c r="D1498" i="23"/>
  <c r="L1499" i="23"/>
  <c r="I1499" i="23"/>
  <c r="G1499" i="23"/>
  <c r="B1500" i="23"/>
  <c r="C1499" i="23"/>
  <c r="E1499" i="23"/>
  <c r="P1442" i="23"/>
  <c r="Q1442" i="23"/>
  <c r="R1442" i="23"/>
  <c r="J1442" i="23"/>
  <c r="D1442" i="23"/>
  <c r="L1443" i="23"/>
  <c r="I1443" i="23"/>
  <c r="C1443" i="23"/>
  <c r="E1443" i="23"/>
  <c r="G1443" i="23"/>
  <c r="B1444" i="23"/>
  <c r="L1387" i="23"/>
  <c r="I1387" i="23"/>
  <c r="E1387" i="23"/>
  <c r="G1387" i="23"/>
  <c r="B1388" i="23"/>
  <c r="C1387" i="23"/>
  <c r="J1386" i="23"/>
  <c r="D1386" i="23"/>
  <c r="P1386" i="23"/>
  <c r="Q1386" i="23"/>
  <c r="R1386"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P1162" i="23"/>
  <c r="Q1162" i="23"/>
  <c r="R1162" i="23"/>
  <c r="J1162" i="23"/>
  <c r="N1162" i="23" s="1"/>
  <c r="AE1162" i="23" s="1"/>
  <c r="D1162" i="23"/>
  <c r="L1163" i="23"/>
  <c r="I1163" i="23"/>
  <c r="G1163" i="23"/>
  <c r="B1164" i="23"/>
  <c r="C1163" i="23"/>
  <c r="E1163" i="23"/>
  <c r="M1106" i="23"/>
  <c r="J1106" i="23"/>
  <c r="N1106" i="23" s="1"/>
  <c r="AE1106" i="23" s="1"/>
  <c r="D1106" i="23"/>
  <c r="P1106" i="23"/>
  <c r="Q1106" i="23"/>
  <c r="R1106" i="23"/>
  <c r="L1107" i="23"/>
  <c r="I1107" i="23"/>
  <c r="C1107" i="23"/>
  <c r="K1107" i="23" s="1"/>
  <c r="E1107" i="23"/>
  <c r="F1107" i="23"/>
  <c r="O1107" i="23" s="1"/>
  <c r="G1107" i="23"/>
  <c r="B1108" i="23"/>
  <c r="M1050" i="23"/>
  <c r="P1050" i="23"/>
  <c r="Q1050" i="23"/>
  <c r="R1050" i="23"/>
  <c r="J1050" i="23"/>
  <c r="N1050" i="23" s="1"/>
  <c r="AE1050" i="23" s="1"/>
  <c r="D1050" i="23"/>
  <c r="L1051" i="23"/>
  <c r="I1051" i="23"/>
  <c r="B1052" i="23"/>
  <c r="C1051" i="23"/>
  <c r="E1051" i="23"/>
  <c r="G1051" i="23"/>
  <c r="J994" i="23"/>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E939" i="23"/>
  <c r="G939" i="23"/>
  <c r="B940" i="23"/>
  <c r="J882" i="23"/>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E603" i="23"/>
  <c r="G603" i="23"/>
  <c r="B604" i="23"/>
  <c r="J546" i="23"/>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E435" i="23"/>
  <c r="G435" i="23"/>
  <c r="B436" i="23"/>
  <c r="M378" i="23"/>
  <c r="J378" i="23"/>
  <c r="N378" i="23" s="1"/>
  <c r="AE378" i="23" s="1"/>
  <c r="D378" i="23"/>
  <c r="P378" i="23"/>
  <c r="Q378" i="23"/>
  <c r="R378" i="23"/>
  <c r="L379" i="23"/>
  <c r="I379" i="23"/>
  <c r="C379" i="23"/>
  <c r="E379" i="23"/>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G4746" i="22"/>
  <c r="I4746" i="22"/>
  <c r="B4747" i="22"/>
  <c r="C4746" i="22"/>
  <c r="K4746" i="22" s="1"/>
  <c r="E4746" i="22"/>
  <c r="F4746" i="22"/>
  <c r="L4746" i="22"/>
  <c r="J4745" i="22"/>
  <c r="N4745" i="22" s="1"/>
  <c r="D4745" i="22"/>
  <c r="P4745" i="22"/>
  <c r="Q4745" i="22"/>
  <c r="R4745" i="22"/>
  <c r="U4690" i="22"/>
  <c r="S4690" i="22"/>
  <c r="M4691" i="22"/>
  <c r="D4691" i="22"/>
  <c r="J4691" i="22"/>
  <c r="N4691" i="22" s="1"/>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E4530" i="22"/>
  <c r="G4530" i="22"/>
  <c r="I4530" i="22"/>
  <c r="B4531" i="22"/>
  <c r="D4229" i="22"/>
  <c r="J4229" i="22"/>
  <c r="P4229" i="22"/>
  <c r="Q4229" i="22"/>
  <c r="R4229" i="22"/>
  <c r="L4230" i="22"/>
  <c r="C4230" i="22"/>
  <c r="E4230" i="22"/>
  <c r="G4230" i="22"/>
  <c r="I4230" i="22"/>
  <c r="B4231" i="22"/>
  <c r="D4175" i="22"/>
  <c r="J4175" i="22"/>
  <c r="P4175" i="22"/>
  <c r="Q4175" i="22"/>
  <c r="R4175" i="22"/>
  <c r="L4176" i="22"/>
  <c r="C4176" i="22"/>
  <c r="K4176" i="22" s="1"/>
  <c r="E4176" i="22"/>
  <c r="F4176" i="22"/>
  <c r="O4176" i="22" s="1"/>
  <c r="G4176" i="22"/>
  <c r="I4176" i="22"/>
  <c r="B4177" i="22"/>
  <c r="D4121" i="22"/>
  <c r="J4121" i="22"/>
  <c r="N4121" i="22" s="1"/>
  <c r="U4121" i="22" s="1"/>
  <c r="P4121" i="22"/>
  <c r="Q4121" i="22"/>
  <c r="R4121" i="22"/>
  <c r="M4121" i="22"/>
  <c r="C4122" i="22"/>
  <c r="E4122" i="22"/>
  <c r="F4122" i="22"/>
  <c r="O4122" i="22" s="1"/>
  <c r="G4122" i="22"/>
  <c r="I4122" i="22"/>
  <c r="K4122" i="22"/>
  <c r="L4122" i="22"/>
  <c r="B4123" i="22"/>
  <c r="D4067" i="22"/>
  <c r="J4067" i="22"/>
  <c r="N4067" i="22" s="1"/>
  <c r="U4067" i="22" s="1"/>
  <c r="P4067" i="22"/>
  <c r="R4067" i="22"/>
  <c r="Q4067" i="22"/>
  <c r="M4067" i="22"/>
  <c r="E4068" i="22"/>
  <c r="G4068" i="22"/>
  <c r="I4068" i="22"/>
  <c r="C4068" i="22"/>
  <c r="L4068" i="22"/>
  <c r="B4069" i="22"/>
  <c r="M3767" i="22"/>
  <c r="D3767" i="22"/>
  <c r="J3767" i="22"/>
  <c r="N3767" i="22" s="1"/>
  <c r="U3767" i="22" s="1"/>
  <c r="P3767" i="22"/>
  <c r="Q3767" i="22"/>
  <c r="R3767" i="22"/>
  <c r="L3768" i="22"/>
  <c r="C3768" i="22"/>
  <c r="K3768" i="22" s="1"/>
  <c r="E3768" i="22"/>
  <c r="F3768" i="22"/>
  <c r="O3768" i="22" s="1"/>
  <c r="G3768" i="22"/>
  <c r="I3768" i="22"/>
  <c r="B3769" i="22"/>
  <c r="D3713" i="22"/>
  <c r="J3713" i="22"/>
  <c r="P3713" i="22"/>
  <c r="Q3713" i="22"/>
  <c r="R3713" i="22"/>
  <c r="L3714" i="22"/>
  <c r="C3714" i="22"/>
  <c r="E3714" i="22"/>
  <c r="G3714" i="22"/>
  <c r="I3714" i="22"/>
  <c r="B3715" i="22"/>
  <c r="M3659" i="22"/>
  <c r="D3659" i="22"/>
  <c r="J3659" i="22"/>
  <c r="N3659" i="22" s="1"/>
  <c r="U3659" i="22" s="1"/>
  <c r="P3659" i="22"/>
  <c r="Q3659" i="22"/>
  <c r="R3659" i="22"/>
  <c r="L3660" i="22"/>
  <c r="C3660" i="22"/>
  <c r="E3660" i="22"/>
  <c r="G3660" i="22"/>
  <c r="I3660" i="22"/>
  <c r="B3661" i="22"/>
  <c r="D3605" i="22"/>
  <c r="J3605" i="22"/>
  <c r="P3605" i="22"/>
  <c r="Q3605" i="22"/>
  <c r="R3605" i="22"/>
  <c r="L3606" i="22"/>
  <c r="C3606" i="22"/>
  <c r="K3606" i="22" s="1"/>
  <c r="E3606" i="22"/>
  <c r="F3606" i="22"/>
  <c r="O3606" i="22" s="1"/>
  <c r="G3606" i="22"/>
  <c r="I3606" i="22"/>
  <c r="B3607" i="22"/>
  <c r="L3552" i="22"/>
  <c r="E3552" i="22"/>
  <c r="G3552" i="22"/>
  <c r="I3552" i="22"/>
  <c r="C3552" i="22"/>
  <c r="K3552" i="22" s="1"/>
  <c r="F3552" i="22"/>
  <c r="O3552" i="22" s="1"/>
  <c r="B3553" i="22"/>
  <c r="J3551" i="22"/>
  <c r="D3551" i="22"/>
  <c r="P3551" i="22"/>
  <c r="Q3551" i="22"/>
  <c r="R3551"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E3336" i="22"/>
  <c r="G3336" i="22"/>
  <c r="I3336" i="22"/>
  <c r="B3337" i="22"/>
  <c r="J3281" i="22"/>
  <c r="D3281" i="22"/>
  <c r="L3282" i="22"/>
  <c r="C3282" i="22"/>
  <c r="E3282" i="22"/>
  <c r="B3283" i="22"/>
  <c r="I3282" i="22"/>
  <c r="G3282" i="22"/>
  <c r="P3281" i="22"/>
  <c r="Q3281" i="22"/>
  <c r="R3281" i="22"/>
  <c r="L3228" i="22"/>
  <c r="E3228" i="22"/>
  <c r="C3228" i="22"/>
  <c r="B3229" i="22"/>
  <c r="G3228" i="22"/>
  <c r="I3228" i="22"/>
  <c r="P3227" i="22"/>
  <c r="Q3227" i="22"/>
  <c r="R3227" i="22"/>
  <c r="J3227" i="22"/>
  <c r="D3227" i="22"/>
  <c r="D3173" i="22"/>
  <c r="J3173" i="22"/>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K2904" i="22" s="1"/>
  <c r="E2904" i="22"/>
  <c r="F2904" i="22"/>
  <c r="O2904" i="22" s="1"/>
  <c r="G2904" i="22"/>
  <c r="I2904" i="22"/>
  <c r="B2905" i="22"/>
  <c r="D2849" i="22"/>
  <c r="J2849" i="22"/>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E2742" i="22"/>
  <c r="G2742" i="22"/>
  <c r="I2742" i="22"/>
  <c r="B2743" i="22"/>
  <c r="M2687" i="22"/>
  <c r="P2687" i="22"/>
  <c r="Q2687" i="22"/>
  <c r="R2687" i="22"/>
  <c r="D2687" i="22"/>
  <c r="J2687" i="22"/>
  <c r="N2687" i="22" s="1"/>
  <c r="U2687" i="22" s="1"/>
  <c r="L2688" i="22"/>
  <c r="G2688" i="22"/>
  <c r="B2689" i="22"/>
  <c r="C2688" i="22"/>
  <c r="E2688" i="22"/>
  <c r="I2688" i="22"/>
  <c r="M2633" i="22"/>
  <c r="L2634" i="22"/>
  <c r="E2634" i="22"/>
  <c r="B2635" i="22"/>
  <c r="C2634" i="22"/>
  <c r="K2634" i="22" s="1"/>
  <c r="F2634" i="22"/>
  <c r="O2634" i="22" s="1"/>
  <c r="G2634" i="22"/>
  <c r="I2634" i="22"/>
  <c r="J2633" i="22"/>
  <c r="N2633" i="22" s="1"/>
  <c r="U2633" i="22" s="1"/>
  <c r="D2633" i="22"/>
  <c r="P2633" i="22"/>
  <c r="Q2633" i="22"/>
  <c r="R2633" i="22"/>
  <c r="D2579" i="22"/>
  <c r="J2579" i="22"/>
  <c r="P2579" i="22"/>
  <c r="Q2579" i="22"/>
  <c r="R2579" i="22"/>
  <c r="L2580" i="22"/>
  <c r="C2580" i="22"/>
  <c r="E2580" i="22"/>
  <c r="G2580" i="22"/>
  <c r="I2580" i="22"/>
  <c r="B2581" i="22"/>
  <c r="D2525" i="22"/>
  <c r="J2525" i="22"/>
  <c r="P2525" i="22"/>
  <c r="Q2525" i="22"/>
  <c r="R2525" i="22"/>
  <c r="L2526" i="22"/>
  <c r="C2526" i="22"/>
  <c r="E2526" i="22"/>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L2310" i="22"/>
  <c r="I2310" i="22"/>
  <c r="E2310" i="22"/>
  <c r="B2311" i="22"/>
  <c r="C2310" i="22"/>
  <c r="G2310" i="22"/>
  <c r="J2309" i="22"/>
  <c r="D2309" i="22"/>
  <c r="P2309" i="22"/>
  <c r="Q2309" i="22"/>
  <c r="R2309" i="22"/>
  <c r="D2255" i="22"/>
  <c r="M2255" i="22" s="1"/>
  <c r="J2255" i="22"/>
  <c r="P2255" i="22"/>
  <c r="Q2255" i="22"/>
  <c r="R2255" i="22"/>
  <c r="L2256" i="22"/>
  <c r="C2256" i="22"/>
  <c r="E2256" i="22"/>
  <c r="G2256" i="22"/>
  <c r="I2256" i="22"/>
  <c r="B2257" i="22"/>
  <c r="D2201" i="22"/>
  <c r="J2201" i="22"/>
  <c r="P2201" i="22"/>
  <c r="Q2201" i="22"/>
  <c r="R2201" i="22"/>
  <c r="L2202" i="22"/>
  <c r="C2202" i="22"/>
  <c r="E2202" i="22"/>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E1986" i="22"/>
  <c r="G1986" i="22"/>
  <c r="I1986" i="22"/>
  <c r="B1987" i="22"/>
  <c r="D1931" i="22"/>
  <c r="J1931" i="22"/>
  <c r="P1931" i="22"/>
  <c r="Q1931" i="22"/>
  <c r="R1931" i="22"/>
  <c r="L1932" i="22"/>
  <c r="C1932" i="22"/>
  <c r="E1932" i="22"/>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E1662" i="22"/>
  <c r="G1662" i="22"/>
  <c r="I1662" i="22"/>
  <c r="B1663" i="22"/>
  <c r="D1607" i="22"/>
  <c r="M1607" i="22" s="1"/>
  <c r="N1607" i="22" s="1"/>
  <c r="U1607" i="22" s="1"/>
  <c r="J1607" i="22"/>
  <c r="P1607" i="22"/>
  <c r="Q1607" i="22"/>
  <c r="R1607" i="22"/>
  <c r="L1608" i="22"/>
  <c r="C1608" i="22"/>
  <c r="E1608" i="22"/>
  <c r="G1608" i="22"/>
  <c r="I1608" i="22"/>
  <c r="B1609" i="22"/>
  <c r="M1553" i="22"/>
  <c r="D1553" i="22"/>
  <c r="J1553" i="22"/>
  <c r="N1553" i="22" s="1"/>
  <c r="U1553" i="22" s="1"/>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L1392" i="22"/>
  <c r="C1392" i="22"/>
  <c r="K1392" i="22" s="1"/>
  <c r="E1392" i="22"/>
  <c r="F1392" i="22"/>
  <c r="O1392" i="22" s="1"/>
  <c r="G1392" i="22"/>
  <c r="I1392" i="22"/>
  <c r="B1393" i="22"/>
  <c r="D1391" i="22"/>
  <c r="J1391" i="22"/>
  <c r="P1391" i="22"/>
  <c r="Q1391" i="22"/>
  <c r="R1391" i="22"/>
  <c r="M1337" i="22"/>
  <c r="D1337" i="22"/>
  <c r="J1337" i="22"/>
  <c r="N1337" i="22" s="1"/>
  <c r="U1337" i="22" s="1"/>
  <c r="P1337" i="22"/>
  <c r="Q1337" i="22"/>
  <c r="R1337" i="22"/>
  <c r="L1338" i="22"/>
  <c r="C1338" i="22"/>
  <c r="E1338" i="22"/>
  <c r="G1338" i="22"/>
  <c r="I1338" i="22"/>
  <c r="B1339" i="22"/>
  <c r="M1283" i="22"/>
  <c r="D1283" i="22"/>
  <c r="J1283" i="22"/>
  <c r="N1283" i="22" s="1"/>
  <c r="U1283" i="22" s="1"/>
  <c r="P1283" i="22"/>
  <c r="Q1283" i="22"/>
  <c r="R1283" i="22"/>
  <c r="L1284" i="22"/>
  <c r="C1284" i="22"/>
  <c r="E1284" i="22"/>
  <c r="G1284" i="22"/>
  <c r="I1284" i="22"/>
  <c r="B1285" i="22"/>
  <c r="D1229" i="22"/>
  <c r="J1229" i="22"/>
  <c r="P1229" i="22"/>
  <c r="Q1229" i="22"/>
  <c r="R1229" i="22"/>
  <c r="L1230" i="22"/>
  <c r="C1230" i="22"/>
  <c r="K1230" i="22" s="1"/>
  <c r="E1230" i="22"/>
  <c r="F1230" i="22"/>
  <c r="O1230" i="22" s="1"/>
  <c r="G1230" i="22"/>
  <c r="I1230" i="22"/>
  <c r="B1231" i="22"/>
  <c r="D1175" i="22"/>
  <c r="J1175" i="22"/>
  <c r="P1175" i="22"/>
  <c r="Q1175" i="22"/>
  <c r="R1175" i="22"/>
  <c r="L1176" i="22"/>
  <c r="C1176" i="22"/>
  <c r="K1176" i="22" s="1"/>
  <c r="E1176" i="22"/>
  <c r="F1176" i="22"/>
  <c r="O1176" i="22" s="1"/>
  <c r="G1176" i="22"/>
  <c r="I1176" i="22"/>
  <c r="B1177" i="22"/>
  <c r="M1121" i="22"/>
  <c r="D1121" i="22"/>
  <c r="J1121" i="22"/>
  <c r="N1121" i="22" s="1"/>
  <c r="U1121" i="22" s="1"/>
  <c r="P1121" i="22"/>
  <c r="Q1121" i="22"/>
  <c r="R1121" i="22"/>
  <c r="L1122" i="22"/>
  <c r="C1122" i="22"/>
  <c r="E1122" i="22"/>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E1014" i="22"/>
  <c r="G1014" i="22"/>
  <c r="I1014" i="22"/>
  <c r="B1015" i="22"/>
  <c r="D959" i="22"/>
  <c r="M959" i="22" s="1"/>
  <c r="J959" i="22"/>
  <c r="P959" i="22"/>
  <c r="Q959" i="22"/>
  <c r="R959" i="22"/>
  <c r="L960" i="22"/>
  <c r="C960" i="22"/>
  <c r="E960" i="22"/>
  <c r="G960" i="22"/>
  <c r="I960" i="22"/>
  <c r="B961" i="22"/>
  <c r="D905" i="22"/>
  <c r="J905" i="22"/>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E852" i="22"/>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E636" i="22"/>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B529" i="22"/>
  <c r="I528"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B421" i="22"/>
  <c r="I420" i="22"/>
  <c r="M365" i="22"/>
  <c r="D365" i="22"/>
  <c r="J365" i="22"/>
  <c r="N365" i="22" s="1"/>
  <c r="U365" i="22" s="1"/>
  <c r="P365" i="22"/>
  <c r="Q365" i="22"/>
  <c r="R365" i="22"/>
  <c r="L366" i="22"/>
  <c r="C366" i="22"/>
  <c r="K366" i="22" s="1"/>
  <c r="E366" i="22"/>
  <c r="F366" i="22"/>
  <c r="O366" i="22" s="1"/>
  <c r="G366" i="22"/>
  <c r="I366" i="22"/>
  <c r="B367" i="22"/>
  <c r="D311" i="22"/>
  <c r="J311" i="22"/>
  <c r="P311" i="22"/>
  <c r="Q311" i="22"/>
  <c r="R311" i="22"/>
  <c r="L312" i="22"/>
  <c r="C312" i="22"/>
  <c r="E312" i="22"/>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G150" i="22"/>
  <c r="B151" i="22"/>
  <c r="I150" i="22"/>
  <c r="C150" i="22"/>
  <c r="E150" i="22"/>
  <c r="M95" i="22"/>
  <c r="D95" i="22"/>
  <c r="J95" i="22"/>
  <c r="N95" i="22" s="1"/>
  <c r="U95" i="22" s="1"/>
  <c r="P95" i="22"/>
  <c r="Q95" i="22"/>
  <c r="R95" i="22"/>
  <c r="L96" i="22"/>
  <c r="C96" i="22"/>
  <c r="K96" i="22" s="1"/>
  <c r="E96" i="22"/>
  <c r="F96" i="22"/>
  <c r="O96" i="22" s="1"/>
  <c r="G96" i="22"/>
  <c r="I96" i="22"/>
  <c r="B97" i="22"/>
  <c r="C84" i="12"/>
  <c r="AK33" i="17"/>
  <c r="AJ33" i="17"/>
  <c r="AI33" i="17"/>
  <c r="AH33" i="17"/>
  <c r="AG33" i="17"/>
  <c r="AF33" i="17"/>
  <c r="AE33" i="17"/>
  <c r="AD33" i="17"/>
  <c r="AC33" i="17"/>
  <c r="AB33" i="17"/>
  <c r="AA33" i="17"/>
  <c r="Z33" i="17"/>
  <c r="Y33" i="17"/>
  <c r="X33" i="17"/>
  <c r="W33" i="17"/>
  <c r="P33" i="17"/>
  <c r="Q33" i="17"/>
  <c r="R33" i="17"/>
  <c r="V33" i="17"/>
  <c r="M33" i="17"/>
  <c r="G34" i="17"/>
  <c r="I34" i="17"/>
  <c r="C34" i="17"/>
  <c r="K34" i="17" s="1"/>
  <c r="E34" i="17"/>
  <c r="F34" i="17"/>
  <c r="C34" i="18" s="1"/>
  <c r="E34" i="18" s="1"/>
  <c r="L34" i="17"/>
  <c r="B35" i="17"/>
  <c r="B34" i="18"/>
  <c r="D33" i="17"/>
  <c r="J33" i="17"/>
  <c r="N33" i="17" s="1"/>
  <c r="U33" i="17" s="1"/>
  <c r="E85" i="12"/>
  <c r="O33" i="17"/>
  <c r="AO16" i="17"/>
  <c r="B99" i="12"/>
  <c r="I99" i="12" s="1"/>
  <c r="AN15" i="17"/>
  <c r="AM17" i="17"/>
  <c r="AM18" i="17"/>
  <c r="AM19" i="17"/>
  <c r="AM20" i="17"/>
  <c r="AM21" i="17"/>
  <c r="AM22" i="17"/>
  <c r="AM23" i="17"/>
  <c r="AM24" i="17"/>
  <c r="AM25" i="17"/>
  <c r="AM26" i="17"/>
  <c r="AM27" i="17"/>
  <c r="AM28" i="17"/>
  <c r="AM29" i="17"/>
  <c r="AM30" i="17"/>
  <c r="AM31" i="17"/>
  <c r="AM33" i="17"/>
  <c r="AM32" i="17"/>
  <c r="C83" i="12"/>
  <c r="M1553" i="23"/>
  <c r="N1553" i="23"/>
  <c r="AE1553" i="23" s="1"/>
  <c r="M1497" i="23"/>
  <c r="N1497" i="23"/>
  <c r="AE1497" i="23" s="1"/>
  <c r="M1441" i="23"/>
  <c r="N1441" i="23"/>
  <c r="AE1441" i="23" s="1"/>
  <c r="M1385" i="23"/>
  <c r="N1385" i="23"/>
  <c r="AE1385" i="23" s="1"/>
  <c r="M1161" i="23"/>
  <c r="N1161" i="23"/>
  <c r="AE1161" i="23" s="1"/>
  <c r="N1105" i="23"/>
  <c r="AE1105" i="23" s="1"/>
  <c r="M1105" i="23"/>
  <c r="N1049" i="23"/>
  <c r="AE1049" i="23" s="1"/>
  <c r="M1049" i="23"/>
  <c r="M993" i="23"/>
  <c r="N993" i="23"/>
  <c r="AE993" i="23" s="1"/>
  <c r="M601" i="23"/>
  <c r="N601" i="23"/>
  <c r="AE601" i="23" s="1"/>
  <c r="M489" i="23"/>
  <c r="N489" i="23"/>
  <c r="AE489" i="23" s="1"/>
  <c r="M433" i="23"/>
  <c r="N433" i="23"/>
  <c r="AE433" i="23" s="1"/>
  <c r="M4690" i="22"/>
  <c r="N4690" i="22"/>
  <c r="N4066" i="22"/>
  <c r="U4066" i="22" s="1"/>
  <c r="M4066" i="22"/>
  <c r="M3712" i="22"/>
  <c r="N3712" i="22"/>
  <c r="U3712" i="22" s="1"/>
  <c r="M3658" i="22"/>
  <c r="N3658" i="22"/>
  <c r="U3658" i="22" s="1"/>
  <c r="M3604" i="22"/>
  <c r="N3604" i="22"/>
  <c r="U3604" i="22" s="1"/>
  <c r="M3550" i="22"/>
  <c r="N3550" i="22"/>
  <c r="U3550" i="22" s="1"/>
  <c r="M3334" i="22"/>
  <c r="N3334" i="22"/>
  <c r="U3334" i="22" s="1"/>
  <c r="N3280" i="22"/>
  <c r="U3280" i="22" s="1"/>
  <c r="M3280" i="22"/>
  <c r="M2848" i="22"/>
  <c r="N2848" i="22"/>
  <c r="U2848" i="22" s="1"/>
  <c r="M2794" i="22"/>
  <c r="N2794" i="22"/>
  <c r="M2740" i="22"/>
  <c r="N2740" i="22"/>
  <c r="U2740" i="22" s="1"/>
  <c r="M2686" i="22"/>
  <c r="N2686" i="22"/>
  <c r="U2686" i="22" s="1"/>
  <c r="M2632" i="22"/>
  <c r="N2632" i="22"/>
  <c r="U2632" i="22" s="1"/>
  <c r="M2470" i="22"/>
  <c r="N2470" i="22"/>
  <c r="U2470" i="22" s="1"/>
  <c r="N2308" i="22"/>
  <c r="U2308" i="22" s="1"/>
  <c r="M2308" i="22"/>
  <c r="M2200" i="22"/>
  <c r="N2200" i="22"/>
  <c r="U2200" i="22" s="1"/>
  <c r="M1876" i="22"/>
  <c r="N1876" i="22"/>
  <c r="U1876" i="22" s="1"/>
  <c r="M1822" i="22"/>
  <c r="N1822" i="22"/>
  <c r="U1822" i="22" s="1"/>
  <c r="M1498" i="22"/>
  <c r="N1498" i="22"/>
  <c r="U1498" i="22" s="1"/>
  <c r="M1390" i="22"/>
  <c r="N1390" i="22"/>
  <c r="U1390" i="22" s="1"/>
  <c r="M1228" i="22"/>
  <c r="N1228" i="22"/>
  <c r="U1228" i="22" s="1"/>
  <c r="M1174" i="22"/>
  <c r="N1174" i="22"/>
  <c r="U1174" i="22" s="1"/>
  <c r="M904" i="22"/>
  <c r="N904" i="22"/>
  <c r="U904" i="22" s="1"/>
  <c r="N526" i="22"/>
  <c r="U526" i="22" s="1"/>
  <c r="M526" i="22"/>
  <c r="AE1609" i="23"/>
  <c r="K1442" i="23"/>
  <c r="F1442" i="23"/>
  <c r="O1442" i="23" s="1"/>
  <c r="F1386" i="23"/>
  <c r="O1386" i="23" s="1"/>
  <c r="K1386" i="23"/>
  <c r="K994" i="23"/>
  <c r="F994" i="23"/>
  <c r="O994" i="23" s="1"/>
  <c r="F882" i="23"/>
  <c r="O882" i="23" s="1"/>
  <c r="K882" i="23"/>
  <c r="K546" i="23"/>
  <c r="F546" i="23"/>
  <c r="O546" i="23" s="1"/>
  <c r="K4229" i="22"/>
  <c r="F4229" i="22"/>
  <c r="O4229" i="22" s="1"/>
  <c r="F4175" i="22"/>
  <c r="O4175" i="22" s="1"/>
  <c r="K4175" i="22"/>
  <c r="K3713" i="22"/>
  <c r="F3713" i="22"/>
  <c r="O3713" i="22" s="1"/>
  <c r="K3605" i="22"/>
  <c r="F3605" i="22"/>
  <c r="O3605" i="22" s="1"/>
  <c r="F3551" i="22"/>
  <c r="O3551" i="22" s="1"/>
  <c r="K3551" i="22"/>
  <c r="F3281" i="22"/>
  <c r="O3281" i="22" s="1"/>
  <c r="K3281" i="22"/>
  <c r="F3227" i="22"/>
  <c r="O3227" i="22" s="1"/>
  <c r="K3227" i="22"/>
  <c r="F3173" i="22"/>
  <c r="O3173" i="22" s="1"/>
  <c r="K3173" i="22"/>
  <c r="F2849" i="22"/>
  <c r="O2849" i="22" s="1"/>
  <c r="K2849" i="22"/>
  <c r="K2579" i="22"/>
  <c r="F2579" i="22"/>
  <c r="O2579" i="22" s="1"/>
  <c r="F2525" i="22"/>
  <c r="O2525" i="22" s="1"/>
  <c r="K2525" i="22"/>
  <c r="K2309" i="22"/>
  <c r="F2309" i="22"/>
  <c r="O2309" i="22" s="1"/>
  <c r="K2201" i="22"/>
  <c r="F2201" i="22"/>
  <c r="O2201" i="22" s="1"/>
  <c r="K1931" i="22"/>
  <c r="F1931" i="22"/>
  <c r="O1931" i="22" s="1"/>
  <c r="F1391" i="22"/>
  <c r="O1391" i="22" s="1"/>
  <c r="K1391" i="22"/>
  <c r="K1229" i="22"/>
  <c r="F1229" i="22"/>
  <c r="O1229" i="22" s="1"/>
  <c r="K1175" i="22"/>
  <c r="F1175" i="22"/>
  <c r="O1175" i="22" s="1"/>
  <c r="F905" i="22"/>
  <c r="O905" i="22" s="1"/>
  <c r="K905" i="22"/>
  <c r="F311" i="22"/>
  <c r="O311" i="22" s="1"/>
  <c r="K311" i="22"/>
  <c r="F32" i="18"/>
  <c r="G32" i="18"/>
  <c r="H32" i="18"/>
  <c r="AL33" i="17"/>
  <c r="N2903" i="22" l="1"/>
  <c r="U2903" i="22" s="1"/>
  <c r="N2255" i="22"/>
  <c r="U2255" i="22" s="1"/>
  <c r="N959" i="22"/>
  <c r="U959" i="22" s="1"/>
  <c r="K379" i="23"/>
  <c r="F379" i="23"/>
  <c r="O379" i="23" s="1"/>
  <c r="K4068" i="22"/>
  <c r="F4068" i="22"/>
  <c r="O4068" i="22" s="1"/>
  <c r="K3228" i="22"/>
  <c r="F3228" i="22"/>
  <c r="O3228" i="22" s="1"/>
  <c r="K2742" i="22"/>
  <c r="F2742" i="22"/>
  <c r="O2742" i="22" s="1"/>
  <c r="K2526" i="22"/>
  <c r="F2526" i="22"/>
  <c r="O2526" i="22" s="1"/>
  <c r="K2202" i="22"/>
  <c r="F2202" i="22"/>
  <c r="O2202" i="22" s="1"/>
  <c r="K1338" i="22"/>
  <c r="F1338" i="22"/>
  <c r="O1338" i="22" s="1"/>
  <c r="K1122" i="22"/>
  <c r="F1122" i="22"/>
  <c r="O1122" i="22" s="1"/>
  <c r="K852" i="22"/>
  <c r="F852" i="22"/>
  <c r="O852" i="22" s="1"/>
  <c r="K312" i="22"/>
  <c r="F312" i="22"/>
  <c r="O312" i="22" s="1"/>
  <c r="M1611" i="23"/>
  <c r="J1611" i="23"/>
  <c r="N1611" i="23" s="1"/>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E1556" i="23"/>
  <c r="G1556" i="23"/>
  <c r="B1557" i="23"/>
  <c r="P1499" i="23"/>
  <c r="Q1499" i="23"/>
  <c r="R1499" i="23"/>
  <c r="L1500" i="23"/>
  <c r="I1500" i="23"/>
  <c r="C1500" i="23"/>
  <c r="K1500" i="23" s="1"/>
  <c r="E1500" i="23"/>
  <c r="F1500" i="23"/>
  <c r="O1500" i="23" s="1"/>
  <c r="G1500" i="23"/>
  <c r="B1501" i="23"/>
  <c r="J1499" i="23"/>
  <c r="D1499" i="23"/>
  <c r="J1443" i="23"/>
  <c r="D1443" i="23"/>
  <c r="P1443" i="23"/>
  <c r="Q1443" i="23"/>
  <c r="R1443" i="23"/>
  <c r="L1444" i="23"/>
  <c r="I1444" i="23"/>
  <c r="G1444" i="23"/>
  <c r="C1444" i="23"/>
  <c r="E1444" i="23"/>
  <c r="B1445" i="23"/>
  <c r="P1387" i="23"/>
  <c r="Q1387" i="23"/>
  <c r="R1387" i="23"/>
  <c r="L1388" i="23"/>
  <c r="I1388" i="23"/>
  <c r="E1388" i="23"/>
  <c r="G1388" i="23"/>
  <c r="C1388" i="23"/>
  <c r="B1389" i="23"/>
  <c r="J1387" i="23"/>
  <c r="D1387"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P1163" i="23"/>
  <c r="Q1163" i="23"/>
  <c r="R1163" i="23"/>
  <c r="L1164" i="23"/>
  <c r="I1164" i="23"/>
  <c r="E1164" i="23"/>
  <c r="G1164" i="23"/>
  <c r="C1164" i="23"/>
  <c r="K1164" i="23" s="1"/>
  <c r="F1164" i="23"/>
  <c r="O1164" i="23" s="1"/>
  <c r="B1165" i="23"/>
  <c r="J1163" i="23"/>
  <c r="D1163" i="23"/>
  <c r="M1107" i="23"/>
  <c r="J1107" i="23"/>
  <c r="N1107" i="23" s="1"/>
  <c r="AE1107" i="23" s="1"/>
  <c r="D1107" i="23"/>
  <c r="P1107" i="23"/>
  <c r="Q1107" i="23"/>
  <c r="R1107" i="23"/>
  <c r="L1108" i="23"/>
  <c r="I1108" i="23"/>
  <c r="C1108" i="23"/>
  <c r="K1108" i="23" s="1"/>
  <c r="E1108" i="23"/>
  <c r="F1108" i="23"/>
  <c r="O1108" i="23" s="1"/>
  <c r="G1108" i="23"/>
  <c r="B1109" i="23"/>
  <c r="L1052" i="23"/>
  <c r="I1052" i="23"/>
  <c r="E1052" i="23"/>
  <c r="B1053" i="23"/>
  <c r="C1052" i="23"/>
  <c r="G1052" i="23"/>
  <c r="J1051" i="23"/>
  <c r="D1051" i="23"/>
  <c r="P1051" i="23"/>
  <c r="Q1051" i="23"/>
  <c r="R1051" i="23"/>
  <c r="M995" i="23"/>
  <c r="J995" i="23"/>
  <c r="N995" i="23" s="1"/>
  <c r="AE995" i="23" s="1"/>
  <c r="D995" i="23"/>
  <c r="P995" i="23"/>
  <c r="Q995" i="23"/>
  <c r="R995" i="23"/>
  <c r="L996" i="23"/>
  <c r="I996" i="23"/>
  <c r="C996" i="23"/>
  <c r="E996" i="23"/>
  <c r="G996" i="23"/>
  <c r="B997" i="23"/>
  <c r="J939" i="23"/>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J603" i="23"/>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E548" i="23"/>
  <c r="G548" i="23"/>
  <c r="B549" i="23"/>
  <c r="M491" i="23"/>
  <c r="J491" i="23"/>
  <c r="N491" i="23" s="1"/>
  <c r="AE491" i="23" s="1"/>
  <c r="D491" i="23"/>
  <c r="P491" i="23"/>
  <c r="Q491" i="23"/>
  <c r="R491" i="23"/>
  <c r="L492" i="23"/>
  <c r="I492" i="23"/>
  <c r="C492" i="23"/>
  <c r="E492" i="23"/>
  <c r="G492" i="23"/>
  <c r="B493" i="23"/>
  <c r="J435" i="23"/>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P4746" i="22"/>
  <c r="Q4746" i="22"/>
  <c r="R4746" i="22"/>
  <c r="M4746" i="22"/>
  <c r="G4747" i="22"/>
  <c r="I4747" i="22"/>
  <c r="L4747" i="22"/>
  <c r="B4748" i="22"/>
  <c r="C4747" i="22"/>
  <c r="F4747" i="22" s="1"/>
  <c r="E4747" i="22"/>
  <c r="K4747" i="22"/>
  <c r="J4746" i="22"/>
  <c r="N4746" i="22" s="1"/>
  <c r="D4746" i="22"/>
  <c r="T4690" i="22"/>
  <c r="U4691" i="22"/>
  <c r="S4691" i="22"/>
  <c r="T4691" i="22" s="1"/>
  <c r="M4692" i="22"/>
  <c r="D4692" i="22"/>
  <c r="J4692" i="22"/>
  <c r="N4692" i="22" s="1"/>
  <c r="P4692" i="22"/>
  <c r="Q4692" i="22"/>
  <c r="R4692" i="22"/>
  <c r="L4693" i="22"/>
  <c r="C4693" i="22"/>
  <c r="K4693" i="22" s="1"/>
  <c r="E4693" i="22"/>
  <c r="F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E4585" i="22"/>
  <c r="G4585" i="22"/>
  <c r="B4586" i="22"/>
  <c r="D4530" i="22"/>
  <c r="J4530" i="22"/>
  <c r="P4530" i="22"/>
  <c r="Q4530" i="22"/>
  <c r="R4530" i="22"/>
  <c r="L4531" i="22"/>
  <c r="C4531" i="22"/>
  <c r="E4531" i="22"/>
  <c r="G4531" i="22"/>
  <c r="I4531" i="22"/>
  <c r="B4532" i="22"/>
  <c r="D4230" i="22"/>
  <c r="J4230" i="22"/>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N4122" i="22" s="1"/>
  <c r="U4122" i="22" s="1"/>
  <c r="P4122" i="22"/>
  <c r="Q4122" i="22"/>
  <c r="R4122" i="22"/>
  <c r="M4122" i="22"/>
  <c r="C4123" i="22"/>
  <c r="E4123" i="22"/>
  <c r="F4123" i="22"/>
  <c r="O4123" i="22" s="1"/>
  <c r="G4123" i="22"/>
  <c r="I4123" i="22"/>
  <c r="K4123" i="22"/>
  <c r="L4123" i="22"/>
  <c r="B4124" i="22"/>
  <c r="P4068" i="22"/>
  <c r="Q4068" i="22"/>
  <c r="R4068" i="22"/>
  <c r="M4068" i="22"/>
  <c r="J4068" i="22"/>
  <c r="N4068" i="22" s="1"/>
  <c r="U4068" i="22" s="1"/>
  <c r="D4068" i="22"/>
  <c r="I4069" i="22"/>
  <c r="C4069" i="22"/>
  <c r="E4069" i="22"/>
  <c r="G4069" i="22"/>
  <c r="L4069" i="22"/>
  <c r="B4070" i="22"/>
  <c r="M3768" i="22"/>
  <c r="D3768" i="22"/>
  <c r="J3768" i="22"/>
  <c r="N3768" i="22" s="1"/>
  <c r="U3768" i="22" s="1"/>
  <c r="P3768" i="22"/>
  <c r="Q3768" i="22"/>
  <c r="R3768" i="22"/>
  <c r="L3769" i="22"/>
  <c r="C3769" i="22"/>
  <c r="K3769" i="22" s="1"/>
  <c r="E3769" i="22"/>
  <c r="F3769" i="22"/>
  <c r="O3769" i="22" s="1"/>
  <c r="G3769" i="22"/>
  <c r="I3769" i="22"/>
  <c r="B3770" i="22"/>
  <c r="D3714" i="22"/>
  <c r="J3714" i="22"/>
  <c r="P3714" i="22"/>
  <c r="Q3714" i="22"/>
  <c r="R3714" i="22"/>
  <c r="L3715" i="22"/>
  <c r="C3715" i="22"/>
  <c r="K3715" i="22" s="1"/>
  <c r="E3715" i="22"/>
  <c r="F3715" i="22"/>
  <c r="O3715" i="22" s="1"/>
  <c r="G3715" i="22"/>
  <c r="I3715" i="22"/>
  <c r="B3716" i="22"/>
  <c r="D3660" i="22"/>
  <c r="J3660" i="22"/>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E3607" i="22"/>
  <c r="G3607" i="22"/>
  <c r="I3607" i="22"/>
  <c r="B3608" i="22"/>
  <c r="M3552" i="22"/>
  <c r="P3552" i="22"/>
  <c r="Q3552" i="22"/>
  <c r="R3552" i="22"/>
  <c r="D3552" i="22"/>
  <c r="J3552" i="22"/>
  <c r="N3552" i="22" s="1"/>
  <c r="U3552" i="22" s="1"/>
  <c r="L3553" i="22"/>
  <c r="I3553" i="22"/>
  <c r="B3554" i="22"/>
  <c r="C3553" i="22"/>
  <c r="E3553" i="22"/>
  <c r="G3553"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D3336" i="22"/>
  <c r="J3336" i="22"/>
  <c r="P3336" i="22"/>
  <c r="Q3336" i="22"/>
  <c r="R3336" i="22"/>
  <c r="L3337" i="22"/>
  <c r="C3337" i="22"/>
  <c r="K3337" i="22" s="1"/>
  <c r="E3337" i="22"/>
  <c r="F3337" i="22"/>
  <c r="O3337" i="22" s="1"/>
  <c r="G3337" i="22"/>
  <c r="I3337" i="22"/>
  <c r="B3338" i="22"/>
  <c r="D3282" i="22"/>
  <c r="J3282" i="22"/>
  <c r="L3283" i="22"/>
  <c r="E3283" i="22"/>
  <c r="G3283" i="22"/>
  <c r="C3283" i="22"/>
  <c r="K3283" i="22" s="1"/>
  <c r="B3284" i="22"/>
  <c r="I3283" i="22"/>
  <c r="F3283" i="22"/>
  <c r="O3283" i="22" s="1"/>
  <c r="P3282" i="22"/>
  <c r="Q3282" i="22"/>
  <c r="R3282" i="22"/>
  <c r="M3228" i="22"/>
  <c r="D3228" i="22"/>
  <c r="J3228" i="22"/>
  <c r="N3228" i="22" s="1"/>
  <c r="U3228" i="22" s="1"/>
  <c r="L3229" i="22"/>
  <c r="I3229" i="22"/>
  <c r="G3229" i="22"/>
  <c r="E3229" i="22"/>
  <c r="C3229" i="22"/>
  <c r="B3230" i="22"/>
  <c r="P3228" i="22"/>
  <c r="Q3228" i="22"/>
  <c r="R3228"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E3121" i="22"/>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E2959" i="22"/>
  <c r="G2959" i="22"/>
  <c r="I2959" i="22"/>
  <c r="B2960" i="22"/>
  <c r="M2904" i="22"/>
  <c r="D2904" i="22"/>
  <c r="J2904" i="22"/>
  <c r="N2904" i="22" s="1"/>
  <c r="U2904" i="22" s="1"/>
  <c r="P2904" i="22"/>
  <c r="Q2904" i="22"/>
  <c r="R2904" i="22"/>
  <c r="L2905" i="22"/>
  <c r="C2905" i="22"/>
  <c r="E2905" i="22"/>
  <c r="G2905" i="22"/>
  <c r="I2905" i="22"/>
  <c r="B2906"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P2688" i="22"/>
  <c r="Q2688" i="22"/>
  <c r="R2688" i="22"/>
  <c r="L2689" i="22"/>
  <c r="E2689" i="22"/>
  <c r="I2689" i="22"/>
  <c r="C2689" i="22"/>
  <c r="G2689" i="22"/>
  <c r="B2690" i="22"/>
  <c r="D2688" i="22"/>
  <c r="J2688" i="22"/>
  <c r="M2634" i="22"/>
  <c r="L2635" i="22"/>
  <c r="B2636" i="22"/>
  <c r="C2635" i="22"/>
  <c r="E2635" i="22"/>
  <c r="G2635" i="22"/>
  <c r="I2635" i="22"/>
  <c r="D2634" i="22"/>
  <c r="J2634" i="22"/>
  <c r="N2634" i="22" s="1"/>
  <c r="U2634" i="22" s="1"/>
  <c r="P2634" i="22"/>
  <c r="Q2634" i="22"/>
  <c r="R2634" i="22"/>
  <c r="D2580" i="22"/>
  <c r="J2580" i="22"/>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E2365" i="22"/>
  <c r="G2365" i="22"/>
  <c r="I2365" i="22"/>
  <c r="B2366" i="22"/>
  <c r="L2311" i="22"/>
  <c r="B2312" i="22"/>
  <c r="I2311" i="22"/>
  <c r="G2311" i="22"/>
  <c r="E2311" i="22"/>
  <c r="C2311" i="22"/>
  <c r="D2310" i="22"/>
  <c r="J2310" i="22"/>
  <c r="P2310" i="22"/>
  <c r="Q2310" i="22"/>
  <c r="R2310" i="22"/>
  <c r="D2256" i="22"/>
  <c r="J2256" i="22"/>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E2203" i="22"/>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D1986" i="22"/>
  <c r="J1986" i="22"/>
  <c r="P1986" i="22"/>
  <c r="Q1986" i="22"/>
  <c r="R1986" i="22"/>
  <c r="L1987" i="22"/>
  <c r="C1987" i="22"/>
  <c r="E1987" i="22"/>
  <c r="G1987" i="22"/>
  <c r="I1987" i="22"/>
  <c r="B1988" i="22"/>
  <c r="D1932" i="22"/>
  <c r="J1932" i="22"/>
  <c r="P1932" i="22"/>
  <c r="Q1932" i="22"/>
  <c r="R1932" i="22"/>
  <c r="L1933" i="22"/>
  <c r="C1933" i="22"/>
  <c r="E1933" i="22"/>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M1716" i="22"/>
  <c r="D1716" i="22"/>
  <c r="J1716" i="22"/>
  <c r="N1716" i="22" s="1"/>
  <c r="U1716" i="22" s="1"/>
  <c r="P1716" i="22"/>
  <c r="Q1716" i="22"/>
  <c r="R1716" i="22"/>
  <c r="L1717" i="22"/>
  <c r="C1717" i="22"/>
  <c r="K1717" i="22" s="1"/>
  <c r="E1717" i="22"/>
  <c r="F1717" i="22"/>
  <c r="O1717" i="22" s="1"/>
  <c r="G1717" i="22"/>
  <c r="I1717" i="22"/>
  <c r="B1718" i="22"/>
  <c r="D1662" i="22"/>
  <c r="J1662" i="22"/>
  <c r="P1662" i="22"/>
  <c r="Q1662" i="22"/>
  <c r="R1662" i="22"/>
  <c r="L1663" i="22"/>
  <c r="C1663" i="22"/>
  <c r="K1663" i="22" s="1"/>
  <c r="E1663" i="22"/>
  <c r="F1663" i="22"/>
  <c r="O1663" i="22" s="1"/>
  <c r="G1663" i="22"/>
  <c r="I1663" i="22"/>
  <c r="B1664" i="22"/>
  <c r="D1608" i="22"/>
  <c r="J1608" i="22"/>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G1393" i="22"/>
  <c r="I1393" i="22"/>
  <c r="C1393" i="22"/>
  <c r="E1393" i="22"/>
  <c r="B1394" i="22"/>
  <c r="M1338" i="22"/>
  <c r="D1338" i="22"/>
  <c r="J1338" i="22"/>
  <c r="N1338" i="22" s="1"/>
  <c r="U1338" i="22" s="1"/>
  <c r="P1338" i="22"/>
  <c r="Q1338" i="22"/>
  <c r="R1338" i="22"/>
  <c r="L1339" i="22"/>
  <c r="C1339" i="22"/>
  <c r="E1339" i="22"/>
  <c r="G1339" i="22"/>
  <c r="I1339" i="22"/>
  <c r="B1340" i="22"/>
  <c r="D1284" i="22"/>
  <c r="J1284" i="22"/>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K1069" i="22" s="1"/>
  <c r="E1069" i="22"/>
  <c r="F1069" i="22"/>
  <c r="O1069" i="22" s="1"/>
  <c r="G1069" i="22"/>
  <c r="I1069" i="22"/>
  <c r="B1070" i="22"/>
  <c r="D1014" i="22"/>
  <c r="J1014" i="22"/>
  <c r="P1014" i="22"/>
  <c r="Q1014" i="22"/>
  <c r="R1014" i="22"/>
  <c r="L1015" i="22"/>
  <c r="C1015" i="22"/>
  <c r="K1015" i="22" s="1"/>
  <c r="E1015" i="22"/>
  <c r="F1015" i="22"/>
  <c r="O1015" i="22" s="1"/>
  <c r="G1015" i="22"/>
  <c r="I1015" i="22"/>
  <c r="B1016" i="22"/>
  <c r="D960" i="22"/>
  <c r="J960" i="22"/>
  <c r="P960" i="22"/>
  <c r="Q960" i="22"/>
  <c r="R960" i="22"/>
  <c r="L961" i="22"/>
  <c r="C961" i="22"/>
  <c r="E961" i="22"/>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D636" i="22"/>
  <c r="J636" i="22"/>
  <c r="P636" i="22"/>
  <c r="Q636" i="22"/>
  <c r="R636" i="22"/>
  <c r="L637" i="22"/>
  <c r="C637" i="22"/>
  <c r="E637" i="22"/>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B422" i="22"/>
  <c r="I421"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E313" i="22"/>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P150" i="22"/>
  <c r="Q150" i="22"/>
  <c r="R150" i="22"/>
  <c r="L151" i="22"/>
  <c r="I151" i="22"/>
  <c r="B152" i="22"/>
  <c r="C151" i="22"/>
  <c r="E151" i="22"/>
  <c r="G151" i="22"/>
  <c r="D150" i="22"/>
  <c r="J150" i="22"/>
  <c r="M96" i="22"/>
  <c r="D96" i="22"/>
  <c r="J96" i="22"/>
  <c r="N96" i="22" s="1"/>
  <c r="U96" i="22" s="1"/>
  <c r="P96" i="22"/>
  <c r="Q96" i="22"/>
  <c r="R96" i="22"/>
  <c r="L97" i="22"/>
  <c r="C97" i="22"/>
  <c r="K97" i="22" s="1"/>
  <c r="E97" i="22"/>
  <c r="F97" i="22"/>
  <c r="O97" i="22" s="1"/>
  <c r="G97" i="22"/>
  <c r="I97" i="22"/>
  <c r="B98" i="22"/>
  <c r="G84" i="12"/>
  <c r="C85" i="12"/>
  <c r="AL34" i="17"/>
  <c r="AK34" i="17"/>
  <c r="AJ34" i="17"/>
  <c r="AI34" i="17"/>
  <c r="AH34" i="17"/>
  <c r="AG34" i="17"/>
  <c r="AF34" i="17"/>
  <c r="AE34" i="17"/>
  <c r="AD34" i="17"/>
  <c r="AC34" i="17"/>
  <c r="AB34" i="17"/>
  <c r="AA34" i="17"/>
  <c r="Z34" i="17"/>
  <c r="Y34" i="17"/>
  <c r="X34" i="17"/>
  <c r="W34" i="17"/>
  <c r="P34" i="17"/>
  <c r="Q34" i="17"/>
  <c r="R34" i="17"/>
  <c r="V34" i="17"/>
  <c r="M34" i="17"/>
  <c r="J34" i="17"/>
  <c r="N34" i="17" s="1"/>
  <c r="U34" i="17" s="1"/>
  <c r="D34" i="17"/>
  <c r="E86" i="12"/>
  <c r="O34" i="17"/>
  <c r="G35" i="17"/>
  <c r="L35" i="17"/>
  <c r="C42" i="10" s="1"/>
  <c r="B36" i="17"/>
  <c r="C37" i="10"/>
  <c r="C35" i="17"/>
  <c r="F35" i="17" s="1"/>
  <c r="C35" i="18" s="1"/>
  <c r="E35" i="18" s="1"/>
  <c r="E35" i="17"/>
  <c r="I35" i="17"/>
  <c r="C39" i="10" s="1"/>
  <c r="K35" i="17"/>
  <c r="B35" i="18"/>
  <c r="AP16" i="17"/>
  <c r="B100" i="12"/>
  <c r="I100" i="12" s="1"/>
  <c r="AO15" i="17"/>
  <c r="AN17" i="17"/>
  <c r="AN18" i="17"/>
  <c r="AN19" i="17"/>
  <c r="AN20" i="17"/>
  <c r="AN21" i="17"/>
  <c r="AN22" i="17"/>
  <c r="AN23" i="17"/>
  <c r="AN24" i="17"/>
  <c r="AN25" i="17"/>
  <c r="AN26" i="17"/>
  <c r="AN27" i="17"/>
  <c r="AN28" i="17"/>
  <c r="AN29" i="17"/>
  <c r="AN30" i="17"/>
  <c r="AN31" i="17"/>
  <c r="AN32" i="17"/>
  <c r="AN34" i="17"/>
  <c r="AN33" i="17"/>
  <c r="G83" i="12"/>
  <c r="M1442" i="23"/>
  <c r="N1442" i="23"/>
  <c r="AE1442" i="23" s="1"/>
  <c r="M1386" i="23"/>
  <c r="N1386" i="23"/>
  <c r="AE1386" i="23" s="1"/>
  <c r="M994" i="23"/>
  <c r="N994" i="23"/>
  <c r="AE994" i="23" s="1"/>
  <c r="M882" i="23"/>
  <c r="N882" i="23"/>
  <c r="AE882" i="23" s="1"/>
  <c r="M546" i="23"/>
  <c r="N546" i="23"/>
  <c r="AE546" i="23" s="1"/>
  <c r="M4229" i="22"/>
  <c r="N4229" i="22"/>
  <c r="U4229" i="22" s="1"/>
  <c r="M4175" i="22"/>
  <c r="N4175" i="22"/>
  <c r="U4175" i="22" s="1"/>
  <c r="M3713" i="22"/>
  <c r="N3713" i="22"/>
  <c r="U3713" i="22" s="1"/>
  <c r="M3605" i="22"/>
  <c r="N3605" i="22"/>
  <c r="U3605" i="22" s="1"/>
  <c r="M3551" i="22"/>
  <c r="N3551" i="22"/>
  <c r="U3551" i="22" s="1"/>
  <c r="M3281" i="22"/>
  <c r="N3281" i="22"/>
  <c r="U3281" i="22" s="1"/>
  <c r="N3227" i="22"/>
  <c r="U3227" i="22" s="1"/>
  <c r="M3227" i="22"/>
  <c r="M3173" i="22"/>
  <c r="N3173" i="22"/>
  <c r="U3173" i="22" s="1"/>
  <c r="M2849" i="22"/>
  <c r="N2849" i="22"/>
  <c r="U2849" i="22" s="1"/>
  <c r="M2579" i="22"/>
  <c r="N2579" i="22"/>
  <c r="U2579" i="22" s="1"/>
  <c r="M2525" i="22"/>
  <c r="N2525" i="22"/>
  <c r="U2525" i="22" s="1"/>
  <c r="M2309" i="22"/>
  <c r="N2309" i="22"/>
  <c r="U2309" i="22" s="1"/>
  <c r="M2201" i="22"/>
  <c r="N2201" i="22"/>
  <c r="U2201" i="22" s="1"/>
  <c r="M1931" i="22"/>
  <c r="N1931" i="22"/>
  <c r="U1931" i="22" s="1"/>
  <c r="M1391" i="22"/>
  <c r="N1391" i="22"/>
  <c r="U1391" i="22" s="1"/>
  <c r="M1229" i="22"/>
  <c r="N1229" i="22"/>
  <c r="U1229" i="22" s="1"/>
  <c r="M1175" i="22"/>
  <c r="N1175" i="22"/>
  <c r="U1175" i="22" s="1"/>
  <c r="M905" i="22"/>
  <c r="N905" i="22"/>
  <c r="U905" i="22" s="1"/>
  <c r="M311" i="22"/>
  <c r="N311" i="22"/>
  <c r="U311" i="22" s="1"/>
  <c r="AE1610" i="23"/>
  <c r="AK1610" i="23"/>
  <c r="K1555" i="23"/>
  <c r="F1555" i="23"/>
  <c r="O1555" i="23" s="1"/>
  <c r="K1499" i="23"/>
  <c r="F1499" i="23"/>
  <c r="O1499" i="23" s="1"/>
  <c r="K1443" i="23"/>
  <c r="F1443" i="23"/>
  <c r="O1443" i="23" s="1"/>
  <c r="K1387" i="23"/>
  <c r="F1387" i="23"/>
  <c r="O1387" i="23" s="1"/>
  <c r="K1163" i="23"/>
  <c r="F1163" i="23"/>
  <c r="O1163" i="23" s="1"/>
  <c r="K1051" i="23"/>
  <c r="F1051" i="23"/>
  <c r="O1051" i="23" s="1"/>
  <c r="F939" i="23"/>
  <c r="O939" i="23" s="1"/>
  <c r="K939" i="23"/>
  <c r="K603" i="23"/>
  <c r="F603" i="23"/>
  <c r="O603" i="23" s="1"/>
  <c r="K435" i="23"/>
  <c r="F435" i="23"/>
  <c r="O435" i="23" s="1"/>
  <c r="K4530" i="22"/>
  <c r="F4530" i="22"/>
  <c r="K4230" i="22"/>
  <c r="F4230" i="22"/>
  <c r="O4230" i="22" s="1"/>
  <c r="F3714" i="22"/>
  <c r="O3714" i="22" s="1"/>
  <c r="K3714" i="22"/>
  <c r="F3660" i="22"/>
  <c r="O3660" i="22" s="1"/>
  <c r="K3660" i="22"/>
  <c r="F3336" i="22"/>
  <c r="O3336" i="22" s="1"/>
  <c r="K3336" i="22"/>
  <c r="K3282" i="22"/>
  <c r="F3282" i="22"/>
  <c r="O3282" i="22" s="1"/>
  <c r="K2688" i="22"/>
  <c r="F2688" i="22"/>
  <c r="O2688" i="22" s="1"/>
  <c r="F2580" i="22"/>
  <c r="O2580" i="22" s="1"/>
  <c r="K2580" i="22"/>
  <c r="K2310" i="22"/>
  <c r="F2310" i="22"/>
  <c r="O2310" i="22" s="1"/>
  <c r="F2256" i="22"/>
  <c r="O2256" i="22" s="1"/>
  <c r="K2256" i="22"/>
  <c r="F1986" i="22"/>
  <c r="O1986" i="22" s="1"/>
  <c r="K1986" i="22"/>
  <c r="K1932" i="22"/>
  <c r="F1932" i="22"/>
  <c r="O1932" i="22" s="1"/>
  <c r="F1662" i="22"/>
  <c r="O1662" i="22" s="1"/>
  <c r="K1662" i="22"/>
  <c r="F1608" i="22"/>
  <c r="O1608" i="22" s="1"/>
  <c r="K1608" i="22"/>
  <c r="F1284" i="22"/>
  <c r="O1284" i="22" s="1"/>
  <c r="K1284" i="22"/>
  <c r="F1014" i="22"/>
  <c r="O1014" i="22" s="1"/>
  <c r="K1014" i="22"/>
  <c r="K960" i="22"/>
  <c r="F960" i="22"/>
  <c r="O960" i="22" s="1"/>
  <c r="K636" i="22"/>
  <c r="F636" i="22"/>
  <c r="O636" i="22" s="1"/>
  <c r="K150" i="22"/>
  <c r="F150" i="22"/>
  <c r="O150" i="22" s="1"/>
  <c r="F33" i="18"/>
  <c r="G33" i="18"/>
  <c r="H33" i="18"/>
  <c r="AM34" i="17"/>
  <c r="S2794" i="22"/>
  <c r="T2794" i="22" s="1"/>
  <c r="U2794" i="22" s="1"/>
  <c r="AK1609" i="23"/>
  <c r="N366" i="22" l="1"/>
  <c r="U366" i="22" s="1"/>
  <c r="K1556" i="23"/>
  <c r="F1556" i="23"/>
  <c r="O1556" i="23" s="1"/>
  <c r="K3607" i="22"/>
  <c r="F3607" i="22"/>
  <c r="O3607" i="22" s="1"/>
  <c r="K3121" i="22"/>
  <c r="F3121" i="22"/>
  <c r="O3121" i="22" s="1"/>
  <c r="K2203" i="22"/>
  <c r="F2203" i="22"/>
  <c r="O2203" i="22" s="1"/>
  <c r="K1933" i="22"/>
  <c r="F1933" i="22"/>
  <c r="O1933"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M1500" i="23"/>
  <c r="J1500" i="23"/>
  <c r="N1500" i="23" s="1"/>
  <c r="AE1500" i="23" s="1"/>
  <c r="D1500" i="23"/>
  <c r="P1500" i="23"/>
  <c r="Q1500" i="23"/>
  <c r="R1500" i="23"/>
  <c r="L1501" i="23"/>
  <c r="I1501" i="23"/>
  <c r="C1501" i="23"/>
  <c r="E1501" i="23"/>
  <c r="G1501" i="23"/>
  <c r="B1502" i="23"/>
  <c r="P1444" i="23"/>
  <c r="Q1444" i="23"/>
  <c r="R1444" i="23"/>
  <c r="J1444" i="23"/>
  <c r="D1444" i="23"/>
  <c r="L1445" i="23"/>
  <c r="I1445" i="23"/>
  <c r="C1445" i="23"/>
  <c r="K1445" i="23" s="1"/>
  <c r="E1445" i="23"/>
  <c r="F1445" i="23"/>
  <c r="O1445" i="23" s="1"/>
  <c r="G1445" i="23"/>
  <c r="B1446" i="23"/>
  <c r="P1388" i="23"/>
  <c r="Q1388" i="23"/>
  <c r="R1388" i="23"/>
  <c r="J1388" i="23"/>
  <c r="D1388" i="23"/>
  <c r="L1389" i="23"/>
  <c r="I1389" i="23"/>
  <c r="B1390" i="23"/>
  <c r="C1389" i="23"/>
  <c r="E1389" i="23"/>
  <c r="G1389"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E1221" i="23"/>
  <c r="G1221" i="23"/>
  <c r="B1222" i="23"/>
  <c r="M1164" i="23"/>
  <c r="P1164" i="23"/>
  <c r="Q1164" i="23"/>
  <c r="R1164" i="23"/>
  <c r="J1164" i="23"/>
  <c r="N1164" i="23" s="1"/>
  <c r="AE1164" i="23" s="1"/>
  <c r="D1164" i="23"/>
  <c r="L1165" i="23"/>
  <c r="I1165" i="23"/>
  <c r="B1166" i="23"/>
  <c r="C1165" i="23"/>
  <c r="E1165" i="23"/>
  <c r="G1165" i="23"/>
  <c r="M1108" i="23"/>
  <c r="J1108" i="23"/>
  <c r="N1108" i="23" s="1"/>
  <c r="AE1108" i="23" s="1"/>
  <c r="D1108" i="23"/>
  <c r="P1108" i="23"/>
  <c r="Q1108" i="23"/>
  <c r="R1108" i="23"/>
  <c r="L1109" i="23"/>
  <c r="I1109" i="23"/>
  <c r="C1109" i="23"/>
  <c r="K1109" i="23" s="1"/>
  <c r="E1109" i="23"/>
  <c r="F1109" i="23"/>
  <c r="O1109" i="23" s="1"/>
  <c r="G1109" i="23"/>
  <c r="B1110" i="23"/>
  <c r="L1053" i="23"/>
  <c r="I1053" i="23"/>
  <c r="C1053" i="23"/>
  <c r="K1053" i="23" s="1"/>
  <c r="F1053" i="23"/>
  <c r="O1053" i="23" s="1"/>
  <c r="E1053" i="23"/>
  <c r="G1053" i="23"/>
  <c r="B1054" i="23"/>
  <c r="J1052" i="23"/>
  <c r="D1052" i="23"/>
  <c r="P1052" i="23"/>
  <c r="Q1052" i="23"/>
  <c r="R1052" i="23"/>
  <c r="J996" i="23"/>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E829" i="23"/>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P604" i="23"/>
  <c r="Q604" i="23"/>
  <c r="R604" i="23"/>
  <c r="L605" i="23"/>
  <c r="I605" i="23"/>
  <c r="C605" i="23"/>
  <c r="E605" i="23"/>
  <c r="G605" i="23"/>
  <c r="B606" i="23"/>
  <c r="J548" i="23"/>
  <c r="D548" i="23"/>
  <c r="P548" i="23"/>
  <c r="Q548" i="23"/>
  <c r="R548" i="23"/>
  <c r="L549" i="23"/>
  <c r="I549" i="23"/>
  <c r="C549" i="23"/>
  <c r="K549" i="23" s="1"/>
  <c r="E549" i="23"/>
  <c r="F549" i="23"/>
  <c r="O549" i="23" s="1"/>
  <c r="G549" i="23"/>
  <c r="B550" i="23"/>
  <c r="J492" i="23"/>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P4747" i="22"/>
  <c r="Q4747" i="22"/>
  <c r="R4747" i="22"/>
  <c r="G4748" i="22"/>
  <c r="I4748" i="22"/>
  <c r="C4748" i="22"/>
  <c r="K4748" i="22" s="1"/>
  <c r="E4748" i="22"/>
  <c r="F4748" i="22"/>
  <c r="L4748" i="22"/>
  <c r="B4749" i="22"/>
  <c r="J4747" i="22"/>
  <c r="D4747" i="22"/>
  <c r="M4747" i="22"/>
  <c r="N4747" i="22"/>
  <c r="U4692" i="22"/>
  <c r="S4692" i="22"/>
  <c r="D4693" i="22"/>
  <c r="M4693" i="22" s="1"/>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P4585" i="22"/>
  <c r="Q4585" i="22"/>
  <c r="R4585" i="22"/>
  <c r="I4586" i="22"/>
  <c r="L4586" i="22"/>
  <c r="C4586" i="22"/>
  <c r="E4586" i="22"/>
  <c r="G4586" i="22"/>
  <c r="B4587" i="22"/>
  <c r="D4531" i="22"/>
  <c r="J4531" i="22"/>
  <c r="P4531" i="22"/>
  <c r="Q4531" i="22"/>
  <c r="R4531" i="22"/>
  <c r="L4532" i="22"/>
  <c r="C4532" i="22"/>
  <c r="E4532" i="22"/>
  <c r="G4532" i="22"/>
  <c r="I4532" i="22"/>
  <c r="B4533" i="22"/>
  <c r="J4231" i="22"/>
  <c r="D4231" i="22"/>
  <c r="M4231" i="22" s="1"/>
  <c r="N4231" i="22" s="1"/>
  <c r="U4231" i="22" s="1"/>
  <c r="P4231" i="22"/>
  <c r="Q4231" i="22"/>
  <c r="R4231" i="22"/>
  <c r="C4232" i="22"/>
  <c r="E4232" i="22"/>
  <c r="F4232" i="22"/>
  <c r="O4232" i="22" s="1"/>
  <c r="G4232" i="22"/>
  <c r="I4232" i="22"/>
  <c r="K4232" i="22"/>
  <c r="L4232" i="22"/>
  <c r="B4233" i="22"/>
  <c r="D4177" i="22"/>
  <c r="M4177" i="22" s="1"/>
  <c r="J4177" i="22"/>
  <c r="P4177" i="22"/>
  <c r="Q4177" i="22"/>
  <c r="R4177" i="22"/>
  <c r="L4178" i="22"/>
  <c r="C4178" i="22"/>
  <c r="K4178" i="22" s="1"/>
  <c r="E4178" i="22"/>
  <c r="F4178" i="22"/>
  <c r="O4178" i="22" s="1"/>
  <c r="G4178" i="22"/>
  <c r="I4178" i="22"/>
  <c r="B4179" i="22"/>
  <c r="D4123" i="22"/>
  <c r="J4123" i="22"/>
  <c r="P4123" i="22"/>
  <c r="Q4123" i="22"/>
  <c r="R4123" i="22"/>
  <c r="M4123" i="22"/>
  <c r="N4123" i="22"/>
  <c r="U4123" i="22" s="1"/>
  <c r="C4124" i="22"/>
  <c r="E4124" i="22"/>
  <c r="F4124" i="22"/>
  <c r="O4124" i="22" s="1"/>
  <c r="G4124" i="22"/>
  <c r="I4124" i="22"/>
  <c r="K4124" i="22"/>
  <c r="L4124" i="22"/>
  <c r="B4125" i="22"/>
  <c r="J4069" i="22"/>
  <c r="D4069" i="22"/>
  <c r="P4069" i="22"/>
  <c r="Q4069" i="22"/>
  <c r="R4069" i="22"/>
  <c r="E4070" i="22"/>
  <c r="G4070" i="22"/>
  <c r="I4070" i="22"/>
  <c r="L4070" i="22"/>
  <c r="C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E3662" i="22"/>
  <c r="G3662" i="22"/>
  <c r="I3662" i="22"/>
  <c r="B3663" i="22"/>
  <c r="M3607" i="22"/>
  <c r="D3607" i="22"/>
  <c r="J3607" i="22"/>
  <c r="N3607" i="22" s="1"/>
  <c r="U3607" i="22" s="1"/>
  <c r="P3607" i="22"/>
  <c r="Q3607" i="22"/>
  <c r="R3607" i="22"/>
  <c r="L3608" i="22"/>
  <c r="C3608" i="22"/>
  <c r="K3608" i="22" s="1"/>
  <c r="E3608" i="22"/>
  <c r="F3608" i="22"/>
  <c r="O3608" i="22" s="1"/>
  <c r="G3608" i="22"/>
  <c r="I3608" i="22"/>
  <c r="B3609" i="22"/>
  <c r="L3554" i="22"/>
  <c r="G3554" i="22"/>
  <c r="I3554" i="22"/>
  <c r="C3554" i="22"/>
  <c r="E3554" i="22"/>
  <c r="B3555" i="22"/>
  <c r="J3553" i="22"/>
  <c r="D3553" i="22"/>
  <c r="P3553" i="22"/>
  <c r="Q3553" i="22"/>
  <c r="R3553"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P3283" i="22"/>
  <c r="Q3283" i="22"/>
  <c r="R3283" i="22"/>
  <c r="D3283" i="22"/>
  <c r="J3283" i="22"/>
  <c r="N3283" i="22" s="1"/>
  <c r="U3283" i="22" s="1"/>
  <c r="L3284" i="22"/>
  <c r="I3284" i="22"/>
  <c r="B3285" i="22"/>
  <c r="C3284" i="22"/>
  <c r="E3284" i="22"/>
  <c r="G3284" i="22"/>
  <c r="P3229" i="22"/>
  <c r="Q3229" i="22"/>
  <c r="R3229" i="22"/>
  <c r="J3229" i="22"/>
  <c r="D3229" i="22"/>
  <c r="L3230" i="22"/>
  <c r="I3230" i="22"/>
  <c r="C3230" i="22"/>
  <c r="K3230" i="22" s="1"/>
  <c r="E3230" i="22"/>
  <c r="F3230" i="22"/>
  <c r="O3230" i="22" s="1"/>
  <c r="G3230" i="22"/>
  <c r="B3231"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E3068" i="22"/>
  <c r="G3068" i="22"/>
  <c r="I3068" i="22"/>
  <c r="B3069" i="22"/>
  <c r="D3013" i="22"/>
  <c r="M3013" i="22" s="1"/>
  <c r="N3013" i="22" s="1"/>
  <c r="U3013" i="22" s="1"/>
  <c r="J3013" i="22"/>
  <c r="P3013" i="22"/>
  <c r="Q3013" i="22"/>
  <c r="R3013" i="22"/>
  <c r="L3014" i="22"/>
  <c r="C3014" i="22"/>
  <c r="E3014" i="22"/>
  <c r="G3014" i="22"/>
  <c r="I3014" i="22"/>
  <c r="B3015" i="22"/>
  <c r="D2959" i="22"/>
  <c r="J2959" i="22"/>
  <c r="P2959" i="22"/>
  <c r="Q2959" i="22"/>
  <c r="R2959" i="22"/>
  <c r="L2960" i="22"/>
  <c r="C2960" i="22"/>
  <c r="E2960" i="22"/>
  <c r="G2960" i="22"/>
  <c r="I2960" i="22"/>
  <c r="B2961" i="22"/>
  <c r="D2905" i="22"/>
  <c r="J2905" i="22"/>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K2744" i="22" s="1"/>
  <c r="E2744" i="22"/>
  <c r="F2744" i="22"/>
  <c r="O2744" i="22" s="1"/>
  <c r="G2744" i="22"/>
  <c r="I2744" i="22"/>
  <c r="B2745" i="22"/>
  <c r="J2689" i="22"/>
  <c r="D2689" i="22"/>
  <c r="P2689" i="22"/>
  <c r="Q2689" i="22"/>
  <c r="R2689" i="22"/>
  <c r="L2690" i="22"/>
  <c r="I2690" i="22"/>
  <c r="C2690" i="22"/>
  <c r="E2690" i="22"/>
  <c r="G2690" i="22"/>
  <c r="B2691" i="22"/>
  <c r="L2636" i="22"/>
  <c r="E2636" i="22"/>
  <c r="G2636" i="22"/>
  <c r="B2637" i="22"/>
  <c r="C2636" i="22"/>
  <c r="I2636" i="22"/>
  <c r="D2635" i="22"/>
  <c r="J2635" i="22"/>
  <c r="P2635" i="22"/>
  <c r="Q2635" i="22"/>
  <c r="R2635" i="22"/>
  <c r="M2581" i="22"/>
  <c r="D2581" i="22"/>
  <c r="J2581" i="22"/>
  <c r="N2581" i="22" s="1"/>
  <c r="U2581" i="22" s="1"/>
  <c r="P2581" i="22"/>
  <c r="Q2581" i="22"/>
  <c r="R2581" i="22"/>
  <c r="L2582" i="22"/>
  <c r="C2582" i="22"/>
  <c r="E2582" i="22"/>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J2365" i="22"/>
  <c r="P2365" i="22"/>
  <c r="Q2365" i="22"/>
  <c r="R2365" i="22"/>
  <c r="L2366" i="22"/>
  <c r="C2366" i="22"/>
  <c r="K2366" i="22" s="1"/>
  <c r="E2366" i="22"/>
  <c r="F2366" i="22"/>
  <c r="O2366" i="22" s="1"/>
  <c r="G2366" i="22"/>
  <c r="I2366" i="22"/>
  <c r="B2367" i="22"/>
  <c r="L2312" i="22"/>
  <c r="C2312" i="22"/>
  <c r="K2312" i="22" s="1"/>
  <c r="F2312" i="22"/>
  <c r="O2312" i="22" s="1"/>
  <c r="B2313" i="22"/>
  <c r="I2312" i="22"/>
  <c r="G2312" i="22"/>
  <c r="E2312" i="22"/>
  <c r="P2311" i="22"/>
  <c r="Q2311" i="22"/>
  <c r="R2311" i="22"/>
  <c r="J2311" i="22"/>
  <c r="D2311" i="22"/>
  <c r="M2257" i="22"/>
  <c r="D2257" i="22"/>
  <c r="J2257" i="22"/>
  <c r="N2257" i="22" s="1"/>
  <c r="U2257" i="22" s="1"/>
  <c r="P2257" i="22"/>
  <c r="Q2257" i="22"/>
  <c r="R2257" i="22"/>
  <c r="L2258" i="22"/>
  <c r="C2258" i="22"/>
  <c r="E2258" i="22"/>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D1987" i="22"/>
  <c r="J1987" i="22"/>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E1934" i="22"/>
  <c r="G1934" i="22"/>
  <c r="I1934" i="22"/>
  <c r="B1935" i="22"/>
  <c r="M1879" i="22"/>
  <c r="D1879" i="22"/>
  <c r="J1879" i="22"/>
  <c r="N1879" i="22" s="1"/>
  <c r="U1879" i="22" s="1"/>
  <c r="P1879" i="22"/>
  <c r="Q1879" i="22"/>
  <c r="R1879" i="22"/>
  <c r="L1880" i="22"/>
  <c r="C1880" i="22"/>
  <c r="E1880" i="22"/>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K1448" i="22" s="1"/>
  <c r="E1448" i="22"/>
  <c r="F1448" i="22"/>
  <c r="O1448" i="22" s="1"/>
  <c r="G1448" i="22"/>
  <c r="I1448" i="22"/>
  <c r="B1449" i="22"/>
  <c r="P1393" i="22"/>
  <c r="Q1393" i="22"/>
  <c r="R1393" i="22"/>
  <c r="J1393" i="22"/>
  <c r="D1393" i="22"/>
  <c r="L1394" i="22"/>
  <c r="G1394" i="22"/>
  <c r="B1395" i="22"/>
  <c r="C1394" i="22"/>
  <c r="K1394" i="22" s="1"/>
  <c r="E1394" i="22"/>
  <c r="F1394" i="22"/>
  <c r="O1394" i="22" s="1"/>
  <c r="I1394" i="22"/>
  <c r="D1339" i="22"/>
  <c r="J1339" i="22"/>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E1286" i="22"/>
  <c r="G1286" i="22"/>
  <c r="I1286" i="22"/>
  <c r="B1287" i="22"/>
  <c r="M1231" i="22"/>
  <c r="D1231" i="22"/>
  <c r="J1231" i="22"/>
  <c r="N1231" i="22" s="1"/>
  <c r="U1231" i="22" s="1"/>
  <c r="P1231" i="22"/>
  <c r="Q1231" i="22"/>
  <c r="R1231" i="22"/>
  <c r="L1232" i="22"/>
  <c r="C1232" i="22"/>
  <c r="E1232" i="22"/>
  <c r="G1232" i="22"/>
  <c r="I1232" i="22"/>
  <c r="B1233" i="22"/>
  <c r="M1177" i="22"/>
  <c r="D1177" i="22"/>
  <c r="J1177" i="22"/>
  <c r="N1177" i="22" s="1"/>
  <c r="U1177" i="22" s="1"/>
  <c r="P1177" i="22"/>
  <c r="Q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K1016" i="22" s="1"/>
  <c r="E1016" i="22"/>
  <c r="F1016" i="22"/>
  <c r="O1016" i="22" s="1"/>
  <c r="G1016" i="22"/>
  <c r="I1016" i="22"/>
  <c r="B1017" i="22"/>
  <c r="D961" i="22"/>
  <c r="J961" i="22"/>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E908" i="22"/>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D637" i="22"/>
  <c r="J637" i="22"/>
  <c r="P637" i="22"/>
  <c r="Q637" i="22"/>
  <c r="R637" i="22"/>
  <c r="L638" i="22"/>
  <c r="C638" i="22"/>
  <c r="E638" i="22"/>
  <c r="G638" i="22"/>
  <c r="I638" i="22"/>
  <c r="B639" i="22"/>
  <c r="M583" i="22"/>
  <c r="D583" i="22"/>
  <c r="J583" i="22"/>
  <c r="N583" i="22" s="1"/>
  <c r="U583" i="22" s="1"/>
  <c r="P583" i="22"/>
  <c r="Q583" i="22"/>
  <c r="R583" i="22"/>
  <c r="L584" i="22"/>
  <c r="C584" i="22"/>
  <c r="E584" i="22"/>
  <c r="G584" i="22"/>
  <c r="I584" i="22"/>
  <c r="B585" i="22"/>
  <c r="M529" i="22"/>
  <c r="D529" i="22"/>
  <c r="J529" i="22"/>
  <c r="N529" i="22" s="1"/>
  <c r="U529" i="22" s="1"/>
  <c r="P529" i="22"/>
  <c r="Q529" i="22"/>
  <c r="R529" i="22"/>
  <c r="L530" i="22"/>
  <c r="C530" i="22"/>
  <c r="E530" i="22"/>
  <c r="G530" i="22"/>
  <c r="I530" i="22"/>
  <c r="B531" i="22"/>
  <c r="M475" i="22"/>
  <c r="D475" i="22"/>
  <c r="J475" i="22"/>
  <c r="N475" i="22" s="1"/>
  <c r="U475" i="22" s="1"/>
  <c r="P475" i="22"/>
  <c r="Q475" i="22"/>
  <c r="R475" i="22"/>
  <c r="L476" i="22"/>
  <c r="C476" i="22"/>
  <c r="K476" i="22" s="1"/>
  <c r="E476" i="22"/>
  <c r="F476" i="22"/>
  <c r="O476" i="22" s="1"/>
  <c r="G476" i="22"/>
  <c r="B477" i="22"/>
  <c r="I476" i="22"/>
  <c r="D421" i="22"/>
  <c r="M421" i="22" s="1"/>
  <c r="J421" i="22"/>
  <c r="P421" i="22"/>
  <c r="Q421" i="22"/>
  <c r="R421" i="22"/>
  <c r="L422" i="22"/>
  <c r="G422" i="22"/>
  <c r="C422" i="22"/>
  <c r="E422" i="22"/>
  <c r="I422" i="22"/>
  <c r="B423" i="22"/>
  <c r="M367" i="22"/>
  <c r="D367" i="22"/>
  <c r="J367" i="22"/>
  <c r="N367" i="22" s="1"/>
  <c r="U367" i="22" s="1"/>
  <c r="P367" i="22"/>
  <c r="Q367" i="22"/>
  <c r="R367" i="22"/>
  <c r="L368" i="22"/>
  <c r="C368" i="22"/>
  <c r="E368" i="22"/>
  <c r="G368" i="22"/>
  <c r="I368" i="22"/>
  <c r="B369" i="22"/>
  <c r="D313" i="22"/>
  <c r="J313" i="22"/>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L152" i="22"/>
  <c r="C152" i="22"/>
  <c r="E152" i="22"/>
  <c r="G152" i="22"/>
  <c r="B153" i="22"/>
  <c r="I152" i="22"/>
  <c r="D151" i="22"/>
  <c r="J151" i="22"/>
  <c r="P151" i="22"/>
  <c r="Q151" i="22"/>
  <c r="R151" i="22"/>
  <c r="D97" i="22"/>
  <c r="M97" i="22" s="1"/>
  <c r="J97" i="22"/>
  <c r="P97" i="22"/>
  <c r="Q97" i="22"/>
  <c r="R97" i="22"/>
  <c r="L98" i="22"/>
  <c r="C98" i="22"/>
  <c r="E98" i="22"/>
  <c r="G98" i="22"/>
  <c r="I98" i="22"/>
  <c r="B99" i="22"/>
  <c r="G85" i="12"/>
  <c r="C86" i="12"/>
  <c r="E87" i="12"/>
  <c r="O35" i="17"/>
  <c r="AM35" i="17"/>
  <c r="AL35" i="17"/>
  <c r="AK35" i="17"/>
  <c r="AJ35" i="17"/>
  <c r="AI35" i="17"/>
  <c r="AH35" i="17"/>
  <c r="AG35" i="17"/>
  <c r="AF35" i="17"/>
  <c r="AE35" i="17"/>
  <c r="AD35" i="17"/>
  <c r="AC35" i="17"/>
  <c r="AB35" i="17"/>
  <c r="AA35" i="17"/>
  <c r="Z35" i="17"/>
  <c r="Y35" i="17"/>
  <c r="X35" i="17"/>
  <c r="W35" i="17"/>
  <c r="P35" i="17"/>
  <c r="Q35" i="17"/>
  <c r="R35" i="17"/>
  <c r="V35" i="17"/>
  <c r="G36" i="17"/>
  <c r="L36" i="17"/>
  <c r="B36" i="18"/>
  <c r="C36" i="17"/>
  <c r="F36" i="17" s="1"/>
  <c r="C36" i="18" s="1"/>
  <c r="E36" i="18" s="1"/>
  <c r="E36" i="17"/>
  <c r="I36" i="17"/>
  <c r="K36" i="17"/>
  <c r="B37" i="17"/>
  <c r="D35" i="17"/>
  <c r="J35" i="17"/>
  <c r="C40" i="10" s="1"/>
  <c r="C41" i="10"/>
  <c r="M35" i="17"/>
  <c r="N35" i="17"/>
  <c r="AQ16" i="17"/>
  <c r="B101" i="12"/>
  <c r="I101" i="12" s="1"/>
  <c r="AP15" i="17"/>
  <c r="AO17" i="17"/>
  <c r="AO18" i="17"/>
  <c r="AO19" i="17"/>
  <c r="AO20" i="17"/>
  <c r="AO21" i="17"/>
  <c r="AO22" i="17"/>
  <c r="AO23" i="17"/>
  <c r="AO24" i="17"/>
  <c r="AO25" i="17"/>
  <c r="AO26" i="17"/>
  <c r="AO27" i="17"/>
  <c r="AO28" i="17"/>
  <c r="AO29" i="17"/>
  <c r="AO30" i="17"/>
  <c r="AO31" i="17"/>
  <c r="AO33" i="17"/>
  <c r="AO35" i="17"/>
  <c r="AO32" i="17"/>
  <c r="AO34" i="17"/>
  <c r="AO36" i="17"/>
  <c r="M1555" i="23"/>
  <c r="N1555" i="23"/>
  <c r="AE1555" i="23" s="1"/>
  <c r="M1499" i="23"/>
  <c r="N1499" i="23"/>
  <c r="AE1499" i="23" s="1"/>
  <c r="M1443" i="23"/>
  <c r="N1443" i="23"/>
  <c r="AE1443" i="23" s="1"/>
  <c r="M1387" i="23"/>
  <c r="N1387" i="23"/>
  <c r="AE1387" i="23" s="1"/>
  <c r="M1163" i="23"/>
  <c r="N1163" i="23"/>
  <c r="AE1163" i="23" s="1"/>
  <c r="M1051" i="23"/>
  <c r="N1051" i="23"/>
  <c r="AE1051" i="23" s="1"/>
  <c r="M939" i="23"/>
  <c r="N939" i="23"/>
  <c r="AE939" i="23" s="1"/>
  <c r="M603" i="23"/>
  <c r="N603" i="23"/>
  <c r="AE603" i="23" s="1"/>
  <c r="M435" i="23"/>
  <c r="N435" i="23"/>
  <c r="AE435" i="23" s="1"/>
  <c r="M4530" i="22"/>
  <c r="N4530" i="22"/>
  <c r="M4230" i="22"/>
  <c r="N4230" i="22"/>
  <c r="U4230" i="22" s="1"/>
  <c r="M3714" i="22"/>
  <c r="N3714" i="22"/>
  <c r="U3714" i="22" s="1"/>
  <c r="M3660" i="22"/>
  <c r="N3660" i="22"/>
  <c r="U3660" i="22" s="1"/>
  <c r="M3336" i="22"/>
  <c r="N3336" i="22"/>
  <c r="U3336" i="22" s="1"/>
  <c r="M3282" i="22"/>
  <c r="N3282" i="22"/>
  <c r="U3282" i="22" s="1"/>
  <c r="N2688" i="22"/>
  <c r="U2688" i="22" s="1"/>
  <c r="M2688" i="22"/>
  <c r="M2580" i="22"/>
  <c r="N2580" i="22"/>
  <c r="U2580" i="22" s="1"/>
  <c r="M2310" i="22"/>
  <c r="N2310" i="22"/>
  <c r="U2310" i="22" s="1"/>
  <c r="M2256" i="22"/>
  <c r="N2256" i="22"/>
  <c r="U2256" i="22" s="1"/>
  <c r="M1986" i="22"/>
  <c r="N1986" i="22"/>
  <c r="U1986" i="22" s="1"/>
  <c r="M1932" i="22"/>
  <c r="N1932" i="22"/>
  <c r="U1932" i="22" s="1"/>
  <c r="M1662" i="22"/>
  <c r="N1662" i="22"/>
  <c r="U1662" i="22" s="1"/>
  <c r="M1608" i="22"/>
  <c r="N1608" i="22"/>
  <c r="U1608" i="22" s="1"/>
  <c r="M1284" i="22"/>
  <c r="N1284" i="22"/>
  <c r="U1284" i="22" s="1"/>
  <c r="M1014" i="22"/>
  <c r="N1014" i="22"/>
  <c r="U1014" i="22" s="1"/>
  <c r="M960" i="22"/>
  <c r="N960" i="22"/>
  <c r="U960" i="22" s="1"/>
  <c r="M636" i="22"/>
  <c r="N636" i="22"/>
  <c r="U636" i="22" s="1"/>
  <c r="M150" i="22"/>
  <c r="N150" i="22"/>
  <c r="U150" i="22" s="1"/>
  <c r="AE1611" i="23"/>
  <c r="AK1611" i="23"/>
  <c r="K1444" i="23"/>
  <c r="F1444" i="23"/>
  <c r="O1444" i="23" s="1"/>
  <c r="K1388" i="23"/>
  <c r="F1388" i="23"/>
  <c r="O1388" i="23" s="1"/>
  <c r="K1052" i="23"/>
  <c r="F1052" i="23"/>
  <c r="O1052" i="23" s="1"/>
  <c r="K996" i="23"/>
  <c r="F996" i="23"/>
  <c r="O996" i="23" s="1"/>
  <c r="F548" i="23"/>
  <c r="O548" i="23" s="1"/>
  <c r="K548" i="23"/>
  <c r="K492" i="23"/>
  <c r="F492" i="23"/>
  <c r="O492" i="23" s="1"/>
  <c r="K4585" i="22"/>
  <c r="F4585" i="22"/>
  <c r="F4531" i="22"/>
  <c r="K4531" i="22"/>
  <c r="K4069" i="22"/>
  <c r="F4069" i="22"/>
  <c r="O4069" i="22" s="1"/>
  <c r="F3553" i="22"/>
  <c r="O3553" i="22" s="1"/>
  <c r="K3553" i="22"/>
  <c r="K3229" i="22"/>
  <c r="F3229" i="22"/>
  <c r="O3229" i="22" s="1"/>
  <c r="F2959" i="22"/>
  <c r="O2959" i="22" s="1"/>
  <c r="K2959" i="22"/>
  <c r="F2905" i="22"/>
  <c r="O2905" i="22" s="1"/>
  <c r="K2905" i="22"/>
  <c r="K2689" i="22"/>
  <c r="F2689" i="22"/>
  <c r="O2689" i="22" s="1"/>
  <c r="F2635" i="22"/>
  <c r="O2635" i="22" s="1"/>
  <c r="K2635" i="22"/>
  <c r="K2365" i="22"/>
  <c r="F2365" i="22"/>
  <c r="O2365" i="22" s="1"/>
  <c r="F2311" i="22"/>
  <c r="O2311" i="22" s="1"/>
  <c r="K2311" i="22"/>
  <c r="F1987" i="22"/>
  <c r="O1987" i="22" s="1"/>
  <c r="K1987" i="22"/>
  <c r="F1393" i="22"/>
  <c r="O1393" i="22" s="1"/>
  <c r="K1393" i="22"/>
  <c r="K1339" i="22"/>
  <c r="F1339" i="22"/>
  <c r="O1339" i="22" s="1"/>
  <c r="K961" i="22"/>
  <c r="F961" i="22"/>
  <c r="O961" i="22" s="1"/>
  <c r="K637" i="22"/>
  <c r="F637" i="22"/>
  <c r="O637" i="22" s="1"/>
  <c r="F313" i="22"/>
  <c r="O313" i="22" s="1"/>
  <c r="K313" i="22"/>
  <c r="F151" i="22"/>
  <c r="O151" i="22" s="1"/>
  <c r="K151" i="22"/>
  <c r="F34" i="18"/>
  <c r="G34" i="18"/>
  <c r="H34" i="18"/>
  <c r="AN35" i="17"/>
  <c r="N4693" i="22" l="1"/>
  <c r="N4177" i="22"/>
  <c r="U4177" i="22" s="1"/>
  <c r="N1717" i="22"/>
  <c r="U1717" i="22" s="1"/>
  <c r="N1069" i="22"/>
  <c r="U1069" i="22" s="1"/>
  <c r="N421" i="22"/>
  <c r="U421" i="22" s="1"/>
  <c r="N97" i="22"/>
  <c r="U97" i="22" s="1"/>
  <c r="N940" i="23"/>
  <c r="AE940" i="23" s="1"/>
  <c r="N604" i="23"/>
  <c r="AE604" i="23" s="1"/>
  <c r="K605" i="23"/>
  <c r="F605" i="23"/>
  <c r="O605" i="23" s="1"/>
  <c r="D4640" i="22"/>
  <c r="F4640" i="22"/>
  <c r="O4640" i="22" s="1"/>
  <c r="K4586" i="22"/>
  <c r="F4586" i="22"/>
  <c r="F4070" i="22"/>
  <c r="O4070" i="22" s="1"/>
  <c r="K4070" i="22"/>
  <c r="F3284" i="22"/>
  <c r="O3284" i="22" s="1"/>
  <c r="K3284" i="22"/>
  <c r="K638" i="22"/>
  <c r="F638" i="22"/>
  <c r="O638" i="22" s="1"/>
  <c r="K368" i="22"/>
  <c r="F368" i="22"/>
  <c r="O368" i="22" s="1"/>
  <c r="K98" i="22"/>
  <c r="F98" i="22"/>
  <c r="O98"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J1501" i="23"/>
  <c r="D1501" i="23"/>
  <c r="P1501" i="23"/>
  <c r="Q1501" i="23"/>
  <c r="R1501" i="23"/>
  <c r="L1502" i="23"/>
  <c r="I1502" i="23"/>
  <c r="C1502" i="23"/>
  <c r="K1502" i="23" s="1"/>
  <c r="E1502" i="23"/>
  <c r="F1502" i="23"/>
  <c r="O1502" i="23" s="1"/>
  <c r="G1502" i="23"/>
  <c r="B1503" i="23"/>
  <c r="M1445" i="23"/>
  <c r="J1445" i="23"/>
  <c r="N1445" i="23" s="1"/>
  <c r="AE1445" i="23" s="1"/>
  <c r="D1445" i="23"/>
  <c r="P1445" i="23"/>
  <c r="Q1445" i="23"/>
  <c r="R1445" i="23"/>
  <c r="L1446" i="23"/>
  <c r="I1446" i="23"/>
  <c r="G1446" i="23"/>
  <c r="C1446" i="23"/>
  <c r="E1446" i="23"/>
  <c r="B1447" i="23"/>
  <c r="L1390" i="23"/>
  <c r="I1390" i="23"/>
  <c r="C1390" i="23"/>
  <c r="K1390" i="23" s="1"/>
  <c r="E1390" i="23"/>
  <c r="F1390" i="23"/>
  <c r="O1390" i="23" s="1"/>
  <c r="G1390" i="23"/>
  <c r="B1391" i="23"/>
  <c r="J1389" i="23"/>
  <c r="D1389" i="23"/>
  <c r="P1389" i="23"/>
  <c r="Q1389" i="23"/>
  <c r="R1389"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J1221" i="23"/>
  <c r="D1221" i="23"/>
  <c r="P1221" i="23"/>
  <c r="Q1221" i="23"/>
  <c r="R1221" i="23"/>
  <c r="L1222" i="23"/>
  <c r="K1222" i="23"/>
  <c r="I1222" i="23"/>
  <c r="C1222" i="23"/>
  <c r="E1222" i="23"/>
  <c r="F1222" i="23"/>
  <c r="O1222" i="23" s="1"/>
  <c r="G1222" i="23"/>
  <c r="B1223" i="23"/>
  <c r="L1166" i="23"/>
  <c r="I1166" i="23"/>
  <c r="E1166" i="23"/>
  <c r="G1166" i="23"/>
  <c r="C1166" i="23"/>
  <c r="K1166" i="23" s="1"/>
  <c r="F1166" i="23"/>
  <c r="O1166" i="23" s="1"/>
  <c r="B1167" i="23"/>
  <c r="J1165" i="23"/>
  <c r="D1165" i="23"/>
  <c r="P1165" i="23"/>
  <c r="Q1165" i="23"/>
  <c r="R1165"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E1054" i="23"/>
  <c r="G1054" i="23"/>
  <c r="C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J829" i="23"/>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Q717" i="23"/>
  <c r="P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E438" i="23"/>
  <c r="G438" i="23"/>
  <c r="B439" i="23"/>
  <c r="M381" i="23"/>
  <c r="J381" i="23"/>
  <c r="N381" i="23" s="1"/>
  <c r="AE381" i="23" s="1"/>
  <c r="D381" i="23"/>
  <c r="P381" i="23"/>
  <c r="Q381" i="23"/>
  <c r="R381" i="23"/>
  <c r="L382" i="23"/>
  <c r="I382" i="23"/>
  <c r="C382" i="23"/>
  <c r="E382" i="23"/>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P4748" i="22"/>
  <c r="Q4748" i="22"/>
  <c r="R4748" i="22"/>
  <c r="M4748" i="22"/>
  <c r="J4748" i="22"/>
  <c r="N4748" i="22" s="1"/>
  <c r="D4748" i="22"/>
  <c r="L4749" i="22"/>
  <c r="B4750" i="22"/>
  <c r="C4749" i="22"/>
  <c r="E4749" i="22"/>
  <c r="F4749" i="22"/>
  <c r="G4749" i="22"/>
  <c r="I4749" i="22"/>
  <c r="K4749" i="22"/>
  <c r="T4692" i="22"/>
  <c r="U4693" i="22"/>
  <c r="S4693" i="22"/>
  <c r="T4693" i="22" s="1"/>
  <c r="M4694" i="22"/>
  <c r="D4694" i="22"/>
  <c r="J4694" i="22"/>
  <c r="N4694" i="22" s="1"/>
  <c r="P4694" i="22"/>
  <c r="Q4694" i="22"/>
  <c r="R4694" i="22"/>
  <c r="L4695" i="22"/>
  <c r="C4695" i="22"/>
  <c r="E4695" i="22"/>
  <c r="G4695" i="22"/>
  <c r="I4695" i="22"/>
  <c r="B4696" i="22"/>
  <c r="P4640" i="22"/>
  <c r="Q4640" i="22"/>
  <c r="R4640" i="22"/>
  <c r="C4641" i="22"/>
  <c r="E4641" i="22"/>
  <c r="G4641" i="22"/>
  <c r="B4642" i="22"/>
  <c r="M4586" i="22"/>
  <c r="J4586" i="22"/>
  <c r="N4586" i="22" s="1"/>
  <c r="D4586" i="22"/>
  <c r="P4586" i="22"/>
  <c r="Q4586" i="22"/>
  <c r="R4586" i="22"/>
  <c r="I4587" i="22"/>
  <c r="L4587" i="22"/>
  <c r="C4587" i="22"/>
  <c r="K4587" i="22" s="1"/>
  <c r="E4587" i="22"/>
  <c r="F4587" i="22"/>
  <c r="G4587" i="22"/>
  <c r="B4588" i="22"/>
  <c r="D4532" i="22"/>
  <c r="J4532" i="22"/>
  <c r="P4532" i="22"/>
  <c r="Q4532" i="22"/>
  <c r="R4532" i="22"/>
  <c r="L4533" i="22"/>
  <c r="C4533" i="22"/>
  <c r="K4533" i="22" s="1"/>
  <c r="E4533" i="22"/>
  <c r="F4533" i="22"/>
  <c r="G4533" i="22"/>
  <c r="I4533" i="22"/>
  <c r="B4534" i="22"/>
  <c r="D4232" i="22"/>
  <c r="J4232" i="22"/>
  <c r="N4232" i="22" s="1"/>
  <c r="U4232" i="22" s="1"/>
  <c r="P4232" i="22"/>
  <c r="R4232" i="22"/>
  <c r="Q4232" i="22"/>
  <c r="M4232" i="22"/>
  <c r="C4233" i="22"/>
  <c r="E4233" i="22"/>
  <c r="F4233" i="22"/>
  <c r="O4233" i="22" s="1"/>
  <c r="G4233" i="22"/>
  <c r="I4233" i="22"/>
  <c r="K4233" i="22"/>
  <c r="L4233" i="22"/>
  <c r="B4234" i="22"/>
  <c r="M4178" i="22"/>
  <c r="D4178" i="22"/>
  <c r="J4178" i="22"/>
  <c r="N4178" i="22" s="1"/>
  <c r="U4178" i="22" s="1"/>
  <c r="P4178" i="22"/>
  <c r="Q4178" i="22"/>
  <c r="R4178" i="22"/>
  <c r="L4179" i="22"/>
  <c r="C4179" i="22"/>
  <c r="K4179" i="22" s="1"/>
  <c r="E4179" i="22"/>
  <c r="F4179" i="22"/>
  <c r="O4179" i="22" s="1"/>
  <c r="G4179" i="22"/>
  <c r="I4179" i="22"/>
  <c r="B4180" i="22"/>
  <c r="D4124" i="22"/>
  <c r="J4124" i="22"/>
  <c r="N4124" i="22" s="1"/>
  <c r="U4124" i="22" s="1"/>
  <c r="P4124" i="22"/>
  <c r="Q4124" i="22"/>
  <c r="R4124" i="22"/>
  <c r="M4124" i="22"/>
  <c r="C4125" i="22"/>
  <c r="E4125" i="22"/>
  <c r="F4125" i="22"/>
  <c r="O4125" i="22" s="1"/>
  <c r="G4125" i="22"/>
  <c r="I4125" i="22"/>
  <c r="K4125" i="22"/>
  <c r="L4125" i="22"/>
  <c r="B4126" i="22"/>
  <c r="P4070" i="22"/>
  <c r="Q4070" i="22"/>
  <c r="R4070" i="22"/>
  <c r="J4070" i="22"/>
  <c r="D4070" i="22"/>
  <c r="M4070" i="22"/>
  <c r="N4070" i="22"/>
  <c r="U4070" i="22" s="1"/>
  <c r="I4071" i="22"/>
  <c r="B4072" i="22"/>
  <c r="C4071" i="22"/>
  <c r="E4071" i="22"/>
  <c r="G4071" i="22"/>
  <c r="L4071"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D3662" i="22"/>
  <c r="J3662" i="22"/>
  <c r="P3662" i="22"/>
  <c r="Q3662" i="22"/>
  <c r="R3662" i="22"/>
  <c r="L3663" i="22"/>
  <c r="C3663" i="22"/>
  <c r="E3663" i="22"/>
  <c r="G3663" i="22"/>
  <c r="I3663" i="22"/>
  <c r="B3664" i="22"/>
  <c r="M3608" i="22"/>
  <c r="D3608" i="22"/>
  <c r="J3608" i="22"/>
  <c r="N3608" i="22" s="1"/>
  <c r="U3608" i="22" s="1"/>
  <c r="P3608" i="22"/>
  <c r="Q3608" i="22"/>
  <c r="R3608" i="22"/>
  <c r="L3609" i="22"/>
  <c r="C3609" i="22"/>
  <c r="K3609" i="22" s="1"/>
  <c r="E3609" i="22"/>
  <c r="F3609" i="22"/>
  <c r="O3609" i="22" s="1"/>
  <c r="G3609" i="22"/>
  <c r="I3609" i="22"/>
  <c r="B3610" i="22"/>
  <c r="P3554" i="22"/>
  <c r="Q3554" i="22"/>
  <c r="R3554" i="22"/>
  <c r="J3554" i="22"/>
  <c r="D3554" i="22"/>
  <c r="L3555" i="22"/>
  <c r="E3555" i="22"/>
  <c r="I3555" i="22"/>
  <c r="B3556" i="22"/>
  <c r="C3555" i="22"/>
  <c r="K3555" i="22" s="1"/>
  <c r="F3555" i="22"/>
  <c r="O3555" i="22" s="1"/>
  <c r="G3555"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E3393" i="22"/>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L3285" i="22"/>
  <c r="G3285" i="22"/>
  <c r="C3285" i="22"/>
  <c r="E3285" i="22"/>
  <c r="I3285" i="22"/>
  <c r="B3286" i="22"/>
  <c r="J3284" i="22"/>
  <c r="N3284" i="22" s="1"/>
  <c r="U3284" i="22" s="1"/>
  <c r="D3284" i="22"/>
  <c r="P3284" i="22"/>
  <c r="Q3284" i="22"/>
  <c r="R3284" i="22"/>
  <c r="M3230" i="22"/>
  <c r="D3230" i="22"/>
  <c r="J3230" i="22"/>
  <c r="N3230" i="22" s="1"/>
  <c r="U3230" i="22" s="1"/>
  <c r="P3230" i="22"/>
  <c r="Q3230" i="22"/>
  <c r="R3230" i="22"/>
  <c r="L3231" i="22"/>
  <c r="B3232" i="22"/>
  <c r="C3231" i="22"/>
  <c r="I3231" i="22"/>
  <c r="G3231" i="22"/>
  <c r="E3231" i="22"/>
  <c r="M3176" i="22"/>
  <c r="D3176" i="22"/>
  <c r="J3176" i="22"/>
  <c r="N3176" i="22" s="1"/>
  <c r="U3176" i="22" s="1"/>
  <c r="P3176" i="22"/>
  <c r="Q3176" i="22"/>
  <c r="R3176" i="22"/>
  <c r="L3177" i="22"/>
  <c r="C3177" i="22"/>
  <c r="E3177" i="22"/>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J3068" i="22"/>
  <c r="P3068" i="22"/>
  <c r="Q3068" i="22"/>
  <c r="R3068" i="22"/>
  <c r="L3069" i="22"/>
  <c r="C3069" i="22"/>
  <c r="E3069" i="22"/>
  <c r="G3069" i="22"/>
  <c r="I3069" i="22"/>
  <c r="B3070" i="22"/>
  <c r="D3014" i="22"/>
  <c r="J3014" i="22"/>
  <c r="P3014" i="22"/>
  <c r="Q3014" i="22"/>
  <c r="R3014" i="22"/>
  <c r="L3015" i="22"/>
  <c r="C3015" i="22"/>
  <c r="K3015" i="22" s="1"/>
  <c r="E3015" i="22"/>
  <c r="F3015" i="22"/>
  <c r="O3015" i="22" s="1"/>
  <c r="G3015" i="22"/>
  <c r="I3015" i="22"/>
  <c r="B3016" i="22"/>
  <c r="D2960" i="22"/>
  <c r="J2960" i="22"/>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E2907" i="22"/>
  <c r="G2907" i="22"/>
  <c r="I2907" i="22"/>
  <c r="B2908" i="22"/>
  <c r="M2852" i="22"/>
  <c r="D2852" i="22"/>
  <c r="J2852" i="22"/>
  <c r="N2852" i="22" s="1"/>
  <c r="U2852" i="22" s="1"/>
  <c r="P2852" i="22"/>
  <c r="Q2852" i="22"/>
  <c r="R2852" i="22"/>
  <c r="L2853" i="22"/>
  <c r="C2853" i="22"/>
  <c r="E2853" i="22"/>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E2745" i="22"/>
  <c r="G2745" i="22"/>
  <c r="I2745" i="22"/>
  <c r="B2746" i="22"/>
  <c r="J2690" i="22"/>
  <c r="D2690" i="22"/>
  <c r="P2690" i="22"/>
  <c r="Q2690" i="22"/>
  <c r="R2690" i="22"/>
  <c r="L2691" i="22"/>
  <c r="I2691" i="22"/>
  <c r="C2691" i="22"/>
  <c r="E2691" i="22"/>
  <c r="G2691" i="22"/>
  <c r="B2692" i="22"/>
  <c r="P2636" i="22"/>
  <c r="Q2636" i="22"/>
  <c r="R2636" i="22"/>
  <c r="L2637" i="22"/>
  <c r="I2637" i="22"/>
  <c r="C2637" i="22"/>
  <c r="K2637" i="22" s="1"/>
  <c r="E2637" i="22"/>
  <c r="F2637" i="22"/>
  <c r="O2637" i="22" s="1"/>
  <c r="G2637" i="22"/>
  <c r="B2638" i="22"/>
  <c r="D2636" i="22"/>
  <c r="J2636" i="22"/>
  <c r="D2582" i="22"/>
  <c r="J2582" i="22"/>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E2421" i="22"/>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L2313" i="22"/>
  <c r="G2313" i="22"/>
  <c r="E2313" i="22"/>
  <c r="I2313" i="22"/>
  <c r="C2313" i="22"/>
  <c r="B2314" i="22"/>
  <c r="P2312" i="22"/>
  <c r="Q2312" i="22"/>
  <c r="R2312" i="22"/>
  <c r="D2258" i="22"/>
  <c r="J2258" i="22"/>
  <c r="P2258" i="22"/>
  <c r="Q2258" i="22"/>
  <c r="R2258" i="22"/>
  <c r="L2259" i="22"/>
  <c r="C2259" i="22"/>
  <c r="E2259" i="22"/>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E2097" i="22"/>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K1989" i="22" s="1"/>
  <c r="E1989" i="22"/>
  <c r="F1989" i="22"/>
  <c r="O1989" i="22" s="1"/>
  <c r="G1989" i="22"/>
  <c r="I1989" i="22"/>
  <c r="B1990" i="22"/>
  <c r="D1934" i="22"/>
  <c r="J1934" i="22"/>
  <c r="P1934" i="22"/>
  <c r="Q1934" i="22"/>
  <c r="R1934" i="22"/>
  <c r="L1935" i="22"/>
  <c r="C1935" i="22"/>
  <c r="K1935" i="22" s="1"/>
  <c r="E1935" i="22"/>
  <c r="F1935" i="22"/>
  <c r="O1935" i="22" s="1"/>
  <c r="G1935" i="22"/>
  <c r="I1935" i="22"/>
  <c r="B1936" i="22"/>
  <c r="D1880" i="22"/>
  <c r="J1880" i="22"/>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E1773" i="22"/>
  <c r="G1773" i="22"/>
  <c r="I1773" i="22"/>
  <c r="B1774" i="22"/>
  <c r="M1718" i="22"/>
  <c r="D1718" i="22"/>
  <c r="J1718" i="22"/>
  <c r="N1718" i="22" s="1"/>
  <c r="U1718" i="22" s="1"/>
  <c r="P1718" i="22"/>
  <c r="Q1718" i="22"/>
  <c r="R1718" i="22"/>
  <c r="L1719" i="22"/>
  <c r="C1719" i="22"/>
  <c r="E1719" i="22"/>
  <c r="G1719" i="22"/>
  <c r="I1719" i="22"/>
  <c r="B1720"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E1449" i="22"/>
  <c r="G1449" i="22"/>
  <c r="I1449" i="22"/>
  <c r="B1450" i="22"/>
  <c r="M1394" i="22"/>
  <c r="P1394" i="22"/>
  <c r="Q1394" i="22"/>
  <c r="R1394" i="22"/>
  <c r="L1395" i="22"/>
  <c r="E1395" i="22"/>
  <c r="G1395" i="22"/>
  <c r="I1395" i="22"/>
  <c r="C1395" i="22"/>
  <c r="B1396" i="22"/>
  <c r="D1394" i="22"/>
  <c r="J1394" i="22"/>
  <c r="N1394" i="22" s="1"/>
  <c r="U1394" i="22" s="1"/>
  <c r="M1340" i="22"/>
  <c r="D1340" i="22"/>
  <c r="J1340" i="22"/>
  <c r="N1340" i="22" s="1"/>
  <c r="U1340" i="22" s="1"/>
  <c r="P1340" i="22"/>
  <c r="Q1340" i="22"/>
  <c r="R1340" i="22"/>
  <c r="L1341" i="22"/>
  <c r="C1341" i="22"/>
  <c r="K1341" i="22" s="1"/>
  <c r="E1341" i="22"/>
  <c r="F1341" i="22"/>
  <c r="O1341" i="22" s="1"/>
  <c r="G1341" i="22"/>
  <c r="I1341" i="22"/>
  <c r="B1342" i="22"/>
  <c r="D1286" i="22"/>
  <c r="J1286" i="22"/>
  <c r="P1286" i="22"/>
  <c r="Q1286" i="22"/>
  <c r="R1286" i="22"/>
  <c r="L1287" i="22"/>
  <c r="C1287" i="22"/>
  <c r="K1287" i="22" s="1"/>
  <c r="E1287" i="22"/>
  <c r="F1287" i="22"/>
  <c r="O1287" i="22" s="1"/>
  <c r="G1287" i="22"/>
  <c r="I1287" i="22"/>
  <c r="B1288" i="22"/>
  <c r="D1232" i="22"/>
  <c r="J1232" i="22"/>
  <c r="P1232" i="22"/>
  <c r="Q1232" i="22"/>
  <c r="R1232" i="22"/>
  <c r="L1233" i="22"/>
  <c r="C1233" i="22"/>
  <c r="E1233" i="22"/>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C1071" i="22"/>
  <c r="E1071" i="22"/>
  <c r="G1071" i="22"/>
  <c r="I1071" i="22"/>
  <c r="B1072"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D908" i="22"/>
  <c r="J908" i="22"/>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K639" i="22" s="1"/>
  <c r="E639" i="22"/>
  <c r="F639" i="22"/>
  <c r="O639" i="22" s="1"/>
  <c r="G639" i="22"/>
  <c r="I639" i="22"/>
  <c r="B640" i="22"/>
  <c r="D584" i="22"/>
  <c r="J584" i="22"/>
  <c r="P584" i="22"/>
  <c r="Q584" i="22"/>
  <c r="R584" i="22"/>
  <c r="L585" i="22"/>
  <c r="C585" i="22"/>
  <c r="K585" i="22" s="1"/>
  <c r="E585" i="22"/>
  <c r="F585" i="22"/>
  <c r="O585" i="22" s="1"/>
  <c r="G585" i="22"/>
  <c r="I585" i="22"/>
  <c r="B586" i="22"/>
  <c r="D530" i="22"/>
  <c r="J530" i="22"/>
  <c r="P530" i="22"/>
  <c r="Q530" i="22"/>
  <c r="R530" i="22"/>
  <c r="L531" i="22"/>
  <c r="C531" i="22"/>
  <c r="K531" i="22" s="1"/>
  <c r="E531" i="22"/>
  <c r="F531" i="22"/>
  <c r="O531" i="22" s="1"/>
  <c r="G531" i="22"/>
  <c r="I531" i="22"/>
  <c r="B532" i="22"/>
  <c r="D476" i="22"/>
  <c r="M476" i="22" s="1"/>
  <c r="J476" i="22"/>
  <c r="P476" i="22"/>
  <c r="Q476" i="22"/>
  <c r="R476" i="22"/>
  <c r="L477" i="22"/>
  <c r="C477" i="22"/>
  <c r="E477" i="22"/>
  <c r="G477" i="22"/>
  <c r="B478" i="22"/>
  <c r="I477" i="22"/>
  <c r="P422" i="22"/>
  <c r="Q422" i="22"/>
  <c r="R422" i="22"/>
  <c r="D422" i="22"/>
  <c r="J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J152" i="22"/>
  <c r="D152" i="22"/>
  <c r="P152" i="22"/>
  <c r="Q152" i="22"/>
  <c r="R152" i="22"/>
  <c r="L153" i="22"/>
  <c r="I153" i="22"/>
  <c r="B154" i="22"/>
  <c r="C153" i="22"/>
  <c r="E153" i="22"/>
  <c r="G153" i="22"/>
  <c r="M98" i="22"/>
  <c r="D98" i="22"/>
  <c r="J98" i="22"/>
  <c r="N98" i="22" s="1"/>
  <c r="U98" i="22" s="1"/>
  <c r="P98" i="22"/>
  <c r="Q98" i="22"/>
  <c r="R98" i="22"/>
  <c r="L99" i="22"/>
  <c r="C99" i="22"/>
  <c r="K99" i="22" s="1"/>
  <c r="E99" i="22"/>
  <c r="F99" i="22"/>
  <c r="O99" i="22" s="1"/>
  <c r="G99" i="22"/>
  <c r="I99" i="22"/>
  <c r="B100" i="22"/>
  <c r="G86" i="12"/>
  <c r="C45" i="10"/>
  <c r="F35" i="18"/>
  <c r="C46" i="10"/>
  <c r="G35" i="18"/>
  <c r="C47" i="10"/>
  <c r="H35" i="18"/>
  <c r="E88" i="12"/>
  <c r="O36" i="17"/>
  <c r="AN36" i="17"/>
  <c r="AM36" i="17"/>
  <c r="AL36" i="17"/>
  <c r="AK36" i="17"/>
  <c r="AJ36" i="17"/>
  <c r="AI36" i="17"/>
  <c r="AH36" i="17"/>
  <c r="AG36" i="17"/>
  <c r="AF36" i="17"/>
  <c r="AE36" i="17"/>
  <c r="AD36" i="17"/>
  <c r="AC36" i="17"/>
  <c r="AB36" i="17"/>
  <c r="AA36" i="17"/>
  <c r="Z36" i="17"/>
  <c r="Y36" i="17"/>
  <c r="X36" i="17"/>
  <c r="W36" i="17"/>
  <c r="P36" i="17"/>
  <c r="Q36" i="17"/>
  <c r="R36" i="17"/>
  <c r="V36" i="17"/>
  <c r="D36" i="17"/>
  <c r="J36" i="17"/>
  <c r="M36" i="17"/>
  <c r="N36" i="17"/>
  <c r="U36" i="17" s="1"/>
  <c r="I37" i="17"/>
  <c r="C37" i="17"/>
  <c r="E37" i="17"/>
  <c r="G37" i="17"/>
  <c r="AP37" i="17" s="1"/>
  <c r="L37" i="17"/>
  <c r="B38" i="17"/>
  <c r="B37" i="18"/>
  <c r="C43" i="10"/>
  <c r="C48" i="10"/>
  <c r="U35" i="17"/>
  <c r="C44" i="10"/>
  <c r="AR16" i="17"/>
  <c r="B102" i="12"/>
  <c r="I102" i="12" s="1"/>
  <c r="AQ15" i="17"/>
  <c r="AP17" i="17"/>
  <c r="AP18" i="17"/>
  <c r="AP19" i="17"/>
  <c r="AP20" i="17"/>
  <c r="AP21" i="17"/>
  <c r="AP22" i="17"/>
  <c r="AP23" i="17"/>
  <c r="AP24" i="17"/>
  <c r="AP25" i="17"/>
  <c r="AP26" i="17"/>
  <c r="AP27" i="17"/>
  <c r="AP28" i="17"/>
  <c r="AP29" i="17"/>
  <c r="AP30" i="17"/>
  <c r="AP31" i="17"/>
  <c r="AP32" i="17"/>
  <c r="AP34" i="17"/>
  <c r="AP36" i="17"/>
  <c r="AP33" i="17"/>
  <c r="AP35" i="17"/>
  <c r="M1444" i="23"/>
  <c r="N1444" i="23"/>
  <c r="AE1444" i="23" s="1"/>
  <c r="M1388" i="23"/>
  <c r="N1388" i="23"/>
  <c r="AE1388" i="23" s="1"/>
  <c r="M1052" i="23"/>
  <c r="N1052" i="23"/>
  <c r="AE1052" i="23" s="1"/>
  <c r="M996" i="23"/>
  <c r="N996" i="23"/>
  <c r="AE996" i="23" s="1"/>
  <c r="M548" i="23"/>
  <c r="N548" i="23"/>
  <c r="AE548" i="23" s="1"/>
  <c r="M492" i="23"/>
  <c r="N492" i="23"/>
  <c r="AE492" i="23" s="1"/>
  <c r="M4585" i="22"/>
  <c r="N4585" i="22"/>
  <c r="M4531" i="22"/>
  <c r="N4531" i="22"/>
  <c r="M4069" i="22"/>
  <c r="N4069" i="22" s="1"/>
  <c r="U4069" i="22" s="1"/>
  <c r="N3553" i="22"/>
  <c r="U3553" i="22" s="1"/>
  <c r="M3553" i="22"/>
  <c r="M3229" i="22"/>
  <c r="N3229" i="22"/>
  <c r="U3229" i="22" s="1"/>
  <c r="M2959" i="22"/>
  <c r="N2959" i="22"/>
  <c r="U2959" i="22" s="1"/>
  <c r="M2905" i="22"/>
  <c r="N2905" i="22"/>
  <c r="U2905" i="22" s="1"/>
  <c r="M2689" i="22"/>
  <c r="N2689" i="22"/>
  <c r="U2689" i="22" s="1"/>
  <c r="M2635" i="22"/>
  <c r="N2635" i="22"/>
  <c r="U2635" i="22" s="1"/>
  <c r="M2365" i="22"/>
  <c r="N2365" i="22"/>
  <c r="U2365" i="22" s="1"/>
  <c r="M2311" i="22"/>
  <c r="N2311" i="22"/>
  <c r="U2311" i="22" s="1"/>
  <c r="M1987" i="22"/>
  <c r="N1987" i="22"/>
  <c r="U1987" i="22" s="1"/>
  <c r="M1393" i="22"/>
  <c r="N1393" i="22"/>
  <c r="U1393" i="22" s="1"/>
  <c r="M1339" i="22"/>
  <c r="N1339" i="22"/>
  <c r="U1339" i="22" s="1"/>
  <c r="M961" i="22"/>
  <c r="N961" i="22"/>
  <c r="U961" i="22" s="1"/>
  <c r="M637" i="22"/>
  <c r="N637" i="22"/>
  <c r="U637" i="22" s="1"/>
  <c r="M313" i="22"/>
  <c r="N313" i="22"/>
  <c r="U313" i="22" s="1"/>
  <c r="M151" i="22"/>
  <c r="N151" i="22"/>
  <c r="U151" i="22" s="1"/>
  <c r="AE1612" i="23"/>
  <c r="AK1612" i="23"/>
  <c r="F1501" i="23"/>
  <c r="O1501" i="23" s="1"/>
  <c r="K1501" i="23"/>
  <c r="K1389" i="23"/>
  <c r="F1389" i="23"/>
  <c r="O1389" i="23" s="1"/>
  <c r="F1221" i="23"/>
  <c r="O1221" i="23" s="1"/>
  <c r="K1221" i="23"/>
  <c r="K1165" i="23"/>
  <c r="F1165" i="23"/>
  <c r="O1165" i="23" s="1"/>
  <c r="F829" i="23"/>
  <c r="O829" i="23" s="1"/>
  <c r="K829" i="23"/>
  <c r="K4532" i="22"/>
  <c r="F4532" i="22"/>
  <c r="F3662" i="22"/>
  <c r="O3662" i="22" s="1"/>
  <c r="K3662" i="22"/>
  <c r="F3554" i="22"/>
  <c r="O3554" i="22" s="1"/>
  <c r="K3554" i="22"/>
  <c r="K3068" i="22"/>
  <c r="F3068" i="22"/>
  <c r="O3068" i="22" s="1"/>
  <c r="F3014" i="22"/>
  <c r="O3014" i="22" s="1"/>
  <c r="K3014" i="22"/>
  <c r="K2960" i="22"/>
  <c r="F2960" i="22"/>
  <c r="O2960" i="22" s="1"/>
  <c r="F2690" i="22"/>
  <c r="O2690" i="22" s="1"/>
  <c r="K2690" i="22"/>
  <c r="F2636" i="22"/>
  <c r="O2636" i="22" s="1"/>
  <c r="K2636" i="22"/>
  <c r="F2582" i="22"/>
  <c r="O2582" i="22" s="1"/>
  <c r="K2582" i="22"/>
  <c r="K2258" i="22"/>
  <c r="F2258" i="22"/>
  <c r="O2258" i="22" s="1"/>
  <c r="F1934" i="22"/>
  <c r="O1934" i="22" s="1"/>
  <c r="K1934" i="22"/>
  <c r="K1880" i="22"/>
  <c r="F1880" i="22"/>
  <c r="O1880" i="22" s="1"/>
  <c r="F1286" i="22"/>
  <c r="O1286" i="22" s="1"/>
  <c r="K1286" i="22"/>
  <c r="F1232" i="22"/>
  <c r="O1232" i="22" s="1"/>
  <c r="K1232" i="22"/>
  <c r="F908" i="22"/>
  <c r="O908" i="22" s="1"/>
  <c r="K908" i="22"/>
  <c r="F584" i="22"/>
  <c r="O584" i="22" s="1"/>
  <c r="K584" i="22"/>
  <c r="F530" i="22"/>
  <c r="O530" i="22" s="1"/>
  <c r="K530" i="22"/>
  <c r="F422" i="22"/>
  <c r="O422" i="22" s="1"/>
  <c r="K422" i="22"/>
  <c r="K152" i="22"/>
  <c r="F152" i="22"/>
  <c r="O152" i="22" s="1"/>
  <c r="N997" i="23" l="1"/>
  <c r="AE997" i="23" s="1"/>
  <c r="N2420" i="22"/>
  <c r="U2420" i="22" s="1"/>
  <c r="N1772" i="22"/>
  <c r="U1772" i="22" s="1"/>
  <c r="N1124" i="22"/>
  <c r="U1124" i="22" s="1"/>
  <c r="N476" i="22"/>
  <c r="U476" i="22" s="1"/>
  <c r="K438" i="23"/>
  <c r="F438" i="23"/>
  <c r="O438" i="23" s="1"/>
  <c r="K3663" i="22"/>
  <c r="F3663" i="22"/>
  <c r="O3663" i="22" s="1"/>
  <c r="K3177" i="22"/>
  <c r="F3177" i="22"/>
  <c r="O3177" i="22" s="1"/>
  <c r="K2907" i="22"/>
  <c r="F2907" i="22"/>
  <c r="O2907" i="22" s="1"/>
  <c r="K2259" i="22"/>
  <c r="F2259" i="22"/>
  <c r="O2259" i="22" s="1"/>
  <c r="K1233" i="22"/>
  <c r="F1233" i="22"/>
  <c r="O1233"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M1502" i="23"/>
  <c r="J1502" i="23"/>
  <c r="N1502" i="23" s="1"/>
  <c r="AE1502" i="23" s="1"/>
  <c r="D1502" i="23"/>
  <c r="P1502" i="23"/>
  <c r="Q1502" i="23"/>
  <c r="R1502" i="23"/>
  <c r="L1503" i="23"/>
  <c r="I1503" i="23"/>
  <c r="C1503" i="23"/>
  <c r="E1503" i="23"/>
  <c r="G1503" i="23"/>
  <c r="B1504" i="23"/>
  <c r="P1446" i="23"/>
  <c r="Q1446" i="23"/>
  <c r="R1446" i="23"/>
  <c r="J1446" i="23"/>
  <c r="D1446" i="23"/>
  <c r="L1447" i="23"/>
  <c r="I1447" i="23"/>
  <c r="B1448" i="23"/>
  <c r="C1447" i="23"/>
  <c r="K1447" i="23" s="1"/>
  <c r="E1447" i="23"/>
  <c r="F1447" i="23"/>
  <c r="O1447" i="23" s="1"/>
  <c r="G1447" i="23"/>
  <c r="M1390" i="23"/>
  <c r="J1390" i="23"/>
  <c r="N1390" i="23" s="1"/>
  <c r="AE1390" i="23" s="1"/>
  <c r="D1390" i="23"/>
  <c r="P1390" i="23"/>
  <c r="Q1390" i="23"/>
  <c r="R1390" i="23"/>
  <c r="L1391" i="23"/>
  <c r="I1391" i="23"/>
  <c r="B1392" i="23"/>
  <c r="C1391" i="23"/>
  <c r="E1391" i="23"/>
  <c r="G1391"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P1166" i="23"/>
  <c r="Q1166" i="23"/>
  <c r="R1166" i="23"/>
  <c r="J1166" i="23"/>
  <c r="N1166" i="23" s="1"/>
  <c r="AE1166" i="23" s="1"/>
  <c r="D1166" i="23"/>
  <c r="L1167" i="23"/>
  <c r="I1167" i="23"/>
  <c r="B1168" i="23"/>
  <c r="C1167" i="23"/>
  <c r="K1167" i="23" s="1"/>
  <c r="E1167" i="23"/>
  <c r="F1167" i="23"/>
  <c r="O1167" i="23" s="1"/>
  <c r="G1167" i="23"/>
  <c r="M1110" i="23"/>
  <c r="J1110" i="23"/>
  <c r="N1110" i="23" s="1"/>
  <c r="AE1110" i="23" s="1"/>
  <c r="D1110" i="23"/>
  <c r="P1110" i="23"/>
  <c r="Q1110" i="23"/>
  <c r="R1110" i="23"/>
  <c r="L1111" i="23"/>
  <c r="I1111" i="23"/>
  <c r="C1111" i="23"/>
  <c r="K1111" i="23" s="1"/>
  <c r="E1111" i="23"/>
  <c r="F1111" i="23"/>
  <c r="O1111" i="23" s="1"/>
  <c r="G1111" i="23"/>
  <c r="B1112" i="23"/>
  <c r="P1054" i="23"/>
  <c r="Q1054" i="23"/>
  <c r="R1054" i="23"/>
  <c r="J1054" i="23"/>
  <c r="D1054" i="23"/>
  <c r="L1055" i="23"/>
  <c r="I1055" i="23"/>
  <c r="B1056" i="23"/>
  <c r="C1055" i="23"/>
  <c r="E1055" i="23"/>
  <c r="G1055"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E943" i="23"/>
  <c r="G943" i="23"/>
  <c r="B944" i="23"/>
  <c r="M886" i="23"/>
  <c r="J886" i="23"/>
  <c r="N886" i="23" s="1"/>
  <c r="AE886" i="23" s="1"/>
  <c r="D886" i="23"/>
  <c r="P886" i="23"/>
  <c r="Q886" i="23"/>
  <c r="R886" i="23"/>
  <c r="L887" i="23"/>
  <c r="I887" i="23"/>
  <c r="C887" i="23"/>
  <c r="E887" i="23"/>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Q718" i="23"/>
  <c r="P718" i="23"/>
  <c r="R718" i="23"/>
  <c r="L719" i="23"/>
  <c r="I719" i="23"/>
  <c r="C719" i="23"/>
  <c r="K719" i="23" s="1"/>
  <c r="E719" i="23"/>
  <c r="F719" i="23"/>
  <c r="O719" i="23" s="1"/>
  <c r="G719" i="23"/>
  <c r="B720" i="23"/>
  <c r="M662" i="23"/>
  <c r="J662" i="23"/>
  <c r="N662" i="23" s="1"/>
  <c r="AE662" i="23" s="1"/>
  <c r="D662" i="23"/>
  <c r="P662" i="23"/>
  <c r="Q662" i="23"/>
  <c r="R662" i="23"/>
  <c r="L663" i="23"/>
  <c r="I663" i="23"/>
  <c r="C663" i="23"/>
  <c r="E663" i="23"/>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J382" i="23"/>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G4750" i="22"/>
  <c r="I4750" i="22"/>
  <c r="C4750" i="22"/>
  <c r="E4750" i="22"/>
  <c r="L4750" i="22"/>
  <c r="B4751" i="22"/>
  <c r="D4749" i="22"/>
  <c r="J4749" i="22"/>
  <c r="N4749" i="22" s="1"/>
  <c r="P4749" i="22"/>
  <c r="Q4749" i="22"/>
  <c r="R4749" i="22"/>
  <c r="M4749" i="22"/>
  <c r="U4694" i="22"/>
  <c r="S4694" i="22"/>
  <c r="D4695" i="22"/>
  <c r="J4695" i="22"/>
  <c r="P4695" i="22"/>
  <c r="Q4695" i="22"/>
  <c r="R4695" i="22"/>
  <c r="L4696" i="22"/>
  <c r="C4696" i="22"/>
  <c r="E4696" i="22"/>
  <c r="G4696" i="22"/>
  <c r="I4696" i="22"/>
  <c r="B4697" i="22"/>
  <c r="P4641" i="22"/>
  <c r="Q4641" i="22"/>
  <c r="R4641" i="22"/>
  <c r="C4642" i="22"/>
  <c r="E4642" i="22"/>
  <c r="G4642" i="22"/>
  <c r="B4643" i="22"/>
  <c r="M4587" i="22"/>
  <c r="J4587" i="22"/>
  <c r="N4587" i="22" s="1"/>
  <c r="D4587" i="22"/>
  <c r="P4587" i="22"/>
  <c r="Q4587" i="22"/>
  <c r="R4587" i="22"/>
  <c r="I4588" i="22"/>
  <c r="L4588" i="22"/>
  <c r="C4588" i="22"/>
  <c r="E4588" i="22"/>
  <c r="G4588" i="22"/>
  <c r="B4589" i="22"/>
  <c r="M4533" i="22"/>
  <c r="D4533" i="22"/>
  <c r="J4533" i="22"/>
  <c r="N4533" i="22" s="1"/>
  <c r="P4533" i="22"/>
  <c r="Q4533" i="22"/>
  <c r="R4533" i="22"/>
  <c r="L4534" i="22"/>
  <c r="C4534" i="22"/>
  <c r="K4534" i="22" s="1"/>
  <c r="E4534" i="22"/>
  <c r="F4534" i="22"/>
  <c r="G4534" i="22"/>
  <c r="I4534" i="22"/>
  <c r="B4535" i="22"/>
  <c r="D4233" i="22"/>
  <c r="J4233" i="22"/>
  <c r="N4233" i="22" s="1"/>
  <c r="U4233" i="22" s="1"/>
  <c r="P4233" i="22"/>
  <c r="Q4233" i="22"/>
  <c r="R4233" i="22"/>
  <c r="M4233" i="22"/>
  <c r="C4234" i="22"/>
  <c r="E4234" i="22"/>
  <c r="G4234" i="22"/>
  <c r="I4234" i="22"/>
  <c r="L4234" i="22"/>
  <c r="B4235" i="22"/>
  <c r="M4179" i="22"/>
  <c r="D4179" i="22"/>
  <c r="J4179" i="22"/>
  <c r="N4179" i="22" s="1"/>
  <c r="U4179" i="22" s="1"/>
  <c r="P4179" i="22"/>
  <c r="Q4179" i="22"/>
  <c r="R4179" i="22"/>
  <c r="L4180" i="22"/>
  <c r="C4180" i="22"/>
  <c r="E4180" i="22"/>
  <c r="G4180" i="22"/>
  <c r="I4180" i="22"/>
  <c r="B4181" i="22"/>
  <c r="D4125" i="22"/>
  <c r="J4125" i="22"/>
  <c r="N4125" i="22" s="1"/>
  <c r="U4125" i="22" s="1"/>
  <c r="P4125" i="22"/>
  <c r="Q4125" i="22"/>
  <c r="R4125" i="22"/>
  <c r="M4125" i="22"/>
  <c r="C4126" i="22"/>
  <c r="E4126" i="22"/>
  <c r="G4126" i="22"/>
  <c r="I4126" i="22"/>
  <c r="L4126" i="22"/>
  <c r="B4127" i="22"/>
  <c r="G4072" i="22"/>
  <c r="I4072" i="22"/>
  <c r="C4072" i="22"/>
  <c r="K4072" i="22" s="1"/>
  <c r="E4072" i="22"/>
  <c r="F4072" i="22"/>
  <c r="O4072" i="22" s="1"/>
  <c r="L4072" i="22"/>
  <c r="B4073" i="22"/>
  <c r="J4071" i="22"/>
  <c r="D4071" i="22"/>
  <c r="P4071" i="22"/>
  <c r="R4071" i="22"/>
  <c r="Q4071"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D3609" i="22"/>
  <c r="J3609" i="22"/>
  <c r="N3609" i="22" s="1"/>
  <c r="U3609" i="22" s="1"/>
  <c r="P3609" i="22"/>
  <c r="Q3609" i="22"/>
  <c r="R3609" i="22"/>
  <c r="L3610" i="22"/>
  <c r="C3610" i="22"/>
  <c r="K3610" i="22" s="1"/>
  <c r="E3610" i="22"/>
  <c r="F3610" i="22"/>
  <c r="O3610" i="22" s="1"/>
  <c r="G3610" i="22"/>
  <c r="I3610" i="22"/>
  <c r="B3611" i="22"/>
  <c r="M3555" i="22"/>
  <c r="L3556" i="22"/>
  <c r="I3556" i="22"/>
  <c r="B3557" i="22"/>
  <c r="C3556" i="22"/>
  <c r="E3556" i="22"/>
  <c r="G3556" i="22"/>
  <c r="J3555" i="22"/>
  <c r="N3555" i="22" s="1"/>
  <c r="U3555" i="22" s="1"/>
  <c r="D3555" i="22"/>
  <c r="P3555" i="22"/>
  <c r="Q3555" i="22"/>
  <c r="R3555"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D3393" i="22"/>
  <c r="J3393" i="22"/>
  <c r="P3393" i="22"/>
  <c r="Q3393" i="22"/>
  <c r="R3393" i="22"/>
  <c r="L3394" i="22"/>
  <c r="C3394" i="22"/>
  <c r="E3394" i="22"/>
  <c r="G3394" i="22"/>
  <c r="I3394" i="22"/>
  <c r="B3395" i="22"/>
  <c r="M3339" i="22"/>
  <c r="D3339" i="22"/>
  <c r="J3339" i="22"/>
  <c r="N3339" i="22" s="1"/>
  <c r="U3339" i="22" s="1"/>
  <c r="P3339" i="22"/>
  <c r="Q3339" i="22"/>
  <c r="R3339" i="22"/>
  <c r="L3340" i="22"/>
  <c r="C3340" i="22"/>
  <c r="E3340" i="22"/>
  <c r="G3340" i="22"/>
  <c r="I3340" i="22"/>
  <c r="B3341" i="22"/>
  <c r="P3285" i="22"/>
  <c r="Q3285" i="22"/>
  <c r="R3285" i="22"/>
  <c r="J3285" i="22"/>
  <c r="D3285" i="22"/>
  <c r="L3286" i="22"/>
  <c r="I3286" i="22"/>
  <c r="C3286" i="22"/>
  <c r="G3286" i="22"/>
  <c r="B3287" i="22"/>
  <c r="E3286" i="22"/>
  <c r="L3232" i="22"/>
  <c r="E3232" i="22"/>
  <c r="I3232" i="22"/>
  <c r="B3233" i="22"/>
  <c r="G3232" i="22"/>
  <c r="C3232" i="22"/>
  <c r="K3232" i="22" s="1"/>
  <c r="F3232" i="22"/>
  <c r="O3232" i="22" s="1"/>
  <c r="D3231" i="22"/>
  <c r="J3231" i="22"/>
  <c r="P3231" i="22"/>
  <c r="Q3231" i="22"/>
  <c r="R3231"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D3069" i="22"/>
  <c r="J3069" i="22"/>
  <c r="P3069" i="22"/>
  <c r="Q3069" i="22"/>
  <c r="R3069" i="22"/>
  <c r="L3070" i="22"/>
  <c r="C3070" i="22"/>
  <c r="E3070" i="22"/>
  <c r="G3070" i="22"/>
  <c r="I3070" i="22"/>
  <c r="B3071" i="22"/>
  <c r="M3015" i="22"/>
  <c r="D3015" i="22"/>
  <c r="J3015" i="22"/>
  <c r="N3015" i="22" s="1"/>
  <c r="U3015" i="22" s="1"/>
  <c r="P3015" i="22"/>
  <c r="Q3015" i="22"/>
  <c r="R3015" i="22"/>
  <c r="L3016" i="22"/>
  <c r="C3016" i="22"/>
  <c r="E3016" i="22"/>
  <c r="G3016" i="22"/>
  <c r="I3016" i="22"/>
  <c r="B3017" i="22"/>
  <c r="M2961" i="22"/>
  <c r="D2961" i="22"/>
  <c r="J2961" i="22"/>
  <c r="N2961" i="22" s="1"/>
  <c r="U2961" i="22" s="1"/>
  <c r="P2961" i="22"/>
  <c r="Q2961" i="22"/>
  <c r="R2961" i="22"/>
  <c r="L2962" i="22"/>
  <c r="C2962" i="22"/>
  <c r="E2962" i="22"/>
  <c r="G2962" i="22"/>
  <c r="I2962" i="22"/>
  <c r="B2963" i="22"/>
  <c r="M2907" i="22"/>
  <c r="D2907" i="22"/>
  <c r="J2907" i="22"/>
  <c r="N2907" i="22" s="1"/>
  <c r="U2907" i="22" s="1"/>
  <c r="P2907" i="22"/>
  <c r="Q2907" i="22"/>
  <c r="R2907" i="22"/>
  <c r="L2908" i="22"/>
  <c r="C2908" i="22"/>
  <c r="K2908" i="22" s="1"/>
  <c r="E2908" i="22"/>
  <c r="F2908" i="22"/>
  <c r="O2908" i="22" s="1"/>
  <c r="G2908" i="22"/>
  <c r="I2908" i="22"/>
  <c r="B2909" i="22"/>
  <c r="D2853" i="22"/>
  <c r="J2853" i="22"/>
  <c r="P2853" i="22"/>
  <c r="Q2853" i="22"/>
  <c r="R2853" i="22"/>
  <c r="L2854" i="22"/>
  <c r="C2854" i="22"/>
  <c r="E2854" i="22"/>
  <c r="G2854" i="22"/>
  <c r="I2854" i="22"/>
  <c r="B2855" i="22"/>
  <c r="M2799" i="22"/>
  <c r="D2799" i="22"/>
  <c r="J2799" i="22"/>
  <c r="N2799" i="22" s="1"/>
  <c r="S2799" i="22" s="1"/>
  <c r="T2799" i="22" s="1"/>
  <c r="U2799" i="22" s="1"/>
  <c r="P2799" i="22"/>
  <c r="Q2799" i="22"/>
  <c r="R2799" i="22"/>
  <c r="L2800" i="22"/>
  <c r="C2800" i="22"/>
  <c r="E2800" i="22"/>
  <c r="G2800" i="22"/>
  <c r="I2800" i="22"/>
  <c r="B2801" i="22"/>
  <c r="D2745" i="22"/>
  <c r="J2745" i="22"/>
  <c r="P2745" i="22"/>
  <c r="Q2745" i="22"/>
  <c r="R2745" i="22"/>
  <c r="L2746" i="22"/>
  <c r="C2746" i="22"/>
  <c r="K2746" i="22" s="1"/>
  <c r="E2746" i="22"/>
  <c r="F2746" i="22"/>
  <c r="O2746" i="22" s="1"/>
  <c r="G2746" i="22"/>
  <c r="I2746" i="22"/>
  <c r="B2747" i="22"/>
  <c r="J2691" i="22"/>
  <c r="D2691" i="22"/>
  <c r="P2691" i="22"/>
  <c r="Q2691" i="22"/>
  <c r="R2691" i="22"/>
  <c r="L2692" i="22"/>
  <c r="C2692" i="22"/>
  <c r="E2692" i="22"/>
  <c r="G2692" i="22"/>
  <c r="I2692" i="22"/>
  <c r="B2693" i="22"/>
  <c r="M2637" i="22"/>
  <c r="J2637" i="22"/>
  <c r="N2637" i="22" s="1"/>
  <c r="U2637" i="22" s="1"/>
  <c r="D2637" i="22"/>
  <c r="P2637" i="22"/>
  <c r="Q2637" i="22"/>
  <c r="R2637" i="22"/>
  <c r="L2638" i="22"/>
  <c r="E2638" i="22"/>
  <c r="G2638" i="22"/>
  <c r="I2638" i="22"/>
  <c r="B2639" i="22"/>
  <c r="C2638" i="22"/>
  <c r="M2583" i="22"/>
  <c r="D2583" i="22"/>
  <c r="J2583" i="22"/>
  <c r="N2583" i="22" s="1"/>
  <c r="U2583" i="22" s="1"/>
  <c r="P2583" i="22"/>
  <c r="Q2583" i="22"/>
  <c r="R2583" i="22"/>
  <c r="L2584" i="22"/>
  <c r="C2584" i="22"/>
  <c r="E2584" i="22"/>
  <c r="G2584" i="22"/>
  <c r="I2584" i="22"/>
  <c r="B2585" i="22"/>
  <c r="M2529" i="22"/>
  <c r="D2529" i="22"/>
  <c r="J2529" i="22"/>
  <c r="N2529" i="22" s="1"/>
  <c r="U2529" i="22" s="1"/>
  <c r="P2529" i="22"/>
  <c r="Q2529" i="22"/>
  <c r="R2529" i="22"/>
  <c r="L2530" i="22"/>
  <c r="C2530" i="22"/>
  <c r="E2530" i="22"/>
  <c r="G2530" i="22"/>
  <c r="I2530" i="22"/>
  <c r="B2531" i="22"/>
  <c r="M2475" i="22"/>
  <c r="D2475" i="22"/>
  <c r="J2475" i="22"/>
  <c r="N2475" i="22" s="1"/>
  <c r="U2475" i="22" s="1"/>
  <c r="P2475" i="22"/>
  <c r="Q2475" i="22"/>
  <c r="R2475" i="22"/>
  <c r="L2476" i="22"/>
  <c r="C2476" i="22"/>
  <c r="K2476" i="22" s="1"/>
  <c r="E2476" i="22"/>
  <c r="F2476" i="22"/>
  <c r="O2476" i="22" s="1"/>
  <c r="G2476" i="22"/>
  <c r="I2476" i="22"/>
  <c r="B2477" i="22"/>
  <c r="D2421" i="22"/>
  <c r="J2421" i="22"/>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P2313" i="22"/>
  <c r="Q2313" i="22"/>
  <c r="R2313" i="22"/>
  <c r="J2313" i="22"/>
  <c r="D2313" i="22"/>
  <c r="L2314" i="22"/>
  <c r="B2315" i="22"/>
  <c r="I2314" i="22"/>
  <c r="E2314" i="22"/>
  <c r="C2314" i="22"/>
  <c r="G2314" i="22"/>
  <c r="M2259" i="22"/>
  <c r="D2259" i="22"/>
  <c r="J2259" i="22"/>
  <c r="N2259" i="22" s="1"/>
  <c r="U2259" i="22" s="1"/>
  <c r="P2259" i="22"/>
  <c r="Q2259" i="22"/>
  <c r="R2259" i="22"/>
  <c r="L2260" i="22"/>
  <c r="C2260" i="22"/>
  <c r="E2260" i="22"/>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D2097" i="22"/>
  <c r="J2097" i="22"/>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E2044" i="22"/>
  <c r="G2044" i="22"/>
  <c r="I2044" i="22"/>
  <c r="B2045" i="22"/>
  <c r="M1989" i="22"/>
  <c r="D1989" i="22"/>
  <c r="J1989" i="22"/>
  <c r="N1989" i="22" s="1"/>
  <c r="U1989" i="22" s="1"/>
  <c r="P1989" i="22"/>
  <c r="Q1989" i="22"/>
  <c r="R1989" i="22"/>
  <c r="L1990" i="22"/>
  <c r="C1990" i="22"/>
  <c r="K1990" i="22" s="1"/>
  <c r="E1990" i="22"/>
  <c r="F1990" i="22"/>
  <c r="O1990" i="22" s="1"/>
  <c r="G1990" i="22"/>
  <c r="I1990" i="22"/>
  <c r="B1991"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D1773" i="22"/>
  <c r="J1773" i="22"/>
  <c r="P1773" i="22"/>
  <c r="Q1773" i="22"/>
  <c r="R1773" i="22"/>
  <c r="L1774" i="22"/>
  <c r="C1774" i="22"/>
  <c r="K1774" i="22" s="1"/>
  <c r="E1774" i="22"/>
  <c r="F1774" i="22"/>
  <c r="O1774" i="22" s="1"/>
  <c r="G1774" i="22"/>
  <c r="I1774" i="22"/>
  <c r="B1775" i="22"/>
  <c r="D1719" i="22"/>
  <c r="J1719" i="22"/>
  <c r="P1719" i="22"/>
  <c r="Q1719" i="22"/>
  <c r="R1719" i="22"/>
  <c r="L1720" i="22"/>
  <c r="C1720" i="22"/>
  <c r="E1720" i="22"/>
  <c r="G1720" i="22"/>
  <c r="I1720" i="22"/>
  <c r="B1721" i="22"/>
  <c r="M1665" i="22"/>
  <c r="D1665" i="22"/>
  <c r="J1665" i="22"/>
  <c r="N1665" i="22" s="1"/>
  <c r="U1665" i="22" s="1"/>
  <c r="P1665" i="22"/>
  <c r="Q1665" i="22"/>
  <c r="R1665" i="22"/>
  <c r="L1666" i="22"/>
  <c r="C1666" i="22"/>
  <c r="E1666" i="22"/>
  <c r="G1666" i="22"/>
  <c r="I1666" i="22"/>
  <c r="B1667"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K1504" i="22" s="1"/>
  <c r="E1504" i="22"/>
  <c r="F1504" i="22"/>
  <c r="O1504" i="22" s="1"/>
  <c r="G1504" i="22"/>
  <c r="I1504" i="22"/>
  <c r="B1505" i="22"/>
  <c r="D1449" i="22"/>
  <c r="J1449" i="22"/>
  <c r="P1449" i="22"/>
  <c r="Q1449" i="22"/>
  <c r="R1449" i="22"/>
  <c r="L1450" i="22"/>
  <c r="C1450" i="22"/>
  <c r="E1450" i="22"/>
  <c r="G1450" i="22"/>
  <c r="I1450" i="22"/>
  <c r="B1451" i="22"/>
  <c r="P1395" i="22"/>
  <c r="Q1395" i="22"/>
  <c r="R1395" i="22"/>
  <c r="D1395" i="22"/>
  <c r="J1395" i="22"/>
  <c r="L1396" i="22"/>
  <c r="C1396" i="22"/>
  <c r="E1396" i="22"/>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E1126" i="22"/>
  <c r="G1126" i="22"/>
  <c r="I1126" i="22"/>
  <c r="B1127" i="22"/>
  <c r="D1071" i="22"/>
  <c r="J1071" i="22"/>
  <c r="P1071" i="22"/>
  <c r="Q1071" i="22"/>
  <c r="R1071" i="22"/>
  <c r="L1072" i="22"/>
  <c r="C1072" i="22"/>
  <c r="E1072" i="22"/>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E748" i="22"/>
  <c r="G748" i="22"/>
  <c r="I748" i="22"/>
  <c r="B749" i="22"/>
  <c r="M693" i="22"/>
  <c r="D693" i="22"/>
  <c r="J693" i="22"/>
  <c r="N693" i="22" s="1"/>
  <c r="U693" i="22" s="1"/>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B533" i="22"/>
  <c r="I532" i="22"/>
  <c r="D477" i="22"/>
  <c r="J477" i="22"/>
  <c r="P477" i="22"/>
  <c r="Q477" i="22"/>
  <c r="R477" i="22"/>
  <c r="L478" i="22"/>
  <c r="C478" i="22"/>
  <c r="E478" i="22"/>
  <c r="G478" i="22"/>
  <c r="B479" i="22"/>
  <c r="I478" i="22"/>
  <c r="M423" i="22"/>
  <c r="D423" i="22"/>
  <c r="J423" i="22"/>
  <c r="N423" i="22" s="1"/>
  <c r="U423" i="22" s="1"/>
  <c r="P423" i="22"/>
  <c r="Q423" i="22"/>
  <c r="R423" i="22"/>
  <c r="L424" i="22"/>
  <c r="C424" i="22"/>
  <c r="E424" i="22"/>
  <c r="G424" i="22"/>
  <c r="B425" i="22"/>
  <c r="I424"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L154" i="22"/>
  <c r="C154" i="22"/>
  <c r="K154" i="22" s="1"/>
  <c r="E154" i="22"/>
  <c r="F154" i="22"/>
  <c r="O154" i="22" s="1"/>
  <c r="G154" i="22"/>
  <c r="I154" i="22"/>
  <c r="B155" i="22"/>
  <c r="D153" i="22"/>
  <c r="J153" i="22"/>
  <c r="P153" i="22"/>
  <c r="Q153" i="22"/>
  <c r="R153" i="22"/>
  <c r="M99" i="22"/>
  <c r="D99" i="22"/>
  <c r="J99" i="22"/>
  <c r="N99" i="22" s="1"/>
  <c r="U99" i="22" s="1"/>
  <c r="P99" i="22"/>
  <c r="Q99" i="22"/>
  <c r="R99" i="22"/>
  <c r="L100" i="22"/>
  <c r="G100" i="22"/>
  <c r="I100" i="22"/>
  <c r="C100" i="22"/>
  <c r="E100" i="22"/>
  <c r="B101" i="22"/>
  <c r="F36" i="18"/>
  <c r="G36" i="18"/>
  <c r="H36" i="18"/>
  <c r="C88" i="12"/>
  <c r="J37" i="17"/>
  <c r="D37" i="17"/>
  <c r="AO37" i="17"/>
  <c r="AN37" i="17"/>
  <c r="AM37" i="17"/>
  <c r="AL37" i="17"/>
  <c r="AK37" i="17"/>
  <c r="AJ37" i="17"/>
  <c r="AI37" i="17"/>
  <c r="AH37" i="17"/>
  <c r="AG37" i="17"/>
  <c r="AF37" i="17"/>
  <c r="AE37" i="17"/>
  <c r="AD37" i="17"/>
  <c r="AC37" i="17"/>
  <c r="AB37" i="17"/>
  <c r="AA37" i="17"/>
  <c r="Z37" i="17"/>
  <c r="Y37" i="17"/>
  <c r="X37" i="17"/>
  <c r="W37" i="17"/>
  <c r="P37" i="17"/>
  <c r="Q37" i="17"/>
  <c r="R37" i="17"/>
  <c r="V37" i="17"/>
  <c r="G38" i="17"/>
  <c r="L38" i="17"/>
  <c r="C38" i="17"/>
  <c r="E38" i="17"/>
  <c r="F38" i="17"/>
  <c r="C38" i="18" s="1"/>
  <c r="E38" i="18" s="1"/>
  <c r="I38" i="17"/>
  <c r="K38" i="17"/>
  <c r="B39" i="17"/>
  <c r="B38" i="18"/>
  <c r="C87" i="12"/>
  <c r="AS16" i="17"/>
  <c r="B103" i="12"/>
  <c r="I103" i="12" s="1"/>
  <c r="AR15" i="17"/>
  <c r="AQ17" i="17"/>
  <c r="AQ18" i="17"/>
  <c r="AQ19" i="17"/>
  <c r="AQ20" i="17"/>
  <c r="AQ21" i="17"/>
  <c r="AQ22" i="17"/>
  <c r="AQ23" i="17"/>
  <c r="AQ24" i="17"/>
  <c r="AQ25" i="17"/>
  <c r="AQ26" i="17"/>
  <c r="AQ27" i="17"/>
  <c r="AQ28" i="17"/>
  <c r="AQ29" i="17"/>
  <c r="AQ30" i="17"/>
  <c r="AQ31" i="17"/>
  <c r="AQ33" i="17"/>
  <c r="AQ35" i="17"/>
  <c r="AQ32" i="17"/>
  <c r="AQ34" i="17"/>
  <c r="AQ36" i="17"/>
  <c r="AQ37" i="17"/>
  <c r="M1501" i="23"/>
  <c r="N1501" i="23"/>
  <c r="AE1501" i="23" s="1"/>
  <c r="M1389" i="23"/>
  <c r="N1389" i="23"/>
  <c r="AE1389" i="23" s="1"/>
  <c r="M1221" i="23"/>
  <c r="N1221" i="23"/>
  <c r="AE1221" i="23" s="1"/>
  <c r="M1165" i="23"/>
  <c r="N1165" i="23"/>
  <c r="AE1165" i="23" s="1"/>
  <c r="M829" i="23"/>
  <c r="N829" i="23"/>
  <c r="AE829" i="23" s="1"/>
  <c r="M4532" i="22"/>
  <c r="N4532" i="22"/>
  <c r="M3662" i="22"/>
  <c r="N3662" i="22"/>
  <c r="U3662" i="22" s="1"/>
  <c r="M3554" i="22"/>
  <c r="N3554" i="22"/>
  <c r="U3554" i="22" s="1"/>
  <c r="M3068" i="22"/>
  <c r="N3068" i="22"/>
  <c r="U3068" i="22" s="1"/>
  <c r="M3014" i="22"/>
  <c r="N3014" i="22"/>
  <c r="U3014" i="22" s="1"/>
  <c r="M2960" i="22"/>
  <c r="N2960" i="22"/>
  <c r="U2960" i="22" s="1"/>
  <c r="M2690" i="22"/>
  <c r="N2690" i="22"/>
  <c r="U2690" i="22" s="1"/>
  <c r="N2636" i="22"/>
  <c r="U2636" i="22" s="1"/>
  <c r="M2636" i="22"/>
  <c r="M2582" i="22"/>
  <c r="N2582" i="22"/>
  <c r="U2582" i="22" s="1"/>
  <c r="M2258" i="22"/>
  <c r="N2258" i="22"/>
  <c r="U2258" i="22" s="1"/>
  <c r="M1934" i="22"/>
  <c r="N1934" i="22"/>
  <c r="U1934" i="22" s="1"/>
  <c r="M1880" i="22"/>
  <c r="N1880" i="22"/>
  <c r="U1880" i="22" s="1"/>
  <c r="M1286" i="22"/>
  <c r="N1286" i="22"/>
  <c r="U1286" i="22" s="1"/>
  <c r="M1232" i="22"/>
  <c r="N1232" i="22"/>
  <c r="U1232" i="22" s="1"/>
  <c r="M908" i="22"/>
  <c r="N908" i="22"/>
  <c r="U908" i="22" s="1"/>
  <c r="M584" i="22"/>
  <c r="N584" i="22"/>
  <c r="U584" i="22" s="1"/>
  <c r="M530" i="22"/>
  <c r="N530" i="22"/>
  <c r="U530" i="22" s="1"/>
  <c r="M422" i="22"/>
  <c r="N422" i="22"/>
  <c r="U422" i="22" s="1"/>
  <c r="M152" i="22"/>
  <c r="N152" i="22"/>
  <c r="U152" i="22" s="1"/>
  <c r="AE1613" i="23"/>
  <c r="AK1613" i="23"/>
  <c r="K1446" i="23"/>
  <c r="F1446" i="23"/>
  <c r="O1446" i="23" s="1"/>
  <c r="F1054" i="23"/>
  <c r="O1054" i="23" s="1"/>
  <c r="K1054" i="23"/>
  <c r="F382" i="23"/>
  <c r="O382" i="23" s="1"/>
  <c r="K382" i="23"/>
  <c r="K4695" i="22"/>
  <c r="F4695" i="22"/>
  <c r="D4641" i="22"/>
  <c r="F4641" i="22"/>
  <c r="O4641" i="22" s="1"/>
  <c r="F4071" i="22"/>
  <c r="O4071" i="22" s="1"/>
  <c r="K4071" i="22"/>
  <c r="K3393" i="22"/>
  <c r="F3393" i="22"/>
  <c r="O3393" i="22" s="1"/>
  <c r="K3285" i="22"/>
  <c r="F3285" i="22"/>
  <c r="O3285" i="22" s="1"/>
  <c r="F3231" i="22"/>
  <c r="O3231" i="22" s="1"/>
  <c r="K3231" i="22"/>
  <c r="K3069" i="22"/>
  <c r="F3069" i="22"/>
  <c r="O3069" i="22" s="1"/>
  <c r="F2853" i="22"/>
  <c r="O2853" i="22" s="1"/>
  <c r="K2853" i="22"/>
  <c r="K2745" i="22"/>
  <c r="F2745" i="22"/>
  <c r="O2745" i="22" s="1"/>
  <c r="K2691" i="22"/>
  <c r="F2691" i="22"/>
  <c r="O2691" i="22" s="1"/>
  <c r="K2421" i="22"/>
  <c r="F2421" i="22"/>
  <c r="O2421" i="22" s="1"/>
  <c r="F2313" i="22"/>
  <c r="O2313" i="22" s="1"/>
  <c r="K2313" i="22"/>
  <c r="K2097" i="22"/>
  <c r="F2097" i="22"/>
  <c r="O2097" i="22" s="1"/>
  <c r="F1773" i="22"/>
  <c r="O1773" i="22" s="1"/>
  <c r="K1773" i="22"/>
  <c r="F1719" i="22"/>
  <c r="O1719" i="22" s="1"/>
  <c r="K1719" i="22"/>
  <c r="F1449" i="22"/>
  <c r="O1449" i="22" s="1"/>
  <c r="K1449" i="22"/>
  <c r="K1395" i="22"/>
  <c r="F1395" i="22"/>
  <c r="O1395" i="22" s="1"/>
  <c r="K1071" i="22"/>
  <c r="F1071" i="22"/>
  <c r="O1071" i="22" s="1"/>
  <c r="K477" i="22"/>
  <c r="F477" i="22"/>
  <c r="O477" i="22" s="1"/>
  <c r="K153" i="22"/>
  <c r="F153" i="22"/>
  <c r="O153" i="22" s="1"/>
  <c r="K37" i="17"/>
  <c r="F37" i="17"/>
  <c r="C37" i="18" s="1"/>
  <c r="E37" i="18" s="1"/>
  <c r="K943" i="23" l="1"/>
  <c r="F943" i="23"/>
  <c r="O943" i="23" s="1"/>
  <c r="D4642" i="22"/>
  <c r="F4642" i="22"/>
  <c r="O4642" i="22" s="1"/>
  <c r="K4180" i="22"/>
  <c r="F4180" i="22"/>
  <c r="O4180" i="22" s="1"/>
  <c r="K4126" i="22"/>
  <c r="N4126" i="22" s="1"/>
  <c r="U4126" i="22" s="1"/>
  <c r="F4126" i="22"/>
  <c r="O4126" i="22" s="1"/>
  <c r="K3286" i="22"/>
  <c r="F3286" i="22"/>
  <c r="O3286" i="22" s="1"/>
  <c r="K3070" i="22"/>
  <c r="F3070" i="22"/>
  <c r="O3070" i="22" s="1"/>
  <c r="K2854" i="22"/>
  <c r="F2854" i="22"/>
  <c r="O2854" i="22" s="1"/>
  <c r="K2800" i="22"/>
  <c r="F2800" i="22"/>
  <c r="O2800" i="22" s="1"/>
  <c r="K2530" i="22"/>
  <c r="F2530" i="22"/>
  <c r="O2530" i="22" s="1"/>
  <c r="K2260" i="22"/>
  <c r="F2260" i="22"/>
  <c r="O2260" i="22" s="1"/>
  <c r="K1720" i="22"/>
  <c r="F1720" i="22"/>
  <c r="O1720" i="22" s="1"/>
  <c r="K1450" i="22"/>
  <c r="F1450" i="22"/>
  <c r="O1450" i="22" s="1"/>
  <c r="K100" i="22"/>
  <c r="F100" i="22"/>
  <c r="O100"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J1503" i="23"/>
  <c r="D1503" i="23"/>
  <c r="P1503" i="23"/>
  <c r="Q1503" i="23"/>
  <c r="R1503" i="23"/>
  <c r="L1504" i="23"/>
  <c r="I1504" i="23"/>
  <c r="E1504" i="23"/>
  <c r="C1504" i="23"/>
  <c r="G1504" i="23"/>
  <c r="B1505" i="23"/>
  <c r="M1447" i="23"/>
  <c r="L1448" i="23"/>
  <c r="I1448" i="23"/>
  <c r="E1448" i="23"/>
  <c r="G1448" i="23"/>
  <c r="B1449" i="23"/>
  <c r="C1448" i="23"/>
  <c r="J1447" i="23"/>
  <c r="N1447" i="23" s="1"/>
  <c r="AE1447" i="23" s="1"/>
  <c r="D1447" i="23"/>
  <c r="P1447" i="23"/>
  <c r="Q1447" i="23"/>
  <c r="R1447" i="23"/>
  <c r="L1392" i="23"/>
  <c r="I1392" i="23"/>
  <c r="C1392" i="23"/>
  <c r="K1392" i="23" s="1"/>
  <c r="E1392" i="23"/>
  <c r="F1392" i="23"/>
  <c r="O1392" i="23" s="1"/>
  <c r="G1392" i="23"/>
  <c r="B1393" i="23"/>
  <c r="J1391" i="23"/>
  <c r="D1391" i="23"/>
  <c r="P1391" i="23"/>
  <c r="Q1391" i="23"/>
  <c r="R1391"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L1168" i="23"/>
  <c r="I1168" i="23"/>
  <c r="E1168" i="23"/>
  <c r="C1168" i="23"/>
  <c r="K1168" i="23" s="1"/>
  <c r="F1168" i="23"/>
  <c r="O1168" i="23" s="1"/>
  <c r="G1168" i="23"/>
  <c r="B1169" i="23"/>
  <c r="J1167" i="23"/>
  <c r="N1167" i="23" s="1"/>
  <c r="AE1167" i="23" s="1"/>
  <c r="D1167" i="23"/>
  <c r="P1167" i="23"/>
  <c r="Q1167" i="23"/>
  <c r="R1167" i="23"/>
  <c r="J1111" i="23"/>
  <c r="D1111" i="23"/>
  <c r="M1111" i="23" s="1"/>
  <c r="N1111" i="23" s="1"/>
  <c r="AE1111" i="23" s="1"/>
  <c r="P1111" i="23"/>
  <c r="Q1111" i="23"/>
  <c r="R1111" i="23"/>
  <c r="L1112" i="23"/>
  <c r="I1112" i="23"/>
  <c r="C1112" i="23"/>
  <c r="K1112" i="23" s="1"/>
  <c r="E1112" i="23"/>
  <c r="F1112" i="23"/>
  <c r="O1112" i="23" s="1"/>
  <c r="G1112" i="23"/>
  <c r="B1113" i="23"/>
  <c r="L1056" i="23"/>
  <c r="I1056" i="23"/>
  <c r="C1056" i="23"/>
  <c r="K1056" i="23" s="1"/>
  <c r="E1056" i="23"/>
  <c r="F1056" i="23"/>
  <c r="O1056" i="23" s="1"/>
  <c r="G1056" i="23"/>
  <c r="B1057" i="23"/>
  <c r="J1055" i="23"/>
  <c r="D1055" i="23"/>
  <c r="P1055" i="23"/>
  <c r="Q1055" i="23"/>
  <c r="R1055" i="23"/>
  <c r="M999" i="23"/>
  <c r="J999" i="23"/>
  <c r="N999" i="23" s="1"/>
  <c r="AE999" i="23" s="1"/>
  <c r="D999" i="23"/>
  <c r="P999" i="23"/>
  <c r="Q999" i="23"/>
  <c r="R999" i="23"/>
  <c r="L1000" i="23"/>
  <c r="I1000" i="23"/>
  <c r="C1000" i="23"/>
  <c r="E1000" i="23"/>
  <c r="G1000" i="23"/>
  <c r="B1001" i="23"/>
  <c r="M943" i="23"/>
  <c r="J943" i="23"/>
  <c r="N943" i="23" s="1"/>
  <c r="AE943" i="23" s="1"/>
  <c r="D943" i="23"/>
  <c r="P943" i="23"/>
  <c r="Q943" i="23"/>
  <c r="R943" i="23"/>
  <c r="L944" i="23"/>
  <c r="I944" i="23"/>
  <c r="C944" i="23"/>
  <c r="K944" i="23" s="1"/>
  <c r="E944" i="23"/>
  <c r="F944" i="23"/>
  <c r="O944" i="23" s="1"/>
  <c r="G944" i="23"/>
  <c r="B945" i="23"/>
  <c r="J887" i="23"/>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Q719" i="23"/>
  <c r="R719" i="23"/>
  <c r="P719" i="23"/>
  <c r="L720" i="23"/>
  <c r="I720" i="23"/>
  <c r="C720" i="23"/>
  <c r="K720" i="23" s="1"/>
  <c r="E720" i="23"/>
  <c r="F720" i="23"/>
  <c r="O720" i="23" s="1"/>
  <c r="G720" i="23"/>
  <c r="B721" i="23"/>
  <c r="J663" i="23"/>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E552" i="23"/>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P4750" i="22"/>
  <c r="Q4750" i="22"/>
  <c r="R4750" i="22"/>
  <c r="J4750" i="22"/>
  <c r="D4750" i="22"/>
  <c r="E4751" i="22"/>
  <c r="G4751" i="22"/>
  <c r="I4751" i="22"/>
  <c r="B4752" i="22"/>
  <c r="C4751" i="22"/>
  <c r="K4751" i="22" s="1"/>
  <c r="F4751" i="22"/>
  <c r="L4751" i="22"/>
  <c r="T4694" i="22"/>
  <c r="U4695" i="22"/>
  <c r="S4695" i="22"/>
  <c r="T4695" i="22" s="1"/>
  <c r="D4696" i="22"/>
  <c r="J4696" i="22"/>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J4588" i="22"/>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D4234" i="22"/>
  <c r="J4234" i="22"/>
  <c r="P4234" i="22"/>
  <c r="Q4234" i="22"/>
  <c r="R4234" i="22"/>
  <c r="C4235" i="22"/>
  <c r="E4235" i="22"/>
  <c r="F4235" i="22"/>
  <c r="O4235" i="22" s="1"/>
  <c r="G4235" i="22"/>
  <c r="I4235" i="22"/>
  <c r="K4235" i="22"/>
  <c r="L4235" i="22"/>
  <c r="B4236" i="22"/>
  <c r="M4180" i="22"/>
  <c r="D4180" i="22"/>
  <c r="J4180" i="22"/>
  <c r="N4180" i="22" s="1"/>
  <c r="U4180" i="22" s="1"/>
  <c r="P4180" i="22"/>
  <c r="Q4180" i="22"/>
  <c r="R4180" i="22"/>
  <c r="L4181" i="22"/>
  <c r="C4181" i="22"/>
  <c r="K4181" i="22" s="1"/>
  <c r="E4181" i="22"/>
  <c r="F4181" i="22"/>
  <c r="O4181" i="22" s="1"/>
  <c r="G4181" i="22"/>
  <c r="I4181" i="22"/>
  <c r="B4182" i="22"/>
  <c r="D4126" i="22"/>
  <c r="J4126" i="22"/>
  <c r="P4126" i="22"/>
  <c r="Q4126" i="22"/>
  <c r="R4126" i="22"/>
  <c r="M4126" i="22"/>
  <c r="C4127" i="22"/>
  <c r="E4127" i="22"/>
  <c r="F4127" i="22"/>
  <c r="O4127" i="22" s="1"/>
  <c r="G4127" i="22"/>
  <c r="I4127" i="22"/>
  <c r="K4127" i="22"/>
  <c r="L4127" i="22"/>
  <c r="B4128" i="22"/>
  <c r="P4072" i="22"/>
  <c r="Q4072" i="22"/>
  <c r="R4072" i="22"/>
  <c r="M4072" i="22"/>
  <c r="J4072" i="22"/>
  <c r="N4072" i="22" s="1"/>
  <c r="U4072" i="22" s="1"/>
  <c r="D4072" i="22"/>
  <c r="L4073" i="22"/>
  <c r="B4074" i="22"/>
  <c r="C4073" i="22"/>
  <c r="E4073" i="22"/>
  <c r="F4073" i="22"/>
  <c r="O4073" i="22" s="1"/>
  <c r="G4073" i="22"/>
  <c r="I4073" i="22"/>
  <c r="K4073"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E3719" i="22"/>
  <c r="G3719" i="22"/>
  <c r="I3719" i="22"/>
  <c r="B3720" i="22"/>
  <c r="M3664" i="22"/>
  <c r="D3664" i="22"/>
  <c r="J3664" i="22"/>
  <c r="N3664" i="22" s="1"/>
  <c r="U3664" i="22" s="1"/>
  <c r="P3664" i="22"/>
  <c r="Q3664" i="22"/>
  <c r="R3664" i="22"/>
  <c r="L3665" i="22"/>
  <c r="C3665" i="22"/>
  <c r="E3665" i="22"/>
  <c r="G3665" i="22"/>
  <c r="I3665" i="22"/>
  <c r="B3666" i="22"/>
  <c r="M3610" i="22"/>
  <c r="D3610" i="22"/>
  <c r="J3610" i="22"/>
  <c r="N3610" i="22" s="1"/>
  <c r="U3610" i="22" s="1"/>
  <c r="P3610" i="22"/>
  <c r="Q3610" i="22"/>
  <c r="R3610" i="22"/>
  <c r="L3611" i="22"/>
  <c r="C3611" i="22"/>
  <c r="K3611" i="22" s="1"/>
  <c r="E3611" i="22"/>
  <c r="F3611" i="22"/>
  <c r="O3611" i="22" s="1"/>
  <c r="G3611" i="22"/>
  <c r="I3611" i="22"/>
  <c r="B3612" i="22"/>
  <c r="L3557" i="22"/>
  <c r="C3557" i="22"/>
  <c r="K3557" i="22" s="1"/>
  <c r="E3557" i="22"/>
  <c r="F3557" i="22"/>
  <c r="O3557" i="22" s="1"/>
  <c r="G3557" i="22"/>
  <c r="I3557" i="22"/>
  <c r="B3558" i="22"/>
  <c r="J3556" i="22"/>
  <c r="D3556" i="22"/>
  <c r="P3556" i="22"/>
  <c r="Q3556" i="22"/>
  <c r="R3556"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D3394" i="22"/>
  <c r="J3394" i="22"/>
  <c r="P3394" i="22"/>
  <c r="Q3394" i="22"/>
  <c r="R3394" i="22"/>
  <c r="L3395" i="22"/>
  <c r="C3395" i="22"/>
  <c r="K3395" i="22" s="1"/>
  <c r="E3395" i="22"/>
  <c r="F3395" i="22"/>
  <c r="O3395" i="22" s="1"/>
  <c r="G3395" i="22"/>
  <c r="I3395" i="22"/>
  <c r="B3396" i="22"/>
  <c r="D3340" i="22"/>
  <c r="J3340" i="22"/>
  <c r="P3340" i="22"/>
  <c r="Q3340" i="22"/>
  <c r="R3340" i="22"/>
  <c r="L3341" i="22"/>
  <c r="C3341" i="22"/>
  <c r="E3341" i="22"/>
  <c r="G3341" i="22"/>
  <c r="I3341" i="22"/>
  <c r="B3342" i="22"/>
  <c r="M3286" i="22"/>
  <c r="J3286" i="22"/>
  <c r="N3286" i="22" s="1"/>
  <c r="U3286" i="22" s="1"/>
  <c r="D3286" i="22"/>
  <c r="P3286" i="22"/>
  <c r="Q3286" i="22"/>
  <c r="R3286" i="22"/>
  <c r="L3287" i="22"/>
  <c r="E3287" i="22"/>
  <c r="I3287" i="22"/>
  <c r="B3288" i="22"/>
  <c r="C3287" i="22"/>
  <c r="G3287" i="22"/>
  <c r="M3232" i="22"/>
  <c r="L3233" i="22"/>
  <c r="B3234" i="22"/>
  <c r="I3233" i="22"/>
  <c r="G3233" i="22"/>
  <c r="E3233" i="22"/>
  <c r="C3233" i="22"/>
  <c r="P3232" i="22"/>
  <c r="Q3232" i="22"/>
  <c r="R3232" i="22"/>
  <c r="D3232" i="22"/>
  <c r="J3232" i="22"/>
  <c r="N3232" i="22" s="1"/>
  <c r="U3232" i="22" s="1"/>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D3016" i="22"/>
  <c r="J3016" i="22"/>
  <c r="P3016" i="22"/>
  <c r="Q3016" i="22"/>
  <c r="R3016" i="22"/>
  <c r="L3017" i="22"/>
  <c r="C3017" i="22"/>
  <c r="K3017" i="22" s="1"/>
  <c r="E3017" i="22"/>
  <c r="F3017" i="22"/>
  <c r="O3017" i="22" s="1"/>
  <c r="G3017" i="22"/>
  <c r="I3017" i="22"/>
  <c r="B3018" i="22"/>
  <c r="D2962" i="22"/>
  <c r="J2962" i="22"/>
  <c r="P2962" i="22"/>
  <c r="Q2962" i="22"/>
  <c r="R2962" i="22"/>
  <c r="L2963" i="22"/>
  <c r="C2963" i="22"/>
  <c r="E2963" i="22"/>
  <c r="G2963" i="22"/>
  <c r="I2963" i="22"/>
  <c r="B2964" i="22"/>
  <c r="M2908" i="22"/>
  <c r="D2908" i="22"/>
  <c r="J2908" i="22"/>
  <c r="N2908" i="22" s="1"/>
  <c r="U2908" i="22" s="1"/>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M2800" i="22" s="1"/>
  <c r="N2800" i="22" s="1"/>
  <c r="S2800" i="22" s="1"/>
  <c r="T2800" i="22" s="1"/>
  <c r="U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D2692" i="22"/>
  <c r="J2692" i="22"/>
  <c r="P2692" i="22"/>
  <c r="Q2692" i="22"/>
  <c r="R2692" i="22"/>
  <c r="L2693" i="22"/>
  <c r="C2693" i="22"/>
  <c r="K2693" i="22" s="1"/>
  <c r="E2693" i="22"/>
  <c r="G2693" i="22"/>
  <c r="I2693" i="22"/>
  <c r="F2693" i="22"/>
  <c r="O2693" i="22" s="1"/>
  <c r="B2694" i="22"/>
  <c r="P2638" i="22"/>
  <c r="Q2638" i="22"/>
  <c r="R2638" i="22"/>
  <c r="L2639" i="22"/>
  <c r="G2639" i="22"/>
  <c r="B2640" i="22"/>
  <c r="C2639" i="22"/>
  <c r="E2639" i="22"/>
  <c r="I2639" i="22"/>
  <c r="J2638" i="22"/>
  <c r="D2638" i="22"/>
  <c r="D2584" i="22"/>
  <c r="J2584" i="22"/>
  <c r="P2584" i="22"/>
  <c r="Q2584" i="22"/>
  <c r="R2584" i="22"/>
  <c r="L2585" i="22"/>
  <c r="B2586" i="22"/>
  <c r="E2585" i="22"/>
  <c r="C2585" i="22"/>
  <c r="G2585" i="22"/>
  <c r="I2585" i="22"/>
  <c r="D2530" i="22"/>
  <c r="M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L2315" i="22"/>
  <c r="G2315" i="22"/>
  <c r="C2315" i="22"/>
  <c r="E2315" i="22"/>
  <c r="I2315" i="22"/>
  <c r="B2316" i="22"/>
  <c r="D2314" i="22"/>
  <c r="J2314" i="22"/>
  <c r="P2314" i="22"/>
  <c r="Q2314" i="22"/>
  <c r="R2314"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D2044" i="22"/>
  <c r="J2044" i="22"/>
  <c r="P2044" i="22"/>
  <c r="Q2044" i="22"/>
  <c r="R2044" i="22"/>
  <c r="L2045" i="22"/>
  <c r="C2045" i="22"/>
  <c r="E2045" i="22"/>
  <c r="G2045" i="22"/>
  <c r="I2045" i="22"/>
  <c r="B2046" i="22"/>
  <c r="M1990" i="22"/>
  <c r="D1990" i="22"/>
  <c r="J1990" i="22"/>
  <c r="N1990" i="22" s="1"/>
  <c r="U1990" i="22" s="1"/>
  <c r="P1990" i="22"/>
  <c r="Q1990" i="22"/>
  <c r="R1990" i="22"/>
  <c r="L1991" i="22"/>
  <c r="C1991" i="22"/>
  <c r="E1991" i="22"/>
  <c r="G1991" i="22"/>
  <c r="I1991" i="22"/>
  <c r="B1992" i="22"/>
  <c r="M1936" i="22"/>
  <c r="D1936" i="22"/>
  <c r="J1936" i="22"/>
  <c r="N1936" i="22" s="1"/>
  <c r="U1936" i="22" s="1"/>
  <c r="P1936" i="22"/>
  <c r="Q1936" i="22"/>
  <c r="R1936" i="22"/>
  <c r="L1937" i="22"/>
  <c r="C1937" i="22"/>
  <c r="E1937" i="22"/>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K1721" i="22" s="1"/>
  <c r="E1721" i="22"/>
  <c r="F1721" i="22"/>
  <c r="O1721" i="22" s="1"/>
  <c r="G1721" i="22"/>
  <c r="I1721" i="22"/>
  <c r="B1722" i="22"/>
  <c r="D1666" i="22"/>
  <c r="J1666" i="22"/>
  <c r="P1666" i="22"/>
  <c r="Q1666" i="22"/>
  <c r="R1666" i="22"/>
  <c r="L1667" i="22"/>
  <c r="C1667" i="22"/>
  <c r="E1667" i="22"/>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E1505" i="22"/>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J1396" i="22"/>
  <c r="P1396" i="22"/>
  <c r="Q1396" i="22"/>
  <c r="R1396" i="22"/>
  <c r="L1397" i="22"/>
  <c r="G1397" i="22"/>
  <c r="I1397" i="22"/>
  <c r="B1398" i="22"/>
  <c r="C1397" i="22"/>
  <c r="K1397" i="22" s="1"/>
  <c r="E1397" i="22"/>
  <c r="F1397" i="22"/>
  <c r="O1397" i="22" s="1"/>
  <c r="M1342" i="22"/>
  <c r="D1342" i="22"/>
  <c r="J1342" i="22"/>
  <c r="N1342" i="22" s="1"/>
  <c r="U1342" i="22" s="1"/>
  <c r="P1342" i="22"/>
  <c r="Q1342" i="22"/>
  <c r="R1342" i="22"/>
  <c r="L1343" i="22"/>
  <c r="G1343" i="22"/>
  <c r="I1343" i="22"/>
  <c r="B1344" i="22"/>
  <c r="C1343" i="22"/>
  <c r="E1343" i="22"/>
  <c r="M1288" i="22"/>
  <c r="D1288" i="22"/>
  <c r="J1288" i="22"/>
  <c r="N1288" i="22" s="1"/>
  <c r="U1288" i="22" s="1"/>
  <c r="P1288" i="22"/>
  <c r="Q1288" i="22"/>
  <c r="R1288" i="22"/>
  <c r="L1289" i="22"/>
  <c r="C1289" i="22"/>
  <c r="E1289" i="22"/>
  <c r="G1289" i="22"/>
  <c r="I1289" i="22"/>
  <c r="B1290" i="22"/>
  <c r="D1234" i="22"/>
  <c r="M1234" i="22" s="1"/>
  <c r="J1234" i="22"/>
  <c r="P1234" i="22"/>
  <c r="Q1234" i="22"/>
  <c r="R1234" i="22"/>
  <c r="L1235" i="22"/>
  <c r="C1235" i="22"/>
  <c r="E1235" i="22"/>
  <c r="G1235" i="22"/>
  <c r="I1235" i="22"/>
  <c r="B1236" i="22"/>
  <c r="M1180" i="22"/>
  <c r="D1180" i="22"/>
  <c r="J1180" i="22"/>
  <c r="N1180" i="22" s="1"/>
  <c r="U1180" i="22" s="1"/>
  <c r="P1180" i="22"/>
  <c r="Q1180" i="22"/>
  <c r="R1180" i="22"/>
  <c r="L1181" i="22"/>
  <c r="C1181" i="22"/>
  <c r="K1181" i="22" s="1"/>
  <c r="E1181" i="22"/>
  <c r="F1181" i="22"/>
  <c r="O1181" i="22" s="1"/>
  <c r="G1181" i="22"/>
  <c r="I1181" i="22"/>
  <c r="B1182" i="22"/>
  <c r="D1126" i="22"/>
  <c r="J1126" i="22"/>
  <c r="P1126" i="22"/>
  <c r="Q1126" i="22"/>
  <c r="R1126" i="22"/>
  <c r="L1127" i="22"/>
  <c r="C1127" i="22"/>
  <c r="K1127" i="22" s="1"/>
  <c r="E1127" i="22"/>
  <c r="F1127" i="22"/>
  <c r="O1127" i="22" s="1"/>
  <c r="G1127" i="22"/>
  <c r="I1127" i="22"/>
  <c r="B1128" i="22"/>
  <c r="D1072" i="22"/>
  <c r="J1072" i="22"/>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E857" i="22"/>
  <c r="G857" i="22"/>
  <c r="I857" i="22"/>
  <c r="B858" i="22"/>
  <c r="M802" i="22"/>
  <c r="D802" i="22"/>
  <c r="J802" i="22"/>
  <c r="N802" i="22" s="1"/>
  <c r="U802" i="22" s="1"/>
  <c r="P802" i="22"/>
  <c r="Q802" i="22"/>
  <c r="R802" i="22"/>
  <c r="L803" i="22"/>
  <c r="C803" i="22"/>
  <c r="E803" i="22"/>
  <c r="G803" i="22"/>
  <c r="I803" i="22"/>
  <c r="B804" i="22"/>
  <c r="D748" i="22"/>
  <c r="J748" i="22"/>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K641" i="22" s="1"/>
  <c r="E641" i="22"/>
  <c r="F641" i="22"/>
  <c r="O641" i="22" s="1"/>
  <c r="G641" i="22"/>
  <c r="I641" i="22"/>
  <c r="B642" i="22"/>
  <c r="D586" i="22"/>
  <c r="M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B534" i="22"/>
  <c r="I533" i="22"/>
  <c r="D478" i="22"/>
  <c r="J478" i="22"/>
  <c r="P478" i="22"/>
  <c r="Q478" i="22"/>
  <c r="R478" i="22"/>
  <c r="L479" i="22"/>
  <c r="G479" i="22"/>
  <c r="B480" i="22"/>
  <c r="E479" i="22"/>
  <c r="I479" i="22"/>
  <c r="C479" i="22"/>
  <c r="D424" i="22"/>
  <c r="J424" i="22"/>
  <c r="P424" i="22"/>
  <c r="Q424" i="22"/>
  <c r="R424" i="22"/>
  <c r="L425" i="22"/>
  <c r="C425" i="22"/>
  <c r="E425" i="22"/>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E209" i="22"/>
  <c r="G209" i="22"/>
  <c r="I209" i="22"/>
  <c r="B210" i="22"/>
  <c r="M154" i="22"/>
  <c r="D154" i="22"/>
  <c r="J154" i="22"/>
  <c r="N154" i="22" s="1"/>
  <c r="U154" i="22" s="1"/>
  <c r="P154" i="22"/>
  <c r="Q154" i="22"/>
  <c r="R154" i="22"/>
  <c r="L155" i="22"/>
  <c r="G155" i="22"/>
  <c r="I155" i="22"/>
  <c r="B156" i="22"/>
  <c r="C155" i="22"/>
  <c r="K155" i="22" s="1"/>
  <c r="E155" i="22"/>
  <c r="F155" i="22"/>
  <c r="O155" i="22" s="1"/>
  <c r="M100" i="22"/>
  <c r="P100" i="22"/>
  <c r="Q100" i="22"/>
  <c r="R100" i="22"/>
  <c r="D100" i="22"/>
  <c r="J100" i="22"/>
  <c r="L101" i="22"/>
  <c r="G101" i="22"/>
  <c r="C101" i="22"/>
  <c r="E101" i="22"/>
  <c r="B102" i="22"/>
  <c r="I101" i="22"/>
  <c r="G88"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D38" i="17"/>
  <c r="J38" i="17"/>
  <c r="E90" i="12"/>
  <c r="O38" i="17"/>
  <c r="M38" i="17"/>
  <c r="N38" i="17"/>
  <c r="U38" i="17" s="1"/>
  <c r="E39" i="17"/>
  <c r="L39" i="17"/>
  <c r="C39" i="17"/>
  <c r="F39" i="17"/>
  <c r="C39" i="18" s="1"/>
  <c r="E39" i="18" s="1"/>
  <c r="G39" i="17"/>
  <c r="I39" i="17"/>
  <c r="K39" i="17"/>
  <c r="B40" i="17"/>
  <c r="B39" i="18"/>
  <c r="G87" i="12"/>
  <c r="AT16" i="17"/>
  <c r="B104" i="12"/>
  <c r="I104" i="12" s="1"/>
  <c r="AS15" i="17"/>
  <c r="AR17" i="17"/>
  <c r="AR18" i="17"/>
  <c r="AR19" i="17"/>
  <c r="AR20" i="17"/>
  <c r="AR21" i="17"/>
  <c r="AR22" i="17"/>
  <c r="AR23" i="17"/>
  <c r="AR24" i="17"/>
  <c r="AR25" i="17"/>
  <c r="AR26" i="17"/>
  <c r="AR27" i="17"/>
  <c r="AR28" i="17"/>
  <c r="AR29" i="17"/>
  <c r="AR30" i="17"/>
  <c r="AR31" i="17"/>
  <c r="AR32" i="17"/>
  <c r="AR36" i="17"/>
  <c r="AR33" i="17"/>
  <c r="AR34" i="17"/>
  <c r="AR35" i="17"/>
  <c r="AR37" i="17"/>
  <c r="AR38" i="17"/>
  <c r="M1446" i="23"/>
  <c r="N1446" i="23"/>
  <c r="AE1446" i="23" s="1"/>
  <c r="M1054" i="23"/>
  <c r="N1054" i="23"/>
  <c r="AE1054" i="23" s="1"/>
  <c r="M382" i="23"/>
  <c r="N382" i="23"/>
  <c r="AE382" i="23" s="1"/>
  <c r="M4695" i="22"/>
  <c r="N4695" i="22"/>
  <c r="M4071" i="22"/>
  <c r="N4071" i="22"/>
  <c r="U4071" i="22" s="1"/>
  <c r="M3393" i="22"/>
  <c r="N3393" i="22"/>
  <c r="U3393" i="22" s="1"/>
  <c r="M3285" i="22"/>
  <c r="N3285" i="22"/>
  <c r="U3285" i="22" s="1"/>
  <c r="N3231" i="22"/>
  <c r="U3231" i="22" s="1"/>
  <c r="M3231" i="22"/>
  <c r="M3069" i="22"/>
  <c r="N3069" i="22"/>
  <c r="U3069" i="22" s="1"/>
  <c r="M2853" i="22"/>
  <c r="N2853" i="22"/>
  <c r="U2853" i="22" s="1"/>
  <c r="M2745" i="22"/>
  <c r="N2745" i="22"/>
  <c r="U2745" i="22" s="1"/>
  <c r="M2691" i="22"/>
  <c r="N2691" i="22"/>
  <c r="U2691" i="22" s="1"/>
  <c r="M2421" i="22"/>
  <c r="N2421" i="22"/>
  <c r="U2421" i="22" s="1"/>
  <c r="M2313" i="22"/>
  <c r="N2313" i="22"/>
  <c r="U2313" i="22" s="1"/>
  <c r="M2097" i="22"/>
  <c r="N2097" i="22"/>
  <c r="U2097" i="22" s="1"/>
  <c r="M1773" i="22"/>
  <c r="N1773" i="22"/>
  <c r="U1773" i="22" s="1"/>
  <c r="M1719" i="22"/>
  <c r="N1719" i="22"/>
  <c r="U1719" i="22" s="1"/>
  <c r="M1449" i="22"/>
  <c r="N1449" i="22"/>
  <c r="U1449" i="22" s="1"/>
  <c r="M1395" i="22"/>
  <c r="N1395" i="22"/>
  <c r="U1395" i="22" s="1"/>
  <c r="M1071" i="22"/>
  <c r="N1071" i="22"/>
  <c r="U1071" i="22" s="1"/>
  <c r="M477" i="22"/>
  <c r="N477" i="22"/>
  <c r="U477" i="22" s="1"/>
  <c r="M153" i="22"/>
  <c r="N153" i="22"/>
  <c r="U153" i="22" s="1"/>
  <c r="N37" i="17"/>
  <c r="U37" i="17" s="1"/>
  <c r="M37" i="17"/>
  <c r="E89" i="12"/>
  <c r="O37" i="17"/>
  <c r="AE1614" i="23"/>
  <c r="AK1614" i="23"/>
  <c r="F1503" i="23"/>
  <c r="O1503" i="23" s="1"/>
  <c r="K1503" i="23"/>
  <c r="F1391" i="23"/>
  <c r="O1391" i="23" s="1"/>
  <c r="K1391" i="23"/>
  <c r="F1055" i="23"/>
  <c r="O1055" i="23" s="1"/>
  <c r="K1055" i="23"/>
  <c r="K887" i="23"/>
  <c r="F887" i="23"/>
  <c r="O887" i="23" s="1"/>
  <c r="F663" i="23"/>
  <c r="O663" i="23" s="1"/>
  <c r="K663" i="23"/>
  <c r="K4750" i="22"/>
  <c r="F4750" i="22"/>
  <c r="K4696" i="22"/>
  <c r="F4696" i="22"/>
  <c r="K4588" i="22"/>
  <c r="F4588" i="22"/>
  <c r="K4234" i="22"/>
  <c r="F4234" i="22"/>
  <c r="O4234" i="22" s="1"/>
  <c r="K3556" i="22"/>
  <c r="F3556" i="22"/>
  <c r="O3556" i="22" s="1"/>
  <c r="F3394" i="22"/>
  <c r="O3394" i="22" s="1"/>
  <c r="K3394" i="22"/>
  <c r="F3340" i="22"/>
  <c r="O3340" i="22" s="1"/>
  <c r="K3340" i="22"/>
  <c r="K3016" i="22"/>
  <c r="F3016" i="22"/>
  <c r="O3016" i="22" s="1"/>
  <c r="K2962" i="22"/>
  <c r="F2962" i="22"/>
  <c r="O2962" i="22" s="1"/>
  <c r="K2692" i="22"/>
  <c r="F2692" i="22"/>
  <c r="O2692" i="22" s="1"/>
  <c r="F2638" i="22"/>
  <c r="O2638" i="22" s="1"/>
  <c r="K2638" i="22"/>
  <c r="K2584" i="22"/>
  <c r="F2584" i="22"/>
  <c r="O2584" i="22" s="1"/>
  <c r="F2314" i="22"/>
  <c r="O2314" i="22" s="1"/>
  <c r="K2314" i="22"/>
  <c r="F2044" i="22"/>
  <c r="O2044" i="22" s="1"/>
  <c r="K2044" i="22"/>
  <c r="K1666" i="22"/>
  <c r="F1666" i="22"/>
  <c r="O1666" i="22" s="1"/>
  <c r="K1396" i="22"/>
  <c r="F1396" i="22"/>
  <c r="O1396" i="22" s="1"/>
  <c r="F1126" i="22"/>
  <c r="O1126" i="22" s="1"/>
  <c r="K1126" i="22"/>
  <c r="F1072" i="22"/>
  <c r="O1072" i="22" s="1"/>
  <c r="K1072" i="22"/>
  <c r="K748" i="22"/>
  <c r="F748" i="22"/>
  <c r="O748" i="22" s="1"/>
  <c r="K478" i="22"/>
  <c r="F478" i="22"/>
  <c r="O478" i="22" s="1"/>
  <c r="F424" i="22"/>
  <c r="O424" i="22" s="1"/>
  <c r="K424" i="22"/>
  <c r="F37" i="18"/>
  <c r="G37" i="18"/>
  <c r="H37" i="18"/>
  <c r="AQ38" i="17"/>
  <c r="N439" i="23" l="1"/>
  <c r="AE439" i="23" s="1"/>
  <c r="N719" i="23"/>
  <c r="AE719" i="23" s="1"/>
  <c r="N2530" i="22"/>
  <c r="U2530" i="22" s="1"/>
  <c r="N3178" i="22"/>
  <c r="U3178" i="22" s="1"/>
  <c r="N1882" i="22"/>
  <c r="U1882" i="22" s="1"/>
  <c r="N1234" i="22"/>
  <c r="U1234" i="22" s="1"/>
  <c r="N586" i="22"/>
  <c r="U586" i="22" s="1"/>
  <c r="N100" i="22"/>
  <c r="U100" i="22" s="1"/>
  <c r="K3287" i="22"/>
  <c r="M3287" i="22" s="1"/>
  <c r="F3287" i="22"/>
  <c r="O3287" i="22" s="1"/>
  <c r="K2585" i="22"/>
  <c r="F2585" i="22"/>
  <c r="O2585" i="22" s="1"/>
  <c r="K2045" i="22"/>
  <c r="F2045" i="22"/>
  <c r="O2045" i="22" s="1"/>
  <c r="K1505" i="22"/>
  <c r="F1505" i="22"/>
  <c r="O1505" i="22" s="1"/>
  <c r="K425" i="22"/>
  <c r="F425" i="22"/>
  <c r="O425"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E1505" i="23"/>
  <c r="G1505" i="23"/>
  <c r="B1506" i="23"/>
  <c r="P1448" i="23"/>
  <c r="Q1448" i="23"/>
  <c r="R1448" i="23"/>
  <c r="L1449" i="23"/>
  <c r="I1449" i="23"/>
  <c r="B1450" i="23"/>
  <c r="C1449" i="23"/>
  <c r="E1449" i="23"/>
  <c r="G1449" i="23"/>
  <c r="J1448" i="23"/>
  <c r="D1448" i="23"/>
  <c r="M1392" i="23"/>
  <c r="J1392" i="23"/>
  <c r="N1392" i="23" s="1"/>
  <c r="AE1392" i="23" s="1"/>
  <c r="D1392" i="23"/>
  <c r="P1392" i="23"/>
  <c r="Q1392" i="23"/>
  <c r="R1392" i="23"/>
  <c r="L1393" i="23"/>
  <c r="I1393" i="23"/>
  <c r="E1393" i="23"/>
  <c r="G1393" i="23"/>
  <c r="B1394" i="23"/>
  <c r="C1393"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E1225" i="23"/>
  <c r="G1225" i="23"/>
  <c r="B1226" i="23"/>
  <c r="J1168" i="23"/>
  <c r="D1168" i="23"/>
  <c r="M1168" i="23" s="1"/>
  <c r="P1168" i="23"/>
  <c r="Q1168" i="23"/>
  <c r="R1168" i="23"/>
  <c r="L1169" i="23"/>
  <c r="I1169" i="23"/>
  <c r="G1169" i="23"/>
  <c r="B1170" i="23"/>
  <c r="C1169" i="23"/>
  <c r="E1169" i="23"/>
  <c r="M1112" i="23"/>
  <c r="J1112" i="23"/>
  <c r="N1112" i="23" s="1"/>
  <c r="AE1112" i="23" s="1"/>
  <c r="D1112" i="23"/>
  <c r="P1112" i="23"/>
  <c r="Q1112" i="23"/>
  <c r="R1112" i="23"/>
  <c r="L1113" i="23"/>
  <c r="I1113" i="23"/>
  <c r="B1114" i="23"/>
  <c r="C1113" i="23"/>
  <c r="K1113" i="23" s="1"/>
  <c r="E1113" i="23"/>
  <c r="F1113" i="23"/>
  <c r="O1113" i="23" s="1"/>
  <c r="G1113" i="23"/>
  <c r="M1056" i="23"/>
  <c r="J1056" i="23"/>
  <c r="N1056" i="23" s="1"/>
  <c r="AE1056" i="23" s="1"/>
  <c r="D1056" i="23"/>
  <c r="P1056" i="23"/>
  <c r="Q1056" i="23"/>
  <c r="R1056" i="23"/>
  <c r="L1057" i="23"/>
  <c r="I1057" i="23"/>
  <c r="E1057" i="23"/>
  <c r="B1058" i="23"/>
  <c r="C1057" i="23"/>
  <c r="G1057" i="23"/>
  <c r="J1000" i="23"/>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J552" i="23"/>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P4751" i="22"/>
  <c r="Q4751" i="22"/>
  <c r="R4751" i="22"/>
  <c r="M4751" i="22"/>
  <c r="C4752" i="22"/>
  <c r="E4752" i="22"/>
  <c r="F4752" i="22"/>
  <c r="G4752" i="22"/>
  <c r="L4752" i="22"/>
  <c r="I4752" i="22"/>
  <c r="K4752" i="22"/>
  <c r="B4753" i="22"/>
  <c r="D4751" i="22"/>
  <c r="J4751" i="22"/>
  <c r="N4751" i="22" s="1"/>
  <c r="U4696" i="22"/>
  <c r="S4696" i="22"/>
  <c r="M4697" i="22"/>
  <c r="D4697" i="22"/>
  <c r="J4697" i="22"/>
  <c r="N4697" i="22" s="1"/>
  <c r="P4697" i="22"/>
  <c r="Q4697" i="22"/>
  <c r="R4697" i="22"/>
  <c r="L4698" i="22"/>
  <c r="C4698" i="22"/>
  <c r="K4698" i="22" s="1"/>
  <c r="E4698" i="22"/>
  <c r="F4698" i="22"/>
  <c r="G4698" i="22"/>
  <c r="I4698" i="22"/>
  <c r="B4699" i="22"/>
  <c r="P4643" i="22"/>
  <c r="Q4643" i="22"/>
  <c r="R4643" i="22"/>
  <c r="C4644" i="22"/>
  <c r="E4644" i="22"/>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D4235" i="22"/>
  <c r="J4235" i="22"/>
  <c r="N4235" i="22" s="1"/>
  <c r="U4235" i="22" s="1"/>
  <c r="P4235" i="22"/>
  <c r="Q4235" i="22"/>
  <c r="R4235" i="22"/>
  <c r="M4235" i="22"/>
  <c r="C4236" i="22"/>
  <c r="E4236" i="22"/>
  <c r="F4236" i="22"/>
  <c r="O4236" i="22" s="1"/>
  <c r="G4236" i="22"/>
  <c r="I4236" i="22"/>
  <c r="K4236" i="22"/>
  <c r="L4236" i="22"/>
  <c r="B4237" i="22"/>
  <c r="M4181" i="22"/>
  <c r="D4181" i="22"/>
  <c r="J4181" i="22"/>
  <c r="N4181" i="22" s="1"/>
  <c r="U4181" i="22" s="1"/>
  <c r="P4181" i="22"/>
  <c r="Q4181" i="22"/>
  <c r="R4181" i="22"/>
  <c r="L4182" i="22"/>
  <c r="C4182" i="22"/>
  <c r="K4182" i="22" s="1"/>
  <c r="E4182" i="22"/>
  <c r="F4182" i="22"/>
  <c r="O4182" i="22" s="1"/>
  <c r="G4182" i="22"/>
  <c r="I4182" i="22"/>
  <c r="B4183" i="22"/>
  <c r="D4127" i="22"/>
  <c r="J4127" i="22"/>
  <c r="N4127" i="22" s="1"/>
  <c r="U4127" i="22" s="1"/>
  <c r="P4127" i="22"/>
  <c r="Q4127" i="22"/>
  <c r="R4127" i="22"/>
  <c r="M4127" i="22"/>
  <c r="C4128" i="22"/>
  <c r="E4128" i="22"/>
  <c r="F4128" i="22"/>
  <c r="O4128" i="22" s="1"/>
  <c r="G4128" i="22"/>
  <c r="I4128" i="22"/>
  <c r="K4128" i="22"/>
  <c r="L4128" i="22"/>
  <c r="B4129" i="22"/>
  <c r="I4074" i="22"/>
  <c r="B4075" i="22"/>
  <c r="C4074" i="22"/>
  <c r="E4074" i="22"/>
  <c r="G4074" i="22"/>
  <c r="L4074" i="22"/>
  <c r="D4073" i="22"/>
  <c r="J4073" i="22"/>
  <c r="P4073" i="22"/>
  <c r="Q4073" i="22"/>
  <c r="R4073" i="22"/>
  <c r="M4073" i="22"/>
  <c r="N4073" i="22"/>
  <c r="U4073" i="22" s="1"/>
  <c r="M3773" i="22"/>
  <c r="D3773" i="22"/>
  <c r="J3773" i="22"/>
  <c r="N3773" i="22" s="1"/>
  <c r="U3773" i="22" s="1"/>
  <c r="P3773" i="22"/>
  <c r="Q3773" i="22"/>
  <c r="R3773" i="22"/>
  <c r="L3774" i="22"/>
  <c r="C3774" i="22"/>
  <c r="K3774" i="22" s="1"/>
  <c r="E3774" i="22"/>
  <c r="F3774" i="22"/>
  <c r="O3774" i="22" s="1"/>
  <c r="G3774" i="22"/>
  <c r="I3774" i="22"/>
  <c r="B3775" i="22"/>
  <c r="D3719" i="22"/>
  <c r="J3719" i="22"/>
  <c r="P3719" i="22"/>
  <c r="Q3719" i="22"/>
  <c r="R3719" i="22"/>
  <c r="L3720" i="22"/>
  <c r="C3720" i="22"/>
  <c r="E3720" i="22"/>
  <c r="G3720" i="22"/>
  <c r="I3720" i="22"/>
  <c r="B3721" i="22"/>
  <c r="D3665" i="22"/>
  <c r="J3665" i="22"/>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E3612" i="22"/>
  <c r="G3612" i="22"/>
  <c r="I3612" i="22"/>
  <c r="B3613" i="22"/>
  <c r="M3557" i="22"/>
  <c r="D3557" i="22"/>
  <c r="J3557" i="22"/>
  <c r="N3557" i="22" s="1"/>
  <c r="U3557" i="22" s="1"/>
  <c r="P3557" i="22"/>
  <c r="Q3557" i="22"/>
  <c r="R3557" i="22"/>
  <c r="L3558" i="22"/>
  <c r="E3558" i="22"/>
  <c r="B3559" i="22"/>
  <c r="C3558" i="22"/>
  <c r="K3558" i="22" s="1"/>
  <c r="F3558" i="22"/>
  <c r="O3558" i="22" s="1"/>
  <c r="G3558" i="22"/>
  <c r="I3558"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E3396" i="22"/>
  <c r="G3396" i="22"/>
  <c r="I3396" i="22"/>
  <c r="B3397" i="22"/>
  <c r="D3341" i="22"/>
  <c r="J3341" i="22"/>
  <c r="P3341" i="22"/>
  <c r="Q3341" i="22"/>
  <c r="R3341" i="22"/>
  <c r="L3342" i="22"/>
  <c r="C3342" i="22"/>
  <c r="E3342" i="22"/>
  <c r="G3342" i="22"/>
  <c r="I3342" i="22"/>
  <c r="B3343" i="22"/>
  <c r="L3288" i="22"/>
  <c r="I3288" i="22"/>
  <c r="B3289" i="22"/>
  <c r="C3288" i="22"/>
  <c r="E3288" i="22"/>
  <c r="G3288" i="22"/>
  <c r="D3287" i="22"/>
  <c r="J3287" i="22"/>
  <c r="N3287" i="22" s="1"/>
  <c r="U3287" i="22" s="1"/>
  <c r="P3287" i="22"/>
  <c r="Q3287" i="22"/>
  <c r="R3287" i="22"/>
  <c r="L3234" i="22"/>
  <c r="C3234" i="22"/>
  <c r="B3235" i="22"/>
  <c r="E3234" i="22"/>
  <c r="I3234" i="22"/>
  <c r="G3234" i="22"/>
  <c r="P3233" i="22"/>
  <c r="Q3233" i="22"/>
  <c r="R3233" i="22"/>
  <c r="J3233" i="22"/>
  <c r="D3233"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E3018" i="22"/>
  <c r="G3018" i="22"/>
  <c r="I3018" i="22"/>
  <c r="B3019" i="22"/>
  <c r="D2963" i="22"/>
  <c r="J2963" i="22"/>
  <c r="P2963" i="22"/>
  <c r="Q2963" i="22"/>
  <c r="R2963" i="22"/>
  <c r="L2964" i="22"/>
  <c r="C2964" i="22"/>
  <c r="E2964" i="22"/>
  <c r="G2964" i="22"/>
  <c r="I2964" i="22"/>
  <c r="B2965" i="22"/>
  <c r="M2909" i="22"/>
  <c r="D2909" i="22"/>
  <c r="J2909" i="22"/>
  <c r="N2909" i="22" s="1"/>
  <c r="U2909" i="22" s="1"/>
  <c r="P2909" i="22"/>
  <c r="Q2909" i="22"/>
  <c r="R2909" i="22"/>
  <c r="L2910" i="22"/>
  <c r="C2910" i="22"/>
  <c r="E2910" i="22"/>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G2694" i="22"/>
  <c r="C2694" i="22"/>
  <c r="E2694" i="22"/>
  <c r="I2694" i="22"/>
  <c r="B2695" i="22"/>
  <c r="P2639" i="22"/>
  <c r="Q2639" i="22"/>
  <c r="R2639" i="22"/>
  <c r="L2640" i="22"/>
  <c r="I2640" i="22"/>
  <c r="C2640" i="22"/>
  <c r="E2640" i="22"/>
  <c r="G2640" i="22"/>
  <c r="B2641" i="22"/>
  <c r="D2639" i="22"/>
  <c r="J2639" i="22"/>
  <c r="M2585" i="22"/>
  <c r="L2586" i="22"/>
  <c r="E2586" i="22"/>
  <c r="I2586" i="22"/>
  <c r="G2586" i="22"/>
  <c r="B2587" i="22"/>
  <c r="C2586" i="22"/>
  <c r="D2585" i="22"/>
  <c r="J2585" i="22"/>
  <c r="N2585" i="22" s="1"/>
  <c r="U2585" i="22" s="1"/>
  <c r="P2585" i="22"/>
  <c r="Q2585" i="22"/>
  <c r="R2585" i="22"/>
  <c r="M2531" i="22"/>
  <c r="D2531" i="22"/>
  <c r="J2531" i="22"/>
  <c r="N2531" i="22" s="1"/>
  <c r="U2531" i="22" s="1"/>
  <c r="P2531" i="22"/>
  <c r="Q2531" i="22"/>
  <c r="R2531" i="22"/>
  <c r="L2532" i="22"/>
  <c r="C2532" i="22"/>
  <c r="E2532" i="22"/>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P2315" i="22"/>
  <c r="Q2315" i="22"/>
  <c r="R2315" i="22"/>
  <c r="J2315" i="22"/>
  <c r="D2315" i="22"/>
  <c r="L2316" i="22"/>
  <c r="C2316" i="22"/>
  <c r="K2316" i="22" s="1"/>
  <c r="E2316" i="22"/>
  <c r="F2316" i="22"/>
  <c r="O2316" i="22" s="1"/>
  <c r="G2316" i="22"/>
  <c r="I2316" i="22"/>
  <c r="B2317" i="22"/>
  <c r="D2261" i="22"/>
  <c r="J2261" i="22"/>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E2046" i="22"/>
  <c r="G2046" i="22"/>
  <c r="I2046" i="22"/>
  <c r="B2047" i="22"/>
  <c r="D1991" i="22"/>
  <c r="J1991" i="22"/>
  <c r="P1991" i="22"/>
  <c r="Q1991" i="22"/>
  <c r="R1991" i="22"/>
  <c r="L1992" i="22"/>
  <c r="C1992" i="22"/>
  <c r="K1992" i="22" s="1"/>
  <c r="E1992" i="22"/>
  <c r="F1992" i="22"/>
  <c r="O1992" i="22" s="1"/>
  <c r="G1992" i="22"/>
  <c r="I1992" i="22"/>
  <c r="B1993" i="22"/>
  <c r="D1937" i="22"/>
  <c r="J1937" i="22"/>
  <c r="P1937" i="22"/>
  <c r="Q1937" i="22"/>
  <c r="R1937" i="22"/>
  <c r="L1938" i="22"/>
  <c r="C1938" i="22"/>
  <c r="E1938" i="22"/>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D1667" i="22"/>
  <c r="J1667" i="22"/>
  <c r="P1667" i="22"/>
  <c r="Q1667" i="22"/>
  <c r="R1667" i="22"/>
  <c r="L1668" i="22"/>
  <c r="C1668" i="22"/>
  <c r="E1668" i="22"/>
  <c r="G1668" i="22"/>
  <c r="I1668" i="22"/>
  <c r="B1669" i="22"/>
  <c r="M1613" i="22"/>
  <c r="D1613" i="22"/>
  <c r="J1613" i="22"/>
  <c r="N1613" i="22" s="1"/>
  <c r="U1613" i="22" s="1"/>
  <c r="P1613" i="22"/>
  <c r="Q1613" i="22"/>
  <c r="R1613" i="22"/>
  <c r="L1614" i="22"/>
  <c r="C1614" i="22"/>
  <c r="E1614" i="22"/>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E1506" i="22"/>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P1397" i="22"/>
  <c r="Q1397" i="22"/>
  <c r="R1397" i="22"/>
  <c r="L1398" i="22"/>
  <c r="I1398" i="22"/>
  <c r="B1399" i="22"/>
  <c r="C1398" i="22"/>
  <c r="E1398" i="22"/>
  <c r="G1398" i="22"/>
  <c r="J1397" i="22"/>
  <c r="N1397" i="22" s="1"/>
  <c r="U1397" i="22" s="1"/>
  <c r="D1397" i="22"/>
  <c r="P1343" i="22"/>
  <c r="Q1343" i="22"/>
  <c r="R1343" i="22"/>
  <c r="L1344" i="22"/>
  <c r="I1344" i="22"/>
  <c r="C1344" i="22"/>
  <c r="E1344" i="22"/>
  <c r="G1344" i="22"/>
  <c r="B1345" i="22"/>
  <c r="J1343" i="22"/>
  <c r="D1343" i="22"/>
  <c r="D1289" i="22"/>
  <c r="J1289" i="22"/>
  <c r="P1289" i="22"/>
  <c r="Q1289" i="22"/>
  <c r="R1289" i="22"/>
  <c r="L1290" i="22"/>
  <c r="C1290" i="22"/>
  <c r="E1290" i="22"/>
  <c r="G1290" i="22"/>
  <c r="I1290" i="22"/>
  <c r="B1291" i="22"/>
  <c r="D1235" i="22"/>
  <c r="J1235" i="22"/>
  <c r="P1235" i="22"/>
  <c r="Q1235" i="22"/>
  <c r="R1235" i="22"/>
  <c r="L1236" i="22"/>
  <c r="C1236" i="22"/>
  <c r="E1236" i="22"/>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E912" i="22"/>
  <c r="G912" i="22"/>
  <c r="I912" i="22"/>
  <c r="B913" i="22"/>
  <c r="D857" i="22"/>
  <c r="J857" i="22"/>
  <c r="P857" i="22"/>
  <c r="Q857" i="22"/>
  <c r="R857" i="22"/>
  <c r="L858" i="22"/>
  <c r="C858" i="22"/>
  <c r="K858" i="22" s="1"/>
  <c r="E858" i="22"/>
  <c r="F858" i="22"/>
  <c r="O858" i="22" s="1"/>
  <c r="G858" i="22"/>
  <c r="I858" i="22"/>
  <c r="B859" i="22"/>
  <c r="D803" i="22"/>
  <c r="J803" i="22"/>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M641" i="22" s="1"/>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E588" i="22"/>
  <c r="G588" i="22"/>
  <c r="I588" i="22"/>
  <c r="B589" i="22"/>
  <c r="M533" i="22"/>
  <c r="D533" i="22"/>
  <c r="J533" i="22"/>
  <c r="N533" i="22" s="1"/>
  <c r="U533" i="22" s="1"/>
  <c r="P533" i="22"/>
  <c r="Q533" i="22"/>
  <c r="R533" i="22"/>
  <c r="L534" i="22"/>
  <c r="C534" i="22"/>
  <c r="E534" i="22"/>
  <c r="G534" i="22"/>
  <c r="I534" i="22"/>
  <c r="B535" i="22"/>
  <c r="P479" i="22"/>
  <c r="Q479" i="22"/>
  <c r="R479" i="22"/>
  <c r="L480" i="22"/>
  <c r="C480" i="22"/>
  <c r="K480" i="22" s="1"/>
  <c r="E480" i="22"/>
  <c r="F480" i="22"/>
  <c r="O480" i="22" s="1"/>
  <c r="G480" i="22"/>
  <c r="I480" i="22"/>
  <c r="B481" i="22"/>
  <c r="D479" i="22"/>
  <c r="J479"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E264" i="22"/>
  <c r="G264" i="22"/>
  <c r="I264" i="22"/>
  <c r="B265" i="22"/>
  <c r="D209" i="22"/>
  <c r="J209" i="22"/>
  <c r="P209" i="22"/>
  <c r="Q209" i="22"/>
  <c r="R209" i="22"/>
  <c r="L210" i="22"/>
  <c r="C210" i="22"/>
  <c r="K210" i="22" s="1"/>
  <c r="E210" i="22"/>
  <c r="F210" i="22"/>
  <c r="O210" i="22" s="1"/>
  <c r="G210" i="22"/>
  <c r="I210" i="22"/>
  <c r="B211" i="22"/>
  <c r="M155" i="22"/>
  <c r="P155" i="22"/>
  <c r="Q155" i="22"/>
  <c r="R155" i="22"/>
  <c r="L156" i="22"/>
  <c r="C156" i="22"/>
  <c r="E156" i="22"/>
  <c r="G156" i="22"/>
  <c r="B157" i="22"/>
  <c r="I156" i="22"/>
  <c r="J155" i="22"/>
  <c r="N155" i="22" s="1"/>
  <c r="U155" i="22" s="1"/>
  <c r="D155" i="22"/>
  <c r="P101" i="22"/>
  <c r="Q101" i="22"/>
  <c r="R101" i="22"/>
  <c r="J101" i="22"/>
  <c r="D101" i="22"/>
  <c r="L102" i="22"/>
  <c r="E102" i="22"/>
  <c r="I102" i="22"/>
  <c r="B103" i="22"/>
  <c r="C102" i="22"/>
  <c r="K102" i="22" s="1"/>
  <c r="F102" i="22"/>
  <c r="O102" i="22" s="1"/>
  <c r="G102" i="22"/>
  <c r="C90" i="12"/>
  <c r="D39" i="17"/>
  <c r="J39" i="17"/>
  <c r="O39" i="17"/>
  <c r="E91" i="12"/>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M39" i="17"/>
  <c r="N39" i="17"/>
  <c r="U39" i="17" s="1"/>
  <c r="E40" i="17"/>
  <c r="G40" i="17"/>
  <c r="L40" i="17"/>
  <c r="C40" i="17"/>
  <c r="F40" i="17" s="1"/>
  <c r="C40" i="18" s="1"/>
  <c r="E40" i="18" s="1"/>
  <c r="I40" i="17"/>
  <c r="K40" i="17"/>
  <c r="B41" i="17"/>
  <c r="B40" i="18"/>
  <c r="AU16" i="17"/>
  <c r="B105" i="12"/>
  <c r="I105" i="12" s="1"/>
  <c r="AT15" i="17"/>
  <c r="AS17" i="17"/>
  <c r="AS18" i="17"/>
  <c r="AS19" i="17"/>
  <c r="AS20" i="17"/>
  <c r="AS21" i="17"/>
  <c r="AS22" i="17"/>
  <c r="AS23" i="17"/>
  <c r="AS24" i="17"/>
  <c r="AS25" i="17"/>
  <c r="AS26" i="17"/>
  <c r="AS27" i="17"/>
  <c r="AS28" i="17"/>
  <c r="AS29" i="17"/>
  <c r="AS30" i="17"/>
  <c r="AS31" i="17"/>
  <c r="AS32" i="17"/>
  <c r="AS33" i="17"/>
  <c r="AS35" i="17"/>
  <c r="AS37" i="17"/>
  <c r="AS38" i="17"/>
  <c r="AS40" i="17"/>
  <c r="AS34" i="17"/>
  <c r="AS36" i="17"/>
  <c r="AS39" i="17"/>
  <c r="C89" i="12"/>
  <c r="M1503" i="23"/>
  <c r="N1503" i="23"/>
  <c r="AE1503" i="23" s="1"/>
  <c r="M1391" i="23"/>
  <c r="N1391" i="23"/>
  <c r="AE1391" i="23" s="1"/>
  <c r="M1055" i="23"/>
  <c r="N1055" i="23"/>
  <c r="AE1055" i="23" s="1"/>
  <c r="M887" i="23"/>
  <c r="N887" i="23"/>
  <c r="AE887" i="23" s="1"/>
  <c r="M663" i="23"/>
  <c r="N663" i="23"/>
  <c r="AE663" i="23" s="1"/>
  <c r="N4750" i="22"/>
  <c r="M4750" i="22"/>
  <c r="M4696" i="22"/>
  <c r="N4696" i="22"/>
  <c r="M4588" i="22"/>
  <c r="N4588" i="22"/>
  <c r="N4234" i="22"/>
  <c r="U4234" i="22" s="1"/>
  <c r="M4234" i="22"/>
  <c r="M3556" i="22"/>
  <c r="N3556" i="22"/>
  <c r="U3556" i="22" s="1"/>
  <c r="M3394" i="22"/>
  <c r="N3394" i="22"/>
  <c r="U3394" i="22" s="1"/>
  <c r="M3340" i="22"/>
  <c r="N3340" i="22"/>
  <c r="U3340" i="22" s="1"/>
  <c r="M3016" i="22"/>
  <c r="N3016" i="22"/>
  <c r="U3016" i="22" s="1"/>
  <c r="M2962" i="22"/>
  <c r="N2962" i="22"/>
  <c r="U2962" i="22" s="1"/>
  <c r="N2692" i="22"/>
  <c r="U2692" i="22" s="1"/>
  <c r="M2692" i="22"/>
  <c r="M2638" i="22"/>
  <c r="N2638" i="22"/>
  <c r="U2638" i="22" s="1"/>
  <c r="M2584" i="22"/>
  <c r="N2584" i="22"/>
  <c r="U2584" i="22" s="1"/>
  <c r="M2314" i="22"/>
  <c r="N2314" i="22"/>
  <c r="U2314" i="22" s="1"/>
  <c r="M2044" i="22"/>
  <c r="N2044" i="22"/>
  <c r="U2044" i="22" s="1"/>
  <c r="M1666" i="22"/>
  <c r="N1666" i="22"/>
  <c r="U1666" i="22" s="1"/>
  <c r="M1396" i="22"/>
  <c r="N1396" i="22"/>
  <c r="U1396" i="22" s="1"/>
  <c r="M1126" i="22"/>
  <c r="N1126" i="22"/>
  <c r="U1126" i="22" s="1"/>
  <c r="M1072" i="22"/>
  <c r="N1072" i="22"/>
  <c r="U1072" i="22" s="1"/>
  <c r="M748" i="22"/>
  <c r="N748" i="22"/>
  <c r="U748" i="22" s="1"/>
  <c r="N478" i="22"/>
  <c r="U478" i="22" s="1"/>
  <c r="M478" i="22"/>
  <c r="M424" i="22"/>
  <c r="N424" i="22"/>
  <c r="U424" i="22" s="1"/>
  <c r="AE1615" i="23"/>
  <c r="AK1615" i="23"/>
  <c r="F1504" i="23"/>
  <c r="O1504" i="23" s="1"/>
  <c r="K1504" i="23"/>
  <c r="K1448" i="23"/>
  <c r="F1448" i="23"/>
  <c r="O1448" i="23" s="1"/>
  <c r="K1000" i="23"/>
  <c r="F1000" i="23"/>
  <c r="O1000" i="23" s="1"/>
  <c r="K552" i="23"/>
  <c r="F552" i="23"/>
  <c r="O552" i="23" s="1"/>
  <c r="K3719" i="22"/>
  <c r="F3719" i="22"/>
  <c r="O3719" i="22" s="1"/>
  <c r="K3665" i="22"/>
  <c r="F3665" i="22"/>
  <c r="O3665" i="22" s="1"/>
  <c r="F3341" i="22"/>
  <c r="O3341" i="22" s="1"/>
  <c r="K3341" i="22"/>
  <c r="K3233" i="22"/>
  <c r="F3233" i="22"/>
  <c r="O3233" i="22" s="1"/>
  <c r="K2963" i="22"/>
  <c r="F2963" i="22"/>
  <c r="O2963" i="22" s="1"/>
  <c r="K2639" i="22"/>
  <c r="F2639" i="22"/>
  <c r="O2639" i="22" s="1"/>
  <c r="K2315" i="22"/>
  <c r="F2315" i="22"/>
  <c r="O2315" i="22" s="1"/>
  <c r="K2261" i="22"/>
  <c r="F2261" i="22"/>
  <c r="O2261" i="22" s="1"/>
  <c r="F1991" i="22"/>
  <c r="O1991" i="22" s="1"/>
  <c r="K1991" i="22"/>
  <c r="F1937" i="22"/>
  <c r="O1937" i="22" s="1"/>
  <c r="K1937" i="22"/>
  <c r="F1667" i="22"/>
  <c r="O1667" i="22" s="1"/>
  <c r="K1667" i="22"/>
  <c r="F1343" i="22"/>
  <c r="O1343" i="22" s="1"/>
  <c r="K1343" i="22"/>
  <c r="F1289" i="22"/>
  <c r="O1289" i="22" s="1"/>
  <c r="K1289" i="22"/>
  <c r="K1235" i="22"/>
  <c r="F1235" i="22"/>
  <c r="O1235" i="22" s="1"/>
  <c r="K857" i="22"/>
  <c r="F857" i="22"/>
  <c r="O857" i="22" s="1"/>
  <c r="F803" i="22"/>
  <c r="O803" i="22" s="1"/>
  <c r="K803" i="22"/>
  <c r="F479" i="22"/>
  <c r="O479" i="22" s="1"/>
  <c r="K479" i="22"/>
  <c r="F209" i="22"/>
  <c r="O209" i="22" s="1"/>
  <c r="K209" i="22"/>
  <c r="K101" i="22"/>
  <c r="F101" i="22"/>
  <c r="O101" i="22" s="1"/>
  <c r="F38" i="18"/>
  <c r="G38" i="18"/>
  <c r="H38" i="18"/>
  <c r="AR39" i="17"/>
  <c r="N1168" i="23" l="1"/>
  <c r="AE1168" i="23" s="1"/>
  <c r="N641" i="22"/>
  <c r="U641" i="22" s="1"/>
  <c r="K3720" i="22"/>
  <c r="F3720" i="22"/>
  <c r="O3720" i="22" s="1"/>
  <c r="K3018" i="22"/>
  <c r="F3018" i="22"/>
  <c r="O3018" i="22" s="1"/>
  <c r="K2910" i="22"/>
  <c r="F2910" i="22"/>
  <c r="O2910" i="22" s="1"/>
  <c r="K2586" i="22"/>
  <c r="F2586" i="22"/>
  <c r="O2586" i="22" s="1"/>
  <c r="K2532" i="22"/>
  <c r="F2532" i="22"/>
  <c r="O2532" i="22" s="1"/>
  <c r="K2046" i="22"/>
  <c r="F2046" i="22"/>
  <c r="O2046" i="22" s="1"/>
  <c r="K1506" i="22"/>
  <c r="F1506" i="22"/>
  <c r="O1506"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J1505" i="23"/>
  <c r="D1505" i="23"/>
  <c r="P1505" i="23"/>
  <c r="Q1505" i="23"/>
  <c r="R1505" i="23"/>
  <c r="L1506" i="23"/>
  <c r="I1506" i="23"/>
  <c r="C1506" i="23"/>
  <c r="E1506" i="23"/>
  <c r="G1506" i="23"/>
  <c r="B1507" i="23"/>
  <c r="L1450" i="23"/>
  <c r="I1450" i="23"/>
  <c r="B1451" i="23"/>
  <c r="C1450" i="23"/>
  <c r="E1450" i="23"/>
  <c r="G1450" i="23"/>
  <c r="J1449" i="23"/>
  <c r="D1449" i="23"/>
  <c r="P1449" i="23"/>
  <c r="Q1449" i="23"/>
  <c r="R1449" i="23"/>
  <c r="P1393" i="23"/>
  <c r="Q1393" i="23"/>
  <c r="R1393" i="23"/>
  <c r="L1394" i="23"/>
  <c r="I1394" i="23"/>
  <c r="E1394" i="23"/>
  <c r="G1394" i="23"/>
  <c r="B1395" i="23"/>
  <c r="C1394" i="23"/>
  <c r="J1393" i="23"/>
  <c r="D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J1225" i="23"/>
  <c r="D1225" i="23"/>
  <c r="P1225" i="23"/>
  <c r="Q1225" i="23"/>
  <c r="R1225" i="23"/>
  <c r="L1226" i="23"/>
  <c r="I1226" i="23"/>
  <c r="C1226" i="23"/>
  <c r="K1226" i="23" s="1"/>
  <c r="E1226" i="23"/>
  <c r="F1226" i="23"/>
  <c r="G1226" i="23"/>
  <c r="B1227" i="23"/>
  <c r="P1169" i="23"/>
  <c r="Q1169" i="23"/>
  <c r="R1169" i="23"/>
  <c r="L1170" i="23"/>
  <c r="I1170" i="23"/>
  <c r="G1170" i="23"/>
  <c r="C1170" i="23"/>
  <c r="E1170" i="23"/>
  <c r="B1171" i="23"/>
  <c r="J1169" i="23"/>
  <c r="D1169" i="23"/>
  <c r="M1113" i="23"/>
  <c r="L1114" i="23"/>
  <c r="I1114" i="23"/>
  <c r="C1114" i="23"/>
  <c r="E1114" i="23"/>
  <c r="G1114" i="23"/>
  <c r="B1115" i="23"/>
  <c r="J1113" i="23"/>
  <c r="N1113" i="23" s="1"/>
  <c r="AE1113" i="23" s="1"/>
  <c r="D1113" i="23"/>
  <c r="P1113" i="23"/>
  <c r="Q1113" i="23"/>
  <c r="R1113" i="23"/>
  <c r="L1058" i="23"/>
  <c r="I1058" i="23"/>
  <c r="E1058" i="23"/>
  <c r="B1059" i="23"/>
  <c r="C1058" i="23"/>
  <c r="G1058" i="23"/>
  <c r="J1057" i="23"/>
  <c r="D1057" i="23"/>
  <c r="P1057" i="23"/>
  <c r="Q1057" i="23"/>
  <c r="R1057"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E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E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E274" i="23"/>
  <c r="G274" i="23"/>
  <c r="B275" i="23"/>
  <c r="J4752" i="22"/>
  <c r="D4752" i="22"/>
  <c r="P4752" i="22"/>
  <c r="Q4752" i="22"/>
  <c r="R4752" i="22"/>
  <c r="M4752" i="22"/>
  <c r="N4752" i="22"/>
  <c r="G4753" i="22"/>
  <c r="L4753" i="22"/>
  <c r="C4753" i="22"/>
  <c r="F4753" i="22" s="1"/>
  <c r="E4753" i="22"/>
  <c r="I4753" i="22"/>
  <c r="K4753" i="22"/>
  <c r="B4754" i="22"/>
  <c r="T4696" i="22"/>
  <c r="U4697" i="22"/>
  <c r="S4697" i="22"/>
  <c r="T4697" i="22" s="1"/>
  <c r="M4698" i="22"/>
  <c r="D4698" i="22"/>
  <c r="J4698" i="22"/>
  <c r="N4698" i="22" s="1"/>
  <c r="P4698" i="22"/>
  <c r="Q4698" i="22"/>
  <c r="R4698" i="22"/>
  <c r="L4699" i="22"/>
  <c r="C4699" i="22"/>
  <c r="K4699" i="22" s="1"/>
  <c r="E4699" i="22"/>
  <c r="F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D4236" i="22"/>
  <c r="J4236" i="22"/>
  <c r="N4236" i="22" s="1"/>
  <c r="U4236" i="22" s="1"/>
  <c r="P4236" i="22"/>
  <c r="Q4236" i="22"/>
  <c r="R4236" i="22"/>
  <c r="M4236" i="22"/>
  <c r="C4237" i="22"/>
  <c r="E4237" i="22"/>
  <c r="F4237" i="22"/>
  <c r="O4237" i="22" s="1"/>
  <c r="G4237" i="22"/>
  <c r="I4237" i="22"/>
  <c r="K4237" i="22"/>
  <c r="L4237" i="22"/>
  <c r="B4238" i="22"/>
  <c r="M4182" i="22"/>
  <c r="D4182" i="22"/>
  <c r="J4182" i="22"/>
  <c r="N4182" i="22" s="1"/>
  <c r="U4182" i="22" s="1"/>
  <c r="P4182" i="22"/>
  <c r="Q4182" i="22"/>
  <c r="R4182" i="22"/>
  <c r="L4183" i="22"/>
  <c r="C4183" i="22"/>
  <c r="K4183" i="22" s="1"/>
  <c r="E4183" i="22"/>
  <c r="F4183" i="22"/>
  <c r="O4183" i="22" s="1"/>
  <c r="G4183" i="22"/>
  <c r="I4183" i="22"/>
  <c r="B4184" i="22"/>
  <c r="D4128" i="22"/>
  <c r="J4128" i="22"/>
  <c r="P4128" i="22"/>
  <c r="Q4128" i="22"/>
  <c r="R4128" i="22"/>
  <c r="M4128" i="22"/>
  <c r="N4128" i="22"/>
  <c r="U4128" i="22" s="1"/>
  <c r="C4129" i="22"/>
  <c r="E4129" i="22"/>
  <c r="F4129" i="22"/>
  <c r="O4129" i="22" s="1"/>
  <c r="G4129" i="22"/>
  <c r="I4129" i="22"/>
  <c r="K4129" i="22"/>
  <c r="L4129" i="22"/>
  <c r="B4130" i="22"/>
  <c r="E4075" i="22"/>
  <c r="I4075" i="22"/>
  <c r="B4076" i="22"/>
  <c r="C4075" i="22"/>
  <c r="G4075" i="22"/>
  <c r="L4075" i="22"/>
  <c r="J4074" i="22"/>
  <c r="D4074" i="22"/>
  <c r="P4074" i="22"/>
  <c r="Q4074" i="22"/>
  <c r="R4074"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E3721" i="22"/>
  <c r="G3721" i="22"/>
  <c r="I3721" i="22"/>
  <c r="B3722" i="22"/>
  <c r="M3666" i="22"/>
  <c r="D3666" i="22"/>
  <c r="J3666" i="22"/>
  <c r="N3666" i="22" s="1"/>
  <c r="U3666" i="22" s="1"/>
  <c r="P3666" i="22"/>
  <c r="Q3666" i="22"/>
  <c r="R3666" i="22"/>
  <c r="L3667" i="22"/>
  <c r="C3667" i="22"/>
  <c r="E3667" i="22"/>
  <c r="G3667" i="22"/>
  <c r="I3667" i="22"/>
  <c r="B3668" i="22"/>
  <c r="D3612" i="22"/>
  <c r="J3612" i="22"/>
  <c r="P3612" i="22"/>
  <c r="Q3612" i="22"/>
  <c r="R3612" i="22"/>
  <c r="L3613" i="22"/>
  <c r="C3613" i="22"/>
  <c r="K3613" i="22" s="1"/>
  <c r="E3613" i="22"/>
  <c r="F3613" i="22"/>
  <c r="O3613" i="22" s="1"/>
  <c r="G3613" i="22"/>
  <c r="I3613" i="22"/>
  <c r="B3614" i="22"/>
  <c r="M3558" i="22"/>
  <c r="L3559" i="22"/>
  <c r="I3559" i="22"/>
  <c r="C3559" i="22"/>
  <c r="K3559" i="22" s="1"/>
  <c r="E3559" i="22"/>
  <c r="F3559" i="22"/>
  <c r="O3559" i="22" s="1"/>
  <c r="G3559" i="22"/>
  <c r="B3560" i="22"/>
  <c r="D3558" i="22"/>
  <c r="J3558" i="22"/>
  <c r="N3558" i="22" s="1"/>
  <c r="U3558" i="22" s="1"/>
  <c r="P3558" i="22"/>
  <c r="Q3558" i="22"/>
  <c r="R3558"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D3396" i="22"/>
  <c r="J3396" i="22"/>
  <c r="P3396" i="22"/>
  <c r="Q3396" i="22"/>
  <c r="R3396" i="22"/>
  <c r="L3397" i="22"/>
  <c r="C3397" i="22"/>
  <c r="K3397" i="22" s="1"/>
  <c r="E3397" i="22"/>
  <c r="F3397" i="22"/>
  <c r="O3397" i="22" s="1"/>
  <c r="G3397" i="22"/>
  <c r="I3397" i="22"/>
  <c r="B3398" i="22"/>
  <c r="D3342" i="22"/>
  <c r="J3342" i="22"/>
  <c r="P3342" i="22"/>
  <c r="Q3342" i="22"/>
  <c r="R3342" i="22"/>
  <c r="L3343" i="22"/>
  <c r="C3343" i="22"/>
  <c r="E3343" i="22"/>
  <c r="G3343" i="22"/>
  <c r="I3343" i="22"/>
  <c r="B3344" i="22"/>
  <c r="L3289" i="22"/>
  <c r="E3289" i="22"/>
  <c r="G3289" i="22"/>
  <c r="C3289" i="22"/>
  <c r="I3289" i="22"/>
  <c r="B3290" i="22"/>
  <c r="J3288" i="22"/>
  <c r="D3288" i="22"/>
  <c r="P3288" i="22"/>
  <c r="Q3288" i="22"/>
  <c r="R3288" i="22"/>
  <c r="D3234" i="22"/>
  <c r="J3234" i="22"/>
  <c r="L3235" i="22"/>
  <c r="I3235" i="22"/>
  <c r="B3236" i="22"/>
  <c r="G3235" i="22"/>
  <c r="E3235" i="22"/>
  <c r="C3235" i="22"/>
  <c r="P3234" i="22"/>
  <c r="Q3234" i="22"/>
  <c r="R3234"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D2964" i="22"/>
  <c r="J2964" i="22"/>
  <c r="P2964" i="22"/>
  <c r="Q2964" i="22"/>
  <c r="R2964" i="22"/>
  <c r="L2965" i="22"/>
  <c r="C2965" i="22"/>
  <c r="E2965" i="22"/>
  <c r="G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E2857" i="22"/>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E2749" i="22"/>
  <c r="G2749" i="22"/>
  <c r="I2749" i="22"/>
  <c r="B2750" i="22"/>
  <c r="P2694" i="22"/>
  <c r="Q2694" i="22"/>
  <c r="R2694" i="22"/>
  <c r="D2694" i="22"/>
  <c r="J2694" i="22"/>
  <c r="L2695" i="22"/>
  <c r="G2695" i="22"/>
  <c r="I2695" i="22"/>
  <c r="C2695" i="22"/>
  <c r="K2695" i="22" s="1"/>
  <c r="E2695" i="22"/>
  <c r="F2695" i="22"/>
  <c r="O2695" i="22" s="1"/>
  <c r="B2696" i="22"/>
  <c r="J2640" i="22"/>
  <c r="D2640" i="22"/>
  <c r="P2640" i="22"/>
  <c r="Q2640" i="22"/>
  <c r="R2640" i="22"/>
  <c r="L2641" i="22"/>
  <c r="C2641" i="22"/>
  <c r="E2641" i="22"/>
  <c r="G2641" i="22"/>
  <c r="I2641" i="22"/>
  <c r="B2642" i="22"/>
  <c r="M2586" i="22"/>
  <c r="P2586" i="22"/>
  <c r="Q2586" i="22"/>
  <c r="R2586" i="22"/>
  <c r="L2587" i="22"/>
  <c r="E2587" i="22"/>
  <c r="I2587" i="22"/>
  <c r="B2588" i="22"/>
  <c r="G2587" i="22"/>
  <c r="C2587" i="22"/>
  <c r="D2586" i="22"/>
  <c r="J2586" i="22"/>
  <c r="N2586" i="22" s="1"/>
  <c r="U2586" i="22" s="1"/>
  <c r="M2532" i="22"/>
  <c r="D2532" i="22"/>
  <c r="J2532" i="22"/>
  <c r="N2532" i="22" s="1"/>
  <c r="U2532" i="22" s="1"/>
  <c r="P2532" i="22"/>
  <c r="Q2532" i="22"/>
  <c r="R2532" i="22"/>
  <c r="L2533" i="22"/>
  <c r="C2533" i="22"/>
  <c r="E2533" i="22"/>
  <c r="G2533" i="22"/>
  <c r="I2533" i="22"/>
  <c r="B2534" i="22"/>
  <c r="M2478" i="22"/>
  <c r="D2478" i="22"/>
  <c r="J2478" i="22"/>
  <c r="N2478" i="22" s="1"/>
  <c r="U2478" i="22" s="1"/>
  <c r="P2478" i="22"/>
  <c r="Q2478" i="22"/>
  <c r="R2478" i="22"/>
  <c r="L2479" i="22"/>
  <c r="C2479" i="22"/>
  <c r="E2479" i="22"/>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E2209" i="22"/>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K1993" i="22" s="1"/>
  <c r="E1993" i="22"/>
  <c r="F1993" i="22"/>
  <c r="O1993" i="22" s="1"/>
  <c r="G1993" i="22"/>
  <c r="I1993" i="22"/>
  <c r="B1994" i="22"/>
  <c r="D1938" i="22"/>
  <c r="J1938" i="22"/>
  <c r="P1938" i="22"/>
  <c r="Q1938" i="22"/>
  <c r="R1938" i="22"/>
  <c r="L1939" i="22"/>
  <c r="C1939" i="22"/>
  <c r="E1939" i="22"/>
  <c r="G1939" i="22"/>
  <c r="I1939" i="22"/>
  <c r="B1940" i="22"/>
  <c r="M1884" i="22"/>
  <c r="D1884" i="22"/>
  <c r="J1884" i="22"/>
  <c r="N1884" i="22" s="1"/>
  <c r="U1884" i="22" s="1"/>
  <c r="P1884" i="22"/>
  <c r="Q1884" i="22"/>
  <c r="R1884" i="22"/>
  <c r="L1885" i="22"/>
  <c r="C1885" i="22"/>
  <c r="E1885" i="22"/>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D1668" i="22"/>
  <c r="J1668" i="22"/>
  <c r="P1668" i="22"/>
  <c r="Q1668" i="22"/>
  <c r="R1668" i="22"/>
  <c r="L1669" i="22"/>
  <c r="C1669" i="22"/>
  <c r="K1669" i="22" s="1"/>
  <c r="E1669" i="22"/>
  <c r="F1669" i="22"/>
  <c r="O1669" i="22" s="1"/>
  <c r="G1669" i="22"/>
  <c r="I1669" i="22"/>
  <c r="B1670" i="22"/>
  <c r="D1614" i="22"/>
  <c r="J1614" i="22"/>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E1561" i="22"/>
  <c r="G1561" i="22"/>
  <c r="I1561" i="22"/>
  <c r="B1562" i="22"/>
  <c r="M1506" i="22"/>
  <c r="D1506" i="22"/>
  <c r="J1506" i="22"/>
  <c r="N1506" i="22" s="1"/>
  <c r="U1506" i="22" s="1"/>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K1453" i="22" s="1"/>
  <c r="E1453" i="22"/>
  <c r="F1453" i="22"/>
  <c r="O1453" i="22" s="1"/>
  <c r="G1453" i="22"/>
  <c r="I1453" i="22"/>
  <c r="B1454" i="22"/>
  <c r="L1399" i="22"/>
  <c r="G1399" i="22"/>
  <c r="I1399" i="22"/>
  <c r="B1400" i="22"/>
  <c r="C1399" i="22"/>
  <c r="E1399" i="22"/>
  <c r="J1398" i="22"/>
  <c r="D1398" i="22"/>
  <c r="P1398" i="22"/>
  <c r="Q1398" i="22"/>
  <c r="R1398" i="22"/>
  <c r="J1344" i="22"/>
  <c r="D1344" i="22"/>
  <c r="P1344" i="22"/>
  <c r="Q1344" i="22"/>
  <c r="R1344" i="22"/>
  <c r="L1345" i="22"/>
  <c r="E1345" i="22"/>
  <c r="I1345" i="22"/>
  <c r="B1346" i="22"/>
  <c r="C1345" i="22"/>
  <c r="K1345" i="22" s="1"/>
  <c r="F1345" i="22"/>
  <c r="O1345" i="22" s="1"/>
  <c r="G1345" i="22"/>
  <c r="D1290" i="22"/>
  <c r="J1290" i="22"/>
  <c r="P1290" i="22"/>
  <c r="Q1290" i="22"/>
  <c r="R1290" i="22"/>
  <c r="L1291" i="22"/>
  <c r="C1291" i="22"/>
  <c r="K1291" i="22" s="1"/>
  <c r="E1291" i="22"/>
  <c r="F1291" i="22"/>
  <c r="O1291" i="22" s="1"/>
  <c r="G1291" i="22"/>
  <c r="I1291" i="22"/>
  <c r="B1292" i="22"/>
  <c r="D1236" i="22"/>
  <c r="J1236" i="22"/>
  <c r="P1236" i="22"/>
  <c r="Q1236" i="22"/>
  <c r="R1236" i="22"/>
  <c r="L1237" i="22"/>
  <c r="C1237" i="22"/>
  <c r="E1237" i="22"/>
  <c r="G1237" i="22"/>
  <c r="I1237" i="22"/>
  <c r="B1238" i="22"/>
  <c r="M1182" i="22"/>
  <c r="D1182" i="22"/>
  <c r="J1182" i="22"/>
  <c r="N1182" i="22" s="1"/>
  <c r="U1182" i="22" s="1"/>
  <c r="P1182" i="22"/>
  <c r="Q1182" i="22"/>
  <c r="R1182" i="22"/>
  <c r="L1183" i="22"/>
  <c r="C1183" i="22"/>
  <c r="E1183" i="22"/>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D912" i="22"/>
  <c r="J912" i="22"/>
  <c r="P912" i="22"/>
  <c r="Q912" i="22"/>
  <c r="R912" i="22"/>
  <c r="L913" i="22"/>
  <c r="C913" i="22"/>
  <c r="K913" i="22" s="1"/>
  <c r="E913" i="22"/>
  <c r="F913" i="22"/>
  <c r="O913" i="22" s="1"/>
  <c r="G913" i="22"/>
  <c r="I913" i="22"/>
  <c r="B914" i="22"/>
  <c r="M858" i="22"/>
  <c r="D858" i="22"/>
  <c r="J858" i="22"/>
  <c r="N858" i="22" s="1"/>
  <c r="U858" i="22" s="1"/>
  <c r="P858" i="22"/>
  <c r="Q858" i="22"/>
  <c r="R858" i="22"/>
  <c r="L859" i="22"/>
  <c r="C859" i="22"/>
  <c r="E859" i="22"/>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D588" i="22"/>
  <c r="J588" i="22"/>
  <c r="P588" i="22"/>
  <c r="Q588" i="22"/>
  <c r="R588" i="22"/>
  <c r="L589" i="22"/>
  <c r="C589" i="22"/>
  <c r="E589" i="22"/>
  <c r="G589" i="22"/>
  <c r="I589" i="22"/>
  <c r="B590" i="22"/>
  <c r="D534" i="22"/>
  <c r="J534" i="22"/>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B482" i="22"/>
  <c r="I481" i="22"/>
  <c r="M426" i="22"/>
  <c r="D426" i="22"/>
  <c r="J426" i="22"/>
  <c r="N426" i="22" s="1"/>
  <c r="U426" i="22" s="1"/>
  <c r="P426" i="22"/>
  <c r="Q426" i="22"/>
  <c r="R426" i="22"/>
  <c r="L427" i="22"/>
  <c r="C427" i="22"/>
  <c r="K427" i="22" s="1"/>
  <c r="E427" i="22"/>
  <c r="F427" i="22"/>
  <c r="O427" i="22" s="1"/>
  <c r="G427" i="22"/>
  <c r="B428" i="22"/>
  <c r="I427" i="22"/>
  <c r="M372" i="22"/>
  <c r="D372" i="22"/>
  <c r="J372" i="22"/>
  <c r="N372" i="22" s="1"/>
  <c r="U372" i="22" s="1"/>
  <c r="P372" i="22"/>
  <c r="Q372" i="22"/>
  <c r="R372" i="22"/>
  <c r="L373" i="22"/>
  <c r="C373" i="22"/>
  <c r="E373" i="22"/>
  <c r="G373" i="22"/>
  <c r="I373" i="22"/>
  <c r="B374" i="22"/>
  <c r="M318" i="22"/>
  <c r="D318" i="22"/>
  <c r="J318" i="22"/>
  <c r="N318" i="22" s="1"/>
  <c r="U318" i="22" s="1"/>
  <c r="P318" i="22"/>
  <c r="Q318" i="22"/>
  <c r="R318" i="22"/>
  <c r="L319" i="22"/>
  <c r="C319" i="22"/>
  <c r="K319" i="22" s="1"/>
  <c r="E319" i="22"/>
  <c r="F319" i="22"/>
  <c r="O319" i="22" s="1"/>
  <c r="G319" i="22"/>
  <c r="I319" i="22"/>
  <c r="B320" i="22"/>
  <c r="D264" i="22"/>
  <c r="J264" i="22"/>
  <c r="P264" i="22"/>
  <c r="Q264" i="22"/>
  <c r="R264" i="22"/>
  <c r="L265" i="22"/>
  <c r="C265" i="22"/>
  <c r="E265" i="22"/>
  <c r="G265" i="22"/>
  <c r="I265" i="22"/>
  <c r="B266" i="22"/>
  <c r="M210" i="22"/>
  <c r="D210" i="22"/>
  <c r="J210" i="22"/>
  <c r="N210" i="22" s="1"/>
  <c r="U210" i="22" s="1"/>
  <c r="P210" i="22"/>
  <c r="Q210" i="22"/>
  <c r="R210" i="22"/>
  <c r="L211" i="22"/>
  <c r="C211" i="22"/>
  <c r="K211" i="22" s="1"/>
  <c r="E211" i="22"/>
  <c r="F211" i="22"/>
  <c r="O211" i="22" s="1"/>
  <c r="G211" i="22"/>
  <c r="I211" i="22"/>
  <c r="B212" i="22"/>
  <c r="D156" i="22"/>
  <c r="J156" i="22"/>
  <c r="P156" i="22"/>
  <c r="Q156" i="22"/>
  <c r="R156" i="22"/>
  <c r="L157" i="22"/>
  <c r="I157" i="22"/>
  <c r="B158" i="22"/>
  <c r="C157" i="22"/>
  <c r="E157" i="22"/>
  <c r="G157" i="22"/>
  <c r="M102" i="22"/>
  <c r="L103" i="22"/>
  <c r="I103" i="22"/>
  <c r="C103" i="22"/>
  <c r="E103" i="22"/>
  <c r="G103" i="22"/>
  <c r="B104" i="22"/>
  <c r="D102" i="22"/>
  <c r="J102" i="22"/>
  <c r="N102" i="22" s="1"/>
  <c r="U102" i="22" s="1"/>
  <c r="P102" i="22"/>
  <c r="Q102" i="22"/>
  <c r="R102" i="22"/>
  <c r="G90" i="12"/>
  <c r="C91" i="12"/>
  <c r="O40" i="17"/>
  <c r="E92" i="12"/>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D40" i="17"/>
  <c r="J40" i="17"/>
  <c r="M40" i="17"/>
  <c r="N40" i="17"/>
  <c r="U40" i="17" s="1"/>
  <c r="L41" i="17"/>
  <c r="B42" i="17"/>
  <c r="B41" i="18"/>
  <c r="C41" i="17"/>
  <c r="F41" i="17" s="1"/>
  <c r="C41" i="18" s="1"/>
  <c r="E41" i="18" s="1"/>
  <c r="E41" i="17"/>
  <c r="G41" i="17"/>
  <c r="I41" i="17"/>
  <c r="K41" i="17"/>
  <c r="AV16" i="17"/>
  <c r="B106" i="12"/>
  <c r="I106" i="12" s="1"/>
  <c r="AU15" i="17"/>
  <c r="AT17" i="17"/>
  <c r="AT18" i="17"/>
  <c r="AT19" i="17"/>
  <c r="AT20" i="17"/>
  <c r="AT21" i="17"/>
  <c r="AT22" i="17"/>
  <c r="AT23" i="17"/>
  <c r="AT24" i="17"/>
  <c r="AT25" i="17"/>
  <c r="AT26" i="17"/>
  <c r="AT27" i="17"/>
  <c r="AT28" i="17"/>
  <c r="AT29" i="17"/>
  <c r="AT30" i="17"/>
  <c r="AT31" i="17"/>
  <c r="AT33" i="17"/>
  <c r="AT34" i="17"/>
  <c r="AT35" i="17"/>
  <c r="AT36" i="17"/>
  <c r="AT37" i="17"/>
  <c r="AT32" i="17"/>
  <c r="AT38" i="17"/>
  <c r="AT39" i="17"/>
  <c r="AT40" i="17"/>
  <c r="G89" i="12"/>
  <c r="M1504" i="23"/>
  <c r="N1504" i="23"/>
  <c r="AE1504" i="23" s="1"/>
  <c r="M1448" i="23"/>
  <c r="N1448" i="23"/>
  <c r="AE1448" i="23" s="1"/>
  <c r="M1000" i="23"/>
  <c r="N1000" i="23"/>
  <c r="AE1000" i="23" s="1"/>
  <c r="M552" i="23"/>
  <c r="N552" i="23"/>
  <c r="AE552" i="23" s="1"/>
  <c r="M3719" i="22"/>
  <c r="N3719" i="22"/>
  <c r="U3719" i="22" s="1"/>
  <c r="M3665" i="22"/>
  <c r="N3665" i="22"/>
  <c r="U3665" i="22" s="1"/>
  <c r="M3341" i="22"/>
  <c r="N3341" i="22"/>
  <c r="U3341" i="22" s="1"/>
  <c r="M3233" i="22"/>
  <c r="N3233" i="22"/>
  <c r="U3233" i="22" s="1"/>
  <c r="M2963" i="22"/>
  <c r="N2963" i="22"/>
  <c r="U2963" i="22" s="1"/>
  <c r="M2639" i="22"/>
  <c r="N2639" i="22"/>
  <c r="U2639" i="22" s="1"/>
  <c r="M2315" i="22"/>
  <c r="N2315" i="22"/>
  <c r="U2315" i="22" s="1"/>
  <c r="M2261" i="22"/>
  <c r="N2261" i="22"/>
  <c r="U2261" i="22" s="1"/>
  <c r="M1991" i="22"/>
  <c r="N1991" i="22"/>
  <c r="U1991" i="22" s="1"/>
  <c r="M1937" i="22"/>
  <c r="N1937" i="22"/>
  <c r="U1937" i="22" s="1"/>
  <c r="M1667" i="22"/>
  <c r="N1667" i="22"/>
  <c r="U1667" i="22" s="1"/>
  <c r="M1343" i="22"/>
  <c r="N1343" i="22"/>
  <c r="U1343" i="22" s="1"/>
  <c r="M1289" i="22"/>
  <c r="N1289" i="22"/>
  <c r="U1289" i="22" s="1"/>
  <c r="M1235" i="22"/>
  <c r="N1235" i="22"/>
  <c r="U1235" i="22" s="1"/>
  <c r="M857" i="22"/>
  <c r="N857" i="22"/>
  <c r="U857" i="22" s="1"/>
  <c r="M803" i="22"/>
  <c r="N803" i="22"/>
  <c r="U803" i="22" s="1"/>
  <c r="N479" i="22"/>
  <c r="U479" i="22" s="1"/>
  <c r="M479" i="22"/>
  <c r="M209" i="22"/>
  <c r="N209" i="22"/>
  <c r="U209" i="22" s="1"/>
  <c r="M101" i="22"/>
  <c r="N101" i="22"/>
  <c r="U101" i="22" s="1"/>
  <c r="AE1616" i="23"/>
  <c r="AK1616" i="23"/>
  <c r="F1505" i="23"/>
  <c r="O1505" i="23" s="1"/>
  <c r="K1505" i="23"/>
  <c r="K1449" i="23"/>
  <c r="F1449" i="23"/>
  <c r="O1449" i="23" s="1"/>
  <c r="K1393" i="23"/>
  <c r="F1393" i="23"/>
  <c r="O1393" i="23" s="1"/>
  <c r="K1225" i="23"/>
  <c r="F1225" i="23"/>
  <c r="O1225" i="23" s="1"/>
  <c r="K1169" i="23"/>
  <c r="F1169" i="23"/>
  <c r="O1169" i="23" s="1"/>
  <c r="F1057" i="23"/>
  <c r="O1057" i="23" s="1"/>
  <c r="K1057" i="23"/>
  <c r="D4644" i="22"/>
  <c r="F4644" i="22"/>
  <c r="O4644" i="22" s="1"/>
  <c r="F4074" i="22"/>
  <c r="O4074" i="22" s="1"/>
  <c r="K4074" i="22"/>
  <c r="K3612" i="22"/>
  <c r="F3612" i="22"/>
  <c r="O3612" i="22" s="1"/>
  <c r="F3396" i="22"/>
  <c r="O3396" i="22" s="1"/>
  <c r="K3396" i="22"/>
  <c r="F3342" i="22"/>
  <c r="O3342" i="22" s="1"/>
  <c r="K3342" i="22"/>
  <c r="K3288" i="22"/>
  <c r="F3288" i="22"/>
  <c r="O3288" i="22" s="1"/>
  <c r="K3234" i="22"/>
  <c r="F3234" i="22"/>
  <c r="O3234" i="22" s="1"/>
  <c r="F2964" i="22"/>
  <c r="O2964" i="22" s="1"/>
  <c r="K2964" i="22"/>
  <c r="K2694" i="22"/>
  <c r="F2694" i="22"/>
  <c r="O2694" i="22" s="1"/>
  <c r="K2640" i="22"/>
  <c r="F2640" i="22"/>
  <c r="O2640" i="22" s="1"/>
  <c r="K1938" i="22"/>
  <c r="F1938" i="22"/>
  <c r="O1938" i="22" s="1"/>
  <c r="K1668" i="22"/>
  <c r="F1668" i="22"/>
  <c r="O1668" i="22" s="1"/>
  <c r="F1614" i="22"/>
  <c r="O1614" i="22" s="1"/>
  <c r="K1614" i="22"/>
  <c r="K1398" i="22"/>
  <c r="F1398" i="22"/>
  <c r="O1398" i="22" s="1"/>
  <c r="K1344" i="22"/>
  <c r="F1344" i="22"/>
  <c r="O1344" i="22" s="1"/>
  <c r="K1290" i="22"/>
  <c r="F1290" i="22"/>
  <c r="O1290" i="22" s="1"/>
  <c r="F1236" i="22"/>
  <c r="O1236" i="22" s="1"/>
  <c r="K1236" i="22"/>
  <c r="F912" i="22"/>
  <c r="O912" i="22" s="1"/>
  <c r="K912" i="22"/>
  <c r="K588" i="22"/>
  <c r="F588" i="22"/>
  <c r="O588" i="22" s="1"/>
  <c r="K534" i="22"/>
  <c r="F534" i="22"/>
  <c r="O534" i="22" s="1"/>
  <c r="K264" i="22"/>
  <c r="F264" i="22"/>
  <c r="O264" i="22" s="1"/>
  <c r="F156" i="22"/>
  <c r="O156" i="22" s="1"/>
  <c r="K156" i="22"/>
  <c r="F39" i="18"/>
  <c r="G39" i="18"/>
  <c r="H39" i="18"/>
  <c r="K1114" i="23" l="1"/>
  <c r="F1114" i="23"/>
  <c r="K4075" i="22"/>
  <c r="F4075" i="22"/>
  <c r="O4075" i="22" s="1"/>
  <c r="K2749" i="22"/>
  <c r="F2749" i="22"/>
  <c r="O2749" i="22" s="1"/>
  <c r="K2479" i="22"/>
  <c r="F2479" i="22"/>
  <c r="O2479" i="22" s="1"/>
  <c r="K373" i="22"/>
  <c r="F373" i="22"/>
  <c r="O373"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E1507" i="23"/>
  <c r="G1507" i="23"/>
  <c r="B1508" i="23"/>
  <c r="L1451" i="23"/>
  <c r="I1451" i="23"/>
  <c r="C1451" i="23"/>
  <c r="E1451" i="23"/>
  <c r="G1451" i="23"/>
  <c r="B1452" i="23"/>
  <c r="J1450" i="23"/>
  <c r="D1450" i="23"/>
  <c r="P1450" i="23"/>
  <c r="Q1450" i="23"/>
  <c r="R1450" i="23"/>
  <c r="X1450" i="23"/>
  <c r="AF1450" i="23"/>
  <c r="P1394" i="23"/>
  <c r="Q1394" i="23"/>
  <c r="R1394" i="23"/>
  <c r="X1394" i="23"/>
  <c r="AF1394" i="23"/>
  <c r="L1395" i="23"/>
  <c r="I1395" i="23"/>
  <c r="C1395" i="23"/>
  <c r="E1395" i="23"/>
  <c r="G1395" i="23"/>
  <c r="B1396" i="23"/>
  <c r="J1394" i="23"/>
  <c r="D1394" i="23"/>
  <c r="M1338" i="23"/>
  <c r="J1338" i="23"/>
  <c r="N1338" i="23" s="1"/>
  <c r="W1338" i="23" s="1"/>
  <c r="D1338" i="23"/>
  <c r="O1338" i="23"/>
  <c r="Y1338" i="23" s="1"/>
  <c r="AB1338" i="23"/>
  <c r="AC1338" i="23" s="1"/>
  <c r="P1338" i="23"/>
  <c r="Q1338" i="23"/>
  <c r="R1338" i="23"/>
  <c r="X1338" i="23"/>
  <c r="AF1338" i="23"/>
  <c r="L1339" i="23"/>
  <c r="I1339" i="23"/>
  <c r="C1339" i="23"/>
  <c r="E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P1170" i="23"/>
  <c r="Q1170" i="23"/>
  <c r="R1170" i="23"/>
  <c r="X1170" i="23"/>
  <c r="AF1170" i="23"/>
  <c r="J1170" i="23"/>
  <c r="D1170" i="23"/>
  <c r="L1171" i="23"/>
  <c r="I1171" i="23"/>
  <c r="C1171" i="23"/>
  <c r="K1171" i="23" s="1"/>
  <c r="E1171" i="23"/>
  <c r="F1171" i="23"/>
  <c r="G1171" i="23"/>
  <c r="B1172" i="23"/>
  <c r="M1114" i="23"/>
  <c r="J1114" i="23"/>
  <c r="N1114" i="23" s="1"/>
  <c r="W1114" i="23" s="1"/>
  <c r="D1114" i="23"/>
  <c r="O1114" i="23"/>
  <c r="Y1114" i="23" s="1"/>
  <c r="AB1114" i="23"/>
  <c r="AC1114" i="23" s="1"/>
  <c r="P1114" i="23"/>
  <c r="Q1114" i="23"/>
  <c r="R1114" i="23"/>
  <c r="X1114" i="23"/>
  <c r="AF1114" i="23"/>
  <c r="L1115" i="23"/>
  <c r="I1115" i="23"/>
  <c r="C1115" i="23"/>
  <c r="E1115" i="23"/>
  <c r="G1115" i="23"/>
  <c r="B1116" i="23"/>
  <c r="L1059" i="23"/>
  <c r="I1059" i="23"/>
  <c r="C1059" i="23"/>
  <c r="E1059" i="23"/>
  <c r="G1059" i="23"/>
  <c r="B1060" i="23"/>
  <c r="J1058" i="23"/>
  <c r="D1058" i="23"/>
  <c r="P1058" i="23"/>
  <c r="Q1058" i="23"/>
  <c r="R1058" i="23"/>
  <c r="X1058" i="23"/>
  <c r="AF1058"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J946" i="23"/>
  <c r="D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M722" i="23"/>
  <c r="J722" i="23"/>
  <c r="N722" i="23" s="1"/>
  <c r="W722" i="23" s="1"/>
  <c r="D722" i="23"/>
  <c r="AB722" i="23"/>
  <c r="O722" i="23"/>
  <c r="Y722" i="23" s="1"/>
  <c r="AC722" i="23"/>
  <c r="P722" i="23"/>
  <c r="Q722" i="23"/>
  <c r="R722" i="23"/>
  <c r="X722" i="23"/>
  <c r="AF722" i="23"/>
  <c r="L723" i="23"/>
  <c r="I723" i="23"/>
  <c r="G723" i="23"/>
  <c r="B724" i="23"/>
  <c r="C723" i="23"/>
  <c r="E723" i="23"/>
  <c r="M666" i="23"/>
  <c r="J666" i="23"/>
  <c r="N666" i="23" s="1"/>
  <c r="W666" i="23" s="1"/>
  <c r="D666" i="23"/>
  <c r="O666" i="23"/>
  <c r="Y666" i="23" s="1"/>
  <c r="AB666" i="23"/>
  <c r="AC666" i="23"/>
  <c r="P666" i="23"/>
  <c r="Q666" i="23"/>
  <c r="R666" i="23"/>
  <c r="X666" i="23"/>
  <c r="AF666" i="23"/>
  <c r="L667" i="23"/>
  <c r="I667" i="23"/>
  <c r="C667" i="23"/>
  <c r="E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J498" i="23"/>
  <c r="D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J274" i="23"/>
  <c r="D274" i="23"/>
  <c r="P274" i="23"/>
  <c r="Q274" i="23"/>
  <c r="R274" i="23"/>
  <c r="X274" i="23"/>
  <c r="AF274" i="23"/>
  <c r="L275" i="23"/>
  <c r="I275" i="23"/>
  <c r="C275" i="23"/>
  <c r="E275" i="23"/>
  <c r="G275" i="23"/>
  <c r="B276" i="23"/>
  <c r="P4753" i="22"/>
  <c r="Q4753" i="22"/>
  <c r="R4753" i="22"/>
  <c r="D4753" i="22"/>
  <c r="J4753" i="22"/>
  <c r="M4753" i="22"/>
  <c r="N4753" i="22"/>
  <c r="P93" i="12" s="1"/>
  <c r="G4754" i="22"/>
  <c r="I4754" i="22"/>
  <c r="L4754" i="22"/>
  <c r="C4754" i="22"/>
  <c r="F4754" i="22" s="1"/>
  <c r="E4754" i="22"/>
  <c r="K4754" i="22"/>
  <c r="B4755" i="22"/>
  <c r="U4698" i="22"/>
  <c r="S4698" i="22"/>
  <c r="M4699" i="22"/>
  <c r="D4699" i="22"/>
  <c r="J4699" i="22"/>
  <c r="N4699" i="22" s="1"/>
  <c r="P4699" i="22"/>
  <c r="Q4699" i="22"/>
  <c r="R4699" i="22"/>
  <c r="L4700" i="22"/>
  <c r="C4700" i="22"/>
  <c r="K4700" i="22" s="1"/>
  <c r="E4700" i="22"/>
  <c r="F4700" i="22"/>
  <c r="G4700" i="22"/>
  <c r="I4700" i="22"/>
  <c r="B4701" i="22"/>
  <c r="P4645" i="22"/>
  <c r="Q4645" i="22"/>
  <c r="R4645" i="22"/>
  <c r="C4646" i="22"/>
  <c r="E4646" i="22"/>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D4237" i="22"/>
  <c r="J4237" i="22"/>
  <c r="N4237" i="22" s="1"/>
  <c r="U4237" i="22" s="1"/>
  <c r="P4237" i="22"/>
  <c r="Q4237" i="22"/>
  <c r="R4237" i="22"/>
  <c r="M4237" i="22"/>
  <c r="C4238" i="22"/>
  <c r="E4238" i="22"/>
  <c r="G4238" i="22"/>
  <c r="I4238" i="22"/>
  <c r="L4238" i="22"/>
  <c r="B4239" i="22"/>
  <c r="M4183" i="22"/>
  <c r="D4183" i="22"/>
  <c r="J4183" i="22"/>
  <c r="N4183" i="22" s="1"/>
  <c r="U4183" i="22" s="1"/>
  <c r="P4183" i="22"/>
  <c r="Q4183" i="22"/>
  <c r="R4183" i="22"/>
  <c r="L4184" i="22"/>
  <c r="C4184" i="22"/>
  <c r="K4184" i="22" s="1"/>
  <c r="E4184" i="22"/>
  <c r="F4184" i="22"/>
  <c r="O4184" i="22" s="1"/>
  <c r="G4184" i="22"/>
  <c r="I4184" i="22"/>
  <c r="B4185" i="22"/>
  <c r="D4129" i="22"/>
  <c r="J4129" i="22"/>
  <c r="N4129" i="22" s="1"/>
  <c r="U4129" i="22" s="1"/>
  <c r="P4129" i="22"/>
  <c r="Q4129" i="22"/>
  <c r="R4129" i="22"/>
  <c r="M4129" i="22"/>
  <c r="C4130" i="22"/>
  <c r="E4130" i="22"/>
  <c r="F4130" i="22"/>
  <c r="O4130" i="22" s="1"/>
  <c r="G4130" i="22"/>
  <c r="I4130" i="22"/>
  <c r="K4130" i="22"/>
  <c r="L4130" i="22"/>
  <c r="B4131" i="22"/>
  <c r="M4075" i="22"/>
  <c r="I4076" i="22"/>
  <c r="L4076" i="22"/>
  <c r="B4077" i="22"/>
  <c r="C4076" i="22"/>
  <c r="K4076" i="22" s="1"/>
  <c r="E4076" i="22"/>
  <c r="F4076" i="22"/>
  <c r="O4076" i="22" s="1"/>
  <c r="G4076" i="22"/>
  <c r="J4075" i="22"/>
  <c r="N4075" i="22" s="1"/>
  <c r="U4075" i="22" s="1"/>
  <c r="D4075" i="22"/>
  <c r="P4075" i="22"/>
  <c r="Q4075" i="22"/>
  <c r="R4075" i="22"/>
  <c r="M3775" i="22"/>
  <c r="D3775" i="22"/>
  <c r="J3775" i="22"/>
  <c r="N3775" i="22" s="1"/>
  <c r="BK72" i="22"/>
  <c r="P3775" i="22"/>
  <c r="Q3775" i="22"/>
  <c r="R3775" i="22"/>
  <c r="L3776" i="22"/>
  <c r="C3776" i="22"/>
  <c r="E3776" i="22"/>
  <c r="G3776" i="22"/>
  <c r="I3776" i="22"/>
  <c r="B3777" i="22"/>
  <c r="D3721" i="22"/>
  <c r="J3721" i="22"/>
  <c r="P3721" i="22"/>
  <c r="Q3721" i="22"/>
  <c r="R3721" i="22"/>
  <c r="L3722" i="22"/>
  <c r="C3722" i="22"/>
  <c r="E3722" i="22"/>
  <c r="G3722" i="22"/>
  <c r="I3722" i="22"/>
  <c r="B3723" i="22"/>
  <c r="D3667" i="22"/>
  <c r="J3667" i="22"/>
  <c r="P3667" i="22"/>
  <c r="Q3667" i="22"/>
  <c r="R3667" i="22"/>
  <c r="L3668" i="22"/>
  <c r="C3668" i="22"/>
  <c r="K3668" i="22" s="1"/>
  <c r="E3668" i="22"/>
  <c r="F3668" i="22"/>
  <c r="O3668" i="22" s="1"/>
  <c r="BL70" i="22" s="1"/>
  <c r="G3668" i="22"/>
  <c r="I3668" i="22"/>
  <c r="B3669" i="22"/>
  <c r="M3613" i="22"/>
  <c r="D3613" i="22"/>
  <c r="J3613" i="22"/>
  <c r="N3613" i="22" s="1"/>
  <c r="BK69" i="22"/>
  <c r="P3613" i="22"/>
  <c r="Q3613" i="22"/>
  <c r="R3613" i="22"/>
  <c r="L3614" i="22"/>
  <c r="C3614" i="22"/>
  <c r="E3614" i="22"/>
  <c r="G3614" i="22"/>
  <c r="I3614" i="22"/>
  <c r="B3615" i="22"/>
  <c r="M3559" i="22"/>
  <c r="J3559" i="22"/>
  <c r="N3559" i="22" s="1"/>
  <c r="D3559" i="22"/>
  <c r="BK68" i="22"/>
  <c r="P3559" i="22"/>
  <c r="Q3559" i="22"/>
  <c r="R3559" i="22"/>
  <c r="L3560" i="22"/>
  <c r="B3561" i="22"/>
  <c r="C3560" i="22"/>
  <c r="E3560" i="22"/>
  <c r="G3560" i="22"/>
  <c r="I3560"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E3452" i="22"/>
  <c r="G3452" i="22"/>
  <c r="I3452" i="22"/>
  <c r="B3453" i="22"/>
  <c r="M3397" i="22"/>
  <c r="D3397" i="22"/>
  <c r="J3397" i="22"/>
  <c r="N3397" i="22" s="1"/>
  <c r="BK65" i="22"/>
  <c r="P3397" i="22"/>
  <c r="Q3397" i="22"/>
  <c r="R3397" i="22"/>
  <c r="L3398" i="22"/>
  <c r="C3398" i="22"/>
  <c r="K3398" i="22" s="1"/>
  <c r="E3398" i="22"/>
  <c r="F3398" i="22"/>
  <c r="O3398" i="22" s="1"/>
  <c r="G3398" i="22"/>
  <c r="I3398" i="22"/>
  <c r="B3399" i="22"/>
  <c r="D3343" i="22"/>
  <c r="J3343" i="22"/>
  <c r="P3343" i="22"/>
  <c r="Q3343" i="22"/>
  <c r="R3343" i="22"/>
  <c r="L3344" i="22"/>
  <c r="C3344" i="22"/>
  <c r="K3344" i="22" s="1"/>
  <c r="E3344" i="22"/>
  <c r="F3344" i="22"/>
  <c r="O3344" i="22" s="1"/>
  <c r="BL64" i="22" s="1"/>
  <c r="G3344" i="22"/>
  <c r="I3344" i="22"/>
  <c r="B3345" i="22"/>
  <c r="P3289" i="22"/>
  <c r="Q3289" i="22"/>
  <c r="R3289" i="22"/>
  <c r="D3289" i="22"/>
  <c r="J3289" i="22"/>
  <c r="L3290" i="22"/>
  <c r="G3290" i="22"/>
  <c r="I3290" i="22"/>
  <c r="B3291" i="22"/>
  <c r="E3290" i="22"/>
  <c r="C3290" i="22"/>
  <c r="L3236" i="22"/>
  <c r="B3237" i="22"/>
  <c r="G3236" i="22"/>
  <c r="C3236" i="22"/>
  <c r="I3236" i="22"/>
  <c r="E3236" i="22"/>
  <c r="P3235" i="22"/>
  <c r="Q3235" i="22"/>
  <c r="R3235" i="22"/>
  <c r="J3235" i="22"/>
  <c r="D3235" i="22"/>
  <c r="M3181" i="22"/>
  <c r="D3181" i="22"/>
  <c r="J3181" i="22"/>
  <c r="N3181" i="22" s="1"/>
  <c r="BK61" i="22"/>
  <c r="P3181" i="22"/>
  <c r="Q3181" i="22"/>
  <c r="R3181" i="22"/>
  <c r="L3182" i="22"/>
  <c r="C3182" i="22"/>
  <c r="K3182" i="22" s="1"/>
  <c r="E3182" i="22"/>
  <c r="F3182" i="22"/>
  <c r="O3182" i="22" s="1"/>
  <c r="BL61" i="22" s="1"/>
  <c r="G3182" i="22"/>
  <c r="I3182" i="22"/>
  <c r="B3183" i="22"/>
  <c r="M3127" i="22"/>
  <c r="D3127" i="22"/>
  <c r="J3127" i="22"/>
  <c r="N3127" i="22" s="1"/>
  <c r="BK60" i="22"/>
  <c r="P3127" i="22"/>
  <c r="Q3127" i="22"/>
  <c r="R3127" i="22"/>
  <c r="L3128" i="22"/>
  <c r="C3128" i="22"/>
  <c r="E3128" i="22"/>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D2965" i="22"/>
  <c r="J2965" i="22"/>
  <c r="P2965" i="22"/>
  <c r="Q2965" i="22"/>
  <c r="R2965" i="22"/>
  <c r="L2966" i="22"/>
  <c r="C2966" i="22"/>
  <c r="K2966" i="22" s="1"/>
  <c r="E2966" i="22"/>
  <c r="F2966" i="22"/>
  <c r="O2966" i="22" s="1"/>
  <c r="BL57" i="22" s="1"/>
  <c r="G2966" i="22"/>
  <c r="I2966" i="22"/>
  <c r="B2967" i="22"/>
  <c r="M2911" i="22"/>
  <c r="D2911" i="22"/>
  <c r="J2911" i="22"/>
  <c r="N2911" i="22" s="1"/>
  <c r="BK56" i="22"/>
  <c r="P2911" i="22"/>
  <c r="Q2911" i="22"/>
  <c r="R2911" i="22"/>
  <c r="L2912" i="22"/>
  <c r="C2912" i="22"/>
  <c r="E2912" i="22"/>
  <c r="G2912" i="22"/>
  <c r="I2912" i="22"/>
  <c r="B2913" i="22"/>
  <c r="D2857" i="22"/>
  <c r="J2857" i="22"/>
  <c r="P2857" i="22"/>
  <c r="Q2857" i="22"/>
  <c r="R2857" i="22"/>
  <c r="L2858" i="22"/>
  <c r="C2858" i="22"/>
  <c r="E2858" i="22"/>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P2695" i="22"/>
  <c r="Q2695" i="22"/>
  <c r="R2695" i="22"/>
  <c r="J2695" i="22"/>
  <c r="N2695" i="22" s="1"/>
  <c r="D2695" i="22"/>
  <c r="BK52" i="22"/>
  <c r="L2696" i="22"/>
  <c r="I2696" i="22"/>
  <c r="B2697" i="22"/>
  <c r="C2696" i="22"/>
  <c r="K2696" i="22" s="1"/>
  <c r="E2696" i="22"/>
  <c r="F2696" i="22"/>
  <c r="O2696" i="22" s="1"/>
  <c r="G2696" i="22"/>
  <c r="D2641" i="22"/>
  <c r="J2641" i="22"/>
  <c r="P2641" i="22"/>
  <c r="Q2641" i="22"/>
  <c r="R2641" i="22"/>
  <c r="L2642" i="22"/>
  <c r="G2642" i="22"/>
  <c r="B2643" i="22"/>
  <c r="C2642" i="22"/>
  <c r="E2642" i="22"/>
  <c r="I2642" i="22"/>
  <c r="L2588" i="22"/>
  <c r="C2588" i="22"/>
  <c r="K2588" i="22" s="1"/>
  <c r="E2588" i="22"/>
  <c r="F2588" i="22"/>
  <c r="O2588" i="22" s="1"/>
  <c r="BL50" i="22" s="1"/>
  <c r="G2588" i="22"/>
  <c r="I2588" i="22"/>
  <c r="B2589" i="22"/>
  <c r="P2587" i="22"/>
  <c r="Q2587" i="22"/>
  <c r="R2587" i="22"/>
  <c r="D2587" i="22"/>
  <c r="J2587" i="22"/>
  <c r="D2533" i="22"/>
  <c r="J2533" i="22"/>
  <c r="P2533" i="22"/>
  <c r="Q2533" i="22"/>
  <c r="R2533" i="22"/>
  <c r="L2534" i="22"/>
  <c r="C2534" i="22"/>
  <c r="E2534" i="22"/>
  <c r="G2534" i="22"/>
  <c r="I2534" i="22"/>
  <c r="B2535" i="22"/>
  <c r="M2479" i="22"/>
  <c r="D2479" i="22"/>
  <c r="J2479" i="22"/>
  <c r="N2479" i="22" s="1"/>
  <c r="BK48" i="22"/>
  <c r="P2479" i="22"/>
  <c r="Q2479" i="22"/>
  <c r="R2479" i="22"/>
  <c r="L2480" i="22"/>
  <c r="C2480" i="22"/>
  <c r="K2480" i="22" s="1"/>
  <c r="E2480" i="22"/>
  <c r="F2480" i="22"/>
  <c r="O2480" i="22" s="1"/>
  <c r="BL48" i="22" s="1"/>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E2318" i="22"/>
  <c r="G2318" i="22"/>
  <c r="I2318" i="22"/>
  <c r="B2319" i="22"/>
  <c r="M2263" i="22"/>
  <c r="D2263" i="22"/>
  <c r="J2263" i="22"/>
  <c r="N2263" i="22" s="1"/>
  <c r="BK44" i="22"/>
  <c r="P2263" i="22"/>
  <c r="Q2263" i="22"/>
  <c r="R2263" i="22"/>
  <c r="L2264" i="22"/>
  <c r="C2264" i="22"/>
  <c r="E2264" i="22"/>
  <c r="G2264" i="22"/>
  <c r="I2264" i="22"/>
  <c r="B2265" i="22"/>
  <c r="D2209" i="22"/>
  <c r="J2209" i="22"/>
  <c r="P2209" i="22"/>
  <c r="Q2209" i="22"/>
  <c r="R2209" i="22"/>
  <c r="L2210" i="22"/>
  <c r="C2210" i="22"/>
  <c r="E2210" i="22"/>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E1994" i="22"/>
  <c r="G1994" i="22"/>
  <c r="I1994" i="22"/>
  <c r="B1995" i="22"/>
  <c r="D1939" i="22"/>
  <c r="J1939" i="22"/>
  <c r="P1939" i="22"/>
  <c r="Q1939" i="22"/>
  <c r="R1939" i="22"/>
  <c r="L1940" i="22"/>
  <c r="C1940" i="22"/>
  <c r="K1940" i="22" s="1"/>
  <c r="E1940" i="22"/>
  <c r="F1940" i="22"/>
  <c r="O1940" i="22" s="1"/>
  <c r="BL38" i="22" s="1"/>
  <c r="G1940" i="22"/>
  <c r="I1940" i="22"/>
  <c r="B1941" i="22"/>
  <c r="D1885" i="22"/>
  <c r="J1885" i="22"/>
  <c r="P1885" i="22"/>
  <c r="Q1885" i="22"/>
  <c r="R1885" i="22"/>
  <c r="L1886" i="22"/>
  <c r="C1886" i="22"/>
  <c r="K1886" i="22" s="1"/>
  <c r="E1886" i="22"/>
  <c r="F1886" i="22"/>
  <c r="O1886" i="22" s="1"/>
  <c r="BL37" i="22" s="1"/>
  <c r="G1886" i="22"/>
  <c r="I1886" i="22"/>
  <c r="B1887" i="22"/>
  <c r="M1831" i="22"/>
  <c r="D1831" i="22"/>
  <c r="J1831" i="22"/>
  <c r="N1831" i="22" s="1"/>
  <c r="BK36" i="22"/>
  <c r="P1831" i="22"/>
  <c r="Q1831" i="22"/>
  <c r="R1831" i="22"/>
  <c r="L1832" i="22"/>
  <c r="C1832" i="22"/>
  <c r="K1832" i="22" s="1"/>
  <c r="E1832" i="22"/>
  <c r="F1832" i="22"/>
  <c r="O1832" i="22" s="1"/>
  <c r="BL36" i="22" s="1"/>
  <c r="G1832" i="22"/>
  <c r="I1832" i="22"/>
  <c r="B1833" i="22"/>
  <c r="M1777" i="22"/>
  <c r="D1777" i="22"/>
  <c r="J1777" i="22"/>
  <c r="N1777" i="22" s="1"/>
  <c r="BK35" i="22"/>
  <c r="P1777" i="22"/>
  <c r="Q1777" i="22"/>
  <c r="R1777" i="22"/>
  <c r="L1778" i="22"/>
  <c r="C1778" i="22"/>
  <c r="K1778" i="22" s="1"/>
  <c r="E1778" i="22"/>
  <c r="F1778" i="22"/>
  <c r="O1778" i="22" s="1"/>
  <c r="G1778" i="22"/>
  <c r="I1778" i="22"/>
  <c r="B1779" i="22"/>
  <c r="M1723" i="22"/>
  <c r="D1723" i="22"/>
  <c r="J1723" i="22"/>
  <c r="N1723" i="22" s="1"/>
  <c r="BK34" i="22"/>
  <c r="P1723" i="22"/>
  <c r="Q1723" i="22"/>
  <c r="R1723" i="22"/>
  <c r="L1724" i="22"/>
  <c r="C1724" i="22"/>
  <c r="E1724" i="22"/>
  <c r="G1724" i="22"/>
  <c r="I1724" i="22"/>
  <c r="B1725" i="22"/>
  <c r="M1669" i="22"/>
  <c r="D1669" i="22"/>
  <c r="J1669" i="22"/>
  <c r="N1669" i="22" s="1"/>
  <c r="BK33" i="22"/>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K1616" i="22" s="1"/>
  <c r="E1616" i="22"/>
  <c r="F1616" i="22"/>
  <c r="O1616" i="22" s="1"/>
  <c r="G1616" i="22"/>
  <c r="I1616" i="22"/>
  <c r="B1617" i="22"/>
  <c r="D1561" i="22"/>
  <c r="J1561" i="22"/>
  <c r="P1561" i="22"/>
  <c r="Q1561" i="22"/>
  <c r="R1561" i="22"/>
  <c r="L1562" i="22"/>
  <c r="C1562" i="22"/>
  <c r="K1562" i="22" s="1"/>
  <c r="E1562" i="22"/>
  <c r="F1562" i="22"/>
  <c r="O1562" i="22" s="1"/>
  <c r="BL31" i="22" s="1"/>
  <c r="G1562" i="22"/>
  <c r="I1562" i="22"/>
  <c r="B1563" i="22"/>
  <c r="M1507" i="22"/>
  <c r="D1507" i="22"/>
  <c r="J1507" i="22"/>
  <c r="N1507" i="22" s="1"/>
  <c r="BK30" i="22"/>
  <c r="P1507" i="22"/>
  <c r="Q1507" i="22"/>
  <c r="R1507" i="22"/>
  <c r="L1508" i="22"/>
  <c r="C1508" i="22"/>
  <c r="K1508" i="22" s="1"/>
  <c r="E1508" i="22"/>
  <c r="F1508" i="22"/>
  <c r="O1508" i="22" s="1"/>
  <c r="G1508" i="22"/>
  <c r="I1508" i="22"/>
  <c r="B1509" i="22"/>
  <c r="M1453" i="22"/>
  <c r="D1453" i="22"/>
  <c r="J1453" i="22"/>
  <c r="N1453" i="22" s="1"/>
  <c r="BK29" i="22"/>
  <c r="P1453" i="22"/>
  <c r="Q1453" i="22"/>
  <c r="R1453" i="22"/>
  <c r="L1454" i="22"/>
  <c r="C1454" i="22"/>
  <c r="E1454" i="22"/>
  <c r="G1454" i="22"/>
  <c r="I1454" i="22"/>
  <c r="B1455" i="22"/>
  <c r="P1399" i="22"/>
  <c r="Q1399" i="22"/>
  <c r="R1399" i="22"/>
  <c r="L1400" i="22"/>
  <c r="C1400" i="22"/>
  <c r="K1400" i="22" s="1"/>
  <c r="E1400" i="22"/>
  <c r="F1400" i="22"/>
  <c r="O1400" i="22" s="1"/>
  <c r="BL28" i="22" s="1"/>
  <c r="G1400" i="22"/>
  <c r="I1400" i="22"/>
  <c r="B1401" i="22"/>
  <c r="J1399" i="22"/>
  <c r="D1399" i="22"/>
  <c r="M1345" i="22"/>
  <c r="L1346" i="22"/>
  <c r="I1346" i="22"/>
  <c r="B1347" i="22"/>
  <c r="C1346" i="22"/>
  <c r="K1346" i="22" s="1"/>
  <c r="E1346" i="22"/>
  <c r="F1346" i="22"/>
  <c r="O1346" i="22" s="1"/>
  <c r="BL27" i="22" s="1"/>
  <c r="G1346" i="22"/>
  <c r="D1345" i="22"/>
  <c r="J1345" i="22"/>
  <c r="N1345" i="22" s="1"/>
  <c r="BK27" i="22"/>
  <c r="P1345" i="22"/>
  <c r="Q1345" i="22"/>
  <c r="R1345" i="22"/>
  <c r="M1291" i="22"/>
  <c r="D1291" i="22"/>
  <c r="J1291" i="22"/>
  <c r="N1291" i="22" s="1"/>
  <c r="BK26" i="22"/>
  <c r="P1291" i="22"/>
  <c r="Q1291" i="22"/>
  <c r="R1291" i="22"/>
  <c r="L1292" i="22"/>
  <c r="C1292" i="22"/>
  <c r="K1292" i="22" s="1"/>
  <c r="E1292" i="22"/>
  <c r="F1292" i="22"/>
  <c r="O1292" i="22" s="1"/>
  <c r="G1292" i="22"/>
  <c r="I1292" i="22"/>
  <c r="B1293" i="22"/>
  <c r="D1237" i="22"/>
  <c r="J1237" i="22"/>
  <c r="P1237" i="22"/>
  <c r="Q1237" i="22"/>
  <c r="R1237" i="22"/>
  <c r="L1238" i="22"/>
  <c r="C1238" i="22"/>
  <c r="E1238" i="22"/>
  <c r="G1238" i="22"/>
  <c r="I1238" i="22"/>
  <c r="B1239" i="22"/>
  <c r="D1183" i="22"/>
  <c r="J1183"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E914" i="22"/>
  <c r="G914" i="22"/>
  <c r="I914" i="22"/>
  <c r="B915" i="22"/>
  <c r="D859" i="22"/>
  <c r="J859" i="22"/>
  <c r="P859" i="22"/>
  <c r="Q859" i="22"/>
  <c r="R859" i="22"/>
  <c r="L860" i="22"/>
  <c r="C860" i="22"/>
  <c r="E860" i="22"/>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K698" i="22" s="1"/>
  <c r="E698" i="22"/>
  <c r="F698" i="22"/>
  <c r="O698" i="22" s="1"/>
  <c r="G698" i="22"/>
  <c r="I698" i="22"/>
  <c r="B699" i="22"/>
  <c r="M643" i="22"/>
  <c r="D643" i="22"/>
  <c r="J643" i="22"/>
  <c r="N643" i="22" s="1"/>
  <c r="B82" i="7"/>
  <c r="BK14" i="22"/>
  <c r="P643" i="22"/>
  <c r="Q643" i="22"/>
  <c r="R643" i="22"/>
  <c r="L644" i="22"/>
  <c r="C644" i="22"/>
  <c r="K644" i="22" s="1"/>
  <c r="E644" i="22"/>
  <c r="F644" i="22"/>
  <c r="O644" i="22" s="1"/>
  <c r="G644" i="22"/>
  <c r="I644" i="22"/>
  <c r="B645" i="22"/>
  <c r="D589" i="22"/>
  <c r="J589" i="22"/>
  <c r="P589" i="22"/>
  <c r="Q589" i="22"/>
  <c r="R589" i="22"/>
  <c r="L590" i="22"/>
  <c r="C590" i="22"/>
  <c r="E590" i="22"/>
  <c r="G590" i="22"/>
  <c r="I590" i="22"/>
  <c r="B591" i="22"/>
  <c r="M535" i="22"/>
  <c r="D535" i="22"/>
  <c r="J535" i="22"/>
  <c r="N535" i="22" s="1"/>
  <c r="B80" i="7"/>
  <c r="BK12" i="22"/>
  <c r="P535" i="22"/>
  <c r="Q535" i="22"/>
  <c r="R535" i="22"/>
  <c r="L536" i="22"/>
  <c r="C536" i="22"/>
  <c r="E536" i="22"/>
  <c r="G536" i="22"/>
  <c r="I536" i="22"/>
  <c r="B537" i="22"/>
  <c r="M481" i="22"/>
  <c r="D481" i="22"/>
  <c r="J481" i="22"/>
  <c r="N481" i="22" s="1"/>
  <c r="B79" i="7"/>
  <c r="BK1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E428" i="22"/>
  <c r="G428" i="22"/>
  <c r="B429" i="22"/>
  <c r="I428" i="22"/>
  <c r="M373" i="22"/>
  <c r="D373" i="22"/>
  <c r="J373" i="22"/>
  <c r="N373" i="22" s="1"/>
  <c r="B77" i="7"/>
  <c r="BK9" i="22"/>
  <c r="P373" i="22"/>
  <c r="Q373" i="22"/>
  <c r="R373" i="22"/>
  <c r="L374" i="22"/>
  <c r="C374" i="22"/>
  <c r="E374" i="22"/>
  <c r="G374" i="22"/>
  <c r="I374" i="22"/>
  <c r="B375" i="22"/>
  <c r="M319" i="22"/>
  <c r="D319" i="22"/>
  <c r="J319" i="22"/>
  <c r="N319" i="22" s="1"/>
  <c r="B76" i="7"/>
  <c r="BK8" i="22"/>
  <c r="P319" i="22"/>
  <c r="Q319" i="22"/>
  <c r="R319" i="22"/>
  <c r="L320" i="22"/>
  <c r="C320" i="22"/>
  <c r="K320" i="22" s="1"/>
  <c r="E320" i="22"/>
  <c r="F320" i="22"/>
  <c r="O320" i="22" s="1"/>
  <c r="G320" i="22"/>
  <c r="I320" i="22"/>
  <c r="B321" i="22"/>
  <c r="D265" i="22"/>
  <c r="J265" i="22"/>
  <c r="P265" i="22"/>
  <c r="Q265" i="22"/>
  <c r="R265" i="22"/>
  <c r="L266" i="22"/>
  <c r="C266" i="22"/>
  <c r="K266" i="22" s="1"/>
  <c r="E266" i="22"/>
  <c r="F266" i="22"/>
  <c r="O266" i="22" s="1"/>
  <c r="BL7" i="22" s="1"/>
  <c r="G266" i="22"/>
  <c r="I266" i="22"/>
  <c r="B267" i="22"/>
  <c r="M211" i="22"/>
  <c r="D211" i="22"/>
  <c r="J211" i="22"/>
  <c r="N211" i="22" s="1"/>
  <c r="B74" i="7"/>
  <c r="BK6" i="22"/>
  <c r="P211" i="22"/>
  <c r="Q211" i="22"/>
  <c r="R211" i="22"/>
  <c r="L212" i="22"/>
  <c r="C212" i="22"/>
  <c r="E212" i="22"/>
  <c r="G212" i="22"/>
  <c r="I212" i="22"/>
  <c r="B213" i="22"/>
  <c r="L158" i="22"/>
  <c r="G158" i="22"/>
  <c r="C158" i="22"/>
  <c r="E158" i="22"/>
  <c r="B159" i="22"/>
  <c r="I158" i="22"/>
  <c r="D157" i="22"/>
  <c r="J157" i="22"/>
  <c r="P157" i="22"/>
  <c r="Q157" i="22"/>
  <c r="R157" i="22"/>
  <c r="J103" i="22"/>
  <c r="D103" i="22"/>
  <c r="P103" i="22"/>
  <c r="Q103" i="22"/>
  <c r="R103" i="22"/>
  <c r="L104" i="22"/>
  <c r="C104" i="22"/>
  <c r="E104" i="22"/>
  <c r="G104" i="22"/>
  <c r="B105" i="22"/>
  <c r="I104" i="22"/>
  <c r="G91" i="12"/>
  <c r="C92" i="12"/>
  <c r="N93" i="12"/>
  <c r="O41" i="17"/>
  <c r="E93" i="12"/>
  <c r="I42" i="17"/>
  <c r="B42" i="18"/>
  <c r="C42" i="17"/>
  <c r="K42" i="17" s="1"/>
  <c r="E42" i="17"/>
  <c r="F42" i="17"/>
  <c r="C42" i="18" s="1"/>
  <c r="E42" i="18" s="1"/>
  <c r="G42" i="17"/>
  <c r="L42" i="17"/>
  <c r="B43" i="17"/>
  <c r="D41" i="17"/>
  <c r="J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F41" i="18" s="1"/>
  <c r="Q41" i="17"/>
  <c r="G41" i="18" s="1"/>
  <c r="R41" i="17"/>
  <c r="H41" i="18" s="1"/>
  <c r="V41" i="17"/>
  <c r="M41" i="17"/>
  <c r="N41" i="17"/>
  <c r="AW16" i="17"/>
  <c r="B107" i="12"/>
  <c r="I107" i="12" s="1"/>
  <c r="AV15" i="17"/>
  <c r="AU17" i="17"/>
  <c r="AU18" i="17"/>
  <c r="AU19" i="17"/>
  <c r="AU20" i="17"/>
  <c r="AU21" i="17"/>
  <c r="AU22" i="17"/>
  <c r="AU23" i="17"/>
  <c r="AU24" i="17"/>
  <c r="AU25" i="17"/>
  <c r="AU26" i="17"/>
  <c r="AU27" i="17"/>
  <c r="AU28" i="17"/>
  <c r="AU29" i="17"/>
  <c r="AU30" i="17"/>
  <c r="AU31" i="17"/>
  <c r="AU32" i="17"/>
  <c r="AU34" i="17"/>
  <c r="AU38" i="17"/>
  <c r="AU39" i="17"/>
  <c r="AU41" i="17"/>
  <c r="AU33" i="17"/>
  <c r="AU35" i="17"/>
  <c r="AU36" i="17"/>
  <c r="AU37" i="17"/>
  <c r="AU40" i="17"/>
  <c r="AU42" i="17"/>
  <c r="M1505" i="23"/>
  <c r="N1505" i="23"/>
  <c r="AE1505" i="23" s="1"/>
  <c r="M1449" i="23"/>
  <c r="N1449" i="23"/>
  <c r="AE1449" i="23" s="1"/>
  <c r="N1393" i="23"/>
  <c r="AE1393" i="23" s="1"/>
  <c r="M1393" i="23"/>
  <c r="M1225" i="23"/>
  <c r="N1225" i="23"/>
  <c r="AE1225" i="23" s="1"/>
  <c r="M1169" i="23"/>
  <c r="N1169" i="23"/>
  <c r="AE1169" i="23" s="1"/>
  <c r="M1057" i="23"/>
  <c r="N1057" i="23"/>
  <c r="AE1057" i="23" s="1"/>
  <c r="N4074" i="22"/>
  <c r="U4074" i="22" s="1"/>
  <c r="M4074" i="22"/>
  <c r="M3612" i="22"/>
  <c r="N3612" i="22"/>
  <c r="U3612" i="22" s="1"/>
  <c r="M3396" i="22"/>
  <c r="N3396" i="22"/>
  <c r="U3396" i="22" s="1"/>
  <c r="M3342" i="22"/>
  <c r="N3342" i="22"/>
  <c r="U3342" i="22" s="1"/>
  <c r="N3288" i="22"/>
  <c r="U3288" i="22" s="1"/>
  <c r="M3288" i="22"/>
  <c r="N3234" i="22"/>
  <c r="U3234" i="22" s="1"/>
  <c r="M3234" i="22"/>
  <c r="M2964" i="22"/>
  <c r="N2964" i="22"/>
  <c r="U2964" i="22" s="1"/>
  <c r="M2694" i="22"/>
  <c r="N2694" i="22"/>
  <c r="U2694" i="22" s="1"/>
  <c r="M2640" i="22"/>
  <c r="N2640" i="22"/>
  <c r="U2640" i="22" s="1"/>
  <c r="M1938" i="22"/>
  <c r="N1938" i="22"/>
  <c r="U1938" i="22" s="1"/>
  <c r="M1668" i="22"/>
  <c r="N1668" i="22"/>
  <c r="U1668" i="22" s="1"/>
  <c r="M1614" i="22"/>
  <c r="N1614" i="22"/>
  <c r="U1614" i="22" s="1"/>
  <c r="M1398" i="22"/>
  <c r="N1398" i="22"/>
  <c r="U1398" i="22" s="1"/>
  <c r="M1344" i="22"/>
  <c r="N1344" i="22"/>
  <c r="U1344" i="22" s="1"/>
  <c r="M1290" i="22"/>
  <c r="N1290" i="22"/>
  <c r="U1290" i="22" s="1"/>
  <c r="M1236" i="22"/>
  <c r="N1236" i="22"/>
  <c r="U1236" i="22" s="1"/>
  <c r="M912" i="22"/>
  <c r="N912" i="22"/>
  <c r="U912" i="22" s="1"/>
  <c r="M588" i="22"/>
  <c r="N588" i="22"/>
  <c r="U588" i="22" s="1"/>
  <c r="M534" i="22"/>
  <c r="N534" i="22"/>
  <c r="U534" i="22" s="1"/>
  <c r="M264" i="22"/>
  <c r="N264" i="22"/>
  <c r="U264" i="22" s="1"/>
  <c r="M156" i="22"/>
  <c r="N156" i="22"/>
  <c r="U156" i="22" s="1"/>
  <c r="AE1617" i="23"/>
  <c r="AK1617" i="23"/>
  <c r="Q1642" i="23" s="1"/>
  <c r="E53" i="19" s="1"/>
  <c r="G53" i="19" s="1"/>
  <c r="F1506" i="23"/>
  <c r="K1506" i="23"/>
  <c r="F1450" i="23"/>
  <c r="K1450" i="23"/>
  <c r="K1394" i="23"/>
  <c r="F1394" i="23"/>
  <c r="F1170" i="23"/>
  <c r="K1170" i="23"/>
  <c r="F1058" i="23"/>
  <c r="K1058" i="23"/>
  <c r="F946" i="23"/>
  <c r="K946" i="23"/>
  <c r="K498" i="23"/>
  <c r="F498" i="23"/>
  <c r="F274" i="23"/>
  <c r="K274" i="23"/>
  <c r="K3721" i="22"/>
  <c r="F3721" i="22"/>
  <c r="O3721" i="22" s="1"/>
  <c r="F3667" i="22"/>
  <c r="O3667" i="22" s="1"/>
  <c r="K3667" i="22"/>
  <c r="F3343" i="22"/>
  <c r="O3343" i="22" s="1"/>
  <c r="K3343" i="22"/>
  <c r="F3289" i="22"/>
  <c r="O3289" i="22" s="1"/>
  <c r="K3289" i="22"/>
  <c r="K3235" i="22"/>
  <c r="F3235" i="22"/>
  <c r="O3235" i="22" s="1"/>
  <c r="F2965" i="22"/>
  <c r="O2965" i="22" s="1"/>
  <c r="K2965" i="22"/>
  <c r="K2857" i="22"/>
  <c r="F2857" i="22"/>
  <c r="O2857" i="22" s="1"/>
  <c r="K2641" i="22"/>
  <c r="F2641" i="22"/>
  <c r="O2641" i="22" s="1"/>
  <c r="F2587" i="22"/>
  <c r="O2587" i="22" s="1"/>
  <c r="K2587" i="22"/>
  <c r="F2533" i="22"/>
  <c r="O2533" i="22" s="1"/>
  <c r="K2533" i="22"/>
  <c r="K2209" i="22"/>
  <c r="F2209" i="22"/>
  <c r="O2209" i="22" s="1"/>
  <c r="F1939" i="22"/>
  <c r="O1939" i="22" s="1"/>
  <c r="K1939" i="22"/>
  <c r="K1885" i="22"/>
  <c r="F1885" i="22"/>
  <c r="O1885" i="22" s="1"/>
  <c r="K1561" i="22"/>
  <c r="F1561" i="22"/>
  <c r="O1561" i="22" s="1"/>
  <c r="K1399" i="22"/>
  <c r="F1399" i="22"/>
  <c r="O1399" i="22" s="1"/>
  <c r="K1237" i="22"/>
  <c r="F1237" i="22"/>
  <c r="O1237" i="22" s="1"/>
  <c r="K1183" i="22"/>
  <c r="F1183" i="22"/>
  <c r="O1183" i="22" s="1"/>
  <c r="K859" i="22"/>
  <c r="F859" i="22"/>
  <c r="O859" i="22" s="1"/>
  <c r="K589" i="22"/>
  <c r="F589" i="22"/>
  <c r="O589" i="22" s="1"/>
  <c r="K265" i="22"/>
  <c r="F265" i="22"/>
  <c r="O265" i="22" s="1"/>
  <c r="F157" i="22"/>
  <c r="O157" i="22" s="1"/>
  <c r="K157" i="22"/>
  <c r="F103" i="22"/>
  <c r="O103" i="22" s="1"/>
  <c r="K103" i="22"/>
  <c r="F40" i="18"/>
  <c r="G40" i="18"/>
  <c r="H40" i="18"/>
  <c r="AT41" i="17"/>
  <c r="K275" i="23" l="1"/>
  <c r="F275" i="23"/>
  <c r="F4238" i="22"/>
  <c r="O4238" i="22" s="1"/>
  <c r="K4238" i="22"/>
  <c r="K3776" i="22"/>
  <c r="F3776" i="22"/>
  <c r="O3776" i="22" s="1"/>
  <c r="K3722" i="22"/>
  <c r="F3722" i="22"/>
  <c r="O3722" i="22" s="1"/>
  <c r="BL71" i="22" s="1"/>
  <c r="K3452" i="22"/>
  <c r="F3452" i="22"/>
  <c r="O3452" i="22" s="1"/>
  <c r="K3128" i="22"/>
  <c r="F3128" i="22"/>
  <c r="O3128" i="22" s="1"/>
  <c r="K2318" i="22"/>
  <c r="F2318" i="22"/>
  <c r="O2318" i="22" s="1"/>
  <c r="K1994" i="22"/>
  <c r="F1994" i="22"/>
  <c r="O1994" i="22" s="1"/>
  <c r="K1724" i="22"/>
  <c r="F1724" i="22"/>
  <c r="O1724" i="22" s="1"/>
  <c r="K1454" i="22"/>
  <c r="F1454" i="22"/>
  <c r="O1454" i="22" s="1"/>
  <c r="K914" i="22"/>
  <c r="F914" i="22"/>
  <c r="O914" i="22" s="1"/>
  <c r="K428" i="22"/>
  <c r="F428" i="22"/>
  <c r="O428" i="22" s="1"/>
  <c r="K374" i="22"/>
  <c r="F374" i="22"/>
  <c r="O374"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s="1"/>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C1508" i="23"/>
  <c r="K1508" i="23" s="1"/>
  <c r="E1508" i="23"/>
  <c r="F1508" i="23"/>
  <c r="G1508" i="23"/>
  <c r="B1509" i="23"/>
  <c r="J1451" i="23"/>
  <c r="D1451" i="23"/>
  <c r="P1451" i="23"/>
  <c r="Q1451" i="23"/>
  <c r="R1451" i="23"/>
  <c r="X1451" i="23"/>
  <c r="AF1451" i="23"/>
  <c r="L1452" i="23"/>
  <c r="I1452" i="23"/>
  <c r="G1452" i="23"/>
  <c r="C1452" i="23"/>
  <c r="E1452" i="23"/>
  <c r="B1453" i="23"/>
  <c r="J1395" i="23"/>
  <c r="D1395" i="23"/>
  <c r="P1395" i="23"/>
  <c r="Q1395" i="23"/>
  <c r="R1395" i="23"/>
  <c r="X1395" i="23"/>
  <c r="AF1395" i="23"/>
  <c r="L1396" i="23"/>
  <c r="I1396" i="23"/>
  <c r="G1396" i="23"/>
  <c r="C1396" i="23"/>
  <c r="E1396" i="23"/>
  <c r="B1397" i="23"/>
  <c r="AD1338" i="23"/>
  <c r="J1339" i="23"/>
  <c r="D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s="1"/>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E1228" i="23"/>
  <c r="G1228" i="23"/>
  <c r="B1229" i="23"/>
  <c r="M1171" i="23"/>
  <c r="J1171" i="23"/>
  <c r="N1171" i="23" s="1"/>
  <c r="W1171" i="23" s="1"/>
  <c r="D1171" i="23"/>
  <c r="O1171" i="23"/>
  <c r="Y1171" i="23" s="1"/>
  <c r="AB1171" i="23"/>
  <c r="AC1171" i="23" s="1"/>
  <c r="P1171" i="23"/>
  <c r="Q1171" i="23"/>
  <c r="R1171" i="23"/>
  <c r="X1171" i="23"/>
  <c r="AF1171" i="23"/>
  <c r="L1172" i="23"/>
  <c r="I1172" i="23"/>
  <c r="G1172" i="23"/>
  <c r="C1172" i="23"/>
  <c r="E1172" i="23"/>
  <c r="B1173" i="23"/>
  <c r="AD1114" i="23"/>
  <c r="J1115" i="23"/>
  <c r="D1115" i="23"/>
  <c r="P1115" i="23"/>
  <c r="Q1115" i="23"/>
  <c r="R1115" i="23"/>
  <c r="AF1115" i="23"/>
  <c r="X1115" i="23"/>
  <c r="L1116" i="23"/>
  <c r="I1116" i="23"/>
  <c r="C1116" i="23"/>
  <c r="K1116" i="23" s="1"/>
  <c r="E1116" i="23"/>
  <c r="F1116" i="23"/>
  <c r="G1116" i="23"/>
  <c r="B1117" i="23"/>
  <c r="J1059" i="23"/>
  <c r="D1059" i="23"/>
  <c r="P1059" i="23"/>
  <c r="Q1059" i="23"/>
  <c r="R1059" i="23"/>
  <c r="X1059" i="23"/>
  <c r="AF1059" i="23"/>
  <c r="L1060" i="23"/>
  <c r="I1060" i="23"/>
  <c r="G1060" i="23"/>
  <c r="C1060" i="23"/>
  <c r="K1060" i="23" s="1"/>
  <c r="E1060" i="23"/>
  <c r="F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s="1"/>
  <c r="P947" i="23"/>
  <c r="Q947" i="23"/>
  <c r="R947" i="23"/>
  <c r="X947" i="23"/>
  <c r="AF947" i="23"/>
  <c r="L948" i="23"/>
  <c r="I948" i="23"/>
  <c r="C948" i="23"/>
  <c r="E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P723" i="23"/>
  <c r="Q723" i="23"/>
  <c r="R723" i="23"/>
  <c r="X723" i="23"/>
  <c r="AF723" i="23"/>
  <c r="L724" i="23"/>
  <c r="I724" i="23"/>
  <c r="C724" i="23"/>
  <c r="E724" i="23"/>
  <c r="G724" i="23"/>
  <c r="B725" i="23"/>
  <c r="J723" i="23"/>
  <c r="D723" i="23"/>
  <c r="AD666" i="23"/>
  <c r="J667" i="23"/>
  <c r="D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AD442" i="23"/>
  <c r="M443" i="23"/>
  <c r="J443" i="23"/>
  <c r="N443" i="23" s="1"/>
  <c r="W443" i="23" s="1"/>
  <c r="D443" i="23"/>
  <c r="O443" i="23"/>
  <c r="Y443" i="23" s="1"/>
  <c r="AB443" i="23"/>
  <c r="AC443" i="23" s="1"/>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P4754" i="22"/>
  <c r="Q4754" i="22"/>
  <c r="R4754" i="22"/>
  <c r="J4754" i="22"/>
  <c r="N4754" i="22" s="1"/>
  <c r="D4754" i="22"/>
  <c r="M4754" i="22"/>
  <c r="E4755" i="22"/>
  <c r="I4755" i="22"/>
  <c r="C4755" i="22"/>
  <c r="G4755" i="22"/>
  <c r="L4755" i="22"/>
  <c r="B4756" i="22"/>
  <c r="T4698" i="22"/>
  <c r="D29" i="15" s="1"/>
  <c r="U4699" i="22"/>
  <c r="S4699" i="22"/>
  <c r="T4699" i="22" s="1"/>
  <c r="D30" i="15" s="1"/>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E4539" i="22"/>
  <c r="G4539" i="22"/>
  <c r="I4539" i="22"/>
  <c r="B4540" i="22"/>
  <c r="D4238" i="22"/>
  <c r="J4238" i="22"/>
  <c r="N4238" i="22" s="1"/>
  <c r="U4238" i="22" s="1"/>
  <c r="P4238" i="22"/>
  <c r="R4238" i="22"/>
  <c r="Q4238" i="22"/>
  <c r="M4238" i="22"/>
  <c r="C4239" i="22"/>
  <c r="F4239" i="22" s="1"/>
  <c r="O4239" i="22" s="1"/>
  <c r="E4239" i="22"/>
  <c r="G4239" i="22"/>
  <c r="I4239" i="22"/>
  <c r="K4239" i="22"/>
  <c r="L4239" i="22"/>
  <c r="B4240" i="22"/>
  <c r="M4184" i="22"/>
  <c r="D4184" i="22"/>
  <c r="J4184" i="22"/>
  <c r="N4184" i="22" s="1"/>
  <c r="U4184" i="22" s="1"/>
  <c r="P4184" i="22"/>
  <c r="Q4184" i="22"/>
  <c r="R4184" i="22"/>
  <c r="L4185" i="22"/>
  <c r="C4185" i="22"/>
  <c r="E4185" i="22"/>
  <c r="G4185" i="22"/>
  <c r="I4185" i="22"/>
  <c r="B4186" i="22"/>
  <c r="D4130" i="22"/>
  <c r="J4130" i="22"/>
  <c r="N4130" i="22" s="1"/>
  <c r="U4130" i="22" s="1"/>
  <c r="P4130" i="22"/>
  <c r="Q4130" i="22"/>
  <c r="R4130" i="22"/>
  <c r="M4130" i="22"/>
  <c r="C4131" i="22"/>
  <c r="E4131" i="22"/>
  <c r="F4131" i="22"/>
  <c r="O4131" i="22" s="1"/>
  <c r="G4131" i="22"/>
  <c r="I4131" i="22"/>
  <c r="K4131" i="22"/>
  <c r="L4131" i="22"/>
  <c r="B4132" i="22"/>
  <c r="M4076" i="22"/>
  <c r="C4077" i="22"/>
  <c r="E4077" i="22"/>
  <c r="F4077" i="22"/>
  <c r="O4077" i="22" s="1"/>
  <c r="G4077" i="22"/>
  <c r="I4077" i="22"/>
  <c r="K4077" i="22"/>
  <c r="L4077" i="22"/>
  <c r="B4078" i="22"/>
  <c r="D4076" i="22"/>
  <c r="J4076" i="22"/>
  <c r="N4076" i="22" s="1"/>
  <c r="U4076" i="22" s="1"/>
  <c r="P4076" i="22"/>
  <c r="Q4076" i="22"/>
  <c r="R4076" i="22"/>
  <c r="U3775" i="22"/>
  <c r="AM72" i="22"/>
  <c r="AY72" i="22"/>
  <c r="M3776" i="22"/>
  <c r="D3776" i="22"/>
  <c r="J3776" i="22"/>
  <c r="N3776" i="22" s="1"/>
  <c r="P3776" i="22"/>
  <c r="Q3776" i="22"/>
  <c r="R3776" i="22"/>
  <c r="L3777" i="22"/>
  <c r="C3777" i="22"/>
  <c r="K3777" i="22" s="1"/>
  <c r="E3777" i="22"/>
  <c r="F3777" i="22"/>
  <c r="O3777" i="22" s="1"/>
  <c r="G3777" i="22"/>
  <c r="I3777" i="22"/>
  <c r="B3778" i="22"/>
  <c r="M3722" i="22"/>
  <c r="D3722" i="22"/>
  <c r="J3722" i="22"/>
  <c r="N3722" i="22" s="1"/>
  <c r="P3722" i="22"/>
  <c r="Q3722" i="22"/>
  <c r="R3722" i="22"/>
  <c r="L3723" i="22"/>
  <c r="C3723" i="22"/>
  <c r="E3723" i="22"/>
  <c r="G3723" i="22"/>
  <c r="I3723" i="22"/>
  <c r="B3724" i="22"/>
  <c r="M3668" i="22"/>
  <c r="D3668" i="22"/>
  <c r="J3668" i="22"/>
  <c r="N3668" i="22" s="1"/>
  <c r="P3668" i="22"/>
  <c r="Q3668" i="22"/>
  <c r="R3668" i="22"/>
  <c r="L3669" i="22"/>
  <c r="C3669" i="22"/>
  <c r="E3669" i="22"/>
  <c r="G3669" i="22"/>
  <c r="I3669" i="22"/>
  <c r="B3670" i="22"/>
  <c r="U3613" i="22"/>
  <c r="AM69" i="22"/>
  <c r="AY69" i="22"/>
  <c r="D3614" i="22"/>
  <c r="J3614" i="22"/>
  <c r="P3614" i="22"/>
  <c r="Q3614" i="22"/>
  <c r="R3614" i="22"/>
  <c r="L3615" i="22"/>
  <c r="C3615" i="22"/>
  <c r="K3615" i="22" s="1"/>
  <c r="E3615" i="22"/>
  <c r="F3615" i="22"/>
  <c r="O3615" i="22" s="1"/>
  <c r="BM69" i="22" s="1"/>
  <c r="G3615" i="22"/>
  <c r="I3615" i="22"/>
  <c r="B3616" i="22"/>
  <c r="U3559" i="22"/>
  <c r="AM68" i="22"/>
  <c r="AY68" i="22"/>
  <c r="L3561" i="22"/>
  <c r="C3561" i="22"/>
  <c r="K3561" i="22" s="1"/>
  <c r="E3561" i="22"/>
  <c r="F3561" i="22"/>
  <c r="O3561" i="22" s="1"/>
  <c r="BM68" i="22" s="1"/>
  <c r="G3561" i="22"/>
  <c r="I3561" i="22"/>
  <c r="B3562" i="22"/>
  <c r="D3560" i="22"/>
  <c r="J3560" i="22"/>
  <c r="P3560" i="22"/>
  <c r="Q3560" i="22"/>
  <c r="R3560" i="22"/>
  <c r="U3505" i="22"/>
  <c r="AM67" i="22"/>
  <c r="AY67" i="22"/>
  <c r="M3506" i="22"/>
  <c r="D3506" i="22"/>
  <c r="J3506" i="22"/>
  <c r="N3506" i="22" s="1"/>
  <c r="P3506" i="22"/>
  <c r="Q3506" i="22"/>
  <c r="R3506" i="22"/>
  <c r="L3507" i="22"/>
  <c r="C3507" i="22"/>
  <c r="K3507" i="22" s="1"/>
  <c r="E3507" i="22"/>
  <c r="F3507" i="22"/>
  <c r="O3507" i="22" s="1"/>
  <c r="BM67" i="22" s="1"/>
  <c r="G3507" i="22"/>
  <c r="I3507" i="22"/>
  <c r="B3508" i="22"/>
  <c r="U3451" i="22"/>
  <c r="AM66" i="22"/>
  <c r="AY66" i="22"/>
  <c r="M3452" i="22"/>
  <c r="D3452" i="22"/>
  <c r="J3452" i="22"/>
  <c r="N3452" i="22" s="1"/>
  <c r="P3452" i="22"/>
  <c r="Q3452" i="22"/>
  <c r="R3452" i="22"/>
  <c r="L3453" i="22"/>
  <c r="C3453" i="22"/>
  <c r="K3453" i="22" s="1"/>
  <c r="E3453" i="22"/>
  <c r="F3453" i="22"/>
  <c r="O3453" i="22" s="1"/>
  <c r="G3453" i="22"/>
  <c r="I3453" i="22"/>
  <c r="B3454" i="22"/>
  <c r="U3397" i="22"/>
  <c r="AM65" i="22"/>
  <c r="AY65" i="22"/>
  <c r="D3398" i="22"/>
  <c r="M3398" i="22" s="1"/>
  <c r="J3398" i="22"/>
  <c r="P3398" i="22"/>
  <c r="Q3398" i="22"/>
  <c r="R3398" i="22"/>
  <c r="L3399" i="22"/>
  <c r="C3399" i="22"/>
  <c r="K3399" i="22" s="1"/>
  <c r="E3399" i="22"/>
  <c r="F3399" i="22"/>
  <c r="O3399" i="22" s="1"/>
  <c r="G3399" i="22"/>
  <c r="I3399" i="22"/>
  <c r="B3400" i="22"/>
  <c r="M3344" i="22"/>
  <c r="D3344" i="22"/>
  <c r="J3344" i="22"/>
  <c r="N3344" i="22" s="1"/>
  <c r="P3344" i="22"/>
  <c r="Q3344" i="22"/>
  <c r="R3344" i="22"/>
  <c r="L3345" i="22"/>
  <c r="C3345" i="22"/>
  <c r="K3345" i="22" s="1"/>
  <c r="E3345" i="22"/>
  <c r="F3345" i="22"/>
  <c r="O3345" i="22" s="1"/>
  <c r="G3345" i="22"/>
  <c r="I3345" i="22"/>
  <c r="B3346" i="22"/>
  <c r="P3290" i="22"/>
  <c r="Q3290" i="22"/>
  <c r="R3290" i="22"/>
  <c r="L3291" i="22"/>
  <c r="C3291" i="22"/>
  <c r="I3291" i="22"/>
  <c r="E3291" i="22"/>
  <c r="G3291" i="22"/>
  <c r="B3292" i="22"/>
  <c r="D3290" i="22"/>
  <c r="J3290" i="22"/>
  <c r="L3237" i="22"/>
  <c r="B3238" i="22"/>
  <c r="I3237" i="22"/>
  <c r="G3237" i="22"/>
  <c r="C3237" i="22"/>
  <c r="K3237" i="22" s="1"/>
  <c r="E3237" i="22"/>
  <c r="F3237" i="22"/>
  <c r="O3237" i="22" s="1"/>
  <c r="BM62" i="22" s="1"/>
  <c r="P3236" i="22"/>
  <c r="Q3236" i="22"/>
  <c r="R3236" i="22"/>
  <c r="J3236" i="22"/>
  <c r="D3236" i="22"/>
  <c r="U3181" i="22"/>
  <c r="AM61" i="22"/>
  <c r="AY61" i="22"/>
  <c r="M3182" i="22"/>
  <c r="D3182" i="22"/>
  <c r="J3182" i="22"/>
  <c r="N3182" i="22" s="1"/>
  <c r="P3182" i="22"/>
  <c r="Q3182" i="22"/>
  <c r="R3182" i="22"/>
  <c r="L3183" i="22"/>
  <c r="C3183" i="22"/>
  <c r="E3183" i="22"/>
  <c r="G3183" i="22"/>
  <c r="I3183" i="22"/>
  <c r="B3184" i="22"/>
  <c r="U3127" i="22"/>
  <c r="AM60" i="22"/>
  <c r="AY60" i="22"/>
  <c r="M3128" i="22"/>
  <c r="D3128" i="22"/>
  <c r="J3128" i="22"/>
  <c r="N3128" i="22" s="1"/>
  <c r="P3128" i="22"/>
  <c r="Q3128" i="22"/>
  <c r="R3128" i="22"/>
  <c r="L3129" i="22"/>
  <c r="C3129" i="22"/>
  <c r="K3129" i="22" s="1"/>
  <c r="E3129" i="22"/>
  <c r="F3129" i="22"/>
  <c r="O3129" i="22" s="1"/>
  <c r="BM60" i="22" s="1"/>
  <c r="G3129" i="22"/>
  <c r="I3129" i="22"/>
  <c r="B3130" i="22"/>
  <c r="U3073" i="22"/>
  <c r="AM59" i="22"/>
  <c r="AY59" i="22"/>
  <c r="M3074" i="22"/>
  <c r="D3074" i="22"/>
  <c r="J3074" i="22"/>
  <c r="N3074" i="22" s="1"/>
  <c r="P3074" i="22"/>
  <c r="Q3074" i="22"/>
  <c r="R3074" i="22"/>
  <c r="L3075" i="22"/>
  <c r="C3075" i="22"/>
  <c r="K3075" i="22" s="1"/>
  <c r="E3075" i="22"/>
  <c r="F3075" i="22"/>
  <c r="O3075" i="22" s="1"/>
  <c r="G3075" i="22"/>
  <c r="I3075" i="22"/>
  <c r="B3076" i="22"/>
  <c r="U3019" i="22"/>
  <c r="AM58" i="22"/>
  <c r="AY58" i="22"/>
  <c r="M3020" i="22"/>
  <c r="D3020" i="22"/>
  <c r="J3020" i="22"/>
  <c r="N3020" i="22" s="1"/>
  <c r="P3020" i="22"/>
  <c r="Q3020" i="22"/>
  <c r="R3020" i="22"/>
  <c r="L3021" i="22"/>
  <c r="C3021" i="22"/>
  <c r="K3021" i="22" s="1"/>
  <c r="E3021" i="22"/>
  <c r="F3021" i="22"/>
  <c r="O3021" i="22" s="1"/>
  <c r="G3021" i="22"/>
  <c r="I3021" i="22"/>
  <c r="B3022" i="22"/>
  <c r="M2966" i="22"/>
  <c r="D2966" i="22"/>
  <c r="J2966" i="22"/>
  <c r="N2966" i="22" s="1"/>
  <c r="P2966" i="22"/>
  <c r="Q2966" i="22"/>
  <c r="R2966" i="22"/>
  <c r="L2967" i="22"/>
  <c r="C2967" i="22"/>
  <c r="K2967" i="22" s="1"/>
  <c r="E2967" i="22"/>
  <c r="F2967" i="22"/>
  <c r="O2967" i="22" s="1"/>
  <c r="G2967" i="22"/>
  <c r="I2967" i="22"/>
  <c r="B2968" i="22"/>
  <c r="U2911" i="22"/>
  <c r="AM56" i="22"/>
  <c r="AY56" i="22"/>
  <c r="D2912" i="22"/>
  <c r="J2912" i="22"/>
  <c r="P2912" i="22"/>
  <c r="Q2912" i="22"/>
  <c r="R2912" i="22"/>
  <c r="L2913" i="22"/>
  <c r="C2913" i="22"/>
  <c r="E2913" i="22"/>
  <c r="G2913" i="22"/>
  <c r="I2913" i="22"/>
  <c r="B2914" i="22"/>
  <c r="D2858" i="22"/>
  <c r="J2858" i="22"/>
  <c r="P2858" i="22"/>
  <c r="Q2858" i="22"/>
  <c r="R2858" i="22"/>
  <c r="L2859" i="22"/>
  <c r="C2859" i="22"/>
  <c r="E2859" i="22"/>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BM54" i="22" s="1"/>
  <c r="G2805" i="22"/>
  <c r="I2805" i="22"/>
  <c r="B2806" i="22"/>
  <c r="U2749" i="22"/>
  <c r="AM53" i="22"/>
  <c r="AY53" i="22"/>
  <c r="M2750" i="22"/>
  <c r="D2750" i="22"/>
  <c r="J2750" i="22"/>
  <c r="N2750" i="22" s="1"/>
  <c r="P2750" i="22"/>
  <c r="Q2750" i="22"/>
  <c r="R2750" i="22"/>
  <c r="L2751" i="22"/>
  <c r="C2751" i="22"/>
  <c r="E2751" i="22"/>
  <c r="G2751" i="22"/>
  <c r="I2751" i="22"/>
  <c r="B2752" i="22"/>
  <c r="U2695" i="22"/>
  <c r="AM52" i="22"/>
  <c r="AY52" i="22"/>
  <c r="M2696" i="22"/>
  <c r="L2697" i="22"/>
  <c r="C2697" i="22"/>
  <c r="K2697" i="22" s="1"/>
  <c r="E2697" i="22"/>
  <c r="F2697" i="22"/>
  <c r="O2697" i="22" s="1"/>
  <c r="G2697" i="22"/>
  <c r="I2697" i="22"/>
  <c r="B2698" i="22"/>
  <c r="D2696" i="22"/>
  <c r="J2696" i="22"/>
  <c r="N2696" i="22" s="1"/>
  <c r="P2696" i="22"/>
  <c r="Q2696" i="22"/>
  <c r="R2696" i="22"/>
  <c r="P2642" i="22"/>
  <c r="Q2642" i="22"/>
  <c r="R2642" i="22"/>
  <c r="L2643" i="22"/>
  <c r="G2643" i="22"/>
  <c r="I2643" i="22"/>
  <c r="C2643" i="22"/>
  <c r="E2643" i="22"/>
  <c r="B2644" i="22"/>
  <c r="D2642" i="22"/>
  <c r="J2642" i="22"/>
  <c r="M2588" i="22"/>
  <c r="D2588" i="22"/>
  <c r="J2588" i="22"/>
  <c r="N2588" i="22" s="1"/>
  <c r="P2588" i="22"/>
  <c r="Q2588" i="22"/>
  <c r="R2588" i="22"/>
  <c r="L2589" i="22"/>
  <c r="C2589" i="22"/>
  <c r="K2589" i="22" s="1"/>
  <c r="E2589" i="22"/>
  <c r="F2589" i="22"/>
  <c r="O2589" i="22" s="1"/>
  <c r="G2589" i="22"/>
  <c r="I2589" i="22"/>
  <c r="B2590" i="22"/>
  <c r="D2534" i="22"/>
  <c r="J2534" i="22"/>
  <c r="P2534" i="22"/>
  <c r="Q2534" i="22"/>
  <c r="R2534" i="22"/>
  <c r="L2535" i="22"/>
  <c r="C2535" i="22"/>
  <c r="E2535" i="22"/>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E2427" i="22"/>
  <c r="G2427" i="22"/>
  <c r="I2427" i="22"/>
  <c r="B2428" i="22"/>
  <c r="U2371" i="22"/>
  <c r="AM46" i="22"/>
  <c r="AY46" i="22"/>
  <c r="M2372" i="22"/>
  <c r="D2372" i="22"/>
  <c r="J2372" i="22"/>
  <c r="N2372" i="22" s="1"/>
  <c r="P2372" i="22"/>
  <c r="Q2372" i="22"/>
  <c r="R2372" i="22"/>
  <c r="L2373" i="22"/>
  <c r="C2373" i="22"/>
  <c r="E2373" i="22"/>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U2263" i="22"/>
  <c r="AM44" i="22"/>
  <c r="AY44" i="22"/>
  <c r="D2264" i="22"/>
  <c r="J2264" i="22"/>
  <c r="P2264" i="22"/>
  <c r="Q2264" i="22"/>
  <c r="R2264" i="22"/>
  <c r="L2265" i="22"/>
  <c r="C2265" i="22"/>
  <c r="K2265" i="22" s="1"/>
  <c r="E2265" i="22"/>
  <c r="F2265" i="22"/>
  <c r="O2265" i="22" s="1"/>
  <c r="BM44" i="22" s="1"/>
  <c r="G2265" i="22"/>
  <c r="I2265" i="22"/>
  <c r="B2266" i="22"/>
  <c r="D2210" i="22"/>
  <c r="J2210" i="22"/>
  <c r="P2210" i="22"/>
  <c r="Q2210" i="22"/>
  <c r="R2210" i="22"/>
  <c r="L2211" i="22"/>
  <c r="C2211" i="22"/>
  <c r="E2211" i="22"/>
  <c r="G2211" i="22"/>
  <c r="I2211" i="22"/>
  <c r="B2212" i="22"/>
  <c r="U2155" i="22"/>
  <c r="AM42" i="22"/>
  <c r="AY42" i="22"/>
  <c r="M2156" i="22"/>
  <c r="D2156" i="22"/>
  <c r="J2156" i="22"/>
  <c r="N2156" i="22" s="1"/>
  <c r="P2156" i="22"/>
  <c r="Q2156" i="22"/>
  <c r="R2156" i="22"/>
  <c r="L2157" i="22"/>
  <c r="C2157" i="22"/>
  <c r="K2157" i="22" s="1"/>
  <c r="E2157" i="22"/>
  <c r="F2157" i="22"/>
  <c r="O2157" i="22" s="1"/>
  <c r="BM42"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M1940" i="22"/>
  <c r="D1940" i="22"/>
  <c r="J1940" i="22"/>
  <c r="N1940" i="22" s="1"/>
  <c r="P1940" i="22"/>
  <c r="Q1940" i="22"/>
  <c r="R1940" i="22"/>
  <c r="L1941" i="22"/>
  <c r="C1941" i="22"/>
  <c r="E1941" i="22"/>
  <c r="G1941" i="22"/>
  <c r="I1941" i="22"/>
  <c r="B1942" i="22"/>
  <c r="M1886" i="22"/>
  <c r="D1886" i="22"/>
  <c r="J1886" i="22"/>
  <c r="N1886" i="22" s="1"/>
  <c r="P1886" i="22"/>
  <c r="Q1886" i="22"/>
  <c r="R1886" i="22"/>
  <c r="L1887" i="22"/>
  <c r="C1887" i="22"/>
  <c r="E1887" i="22"/>
  <c r="G1887" i="22"/>
  <c r="I1887" i="22"/>
  <c r="B1888" i="22"/>
  <c r="U1831" i="22"/>
  <c r="AM36" i="22"/>
  <c r="AY36"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M1724" i="22"/>
  <c r="D1724" i="22"/>
  <c r="J1724" i="22"/>
  <c r="N1724" i="22" s="1"/>
  <c r="P1724" i="22"/>
  <c r="Q1724" i="22"/>
  <c r="R1724" i="22"/>
  <c r="L1725" i="22"/>
  <c r="C1725" i="22"/>
  <c r="K1725" i="22" s="1"/>
  <c r="E1725" i="22"/>
  <c r="F1725" i="22"/>
  <c r="O1725" i="22" s="1"/>
  <c r="G1725" i="22"/>
  <c r="I1725" i="22"/>
  <c r="B1726" i="22"/>
  <c r="U1669" i="22"/>
  <c r="AM33" i="22"/>
  <c r="AY33" i="22"/>
  <c r="M1670" i="22"/>
  <c r="D1670" i="22"/>
  <c r="J1670" i="22"/>
  <c r="N1670" i="22" s="1"/>
  <c r="P1670" i="22"/>
  <c r="Q1670" i="22"/>
  <c r="R1670" i="22"/>
  <c r="L1671" i="22"/>
  <c r="C1671" i="22"/>
  <c r="E1671" i="22"/>
  <c r="G1671" i="22"/>
  <c r="I1671" i="22"/>
  <c r="B1672" i="22"/>
  <c r="U1615" i="22"/>
  <c r="AM32" i="22"/>
  <c r="AY32" i="22"/>
  <c r="M1616" i="22"/>
  <c r="D1616" i="22"/>
  <c r="J1616" i="22"/>
  <c r="N1616" i="22" s="1"/>
  <c r="P1616" i="22"/>
  <c r="Q1616" i="22"/>
  <c r="R1616" i="22"/>
  <c r="L1617" i="22"/>
  <c r="C1617" i="22"/>
  <c r="E1617" i="22"/>
  <c r="G1617" i="22"/>
  <c r="I1617" i="22"/>
  <c r="B1618" i="22"/>
  <c r="M1562" i="22"/>
  <c r="D1562" i="22"/>
  <c r="J1562" i="22"/>
  <c r="N1562" i="22" s="1"/>
  <c r="P1562" i="22"/>
  <c r="Q1562" i="22"/>
  <c r="R1562" i="22"/>
  <c r="L1563" i="22"/>
  <c r="C1563" i="22"/>
  <c r="E1563" i="22"/>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M1400" i="22"/>
  <c r="D1400" i="22"/>
  <c r="J1400" i="22"/>
  <c r="N1400" i="22" s="1"/>
  <c r="P1400" i="22"/>
  <c r="Q1400" i="22"/>
  <c r="R1400" i="22"/>
  <c r="L1401" i="22"/>
  <c r="E1401" i="22"/>
  <c r="G1401" i="22"/>
  <c r="C1401" i="22"/>
  <c r="K1401" i="22" s="1"/>
  <c r="F1401" i="22"/>
  <c r="O1401" i="22" s="1"/>
  <c r="I1401" i="22"/>
  <c r="B1402" i="22"/>
  <c r="U1345" i="22"/>
  <c r="AM27" i="22"/>
  <c r="AY27" i="22"/>
  <c r="M1346" i="22"/>
  <c r="L1347" i="22"/>
  <c r="G1347" i="22"/>
  <c r="B1348" i="22"/>
  <c r="C1347" i="22"/>
  <c r="E1347" i="22"/>
  <c r="I1347" i="22"/>
  <c r="J1346" i="22"/>
  <c r="N1346" i="22" s="1"/>
  <c r="D1346" i="22"/>
  <c r="P1346" i="22"/>
  <c r="Q1346" i="22"/>
  <c r="R1346" i="22"/>
  <c r="U1291" i="22"/>
  <c r="AM26" i="22"/>
  <c r="AY26" i="22"/>
  <c r="M1292" i="22"/>
  <c r="D1292" i="22"/>
  <c r="J1292" i="22"/>
  <c r="N1292" i="22" s="1"/>
  <c r="P1292" i="22"/>
  <c r="Q1292" i="22"/>
  <c r="R1292" i="22"/>
  <c r="L1293" i="22"/>
  <c r="C1293" i="22"/>
  <c r="E1293" i="22"/>
  <c r="G1293" i="22"/>
  <c r="I1293" i="22"/>
  <c r="B1294" i="22"/>
  <c r="D1238" i="22"/>
  <c r="J1238" i="22"/>
  <c r="P1238" i="22"/>
  <c r="Q1238" i="22"/>
  <c r="R1238" i="22"/>
  <c r="L1239" i="22"/>
  <c r="C1239" i="22"/>
  <c r="K1239" i="22" s="1"/>
  <c r="E1239" i="22"/>
  <c r="F1239" i="22"/>
  <c r="O1239" i="22" s="1"/>
  <c r="BM25" i="22" s="1"/>
  <c r="G1239" i="22"/>
  <c r="I1239" i="22"/>
  <c r="B1240" i="22"/>
  <c r="M1184" i="22"/>
  <c r="D1184" i="22"/>
  <c r="J1184" i="22"/>
  <c r="N1184" i="22" s="1"/>
  <c r="C92" i="7"/>
  <c r="BL24" i="22"/>
  <c r="P1184" i="22"/>
  <c r="Q1184" i="22"/>
  <c r="R1184" i="22"/>
  <c r="L1185" i="22"/>
  <c r="C1185" i="22"/>
  <c r="K1185" i="22" s="1"/>
  <c r="E1185" i="22"/>
  <c r="F1185" i="22"/>
  <c r="O1185" i="22" s="1"/>
  <c r="G1185" i="22"/>
  <c r="I1185" i="22"/>
  <c r="B1186" i="22"/>
  <c r="B122" i="7"/>
  <c r="B60" i="7"/>
  <c r="U1129" i="22"/>
  <c r="AM23" i="22"/>
  <c r="AY23" i="22"/>
  <c r="M1130" i="22"/>
  <c r="D1130" i="22"/>
  <c r="J1130" i="22"/>
  <c r="N1130" i="22" s="1"/>
  <c r="C91" i="7"/>
  <c r="BL23" i="22"/>
  <c r="P1130" i="22"/>
  <c r="Q1130" i="22"/>
  <c r="R1130" i="22"/>
  <c r="L1131" i="22"/>
  <c r="C1131" i="22"/>
  <c r="K1131" i="22" s="1"/>
  <c r="E1131" i="22"/>
  <c r="F1131" i="22"/>
  <c r="O1131" i="22" s="1"/>
  <c r="G1131" i="22"/>
  <c r="I1131" i="22"/>
  <c r="B1132" i="22"/>
  <c r="B121" i="7"/>
  <c r="B59" i="7"/>
  <c r="U1075" i="22"/>
  <c r="AM22" i="22"/>
  <c r="AY22" i="22"/>
  <c r="M1076" i="22"/>
  <c r="D1076" i="22"/>
  <c r="J1076" i="22"/>
  <c r="N1076" i="22" s="1"/>
  <c r="C90" i="7"/>
  <c r="BL22" i="22"/>
  <c r="P1076" i="22"/>
  <c r="Q1076" i="22"/>
  <c r="R1076" i="22"/>
  <c r="L1077" i="22"/>
  <c r="C1077" i="22"/>
  <c r="K1077" i="22" s="1"/>
  <c r="E1077" i="22"/>
  <c r="F1077" i="22"/>
  <c r="O1077" i="22" s="1"/>
  <c r="G1077" i="22"/>
  <c r="I1077" i="22"/>
  <c r="B1078" i="22"/>
  <c r="B120" i="7"/>
  <c r="B58" i="7"/>
  <c r="U1021" i="22"/>
  <c r="AM21" i="22"/>
  <c r="AY21" i="22"/>
  <c r="M1022" i="22"/>
  <c r="D1022" i="22"/>
  <c r="J1022" i="22"/>
  <c r="N1022" i="22" s="1"/>
  <c r="C89" i="7"/>
  <c r="BL21" i="22"/>
  <c r="P1022" i="22"/>
  <c r="Q1022" i="22"/>
  <c r="R1022" i="22"/>
  <c r="L1023" i="22"/>
  <c r="C1023" i="22"/>
  <c r="E1023" i="22"/>
  <c r="G1023" i="22"/>
  <c r="I1023" i="22"/>
  <c r="B1024" i="22"/>
  <c r="B119" i="7"/>
  <c r="B57" i="7"/>
  <c r="U967" i="22"/>
  <c r="AM20" i="22"/>
  <c r="AY20" i="22"/>
  <c r="M968" i="22"/>
  <c r="D968" i="22"/>
  <c r="J968" i="22"/>
  <c r="N968" i="22" s="1"/>
  <c r="C88" i="7"/>
  <c r="BL20" i="22"/>
  <c r="P968" i="22"/>
  <c r="Q968" i="22"/>
  <c r="R968" i="22"/>
  <c r="L969" i="22"/>
  <c r="C969" i="22"/>
  <c r="E969" i="22"/>
  <c r="G969" i="22"/>
  <c r="I969" i="22"/>
  <c r="B970" i="22"/>
  <c r="B118" i="7"/>
  <c r="B56" i="7"/>
  <c r="U913" i="22"/>
  <c r="AM19" i="22"/>
  <c r="AY19" i="22"/>
  <c r="M914" i="22"/>
  <c r="D914" i="22"/>
  <c r="J914" i="22"/>
  <c r="N914" i="22" s="1"/>
  <c r="C87" i="7"/>
  <c r="BL19" i="22"/>
  <c r="P914" i="22"/>
  <c r="Q914" i="22"/>
  <c r="R914" i="22"/>
  <c r="L915" i="22"/>
  <c r="C915" i="22"/>
  <c r="K915" i="22" s="1"/>
  <c r="E915" i="22"/>
  <c r="F915" i="22"/>
  <c r="O915" i="22" s="1"/>
  <c r="G915" i="22"/>
  <c r="I915" i="22"/>
  <c r="B916" i="22"/>
  <c r="D860" i="22"/>
  <c r="J860" i="22"/>
  <c r="P860" i="22"/>
  <c r="Q860" i="22"/>
  <c r="R860" i="22"/>
  <c r="L861" i="22"/>
  <c r="C861" i="22"/>
  <c r="K861" i="22" s="1"/>
  <c r="E861" i="22"/>
  <c r="F861" i="22"/>
  <c r="O861" i="22" s="1"/>
  <c r="G861" i="22"/>
  <c r="I861" i="22"/>
  <c r="B862" i="22"/>
  <c r="B116" i="7"/>
  <c r="B54" i="7"/>
  <c r="U805" i="22"/>
  <c r="AM17" i="22"/>
  <c r="AY17" i="22"/>
  <c r="M806" i="22"/>
  <c r="D806" i="22"/>
  <c r="J806" i="22"/>
  <c r="N806" i="22" s="1"/>
  <c r="C85" i="7"/>
  <c r="BL17" i="22"/>
  <c r="P806" i="22"/>
  <c r="Q806" i="22"/>
  <c r="R806" i="22"/>
  <c r="L807" i="22"/>
  <c r="C807" i="22"/>
  <c r="K807" i="22" s="1"/>
  <c r="E807" i="22"/>
  <c r="F807" i="22"/>
  <c r="O807" i="22" s="1"/>
  <c r="G807" i="22"/>
  <c r="I807" i="22"/>
  <c r="B808" i="22"/>
  <c r="B115" i="7"/>
  <c r="B53" i="7"/>
  <c r="U751" i="22"/>
  <c r="AM16" i="22"/>
  <c r="AY16" i="22"/>
  <c r="M752" i="22"/>
  <c r="D752" i="22"/>
  <c r="J752" i="22"/>
  <c r="N752" i="22" s="1"/>
  <c r="C84" i="7"/>
  <c r="BL16" i="22"/>
  <c r="P752" i="22"/>
  <c r="Q752" i="22"/>
  <c r="R752" i="22"/>
  <c r="L753" i="22"/>
  <c r="C753" i="22"/>
  <c r="K753" i="22" s="1"/>
  <c r="E753" i="22"/>
  <c r="F753" i="22"/>
  <c r="O753" i="22" s="1"/>
  <c r="G753" i="22"/>
  <c r="I753" i="22"/>
  <c r="B754" i="22"/>
  <c r="B114" i="7"/>
  <c r="B52" i="7"/>
  <c r="U697" i="22"/>
  <c r="AM15" i="22"/>
  <c r="AY15" i="22"/>
  <c r="M698" i="22"/>
  <c r="D698" i="22"/>
  <c r="J698" i="22"/>
  <c r="N698" i="22" s="1"/>
  <c r="C83" i="7"/>
  <c r="BL15"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E645" i="22"/>
  <c r="G645" i="22"/>
  <c r="I645" i="22"/>
  <c r="B646" i="22"/>
  <c r="D590" i="22"/>
  <c r="J590" i="22"/>
  <c r="P590" i="22"/>
  <c r="Q590" i="22"/>
  <c r="R590" i="22"/>
  <c r="L591" i="22"/>
  <c r="C591" i="22"/>
  <c r="K591" i="22" s="1"/>
  <c r="E591" i="22"/>
  <c r="F591" i="22"/>
  <c r="O591" i="22" s="1"/>
  <c r="G591" i="22"/>
  <c r="I591" i="22"/>
  <c r="B592" i="22"/>
  <c r="B111" i="7"/>
  <c r="B49" i="7"/>
  <c r="U535" i="22"/>
  <c r="AM12" i="22"/>
  <c r="AY12" i="22"/>
  <c r="D536" i="22"/>
  <c r="J536" i="22"/>
  <c r="P536" i="22"/>
  <c r="Q536" i="22"/>
  <c r="R536" i="22"/>
  <c r="L537" i="22"/>
  <c r="C537" i="22"/>
  <c r="E537" i="22"/>
  <c r="G537" i="22"/>
  <c r="I537" i="22"/>
  <c r="B538" i="22"/>
  <c r="B110" i="7"/>
  <c r="B48" i="7"/>
  <c r="U481" i="22"/>
  <c r="AM11" i="22"/>
  <c r="AY11" i="22"/>
  <c r="M482" i="22"/>
  <c r="D482" i="22"/>
  <c r="J482" i="22"/>
  <c r="N482" i="22" s="1"/>
  <c r="C79" i="7"/>
  <c r="BL11" i="22"/>
  <c r="P482" i="22"/>
  <c r="Q482" i="22"/>
  <c r="R482" i="22"/>
  <c r="L483" i="22"/>
  <c r="C483" i="22"/>
  <c r="K483" i="22" s="1"/>
  <c r="E483" i="22"/>
  <c r="F483" i="22"/>
  <c r="O483" i="22" s="1"/>
  <c r="G483" i="22"/>
  <c r="I483" i="22"/>
  <c r="B484" i="22"/>
  <c r="B109" i="7"/>
  <c r="B47" i="7"/>
  <c r="U427" i="22"/>
  <c r="AM10" i="22"/>
  <c r="AY10" i="22"/>
  <c r="M428" i="22"/>
  <c r="D428" i="22"/>
  <c r="J428" i="22"/>
  <c r="N428" i="22" s="1"/>
  <c r="C78" i="7"/>
  <c r="BL10" i="22"/>
  <c r="P428" i="22"/>
  <c r="Q428" i="22"/>
  <c r="R428" i="22"/>
  <c r="L429" i="22"/>
  <c r="C429" i="22"/>
  <c r="K429" i="22" s="1"/>
  <c r="E429" i="22"/>
  <c r="F429" i="22"/>
  <c r="O429" i="22" s="1"/>
  <c r="G429" i="22"/>
  <c r="B430" i="22"/>
  <c r="I429" i="22"/>
  <c r="B108" i="7"/>
  <c r="B46" i="7"/>
  <c r="U373" i="22"/>
  <c r="AM9" i="22"/>
  <c r="AY9" i="22"/>
  <c r="M374" i="22"/>
  <c r="D374" i="22"/>
  <c r="J374" i="22"/>
  <c r="N374" i="22" s="1"/>
  <c r="C77" i="7"/>
  <c r="BL9" i="22"/>
  <c r="P374" i="22"/>
  <c r="Q374" i="22"/>
  <c r="R374" i="22"/>
  <c r="L375" i="22"/>
  <c r="C375" i="22"/>
  <c r="K375" i="22" s="1"/>
  <c r="E375" i="22"/>
  <c r="F375" i="22"/>
  <c r="O375" i="22" s="1"/>
  <c r="G375" i="22"/>
  <c r="I375" i="22"/>
  <c r="B376" i="22"/>
  <c r="B45" i="7"/>
  <c r="B107" i="7"/>
  <c r="U319" i="22"/>
  <c r="AM8" i="22"/>
  <c r="AY8" i="22"/>
  <c r="M320" i="22"/>
  <c r="D320" i="22"/>
  <c r="J320" i="22"/>
  <c r="N320" i="22" s="1"/>
  <c r="C76" i="7"/>
  <c r="BL8" i="22"/>
  <c r="P320" i="22"/>
  <c r="Q320" i="22"/>
  <c r="R320" i="22"/>
  <c r="L321" i="22"/>
  <c r="C321" i="22"/>
  <c r="E321" i="22"/>
  <c r="G321" i="22"/>
  <c r="I321" i="22"/>
  <c r="B322" i="22"/>
  <c r="M266" i="22"/>
  <c r="D266" i="22"/>
  <c r="J266" i="22"/>
  <c r="N266" i="22" s="1"/>
  <c r="P266" i="22"/>
  <c r="Q266" i="22"/>
  <c r="R266" i="22"/>
  <c r="L267" i="22"/>
  <c r="C267" i="22"/>
  <c r="K267" i="22" s="1"/>
  <c r="E267" i="22"/>
  <c r="F267" i="22"/>
  <c r="O267" i="22" s="1"/>
  <c r="G267" i="22"/>
  <c r="I267" i="22"/>
  <c r="B268" i="22"/>
  <c r="B105" i="7"/>
  <c r="B43" i="7"/>
  <c r="U211" i="22"/>
  <c r="AM6" i="22"/>
  <c r="AY6" i="22"/>
  <c r="D212" i="22"/>
  <c r="J212" i="22"/>
  <c r="P212" i="22"/>
  <c r="Q212" i="22"/>
  <c r="R212" i="22"/>
  <c r="L213" i="22"/>
  <c r="C213" i="22"/>
  <c r="K213" i="22" s="1"/>
  <c r="E213" i="22"/>
  <c r="F213" i="22"/>
  <c r="O213" i="22" s="1"/>
  <c r="G213" i="22"/>
  <c r="I213" i="22"/>
  <c r="B214" i="22"/>
  <c r="P158" i="22"/>
  <c r="Q158" i="22"/>
  <c r="R158" i="22"/>
  <c r="J158" i="22"/>
  <c r="D158" i="22"/>
  <c r="L159" i="22"/>
  <c r="E159" i="22"/>
  <c r="G159" i="22"/>
  <c r="C159" i="22"/>
  <c r="K159" i="22" s="1"/>
  <c r="F159" i="22"/>
  <c r="O159" i="22" s="1"/>
  <c r="I159" i="22"/>
  <c r="B160" i="22"/>
  <c r="J104" i="22"/>
  <c r="D104" i="22"/>
  <c r="P104" i="22"/>
  <c r="Q104" i="22"/>
  <c r="R104" i="22"/>
  <c r="L105" i="22"/>
  <c r="E105" i="22"/>
  <c r="G105" i="22"/>
  <c r="B106" i="22"/>
  <c r="I105" i="22"/>
  <c r="C105" i="22"/>
  <c r="K105" i="22" s="1"/>
  <c r="F105" i="22"/>
  <c r="O105" i="22" s="1"/>
  <c r="G92" i="12"/>
  <c r="M42" i="17"/>
  <c r="D42" i="17"/>
  <c r="J42" i="17"/>
  <c r="N42" i="17" s="1"/>
  <c r="N94" i="12"/>
  <c r="O42" i="17"/>
  <c r="E94" i="12"/>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G43" i="17"/>
  <c r="B44" i="17"/>
  <c r="C43" i="17"/>
  <c r="K43" i="17" s="1"/>
  <c r="E43" i="17"/>
  <c r="F43" i="17"/>
  <c r="C43" i="18" s="1"/>
  <c r="E43" i="18" s="1"/>
  <c r="I43" i="17"/>
  <c r="L43" i="17"/>
  <c r="B43" i="18"/>
  <c r="U41" i="17"/>
  <c r="M93" i="12"/>
  <c r="Q93" i="12" s="1"/>
  <c r="O93" i="12"/>
  <c r="AX16" i="17"/>
  <c r="B108" i="12"/>
  <c r="I108" i="12" s="1"/>
  <c r="AW15" i="17"/>
  <c r="AV17" i="17"/>
  <c r="AV18" i="17"/>
  <c r="AV19" i="17"/>
  <c r="AV20" i="17"/>
  <c r="AV21" i="17"/>
  <c r="AV22" i="17"/>
  <c r="AV23" i="17"/>
  <c r="AV24" i="17"/>
  <c r="AV25" i="17"/>
  <c r="AV26" i="17"/>
  <c r="AV27" i="17"/>
  <c r="AV28" i="17"/>
  <c r="AV29" i="17"/>
  <c r="AV30" i="17"/>
  <c r="AV31" i="17"/>
  <c r="AV33" i="17"/>
  <c r="AV36" i="17"/>
  <c r="AV38" i="17"/>
  <c r="AV40" i="17"/>
  <c r="AV42" i="17"/>
  <c r="AV43" i="17"/>
  <c r="AV32" i="17"/>
  <c r="AV34" i="17"/>
  <c r="AV35" i="17"/>
  <c r="AV37" i="17"/>
  <c r="AV39" i="17"/>
  <c r="AV41" i="17"/>
  <c r="AB1506" i="23"/>
  <c r="AC1506" i="23" s="1"/>
  <c r="O1506" i="23"/>
  <c r="M1506" i="23"/>
  <c r="N1506" i="23"/>
  <c r="W1506" i="23" s="1"/>
  <c r="AB1450" i="23"/>
  <c r="AC1450" i="23"/>
  <c r="O1450" i="23"/>
  <c r="M1450" i="23"/>
  <c r="N1450" i="23"/>
  <c r="W1450" i="23" s="1"/>
  <c r="M1394" i="23"/>
  <c r="N1394" i="23"/>
  <c r="W1394" i="23" s="1"/>
  <c r="AB1394" i="23"/>
  <c r="O1394" i="23"/>
  <c r="Y1394" i="23" s="1"/>
  <c r="AC1394" i="23"/>
  <c r="AB1170" i="23"/>
  <c r="O1170" i="23"/>
  <c r="Y1170" i="23" s="1"/>
  <c r="AC1170" i="23"/>
  <c r="M1170" i="23"/>
  <c r="N1170" i="23"/>
  <c r="W1170" i="23" s="1"/>
  <c r="AB1058" i="23"/>
  <c r="AC1058" i="23"/>
  <c r="O1058" i="23"/>
  <c r="Y1058" i="23" s="1"/>
  <c r="M1058" i="23"/>
  <c r="N1058" i="23"/>
  <c r="W1058" i="23" s="1"/>
  <c r="AB946" i="23"/>
  <c r="AC946" i="23" s="1"/>
  <c r="O946" i="23"/>
  <c r="Y946" i="23" s="1"/>
  <c r="M946" i="23"/>
  <c r="N946" i="23"/>
  <c r="W946" i="23" s="1"/>
  <c r="M498" i="23"/>
  <c r="N498" i="23"/>
  <c r="W498" i="23" s="1"/>
  <c r="AB498" i="23"/>
  <c r="AC498" i="23" s="1"/>
  <c r="O498" i="23"/>
  <c r="Y498" i="23" s="1"/>
  <c r="AB274" i="23"/>
  <c r="AC274" i="23" s="1"/>
  <c r="O274" i="23"/>
  <c r="Y274" i="23" s="1"/>
  <c r="M274" i="23"/>
  <c r="N274" i="23"/>
  <c r="W274" i="23" s="1"/>
  <c r="M3721" i="22"/>
  <c r="N3721" i="22"/>
  <c r="BK71" i="22"/>
  <c r="BK70" i="22"/>
  <c r="M3667" i="22"/>
  <c r="N3667" i="22"/>
  <c r="BK64" i="22"/>
  <c r="M3343" i="22"/>
  <c r="N3343" i="22"/>
  <c r="BK63" i="22"/>
  <c r="N3289" i="22"/>
  <c r="M3289" i="22"/>
  <c r="N3235" i="22"/>
  <c r="M3235" i="22"/>
  <c r="BK62" i="22"/>
  <c r="BK57" i="22"/>
  <c r="M2965" i="22"/>
  <c r="N2965" i="22"/>
  <c r="M2857" i="22"/>
  <c r="N2857" i="22"/>
  <c r="BK55" i="22"/>
  <c r="M2641" i="22"/>
  <c r="N2641" i="22"/>
  <c r="BK51" i="22"/>
  <c r="BK50" i="22"/>
  <c r="M2587" i="22"/>
  <c r="N2587" i="22"/>
  <c r="BK49" i="22"/>
  <c r="M2533" i="22"/>
  <c r="N2533" i="22"/>
  <c r="M2209" i="22"/>
  <c r="N2209" i="22"/>
  <c r="BK43" i="22"/>
  <c r="BK38" i="22"/>
  <c r="M1939" i="22"/>
  <c r="N1939" i="22"/>
  <c r="M1885" i="22"/>
  <c r="N1885" i="22"/>
  <c r="BK37" i="22"/>
  <c r="M1561" i="22"/>
  <c r="N1561" i="22"/>
  <c r="BK31" i="22"/>
  <c r="M1399" i="22"/>
  <c r="N1399" i="22"/>
  <c r="BK28" i="22"/>
  <c r="M1237" i="22"/>
  <c r="N1237" i="22"/>
  <c r="BK25" i="22"/>
  <c r="M1183" i="22"/>
  <c r="N1183" i="22"/>
  <c r="BK24" i="22"/>
  <c r="B92" i="7"/>
  <c r="M859" i="22"/>
  <c r="N859" i="22"/>
  <c r="BK18" i="22"/>
  <c r="B86" i="7"/>
  <c r="M589" i="22"/>
  <c r="N589" i="22"/>
  <c r="BK13" i="22"/>
  <c r="B81" i="7"/>
  <c r="M265" i="22"/>
  <c r="N265" i="22"/>
  <c r="BK7" i="22"/>
  <c r="BK5" i="22"/>
  <c r="B73" i="7"/>
  <c r="M157" i="22"/>
  <c r="N157" i="22"/>
  <c r="BK4" i="22"/>
  <c r="B72" i="7"/>
  <c r="N103" i="22"/>
  <c r="M103" i="22"/>
  <c r="F1507" i="23"/>
  <c r="K1507" i="23"/>
  <c r="K1451" i="23"/>
  <c r="F1451" i="23"/>
  <c r="K1395" i="23"/>
  <c r="F1395" i="23"/>
  <c r="K1339" i="23"/>
  <c r="F1339" i="23"/>
  <c r="K1115" i="23"/>
  <c r="F1115" i="23"/>
  <c r="F1059" i="23"/>
  <c r="K1059" i="23"/>
  <c r="K723" i="23"/>
  <c r="F723" i="23"/>
  <c r="K667" i="23"/>
  <c r="F667" i="23"/>
  <c r="D4646" i="22"/>
  <c r="F4646" i="22"/>
  <c r="O4646" i="22" s="1"/>
  <c r="BL72" i="22"/>
  <c r="K3614" i="22"/>
  <c r="F3614" i="22"/>
  <c r="O3614" i="22" s="1"/>
  <c r="K3560" i="22"/>
  <c r="F3560" i="22"/>
  <c r="O3560" i="22" s="1"/>
  <c r="BL67" i="22"/>
  <c r="BL66" i="22"/>
  <c r="BL65" i="22"/>
  <c r="K3290" i="22"/>
  <c r="F3290" i="22"/>
  <c r="O3290" i="22" s="1"/>
  <c r="K3236" i="22"/>
  <c r="F3236" i="22"/>
  <c r="O3236" i="22" s="1"/>
  <c r="BL60" i="22"/>
  <c r="BL59" i="22"/>
  <c r="BL58" i="22"/>
  <c r="F2912" i="22"/>
  <c r="O2912" i="22" s="1"/>
  <c r="K2912" i="22"/>
  <c r="K2858" i="22"/>
  <c r="F2858" i="22"/>
  <c r="O2858" i="22" s="1"/>
  <c r="BL54" i="22"/>
  <c r="BL53" i="22"/>
  <c r="BL52" i="22"/>
  <c r="K2642" i="22"/>
  <c r="F2642" i="22"/>
  <c r="O2642" i="22" s="1"/>
  <c r="BL51" i="22" s="1"/>
  <c r="F2534" i="22"/>
  <c r="O2534" i="22" s="1"/>
  <c r="BL49" i="22" s="1"/>
  <c r="K2534" i="22"/>
  <c r="BL47" i="22"/>
  <c r="BL46" i="22"/>
  <c r="BL45" i="22"/>
  <c r="K2264" i="22"/>
  <c r="F2264" i="22"/>
  <c r="O2264" i="22" s="1"/>
  <c r="F2210" i="22"/>
  <c r="O2210" i="22" s="1"/>
  <c r="K2210" i="22"/>
  <c r="BL42" i="22"/>
  <c r="BL41" i="22"/>
  <c r="BL40" i="22"/>
  <c r="BL39" i="22"/>
  <c r="BL35" i="22"/>
  <c r="BL34" i="22"/>
  <c r="BL33" i="22"/>
  <c r="BL32" i="22"/>
  <c r="BL30" i="22"/>
  <c r="BL29" i="22"/>
  <c r="BL26" i="22"/>
  <c r="K1238" i="22"/>
  <c r="F1238" i="22"/>
  <c r="O1238" i="22" s="1"/>
  <c r="F860" i="22"/>
  <c r="O860" i="22" s="1"/>
  <c r="K860" i="22"/>
  <c r="K590" i="22"/>
  <c r="F590" i="22"/>
  <c r="O590" i="22" s="1"/>
  <c r="F536" i="22"/>
  <c r="O536" i="22" s="1"/>
  <c r="K536" i="22"/>
  <c r="F212" i="22"/>
  <c r="O212" i="22" s="1"/>
  <c r="K212" i="22"/>
  <c r="F158" i="22"/>
  <c r="O158" i="22" s="1"/>
  <c r="K158" i="22"/>
  <c r="K104" i="22"/>
  <c r="F104" i="22"/>
  <c r="O104" i="22" s="1"/>
  <c r="N3398" i="22" l="1"/>
  <c r="N2318" i="22"/>
  <c r="K1228" i="23"/>
  <c r="F1228" i="23"/>
  <c r="K948" i="23"/>
  <c r="F948" i="23"/>
  <c r="K4539" i="22"/>
  <c r="F4539" i="22"/>
  <c r="K2751" i="22"/>
  <c r="F2751" i="22"/>
  <c r="O2751" i="22" s="1"/>
  <c r="BM53" i="22" s="1"/>
  <c r="K2481" i="22"/>
  <c r="F2481" i="22"/>
  <c r="O2481" i="22" s="1"/>
  <c r="K2427" i="22"/>
  <c r="F2427" i="22"/>
  <c r="O2427" i="22" s="1"/>
  <c r="K2373" i="22"/>
  <c r="F2373" i="22"/>
  <c r="O2373" i="22" s="1"/>
  <c r="K1563" i="22"/>
  <c r="F1563" i="22"/>
  <c r="O1563" i="22" s="1"/>
  <c r="BM31" i="22" s="1"/>
  <c r="K537" i="22"/>
  <c r="F537" i="22"/>
  <c r="O537"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s="1"/>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E1509" i="23"/>
  <c r="G1509" i="23"/>
  <c r="B1510" i="23"/>
  <c r="P1452" i="23"/>
  <c r="Q1452" i="23"/>
  <c r="R1452" i="23"/>
  <c r="X1452" i="23"/>
  <c r="AF1452" i="23"/>
  <c r="J1452" i="23"/>
  <c r="D1452" i="23"/>
  <c r="L1453" i="23"/>
  <c r="I1453" i="23"/>
  <c r="E1453" i="23"/>
  <c r="C1453" i="23"/>
  <c r="G1453" i="23"/>
  <c r="B1454" i="23"/>
  <c r="P1396" i="23"/>
  <c r="Q1396" i="23"/>
  <c r="R1396" i="23"/>
  <c r="X1396" i="23"/>
  <c r="AF1396" i="23"/>
  <c r="J1396" i="23"/>
  <c r="D1396" i="23"/>
  <c r="L1397" i="23"/>
  <c r="I1397" i="23"/>
  <c r="C1397" i="23"/>
  <c r="E1397" i="23"/>
  <c r="G1397" i="23"/>
  <c r="B1398" i="23"/>
  <c r="M1340" i="23"/>
  <c r="J1340" i="23"/>
  <c r="N1340" i="23" s="1"/>
  <c r="D1340" i="23"/>
  <c r="O1340" i="23"/>
  <c r="Y1340" i="23" s="1"/>
  <c r="AB1340" i="23"/>
  <c r="AC1340" i="23"/>
  <c r="P1340" i="23"/>
  <c r="Q1340" i="23"/>
  <c r="R1340" i="23"/>
  <c r="AF1340" i="23"/>
  <c r="L1341" i="23"/>
  <c r="I1341" i="23"/>
  <c r="C1341" i="23"/>
  <c r="E1341" i="23"/>
  <c r="G1341" i="23"/>
  <c r="B1342" i="23"/>
  <c r="M1284" i="23"/>
  <c r="J1284" i="23"/>
  <c r="N1284" i="23" s="1"/>
  <c r="W1284" i="23" s="1"/>
  <c r="D1284" i="23"/>
  <c r="O1284" i="23"/>
  <c r="Y1284" i="23" s="1"/>
  <c r="AB1284" i="23"/>
  <c r="AC1284" i="23"/>
  <c r="P1284" i="23"/>
  <c r="Q1284" i="23"/>
  <c r="R1284" i="23"/>
  <c r="X1284" i="23"/>
  <c r="AF1284" i="23"/>
  <c r="L1285" i="23"/>
  <c r="I1285" i="23"/>
  <c r="C1285" i="23"/>
  <c r="E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P1172" i="23"/>
  <c r="Q1172" i="23"/>
  <c r="R1172" i="23"/>
  <c r="X1172" i="23"/>
  <c r="AF1172" i="23"/>
  <c r="J1172" i="23"/>
  <c r="D1172" i="23"/>
  <c r="L1173" i="23"/>
  <c r="I1173" i="23"/>
  <c r="B1174" i="23"/>
  <c r="C1173" i="23"/>
  <c r="E1173" i="23"/>
  <c r="G1173" i="23"/>
  <c r="M1116" i="23"/>
  <c r="J1116" i="23"/>
  <c r="N1116" i="23" s="1"/>
  <c r="W1116" i="23" s="1"/>
  <c r="D1116" i="23"/>
  <c r="O1116" i="23"/>
  <c r="Y1116" i="23" s="1"/>
  <c r="AB1116" i="23"/>
  <c r="AC1116" i="23" s="1"/>
  <c r="P1116" i="23"/>
  <c r="Q1116" i="23"/>
  <c r="R1116" i="23"/>
  <c r="AF1116" i="23"/>
  <c r="X1116" i="23"/>
  <c r="L1117" i="23"/>
  <c r="I1117" i="23"/>
  <c r="C1117" i="23"/>
  <c r="K1117" i="23" s="1"/>
  <c r="E1117" i="23"/>
  <c r="F1117" i="23"/>
  <c r="G1117" i="23"/>
  <c r="B1118" i="23"/>
  <c r="M1060" i="23"/>
  <c r="P1060" i="23"/>
  <c r="Q1060" i="23"/>
  <c r="R1060" i="23"/>
  <c r="X1060" i="23"/>
  <c r="AF1060" i="23"/>
  <c r="J1060" i="23"/>
  <c r="N1060" i="23" s="1"/>
  <c r="W1060" i="23" s="1"/>
  <c r="D1060" i="23"/>
  <c r="AB1060" i="23"/>
  <c r="AC1060" i="23"/>
  <c r="O1060" i="23"/>
  <c r="Y1060" i="23" s="1"/>
  <c r="L1061" i="23"/>
  <c r="I1061" i="23"/>
  <c r="C1061" i="23"/>
  <c r="E1061" i="23"/>
  <c r="G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s="1"/>
  <c r="P948" i="23"/>
  <c r="Q948" i="23"/>
  <c r="R948" i="23"/>
  <c r="X948" i="23"/>
  <c r="AF948" i="23"/>
  <c r="L949" i="23"/>
  <c r="I949" i="23"/>
  <c r="C949" i="23"/>
  <c r="E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E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H722" i="23"/>
  <c r="B49" i="8"/>
  <c r="J724" i="23"/>
  <c r="D724" i="23"/>
  <c r="P724" i="23"/>
  <c r="Q724" i="23"/>
  <c r="R724" i="23"/>
  <c r="X724" i="23"/>
  <c r="AF724" i="23"/>
  <c r="L725" i="23"/>
  <c r="I725" i="23"/>
  <c r="E725" i="23"/>
  <c r="G725" i="23"/>
  <c r="B726" i="23"/>
  <c r="C725" i="23"/>
  <c r="M668" i="23"/>
  <c r="J668" i="23"/>
  <c r="N668" i="23" s="1"/>
  <c r="W668" i="23" s="1"/>
  <c r="D668" i="23"/>
  <c r="O668" i="23"/>
  <c r="Y668" i="23" s="1"/>
  <c r="AB668" i="23"/>
  <c r="AC668" i="23"/>
  <c r="P668" i="23"/>
  <c r="Q668" i="23"/>
  <c r="R668" i="23"/>
  <c r="X668" i="23"/>
  <c r="AF668" i="23"/>
  <c r="L669" i="23"/>
  <c r="I669" i="23"/>
  <c r="C669" i="23"/>
  <c r="E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E557" i="23"/>
  <c r="G557" i="23"/>
  <c r="B558" i="23"/>
  <c r="M500" i="23"/>
  <c r="J500" i="23"/>
  <c r="N500" i="23" s="1"/>
  <c r="W500" i="23" s="1"/>
  <c r="D500" i="23"/>
  <c r="O500" i="23"/>
  <c r="Y500" i="23" s="1"/>
  <c r="AB500" i="23"/>
  <c r="AC500" i="23" s="1"/>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E333" i="23"/>
  <c r="G333" i="23"/>
  <c r="B334" i="23"/>
  <c r="M276" i="23"/>
  <c r="J276" i="23"/>
  <c r="N276" i="23" s="1"/>
  <c r="W276" i="23" s="1"/>
  <c r="D276" i="23"/>
  <c r="O276" i="23"/>
  <c r="Y276" i="23" s="1"/>
  <c r="AB276" i="23"/>
  <c r="AC276" i="23" s="1"/>
  <c r="P276" i="23"/>
  <c r="Q276" i="23"/>
  <c r="R276" i="23"/>
  <c r="X276" i="23"/>
  <c r="AF276" i="23"/>
  <c r="L277" i="23"/>
  <c r="I277" i="23"/>
  <c r="C277" i="23"/>
  <c r="K277" i="23" s="1"/>
  <c r="E277" i="23"/>
  <c r="F277" i="23"/>
  <c r="G277" i="23"/>
  <c r="B278" i="23"/>
  <c r="P94" i="12"/>
  <c r="J4755" i="22"/>
  <c r="D4755" i="22"/>
  <c r="P4755" i="22"/>
  <c r="Q4755" i="22"/>
  <c r="R4755" i="22"/>
  <c r="G4756" i="22"/>
  <c r="L4756" i="22"/>
  <c r="B4757" i="22"/>
  <c r="C4756" i="22"/>
  <c r="F4756" i="22" s="1"/>
  <c r="E4756" i="22"/>
  <c r="I4756" i="22"/>
  <c r="K4756" i="22"/>
  <c r="U4700" i="22"/>
  <c r="S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E4648" i="22"/>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D4239" i="22"/>
  <c r="J4239" i="22"/>
  <c r="P4239" i="22"/>
  <c r="Q4239" i="22"/>
  <c r="R4239" i="22"/>
  <c r="M4239" i="22"/>
  <c r="N4239" i="22"/>
  <c r="U4239" i="22" s="1"/>
  <c r="C4240" i="22"/>
  <c r="E4240" i="22"/>
  <c r="F4240" i="22"/>
  <c r="O4240" i="22" s="1"/>
  <c r="G4240" i="22"/>
  <c r="I4240" i="22"/>
  <c r="K4240" i="22"/>
  <c r="L4240" i="22"/>
  <c r="B4241" i="22"/>
  <c r="D4185" i="22"/>
  <c r="J4185" i="22"/>
  <c r="P4185" i="22"/>
  <c r="Q4185" i="22"/>
  <c r="R4185" i="22"/>
  <c r="L4186" i="22"/>
  <c r="C4186" i="22"/>
  <c r="K4186" i="22" s="1"/>
  <c r="E4186" i="22"/>
  <c r="F4186" i="22"/>
  <c r="O4186" i="22" s="1"/>
  <c r="G4186" i="22"/>
  <c r="I4186" i="22"/>
  <c r="B4187" i="22"/>
  <c r="D4131" i="22"/>
  <c r="J4131" i="22"/>
  <c r="N4131" i="22" s="1"/>
  <c r="U4131" i="22" s="1"/>
  <c r="P4131" i="22"/>
  <c r="Q4131" i="22"/>
  <c r="R4131" i="22"/>
  <c r="M4131" i="22"/>
  <c r="C4132" i="22"/>
  <c r="F4132" i="22" s="1"/>
  <c r="O4132" i="22" s="1"/>
  <c r="E4132" i="22"/>
  <c r="G4132" i="22"/>
  <c r="I4132" i="22"/>
  <c r="K4132" i="22"/>
  <c r="L4132" i="22"/>
  <c r="B4133" i="22"/>
  <c r="D4077" i="22"/>
  <c r="J4077" i="22"/>
  <c r="N4077" i="22" s="1"/>
  <c r="U4077" i="22" s="1"/>
  <c r="P4077" i="22"/>
  <c r="Q4077" i="22"/>
  <c r="R4077" i="22"/>
  <c r="M4077" i="22"/>
  <c r="C4078" i="22"/>
  <c r="F4078" i="22" s="1"/>
  <c r="O4078" i="22" s="1"/>
  <c r="E4078" i="22"/>
  <c r="G4078" i="22"/>
  <c r="I4078" i="22"/>
  <c r="K4078" i="22"/>
  <c r="L4078" i="22"/>
  <c r="B4079" i="22"/>
  <c r="U3776" i="22"/>
  <c r="AN72" i="22"/>
  <c r="AZ72" i="22"/>
  <c r="M3777" i="22"/>
  <c r="D3777" i="22"/>
  <c r="J3777" i="22"/>
  <c r="N3777" i="22" s="1"/>
  <c r="P3777" i="22"/>
  <c r="Q3777" i="22"/>
  <c r="R3777" i="22"/>
  <c r="L3778" i="22"/>
  <c r="C3778" i="22"/>
  <c r="E3778" i="22"/>
  <c r="G3778" i="22"/>
  <c r="I3778" i="22"/>
  <c r="B3779" i="22"/>
  <c r="U3722" i="22"/>
  <c r="AN71" i="22"/>
  <c r="AZ71" i="22"/>
  <c r="D3723" i="22"/>
  <c r="J3723" i="22"/>
  <c r="P3723" i="22"/>
  <c r="Q3723" i="22"/>
  <c r="R3723" i="22"/>
  <c r="L3724" i="22"/>
  <c r="C3724" i="22"/>
  <c r="K3724" i="22" s="1"/>
  <c r="E3724" i="22"/>
  <c r="F3724" i="22"/>
  <c r="O3724" i="22" s="1"/>
  <c r="BN71" i="22" s="1"/>
  <c r="G3724" i="22"/>
  <c r="I3724" i="22"/>
  <c r="B3725" i="22"/>
  <c r="U3668" i="22"/>
  <c r="AN70" i="22"/>
  <c r="AZ70" i="22"/>
  <c r="D3669" i="22"/>
  <c r="J3669" i="22"/>
  <c r="P3669" i="22"/>
  <c r="Q3669" i="22"/>
  <c r="R3669" i="22"/>
  <c r="L3670" i="22"/>
  <c r="C3670" i="22"/>
  <c r="E3670" i="22"/>
  <c r="G3670" i="22"/>
  <c r="I3670" i="22"/>
  <c r="B3671" i="22"/>
  <c r="M3615" i="22"/>
  <c r="D3615" i="22"/>
  <c r="J3615" i="22"/>
  <c r="N3615" i="22" s="1"/>
  <c r="P3615" i="22"/>
  <c r="Q3615" i="22"/>
  <c r="R3615" i="22"/>
  <c r="L3616" i="22"/>
  <c r="C3616" i="22"/>
  <c r="K3616" i="22" s="1"/>
  <c r="E3616" i="22"/>
  <c r="F3616" i="22"/>
  <c r="O3616" i="22" s="1"/>
  <c r="BN69" i="22" s="1"/>
  <c r="G3616" i="22"/>
  <c r="I3616" i="22"/>
  <c r="B3617" i="22"/>
  <c r="M3561" i="22"/>
  <c r="D3561" i="22"/>
  <c r="J3561" i="22"/>
  <c r="N3561" i="22" s="1"/>
  <c r="P3561" i="22"/>
  <c r="Q3561" i="22"/>
  <c r="R3561" i="22"/>
  <c r="L3562" i="22"/>
  <c r="G3562" i="22"/>
  <c r="I3562" i="22"/>
  <c r="B3563" i="22"/>
  <c r="C3562" i="22"/>
  <c r="E3562" i="22"/>
  <c r="U3506" i="22"/>
  <c r="AN67" i="22"/>
  <c r="AZ67" i="22"/>
  <c r="M3507" i="22"/>
  <c r="D3507" i="22"/>
  <c r="J3507" i="22"/>
  <c r="N3507" i="22" s="1"/>
  <c r="P3507" i="22"/>
  <c r="Q3507" i="22"/>
  <c r="R3507" i="22"/>
  <c r="L3508" i="22"/>
  <c r="C3508" i="22"/>
  <c r="K3508" i="22" s="1"/>
  <c r="E3508" i="22"/>
  <c r="F3508" i="22"/>
  <c r="O3508" i="22" s="1"/>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U3398" i="22"/>
  <c r="AN65" i="22"/>
  <c r="AZ65" i="22"/>
  <c r="M3399" i="22"/>
  <c r="D3399" i="22"/>
  <c r="J3399" i="22"/>
  <c r="N3399" i="22" s="1"/>
  <c r="P3399" i="22"/>
  <c r="Q3399" i="22"/>
  <c r="R3399" i="22"/>
  <c r="L3400" i="22"/>
  <c r="C3400" i="22"/>
  <c r="E3400" i="22"/>
  <c r="G3400" i="22"/>
  <c r="I3400" i="22"/>
  <c r="B3401" i="22"/>
  <c r="U3344" i="22"/>
  <c r="AN64" i="22"/>
  <c r="AZ64" i="22"/>
  <c r="M3345" i="22"/>
  <c r="D3345" i="22"/>
  <c r="J3345" i="22"/>
  <c r="N3345" i="22" s="1"/>
  <c r="P3345" i="22"/>
  <c r="Q3345" i="22"/>
  <c r="R3345" i="22"/>
  <c r="L3346" i="22"/>
  <c r="C3346" i="22"/>
  <c r="K3346" i="22" s="1"/>
  <c r="E3346" i="22"/>
  <c r="F3346" i="22"/>
  <c r="O3346" i="22" s="1"/>
  <c r="G3346" i="22"/>
  <c r="I3346" i="22"/>
  <c r="B3347" i="22"/>
  <c r="D3291" i="22"/>
  <c r="J3291" i="22"/>
  <c r="P3291" i="22"/>
  <c r="Q3291" i="22"/>
  <c r="R3291" i="22"/>
  <c r="L3292" i="22"/>
  <c r="I3292" i="22"/>
  <c r="E3292" i="22"/>
  <c r="C3292" i="22"/>
  <c r="G3292" i="22"/>
  <c r="B3293" i="22"/>
  <c r="M3237" i="22"/>
  <c r="L3238" i="22"/>
  <c r="C3238" i="22"/>
  <c r="K3238" i="22" s="1"/>
  <c r="E3238" i="22"/>
  <c r="G3238" i="22"/>
  <c r="B3239" i="22"/>
  <c r="F3238" i="22"/>
  <c r="O3238" i="22" s="1"/>
  <c r="BN62" i="22" s="1"/>
  <c r="I3238" i="22"/>
  <c r="P3237" i="22"/>
  <c r="Q3237" i="22"/>
  <c r="R3237" i="22"/>
  <c r="D3237" i="22"/>
  <c r="J3237" i="22"/>
  <c r="N3237" i="22" s="1"/>
  <c r="U3182" i="22"/>
  <c r="AN61" i="22"/>
  <c r="AZ61" i="22"/>
  <c r="D3183" i="22"/>
  <c r="J3183" i="22"/>
  <c r="P3183" i="22"/>
  <c r="Q3183" i="22"/>
  <c r="R3183" i="22"/>
  <c r="L3184" i="22"/>
  <c r="C3184" i="22"/>
  <c r="K3184" i="22" s="1"/>
  <c r="E3184" i="22"/>
  <c r="F3184" i="22"/>
  <c r="O3184" i="22" s="1"/>
  <c r="BN61"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E3076" i="22"/>
  <c r="G3076" i="22"/>
  <c r="I3076" i="22"/>
  <c r="B3077" i="22"/>
  <c r="U3020" i="22"/>
  <c r="AN58" i="22"/>
  <c r="AZ58" i="22"/>
  <c r="M3021" i="22"/>
  <c r="D3021" i="22"/>
  <c r="J3021" i="22"/>
  <c r="N3021" i="22" s="1"/>
  <c r="P3021" i="22"/>
  <c r="Q3021" i="22"/>
  <c r="R3021" i="22"/>
  <c r="L3022" i="22"/>
  <c r="C3022" i="22"/>
  <c r="K3022" i="22" s="1"/>
  <c r="E3022" i="22"/>
  <c r="F3022" i="22"/>
  <c r="O3022" i="22" s="1"/>
  <c r="G3022" i="22"/>
  <c r="I3022" i="22"/>
  <c r="B3023" i="22"/>
  <c r="U2966" i="22"/>
  <c r="AN57" i="22"/>
  <c r="AZ57" i="22"/>
  <c r="M2967" i="22"/>
  <c r="D2967" i="22"/>
  <c r="J2967" i="22"/>
  <c r="N2967" i="22" s="1"/>
  <c r="P2967" i="22"/>
  <c r="Q2967" i="22"/>
  <c r="R2967" i="22"/>
  <c r="L2968" i="22"/>
  <c r="C2968" i="22"/>
  <c r="E2968" i="22"/>
  <c r="G2968" i="22"/>
  <c r="I2968" i="22"/>
  <c r="B2969" i="22"/>
  <c r="D2913" i="22"/>
  <c r="J2913" i="22"/>
  <c r="P2913" i="22"/>
  <c r="Q2913" i="22"/>
  <c r="R2913" i="22"/>
  <c r="L2914" i="22"/>
  <c r="C2914" i="22"/>
  <c r="K2914" i="22" s="1"/>
  <c r="E2914" i="22"/>
  <c r="F2914" i="22"/>
  <c r="O2914" i="22" s="1"/>
  <c r="G2914" i="22"/>
  <c r="I2914" i="22"/>
  <c r="B2915" i="22"/>
  <c r="D2859" i="22"/>
  <c r="J2859" i="22"/>
  <c r="P2859" i="22"/>
  <c r="Q2859" i="22"/>
  <c r="R2859" i="22"/>
  <c r="L2860" i="22"/>
  <c r="C2860" i="22"/>
  <c r="K2860" i="22" s="1"/>
  <c r="E2860" i="22"/>
  <c r="F2860" i="22"/>
  <c r="O2860" i="22" s="1"/>
  <c r="BN55"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K2752" i="22" s="1"/>
  <c r="E2752" i="22"/>
  <c r="F2752" i="22"/>
  <c r="O2752" i="22" s="1"/>
  <c r="G2752" i="22"/>
  <c r="I2752" i="22"/>
  <c r="B2753" i="22"/>
  <c r="U2696" i="22"/>
  <c r="AN52" i="22"/>
  <c r="AZ52" i="22"/>
  <c r="M2697" i="22"/>
  <c r="D2697" i="22"/>
  <c r="J2697" i="22"/>
  <c r="N2697" i="22" s="1"/>
  <c r="P2697" i="22"/>
  <c r="Q2697" i="22"/>
  <c r="R2697" i="22"/>
  <c r="L2698" i="22"/>
  <c r="C2698" i="22"/>
  <c r="E2698" i="22"/>
  <c r="G2698" i="22"/>
  <c r="I2698" i="22"/>
  <c r="B2699" i="22"/>
  <c r="P2643" i="22"/>
  <c r="Q2643" i="22"/>
  <c r="R2643" i="22"/>
  <c r="J2643" i="22"/>
  <c r="D2643" i="22"/>
  <c r="L2644" i="22"/>
  <c r="B2645" i="22"/>
  <c r="C2644" i="22"/>
  <c r="E2644" i="22"/>
  <c r="G2644" i="22"/>
  <c r="I2644" i="22"/>
  <c r="U2588" i="22"/>
  <c r="AN50" i="22"/>
  <c r="AZ50" i="22"/>
  <c r="M2589" i="22"/>
  <c r="D2589" i="22"/>
  <c r="J2589" i="22"/>
  <c r="N2589" i="22" s="1"/>
  <c r="P2589" i="22"/>
  <c r="Q2589" i="22"/>
  <c r="R2589" i="22"/>
  <c r="L2590" i="22"/>
  <c r="C2590" i="22"/>
  <c r="E2590" i="22"/>
  <c r="G2590" i="22"/>
  <c r="I2590" i="22"/>
  <c r="B2591" i="22"/>
  <c r="D2535" i="22"/>
  <c r="J2535" i="22"/>
  <c r="P2535" i="22"/>
  <c r="Q2535" i="22"/>
  <c r="R2535" i="22"/>
  <c r="L2536" i="22"/>
  <c r="C2536" i="22"/>
  <c r="E2536" i="22"/>
  <c r="G2536" i="22"/>
  <c r="I2536" i="22"/>
  <c r="B2537" i="22"/>
  <c r="U2480" i="22"/>
  <c r="AN48" i="22"/>
  <c r="AZ48" i="22"/>
  <c r="M2481" i="22"/>
  <c r="D2481" i="22"/>
  <c r="J2481" i="22"/>
  <c r="N2481" i="22" s="1"/>
  <c r="BM48" i="22"/>
  <c r="P2481" i="22"/>
  <c r="Q2481" i="22"/>
  <c r="R2481" i="22"/>
  <c r="L2482" i="22"/>
  <c r="C2482" i="22"/>
  <c r="K2482" i="22" s="1"/>
  <c r="E2482" i="22"/>
  <c r="F2482" i="22"/>
  <c r="O2482" i="22" s="1"/>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U2372" i="22"/>
  <c r="AN46" i="22"/>
  <c r="AZ46" i="22"/>
  <c r="M2373" i="22"/>
  <c r="D2373" i="22"/>
  <c r="J2373" i="22"/>
  <c r="N2373" i="22" s="1"/>
  <c r="P2373" i="22"/>
  <c r="Q2373" i="22"/>
  <c r="R2373" i="22"/>
  <c r="L2374" i="22"/>
  <c r="C2374" i="22"/>
  <c r="E2374" i="22"/>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M2265" i="22"/>
  <c r="D2265" i="22"/>
  <c r="J2265" i="22"/>
  <c r="N2265" i="22" s="1"/>
  <c r="P2265" i="22"/>
  <c r="Q2265" i="22"/>
  <c r="R2265" i="22"/>
  <c r="L2266" i="22"/>
  <c r="C2266" i="22"/>
  <c r="K2266" i="22" s="1"/>
  <c r="E2266" i="22"/>
  <c r="F2266" i="22"/>
  <c r="O2266" i="22" s="1"/>
  <c r="G2266" i="22"/>
  <c r="I2266" i="22"/>
  <c r="B2267" i="22"/>
  <c r="D2211" i="22"/>
  <c r="J2211" i="22"/>
  <c r="P2211" i="22"/>
  <c r="Q2211" i="22"/>
  <c r="R2211" i="22"/>
  <c r="L2212" i="22"/>
  <c r="C2212" i="22"/>
  <c r="K2212" i="22" s="1"/>
  <c r="E2212" i="22"/>
  <c r="F2212" i="22"/>
  <c r="O2212" i="22" s="1"/>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E2104" i="22"/>
  <c r="G2104" i="22"/>
  <c r="I2104" i="22"/>
  <c r="B2105" i="22"/>
  <c r="U2048" i="22"/>
  <c r="AN40" i="22"/>
  <c r="AZ40" i="22"/>
  <c r="M2049" i="22"/>
  <c r="D2049" i="22"/>
  <c r="J2049" i="22"/>
  <c r="N2049" i="22" s="1"/>
  <c r="P2049" i="22"/>
  <c r="Q2049" i="22"/>
  <c r="R2049" i="22"/>
  <c r="L2050" i="22"/>
  <c r="C2050" i="22"/>
  <c r="E2050" i="22"/>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D1941" i="22"/>
  <c r="J1941" i="22"/>
  <c r="P1941" i="22"/>
  <c r="Q1941" i="22"/>
  <c r="R1941" i="22"/>
  <c r="L1942" i="22"/>
  <c r="C1942" i="22"/>
  <c r="K1942" i="22" s="1"/>
  <c r="E1942" i="22"/>
  <c r="F1942" i="22"/>
  <c r="O1942" i="22" s="1"/>
  <c r="BN38" i="22" s="1"/>
  <c r="G1942" i="22"/>
  <c r="I1942" i="22"/>
  <c r="B1943" i="22"/>
  <c r="U1886" i="22"/>
  <c r="AN37" i="22"/>
  <c r="AZ37" i="22"/>
  <c r="D1887" i="22"/>
  <c r="J1887" i="22"/>
  <c r="P1887" i="22"/>
  <c r="Q1887" i="22"/>
  <c r="R1887" i="22"/>
  <c r="L1888" i="22"/>
  <c r="C1888" i="22"/>
  <c r="E1888" i="22"/>
  <c r="G1888" i="22"/>
  <c r="I1888" i="22"/>
  <c r="B1889" i="22"/>
  <c r="U1832" i="22"/>
  <c r="AN36" i="22"/>
  <c r="AZ36" i="22"/>
  <c r="M1833" i="22"/>
  <c r="D1833" i="22"/>
  <c r="J1833" i="22"/>
  <c r="N1833" i="22" s="1"/>
  <c r="BM36" i="22"/>
  <c r="P1833" i="22"/>
  <c r="Q1833" i="22"/>
  <c r="R1833" i="22"/>
  <c r="L1834" i="22"/>
  <c r="C1834" i="22"/>
  <c r="E1834" i="22"/>
  <c r="G1834" i="22"/>
  <c r="I1834" i="22"/>
  <c r="B1835" i="22"/>
  <c r="U1778" i="22"/>
  <c r="AN35" i="22"/>
  <c r="AZ35" i="22"/>
  <c r="M1779" i="22"/>
  <c r="D1779" i="22"/>
  <c r="J1779" i="22"/>
  <c r="N1779" i="22" s="1"/>
  <c r="P1779" i="22"/>
  <c r="Q1779" i="22"/>
  <c r="R1779" i="22"/>
  <c r="L1780" i="22"/>
  <c r="C1780" i="22"/>
  <c r="E1780" i="22"/>
  <c r="G1780" i="22"/>
  <c r="I1780" i="22"/>
  <c r="B1781" i="22"/>
  <c r="U1724" i="22"/>
  <c r="AN34" i="22"/>
  <c r="AZ34" i="22"/>
  <c r="M1725" i="22"/>
  <c r="D1725" i="22"/>
  <c r="J1725" i="22"/>
  <c r="N1725" i="22" s="1"/>
  <c r="P1725" i="22"/>
  <c r="Q1725" i="22"/>
  <c r="R1725" i="22"/>
  <c r="L1726" i="22"/>
  <c r="C1726" i="22"/>
  <c r="K1726" i="22" s="1"/>
  <c r="E1726" i="22"/>
  <c r="F1726" i="22"/>
  <c r="O1726" i="22" s="1"/>
  <c r="G1726" i="22"/>
  <c r="I1726" i="22"/>
  <c r="B1727" i="22"/>
  <c r="U1670" i="22"/>
  <c r="AN33" i="22"/>
  <c r="AZ33" i="22"/>
  <c r="D1671" i="22"/>
  <c r="J1671" i="22"/>
  <c r="P1671" i="22"/>
  <c r="Q1671" i="22"/>
  <c r="R1671" i="22"/>
  <c r="L1672" i="22"/>
  <c r="C1672" i="22"/>
  <c r="K1672" i="22" s="1"/>
  <c r="E1672" i="22"/>
  <c r="F1672" i="22"/>
  <c r="O1672" i="22" s="1"/>
  <c r="BN33" i="22" s="1"/>
  <c r="G1672" i="22"/>
  <c r="I1672" i="22"/>
  <c r="B1673" i="22"/>
  <c r="U1616" i="22"/>
  <c r="AN32" i="22"/>
  <c r="AZ32" i="22"/>
  <c r="D1617" i="22"/>
  <c r="J1617" i="22"/>
  <c r="P1617" i="22"/>
  <c r="Q1617" i="22"/>
  <c r="R1617" i="22"/>
  <c r="L1618" i="22"/>
  <c r="C1618" i="22"/>
  <c r="K1618" i="22" s="1"/>
  <c r="E1618" i="22"/>
  <c r="F1618" i="22"/>
  <c r="O1618" i="22" s="1"/>
  <c r="BN32" i="22" s="1"/>
  <c r="G1618" i="22"/>
  <c r="I1618" i="22"/>
  <c r="B1619" i="22"/>
  <c r="U1562" i="22"/>
  <c r="AN31" i="22"/>
  <c r="AZ31" i="22"/>
  <c r="M1563" i="22"/>
  <c r="D1563" i="22"/>
  <c r="J1563" i="22"/>
  <c r="N1563" i="22" s="1"/>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M1455" i="22"/>
  <c r="D1455" i="22"/>
  <c r="J1455" i="22"/>
  <c r="N1455" i="22" s="1"/>
  <c r="P1455" i="22"/>
  <c r="Q1455" i="22"/>
  <c r="R1455" i="22"/>
  <c r="L1456" i="22"/>
  <c r="C1456" i="22"/>
  <c r="E1456" i="22"/>
  <c r="G1456" i="22"/>
  <c r="I1456" i="22"/>
  <c r="B1457" i="22"/>
  <c r="U1400" i="22"/>
  <c r="AN28" i="22"/>
  <c r="AZ28" i="22"/>
  <c r="P1401" i="22"/>
  <c r="Q1401" i="22"/>
  <c r="R1401" i="22"/>
  <c r="D1401" i="22"/>
  <c r="M1401" i="22" s="1"/>
  <c r="J1401" i="22"/>
  <c r="L1402" i="22"/>
  <c r="G1402" i="22"/>
  <c r="B1403" i="22"/>
  <c r="C1402" i="22"/>
  <c r="E1402" i="22"/>
  <c r="I1402" i="22"/>
  <c r="U1346" i="22"/>
  <c r="AN27" i="22"/>
  <c r="AZ27" i="22"/>
  <c r="P1347" i="22"/>
  <c r="Q1347" i="22"/>
  <c r="R1347" i="22"/>
  <c r="L1348" i="22"/>
  <c r="I1348" i="22"/>
  <c r="C1348" i="22"/>
  <c r="E1348" i="22"/>
  <c r="G1348" i="22"/>
  <c r="B1349" i="22"/>
  <c r="D1347" i="22"/>
  <c r="J1347" i="22"/>
  <c r="U1292" i="22"/>
  <c r="AN26" i="22"/>
  <c r="AZ26" i="22"/>
  <c r="D1293" i="22"/>
  <c r="J1293" i="22"/>
  <c r="P1293" i="22"/>
  <c r="Q1293" i="22"/>
  <c r="R1293" i="22"/>
  <c r="L1294" i="22"/>
  <c r="C1294" i="22"/>
  <c r="K1294" i="22" s="1"/>
  <c r="E1294" i="22"/>
  <c r="F1294" i="22"/>
  <c r="O1294" i="22" s="1"/>
  <c r="BN26" i="22" s="1"/>
  <c r="G1294" i="22"/>
  <c r="I1294" i="22"/>
  <c r="B1295" i="22"/>
  <c r="M1239" i="22"/>
  <c r="D1239" i="22"/>
  <c r="J1239" i="22"/>
  <c r="N1239" i="22" s="1"/>
  <c r="P1239" i="22"/>
  <c r="Q1239" i="22"/>
  <c r="R1239" i="22"/>
  <c r="L1240" i="22"/>
  <c r="C1240" i="22"/>
  <c r="K1240" i="22" s="1"/>
  <c r="E1240" i="22"/>
  <c r="F1240" i="22"/>
  <c r="O1240" i="22" s="1"/>
  <c r="G1240" i="22"/>
  <c r="I1240" i="22"/>
  <c r="B1241" i="22"/>
  <c r="C123" i="7"/>
  <c r="C61" i="7"/>
  <c r="U1184" i="22"/>
  <c r="AN24" i="22"/>
  <c r="AZ24" i="22"/>
  <c r="M1185" i="22"/>
  <c r="D1185" i="22"/>
  <c r="J1185" i="22"/>
  <c r="N1185" i="22" s="1"/>
  <c r="D92" i="7"/>
  <c r="BM24" i="22"/>
  <c r="P1185" i="22"/>
  <c r="Q1185" i="22"/>
  <c r="R1185" i="22"/>
  <c r="L1186" i="22"/>
  <c r="C1186" i="22"/>
  <c r="E1186" i="22"/>
  <c r="G1186" i="22"/>
  <c r="I1186" i="22"/>
  <c r="B1187" i="22"/>
  <c r="C122" i="7"/>
  <c r="C60" i="7"/>
  <c r="U1130" i="22"/>
  <c r="AN23" i="22"/>
  <c r="AZ23" i="22"/>
  <c r="M1131" i="22"/>
  <c r="D1131" i="22"/>
  <c r="J1131" i="22"/>
  <c r="N1131" i="22" s="1"/>
  <c r="D91" i="7"/>
  <c r="BM23" i="22"/>
  <c r="P1131" i="22"/>
  <c r="Q1131" i="22"/>
  <c r="R1131" i="22"/>
  <c r="L1132" i="22"/>
  <c r="C1132" i="22"/>
  <c r="E1132" i="22"/>
  <c r="G1132" i="22"/>
  <c r="I1132" i="22"/>
  <c r="B1133" i="22"/>
  <c r="C59" i="7"/>
  <c r="C121" i="7"/>
  <c r="U1076" i="22"/>
  <c r="AN22" i="22"/>
  <c r="AZ22" i="22"/>
  <c r="M1077" i="22"/>
  <c r="D1077" i="22"/>
  <c r="J1077" i="22"/>
  <c r="N1077" i="22" s="1"/>
  <c r="D90" i="7"/>
  <c r="BM22" i="22"/>
  <c r="P1077" i="22"/>
  <c r="Q1077" i="22"/>
  <c r="R1077" i="22"/>
  <c r="L1078" i="22"/>
  <c r="C1078" i="22"/>
  <c r="E1078" i="22"/>
  <c r="G1078" i="22"/>
  <c r="I1078" i="22"/>
  <c r="B1079" i="22"/>
  <c r="C120" i="7"/>
  <c r="C58" i="7"/>
  <c r="U1022" i="22"/>
  <c r="AN21" i="22"/>
  <c r="AZ21" i="22"/>
  <c r="D1023" i="22"/>
  <c r="J1023" i="22"/>
  <c r="P1023" i="22"/>
  <c r="Q1023" i="22"/>
  <c r="R1023" i="22"/>
  <c r="L1024" i="22"/>
  <c r="C1024" i="22"/>
  <c r="E1024" i="22"/>
  <c r="G1024" i="22"/>
  <c r="I1024" i="22"/>
  <c r="B1025" i="22"/>
  <c r="C119" i="7"/>
  <c r="C57" i="7"/>
  <c r="U968" i="22"/>
  <c r="AN20" i="22"/>
  <c r="AZ20" i="22"/>
  <c r="D969" i="22"/>
  <c r="J969" i="22"/>
  <c r="P969" i="22"/>
  <c r="Q969" i="22"/>
  <c r="R969" i="22"/>
  <c r="L970" i="22"/>
  <c r="C970" i="22"/>
  <c r="K970" i="22" s="1"/>
  <c r="E970" i="22"/>
  <c r="F970" i="22"/>
  <c r="O970" i="22" s="1"/>
  <c r="G970" i="22"/>
  <c r="I970" i="22"/>
  <c r="B971" i="22"/>
  <c r="C56" i="7"/>
  <c r="C118" i="7"/>
  <c r="U914" i="22"/>
  <c r="AN19" i="22"/>
  <c r="AZ19" i="22"/>
  <c r="M915" i="22"/>
  <c r="D915" i="22"/>
  <c r="J915" i="22"/>
  <c r="N915" i="22" s="1"/>
  <c r="D87" i="7"/>
  <c r="BM19" i="22"/>
  <c r="P915" i="22"/>
  <c r="Q915" i="22"/>
  <c r="R915" i="22"/>
  <c r="L916" i="22"/>
  <c r="C916" i="22"/>
  <c r="E916" i="22"/>
  <c r="G916" i="22"/>
  <c r="I916" i="22"/>
  <c r="B917" i="22"/>
  <c r="M861" i="22"/>
  <c r="D861" i="22"/>
  <c r="J861" i="22"/>
  <c r="N861" i="22" s="1"/>
  <c r="D86" i="7"/>
  <c r="BM18" i="22"/>
  <c r="P861" i="22"/>
  <c r="Q861" i="22"/>
  <c r="R861" i="22"/>
  <c r="L862" i="22"/>
  <c r="C862" i="22"/>
  <c r="E862" i="22"/>
  <c r="G862" i="22"/>
  <c r="I862" i="22"/>
  <c r="B863" i="22"/>
  <c r="C54" i="7"/>
  <c r="C116" i="7"/>
  <c r="U806" i="22"/>
  <c r="AN17" i="22"/>
  <c r="AZ17" i="22"/>
  <c r="M807" i="22"/>
  <c r="D807" i="22"/>
  <c r="J807" i="22"/>
  <c r="N807" i="22" s="1"/>
  <c r="D85" i="7"/>
  <c r="BM17" i="22"/>
  <c r="P807" i="22"/>
  <c r="Q807" i="22"/>
  <c r="R807" i="22"/>
  <c r="L808" i="22"/>
  <c r="C808" i="22"/>
  <c r="K808" i="22" s="1"/>
  <c r="E808" i="22"/>
  <c r="F808" i="22"/>
  <c r="O808" i="22" s="1"/>
  <c r="G808" i="22"/>
  <c r="I808" i="22"/>
  <c r="B809" i="22"/>
  <c r="C115" i="7"/>
  <c r="C53" i="7"/>
  <c r="U752" i="22"/>
  <c r="AN16" i="22"/>
  <c r="AZ16" i="22"/>
  <c r="M753" i="22"/>
  <c r="D753" i="22"/>
  <c r="J753" i="22"/>
  <c r="N753" i="22" s="1"/>
  <c r="D84" i="7"/>
  <c r="BM16" i="22"/>
  <c r="P753" i="22"/>
  <c r="Q753" i="22"/>
  <c r="R753" i="22"/>
  <c r="L754" i="22"/>
  <c r="C754" i="22"/>
  <c r="K754" i="22" s="1"/>
  <c r="E754" i="22"/>
  <c r="F754" i="22"/>
  <c r="O754" i="22" s="1"/>
  <c r="G754" i="22"/>
  <c r="I754" i="22"/>
  <c r="B755" i="22"/>
  <c r="C114" i="7"/>
  <c r="C52" i="7"/>
  <c r="U698" i="22"/>
  <c r="AN15" i="22"/>
  <c r="AZ15" i="22"/>
  <c r="M699" i="22"/>
  <c r="D699" i="22"/>
  <c r="J699" i="22"/>
  <c r="N699" i="22" s="1"/>
  <c r="D83" i="7"/>
  <c r="BM15" i="22"/>
  <c r="P699" i="22"/>
  <c r="Q699" i="22"/>
  <c r="R699" i="22"/>
  <c r="L700" i="22"/>
  <c r="C700" i="22"/>
  <c r="E700" i="22"/>
  <c r="G700" i="22"/>
  <c r="I700" i="22"/>
  <c r="B701" i="22"/>
  <c r="C113" i="7"/>
  <c r="C51" i="7"/>
  <c r="U644" i="22"/>
  <c r="AN14" i="22"/>
  <c r="AZ14" i="22"/>
  <c r="D645" i="22"/>
  <c r="J645" i="22"/>
  <c r="P645" i="22"/>
  <c r="Q645" i="22"/>
  <c r="R645" i="22"/>
  <c r="L646" i="22"/>
  <c r="C646" i="22"/>
  <c r="E646" i="22"/>
  <c r="G646" i="22"/>
  <c r="I646" i="22"/>
  <c r="B647" i="22"/>
  <c r="M591" i="22"/>
  <c r="D591" i="22"/>
  <c r="J591" i="22"/>
  <c r="N591" i="22" s="1"/>
  <c r="D81" i="7"/>
  <c r="BM13" i="22"/>
  <c r="P591" i="22"/>
  <c r="Q591" i="22"/>
  <c r="R591" i="22"/>
  <c r="L592" i="22"/>
  <c r="C592" i="22"/>
  <c r="K592" i="22" s="1"/>
  <c r="E592" i="22"/>
  <c r="F592" i="22"/>
  <c r="O592" i="22" s="1"/>
  <c r="G592" i="22"/>
  <c r="I592" i="22"/>
  <c r="B593" i="22"/>
  <c r="M537" i="22"/>
  <c r="D537" i="22"/>
  <c r="J537" i="22"/>
  <c r="N537" i="22" s="1"/>
  <c r="D80" i="7"/>
  <c r="BM12" i="22"/>
  <c r="P537" i="22"/>
  <c r="Q537" i="22"/>
  <c r="R537" i="22"/>
  <c r="L538" i="22"/>
  <c r="C538" i="22"/>
  <c r="K538" i="22" s="1"/>
  <c r="E538" i="22"/>
  <c r="F538" i="22"/>
  <c r="O538" i="22" s="1"/>
  <c r="G538" i="22"/>
  <c r="I538" i="22"/>
  <c r="B539" i="22"/>
  <c r="C110" i="7"/>
  <c r="C48" i="7"/>
  <c r="U482" i="22"/>
  <c r="AN11" i="22"/>
  <c r="AZ11" i="22"/>
  <c r="M483" i="22"/>
  <c r="D483" i="22"/>
  <c r="J483" i="22"/>
  <c r="N483" i="22" s="1"/>
  <c r="D79" i="7"/>
  <c r="BM11" i="22"/>
  <c r="P483" i="22"/>
  <c r="Q483" i="22"/>
  <c r="R483" i="22"/>
  <c r="L484" i="22"/>
  <c r="C484" i="22"/>
  <c r="K484" i="22" s="1"/>
  <c r="E484" i="22"/>
  <c r="F484" i="22"/>
  <c r="O484" i="22" s="1"/>
  <c r="G484" i="22"/>
  <c r="I484" i="22"/>
  <c r="B485" i="22"/>
  <c r="C109" i="7"/>
  <c r="C47" i="7"/>
  <c r="U428" i="22"/>
  <c r="AN10" i="22"/>
  <c r="AZ10" i="22"/>
  <c r="M429" i="22"/>
  <c r="D429" i="22"/>
  <c r="J429" i="22"/>
  <c r="N429" i="22" s="1"/>
  <c r="D78" i="7"/>
  <c r="BM10" i="22"/>
  <c r="P429" i="22"/>
  <c r="Q429" i="22"/>
  <c r="R429" i="22"/>
  <c r="L430" i="22"/>
  <c r="C430" i="22"/>
  <c r="K430" i="22" s="1"/>
  <c r="E430" i="22"/>
  <c r="F430" i="22"/>
  <c r="O430" i="22" s="1"/>
  <c r="G430" i="22"/>
  <c r="I430" i="22"/>
  <c r="B431" i="22"/>
  <c r="C108" i="7"/>
  <c r="C46" i="7"/>
  <c r="U374" i="22"/>
  <c r="AN9" i="22"/>
  <c r="AZ9" i="22"/>
  <c r="M375" i="22"/>
  <c r="D375" i="22"/>
  <c r="J375" i="22"/>
  <c r="N375" i="22" s="1"/>
  <c r="D77" i="7"/>
  <c r="BM9" i="22"/>
  <c r="P375" i="22"/>
  <c r="Q375" i="22"/>
  <c r="R375" i="22"/>
  <c r="L376" i="22"/>
  <c r="C376" i="22"/>
  <c r="K376" i="22" s="1"/>
  <c r="E376" i="22"/>
  <c r="F376" i="22"/>
  <c r="O376" i="22" s="1"/>
  <c r="G376" i="22"/>
  <c r="I376" i="22"/>
  <c r="B377" i="22"/>
  <c r="C45" i="7"/>
  <c r="C107" i="7"/>
  <c r="U320" i="22"/>
  <c r="AN8" i="22"/>
  <c r="AZ8" i="22"/>
  <c r="D321" i="22"/>
  <c r="J321" i="22"/>
  <c r="P321" i="22"/>
  <c r="Q321" i="22"/>
  <c r="R321" i="22"/>
  <c r="L322" i="22"/>
  <c r="C322" i="22"/>
  <c r="K322" i="22" s="1"/>
  <c r="E322" i="22"/>
  <c r="F322" i="22"/>
  <c r="O322" i="22" s="1"/>
  <c r="G322" i="22"/>
  <c r="I322" i="22"/>
  <c r="B323" i="22"/>
  <c r="C106" i="7"/>
  <c r="C44" i="7"/>
  <c r="U266" i="22"/>
  <c r="AN7" i="22"/>
  <c r="AZ7" i="22"/>
  <c r="M267" i="22"/>
  <c r="D267" i="22"/>
  <c r="J267" i="22"/>
  <c r="N267" i="22" s="1"/>
  <c r="P267" i="22"/>
  <c r="Q267" i="22"/>
  <c r="R267" i="22"/>
  <c r="L268" i="22"/>
  <c r="C268" i="22"/>
  <c r="K268" i="22" s="1"/>
  <c r="E268" i="22"/>
  <c r="F268" i="22"/>
  <c r="O268" i="22" s="1"/>
  <c r="BN7" i="22" s="1"/>
  <c r="G268" i="22"/>
  <c r="I268" i="22"/>
  <c r="B269" i="22"/>
  <c r="M213" i="22"/>
  <c r="D213" i="22"/>
  <c r="J213" i="22"/>
  <c r="N213" i="22" s="1"/>
  <c r="D74" i="7"/>
  <c r="BM6" i="22"/>
  <c r="P213" i="22"/>
  <c r="Q213" i="22"/>
  <c r="R213" i="22"/>
  <c r="L214" i="22"/>
  <c r="C214" i="22"/>
  <c r="K214" i="22" s="1"/>
  <c r="E214" i="22"/>
  <c r="F214" i="22"/>
  <c r="O214" i="22" s="1"/>
  <c r="G214" i="22"/>
  <c r="I214" i="22"/>
  <c r="B215" i="22"/>
  <c r="M159" i="22"/>
  <c r="P159" i="22"/>
  <c r="Q159" i="22"/>
  <c r="R159" i="22"/>
  <c r="J159" i="22"/>
  <c r="N159" i="22" s="1"/>
  <c r="D159" i="22"/>
  <c r="D73" i="7"/>
  <c r="BM5" i="22"/>
  <c r="L160" i="22"/>
  <c r="E160" i="22"/>
  <c r="G160" i="22"/>
  <c r="I160" i="22"/>
  <c r="B161" i="22"/>
  <c r="C160" i="22"/>
  <c r="K160" i="22" s="1"/>
  <c r="F160" i="22"/>
  <c r="O160" i="22" s="1"/>
  <c r="M105" i="22"/>
  <c r="P105" i="22"/>
  <c r="Q105" i="22"/>
  <c r="R105" i="22"/>
  <c r="L106" i="22"/>
  <c r="C106" i="22"/>
  <c r="K106" i="22" s="1"/>
  <c r="E106" i="22"/>
  <c r="F106" i="22"/>
  <c r="O106" i="22" s="1"/>
  <c r="G106" i="22"/>
  <c r="I106" i="22"/>
  <c r="B107" i="22"/>
  <c r="D105" i="22"/>
  <c r="J105" i="22"/>
  <c r="N105" i="22" s="1"/>
  <c r="D72" i="7"/>
  <c r="BM4" i="22"/>
  <c r="U42" i="17"/>
  <c r="M94" i="12"/>
  <c r="O94" i="12"/>
  <c r="F42" i="18"/>
  <c r="G42" i="18"/>
  <c r="H42" i="18"/>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F43" i="18" s="1"/>
  <c r="Q43" i="17"/>
  <c r="G43" i="18" s="1"/>
  <c r="R43" i="17"/>
  <c r="H43" i="18" s="1"/>
  <c r="V43" i="17"/>
  <c r="M43" i="17"/>
  <c r="G44" i="17"/>
  <c r="I44" i="17"/>
  <c r="L44" i="17"/>
  <c r="C44" i="17"/>
  <c r="F44" i="17" s="1"/>
  <c r="C44" i="18" s="1"/>
  <c r="E44" i="18" s="1"/>
  <c r="E44" i="17"/>
  <c r="K44" i="17"/>
  <c r="B45" i="17"/>
  <c r="B44" i="18"/>
  <c r="D43" i="17"/>
  <c r="J43" i="17"/>
  <c r="N43" i="17" s="1"/>
  <c r="N95" i="12"/>
  <c r="E95" i="12"/>
  <c r="O43" i="17"/>
  <c r="C93" i="12"/>
  <c r="AY16" i="17"/>
  <c r="B109" i="12"/>
  <c r="I109" i="12" s="1"/>
  <c r="AX15" i="17"/>
  <c r="AW17" i="17"/>
  <c r="AW18" i="17"/>
  <c r="AW19" i="17"/>
  <c r="AW20" i="17"/>
  <c r="AW21" i="17"/>
  <c r="AW22" i="17"/>
  <c r="AW23" i="17"/>
  <c r="AW24" i="17"/>
  <c r="AW25" i="17"/>
  <c r="AW26" i="17"/>
  <c r="AW27" i="17"/>
  <c r="AW28" i="17"/>
  <c r="AW29" i="17"/>
  <c r="AW30" i="17"/>
  <c r="AW31" i="17"/>
  <c r="AW34" i="17"/>
  <c r="AW35" i="17"/>
  <c r="AW36" i="17"/>
  <c r="AW37" i="17"/>
  <c r="AW39" i="17"/>
  <c r="AW40" i="17"/>
  <c r="AW44" i="17"/>
  <c r="AW32" i="17"/>
  <c r="AW33" i="17"/>
  <c r="AW38" i="17"/>
  <c r="AW41" i="17"/>
  <c r="AW42" i="17"/>
  <c r="AW43" i="17"/>
  <c r="U3721" i="22"/>
  <c r="AM71" i="22"/>
  <c r="AY71" i="22"/>
  <c r="U3667" i="22"/>
  <c r="AM70" i="22"/>
  <c r="AY70" i="22"/>
  <c r="U3343" i="22"/>
  <c r="AM64" i="22"/>
  <c r="AY64" i="22"/>
  <c r="U3289" i="22"/>
  <c r="AM63" i="22"/>
  <c r="AY63" i="22"/>
  <c r="U3235" i="22"/>
  <c r="AM62" i="22"/>
  <c r="AY62" i="22"/>
  <c r="U2965" i="22"/>
  <c r="AM57" i="22"/>
  <c r="AY57" i="22"/>
  <c r="U2857" i="22"/>
  <c r="AM55" i="22"/>
  <c r="AY55" i="22"/>
  <c r="U2641" i="22"/>
  <c r="AM51" i="22"/>
  <c r="AY51" i="22"/>
  <c r="U2587" i="22"/>
  <c r="AM50" i="22"/>
  <c r="AY50" i="22"/>
  <c r="U2533" i="22"/>
  <c r="AM49" i="22"/>
  <c r="AY49" i="22"/>
  <c r="U2209" i="22"/>
  <c r="AM43" i="22"/>
  <c r="AY43" i="22"/>
  <c r="U1939" i="22"/>
  <c r="AM38" i="22"/>
  <c r="AY38" i="22"/>
  <c r="U1885" i="22"/>
  <c r="AM37" i="22"/>
  <c r="AY37" i="22"/>
  <c r="U1561" i="22"/>
  <c r="AM31" i="22"/>
  <c r="AY31" i="22"/>
  <c r="U1399" i="22"/>
  <c r="AM28" i="22"/>
  <c r="AY28" i="22"/>
  <c r="U1237" i="22"/>
  <c r="AM25" i="22"/>
  <c r="AY25" i="22"/>
  <c r="B123" i="7"/>
  <c r="B61" i="7"/>
  <c r="U1183" i="22"/>
  <c r="AM24" i="22"/>
  <c r="AY24" i="22"/>
  <c r="B117" i="7"/>
  <c r="B55" i="7"/>
  <c r="U859" i="22"/>
  <c r="AM18" i="22"/>
  <c r="AY18" i="22"/>
  <c r="B112" i="7"/>
  <c r="B50" i="7"/>
  <c r="U589" i="22"/>
  <c r="AM13" i="22"/>
  <c r="AY13" i="22"/>
  <c r="B44" i="7"/>
  <c r="B106" i="7"/>
  <c r="U265" i="22"/>
  <c r="AM7" i="22"/>
  <c r="AY7" i="22"/>
  <c r="B104" i="7"/>
  <c r="B42" i="7"/>
  <c r="U157" i="22"/>
  <c r="AM5" i="22"/>
  <c r="AY5" i="22"/>
  <c r="B41" i="7"/>
  <c r="B103" i="7"/>
  <c r="AM4" i="22"/>
  <c r="AY4" i="22"/>
  <c r="B65" i="7" s="1"/>
  <c r="U103" i="22"/>
  <c r="AB1507" i="23"/>
  <c r="AC1507" i="23" s="1"/>
  <c r="O1507" i="23"/>
  <c r="M1507" i="23"/>
  <c r="N1507" i="23"/>
  <c r="W1507" i="23" s="1"/>
  <c r="M1451" i="23"/>
  <c r="N1451" i="23"/>
  <c r="W1451" i="23" s="1"/>
  <c r="AB1451" i="23"/>
  <c r="AC1451" i="23"/>
  <c r="O1451" i="23"/>
  <c r="N1395" i="23"/>
  <c r="W1395" i="23" s="1"/>
  <c r="M1395" i="23"/>
  <c r="AB1395" i="23"/>
  <c r="AC1395" i="23" s="1"/>
  <c r="O1395" i="23"/>
  <c r="Y1395" i="23" s="1"/>
  <c r="M1339" i="23"/>
  <c r="N1339" i="23"/>
  <c r="AB1339" i="23"/>
  <c r="AC1339" i="23" s="1"/>
  <c r="O1339" i="23"/>
  <c r="Y1339" i="23" s="1"/>
  <c r="N1115" i="23"/>
  <c r="W1115" i="23" s="1"/>
  <c r="M1115" i="23"/>
  <c r="O1115" i="23"/>
  <c r="Y1115" i="23" s="1"/>
  <c r="AB1115" i="23"/>
  <c r="AC1115" i="23" s="1"/>
  <c r="AB1059" i="23"/>
  <c r="AC1059" i="23" s="1"/>
  <c r="O1059" i="23"/>
  <c r="Y1059" i="23" s="1"/>
  <c r="M1059" i="23"/>
  <c r="N1059" i="23"/>
  <c r="W1059" i="23" s="1"/>
  <c r="M723" i="23"/>
  <c r="N723" i="23"/>
  <c r="W723" i="23" s="1"/>
  <c r="AB723" i="23"/>
  <c r="O723" i="23"/>
  <c r="Y723" i="23" s="1"/>
  <c r="AC723" i="23"/>
  <c r="M667" i="23"/>
  <c r="N667" i="23"/>
  <c r="W667" i="23" s="1"/>
  <c r="AB667" i="23"/>
  <c r="AC667" i="23" s="1"/>
  <c r="O667" i="23"/>
  <c r="Y667" i="23" s="1"/>
  <c r="M3614" i="22"/>
  <c r="N3614" i="22"/>
  <c r="BL69" i="22"/>
  <c r="M3560" i="22"/>
  <c r="N3560" i="22"/>
  <c r="BL68" i="22"/>
  <c r="M3290" i="22"/>
  <c r="N3290" i="22"/>
  <c r="M3236" i="22"/>
  <c r="N3236" i="22"/>
  <c r="BL56" i="22"/>
  <c r="M2912" i="22"/>
  <c r="N2912" i="22"/>
  <c r="M2858" i="22"/>
  <c r="N2858" i="22"/>
  <c r="M2642" i="22"/>
  <c r="N2642" i="22"/>
  <c r="M2534" i="22"/>
  <c r="N2534" i="22"/>
  <c r="M2264" i="22"/>
  <c r="N2264" i="22"/>
  <c r="BL44" i="22"/>
  <c r="M2210" i="22"/>
  <c r="N2210" i="22"/>
  <c r="M1238" i="22"/>
  <c r="N1238" i="22"/>
  <c r="BL18" i="22"/>
  <c r="C86" i="7"/>
  <c r="M860" i="22"/>
  <c r="N860" i="22"/>
  <c r="M590" i="22"/>
  <c r="N590" i="22"/>
  <c r="BL13" i="22"/>
  <c r="C81" i="7"/>
  <c r="BL12" i="22"/>
  <c r="C80" i="7"/>
  <c r="M536" i="22"/>
  <c r="N536" i="22"/>
  <c r="BL6" i="22"/>
  <c r="C74" i="7"/>
  <c r="M212" i="22"/>
  <c r="N212" i="22"/>
  <c r="BL5" i="22"/>
  <c r="C73" i="7"/>
  <c r="M158" i="22"/>
  <c r="N158" i="22" s="1"/>
  <c r="M104" i="22"/>
  <c r="N104" i="22"/>
  <c r="BL4" i="22"/>
  <c r="C72" i="7"/>
  <c r="B96" i="7"/>
  <c r="F1452" i="23"/>
  <c r="K1452" i="23"/>
  <c r="F1396" i="23"/>
  <c r="K1396" i="23"/>
  <c r="X1339" i="23"/>
  <c r="W1339" i="23"/>
  <c r="F1172" i="23"/>
  <c r="K1172" i="23"/>
  <c r="AD891" i="23"/>
  <c r="K724" i="23"/>
  <c r="F724" i="23"/>
  <c r="AD443" i="23"/>
  <c r="F4755" i="22"/>
  <c r="K4755" i="22"/>
  <c r="K4185" i="22"/>
  <c r="F4185" i="22"/>
  <c r="O4185" i="22" s="1"/>
  <c r="BM72" i="22"/>
  <c r="F3723" i="22"/>
  <c r="O3723" i="22" s="1"/>
  <c r="K3723" i="22"/>
  <c r="K3669" i="22"/>
  <c r="F3669" i="22"/>
  <c r="O3669" i="22" s="1"/>
  <c r="BM66" i="22"/>
  <c r="BM65" i="22"/>
  <c r="BM64" i="22"/>
  <c r="K3291" i="22"/>
  <c r="F3291" i="22"/>
  <c r="O3291" i="22" s="1"/>
  <c r="BM63" i="22" s="1"/>
  <c r="K3183" i="22"/>
  <c r="F3183" i="22"/>
  <c r="O3183" i="22" s="1"/>
  <c r="BM59" i="22"/>
  <c r="BM58" i="22"/>
  <c r="BM57" i="22"/>
  <c r="K2913" i="22"/>
  <c r="F2913" i="22"/>
  <c r="O2913" i="22" s="1"/>
  <c r="BM56" i="22" s="1"/>
  <c r="F2859" i="22"/>
  <c r="O2859" i="22" s="1"/>
  <c r="BM55" i="22" s="1"/>
  <c r="K2859" i="22"/>
  <c r="BM52" i="22"/>
  <c r="K2643" i="22"/>
  <c r="F2643" i="22"/>
  <c r="O2643" i="22" s="1"/>
  <c r="BM50" i="22"/>
  <c r="K2535" i="22"/>
  <c r="F2535" i="22"/>
  <c r="O2535" i="22" s="1"/>
  <c r="BM47" i="22"/>
  <c r="BM46" i="22"/>
  <c r="BM45" i="22"/>
  <c r="K2211" i="22"/>
  <c r="F2211" i="22"/>
  <c r="O2211" i="22" s="1"/>
  <c r="BM43" i="22" s="1"/>
  <c r="BM41" i="22"/>
  <c r="BM40" i="22"/>
  <c r="BM39" i="22"/>
  <c r="K1941" i="22"/>
  <c r="F1941" i="22"/>
  <c r="O1941" i="22" s="1"/>
  <c r="F1887" i="22"/>
  <c r="O1887" i="22" s="1"/>
  <c r="K1887" i="22"/>
  <c r="BM35" i="22"/>
  <c r="BM34" i="22"/>
  <c r="F1671" i="22"/>
  <c r="O1671" i="22" s="1"/>
  <c r="K1671" i="22"/>
  <c r="K1617" i="22"/>
  <c r="F1617" i="22"/>
  <c r="O1617" i="22" s="1"/>
  <c r="BM30" i="22"/>
  <c r="BM29" i="22"/>
  <c r="BM28" i="22"/>
  <c r="K1347" i="22"/>
  <c r="F1347" i="22"/>
  <c r="O1347" i="22" s="1"/>
  <c r="F1293" i="22"/>
  <c r="O1293" i="22" s="1"/>
  <c r="K1293" i="22"/>
  <c r="F1023" i="22"/>
  <c r="O1023" i="22" s="1"/>
  <c r="K1023" i="22"/>
  <c r="K969" i="22"/>
  <c r="F969" i="22"/>
  <c r="O969" i="22" s="1"/>
  <c r="K645" i="22"/>
  <c r="F645" i="22"/>
  <c r="O645" i="22" s="1"/>
  <c r="F321" i="22"/>
  <c r="O321" i="22" s="1"/>
  <c r="K321" i="22"/>
  <c r="BM7" i="22"/>
  <c r="BL63" i="22"/>
  <c r="BL62" i="22"/>
  <c r="BL55" i="22"/>
  <c r="BL43" i="22"/>
  <c r="BL25" i="22"/>
  <c r="N1401" i="22" l="1"/>
  <c r="Q94" i="12"/>
  <c r="B127" i="7"/>
  <c r="K837" i="23"/>
  <c r="F837" i="23"/>
  <c r="K669" i="23"/>
  <c r="F669" i="23"/>
  <c r="K3670" i="22"/>
  <c r="F3670" i="22"/>
  <c r="O3670" i="22" s="1"/>
  <c r="BN70" i="22" s="1"/>
  <c r="K2698" i="22"/>
  <c r="F2698" i="22"/>
  <c r="O2698" i="22" s="1"/>
  <c r="K2374" i="22"/>
  <c r="F2374" i="22"/>
  <c r="O2374" i="22" s="1"/>
  <c r="K2104" i="22"/>
  <c r="F2104" i="22"/>
  <c r="O2104" i="22" s="1"/>
  <c r="K2050" i="22"/>
  <c r="F2050" i="22"/>
  <c r="O2050" i="22" s="1"/>
  <c r="K1186" i="22"/>
  <c r="F1186" i="22"/>
  <c r="O1186" i="22" s="1"/>
  <c r="K916" i="22"/>
  <c r="F916" i="22"/>
  <c r="O916" i="22" s="1"/>
  <c r="K862" i="22"/>
  <c r="F862" i="22"/>
  <c r="O862"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E1510" i="23"/>
  <c r="G1510" i="23"/>
  <c r="B1511" i="23"/>
  <c r="J1453" i="23"/>
  <c r="D1453" i="23"/>
  <c r="P1453" i="23"/>
  <c r="Q1453" i="23"/>
  <c r="R1453" i="23"/>
  <c r="AF1453" i="23"/>
  <c r="L1454" i="23"/>
  <c r="I1454" i="23"/>
  <c r="E1454" i="23"/>
  <c r="G1454" i="23"/>
  <c r="C1454" i="23"/>
  <c r="B1455" i="23"/>
  <c r="J1397" i="23"/>
  <c r="D1397" i="23"/>
  <c r="P1397" i="23"/>
  <c r="Q1397" i="23"/>
  <c r="R1397" i="23"/>
  <c r="AF1397" i="23"/>
  <c r="L1398" i="23"/>
  <c r="I1398" i="23"/>
  <c r="G1398" i="23"/>
  <c r="B1399" i="23"/>
  <c r="C1398" i="23"/>
  <c r="K1398" i="23" s="1"/>
  <c r="E1398" i="23"/>
  <c r="F1398" i="23"/>
  <c r="J1341" i="23"/>
  <c r="D1341" i="23"/>
  <c r="P1341" i="23"/>
  <c r="Q1341" i="23"/>
  <c r="R1341" i="23"/>
  <c r="AF1341" i="23"/>
  <c r="L1342" i="23"/>
  <c r="I1342" i="23"/>
  <c r="C1342" i="23"/>
  <c r="K1342" i="23" s="1"/>
  <c r="E1342" i="23"/>
  <c r="F1342" i="23"/>
  <c r="G1342" i="23"/>
  <c r="B1343" i="23"/>
  <c r="J1285" i="23"/>
  <c r="D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L1174" i="23"/>
  <c r="I1174" i="23"/>
  <c r="C1174" i="23"/>
  <c r="K1174" i="23" s="1"/>
  <c r="E1174" i="23"/>
  <c r="F1174" i="23"/>
  <c r="G1174" i="23"/>
  <c r="B1175" i="23"/>
  <c r="J1173" i="23"/>
  <c r="D1173" i="23"/>
  <c r="P1173" i="23"/>
  <c r="Q1173" i="23"/>
  <c r="R1173" i="23"/>
  <c r="AF1173" i="23"/>
  <c r="M1117" i="23"/>
  <c r="J1117" i="23"/>
  <c r="N1117" i="23" s="1"/>
  <c r="W1117" i="23" s="1"/>
  <c r="D1117" i="23"/>
  <c r="AB1117" i="23"/>
  <c r="O1117" i="23"/>
  <c r="Y1117" i="23" s="1"/>
  <c r="AC1117" i="23"/>
  <c r="P1117" i="23"/>
  <c r="Q1117" i="23"/>
  <c r="R1117" i="23"/>
  <c r="AF1117" i="23"/>
  <c r="X1117" i="23"/>
  <c r="L1118" i="23"/>
  <c r="I1118" i="23"/>
  <c r="C1118" i="23"/>
  <c r="K1118" i="23" s="1"/>
  <c r="E1118" i="23"/>
  <c r="F1118" i="23"/>
  <c r="G1118" i="23"/>
  <c r="B1119" i="23"/>
  <c r="J1061" i="23"/>
  <c r="D1061" i="23"/>
  <c r="P1061" i="23"/>
  <c r="Q1061" i="23"/>
  <c r="R1061" i="23"/>
  <c r="W1061" i="23"/>
  <c r="X1061" i="23"/>
  <c r="AF1061" i="23"/>
  <c r="L1062" i="23"/>
  <c r="I1062" i="23"/>
  <c r="E1062" i="23"/>
  <c r="G1062" i="23"/>
  <c r="B1063" i="23"/>
  <c r="C1062" i="23"/>
  <c r="M1005" i="23"/>
  <c r="J1005" i="23"/>
  <c r="D1005" i="23"/>
  <c r="O1005" i="23"/>
  <c r="Y1005" i="23" s="1"/>
  <c r="AB1005" i="23"/>
  <c r="AC1005" i="23" s="1"/>
  <c r="P1005" i="23"/>
  <c r="Q1005" i="23"/>
  <c r="R1005" i="23"/>
  <c r="AF1005" i="23"/>
  <c r="L1006" i="23"/>
  <c r="I1006" i="23"/>
  <c r="C1006" i="23"/>
  <c r="E1006" i="23"/>
  <c r="G1006" i="23"/>
  <c r="B1007" i="23"/>
  <c r="J949" i="23"/>
  <c r="D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E894" i="23"/>
  <c r="G894" i="23"/>
  <c r="B895" i="23"/>
  <c r="M837" i="23"/>
  <c r="J837" i="23"/>
  <c r="D837" i="23"/>
  <c r="P837" i="23"/>
  <c r="Q837" i="23"/>
  <c r="R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I722" i="23"/>
  <c r="B79" i="8"/>
  <c r="P725" i="23"/>
  <c r="Q725" i="23"/>
  <c r="R725" i="23"/>
  <c r="AF725" i="23"/>
  <c r="L726" i="23"/>
  <c r="I726" i="23"/>
  <c r="E726" i="23"/>
  <c r="B727" i="23"/>
  <c r="C726" i="23"/>
  <c r="G726" i="23"/>
  <c r="J725" i="23"/>
  <c r="D725" i="23"/>
  <c r="M669" i="23"/>
  <c r="J669" i="23"/>
  <c r="N669" i="23" s="1"/>
  <c r="W669" i="23" s="1"/>
  <c r="D669" i="23"/>
  <c r="O669" i="23"/>
  <c r="Y669" i="23" s="1"/>
  <c r="AB669" i="23"/>
  <c r="AC669" i="23"/>
  <c r="P669" i="23"/>
  <c r="Q669" i="23"/>
  <c r="R669" i="23"/>
  <c r="X669" i="23"/>
  <c r="AF669" i="23"/>
  <c r="L670" i="23"/>
  <c r="I670" i="23"/>
  <c r="C670" i="23"/>
  <c r="K670" i="23" s="1"/>
  <c r="E670" i="23"/>
  <c r="F670" i="23"/>
  <c r="G670" i="23"/>
  <c r="B671" i="23"/>
  <c r="M613" i="23"/>
  <c r="J613" i="23"/>
  <c r="D613" i="23"/>
  <c r="O613" i="23"/>
  <c r="Y613" i="23" s="1"/>
  <c r="AB613" i="23"/>
  <c r="AC613" i="23"/>
  <c r="P613" i="23"/>
  <c r="Q613" i="23"/>
  <c r="R613" i="23"/>
  <c r="AF613" i="23"/>
  <c r="L614" i="23"/>
  <c r="I614" i="23"/>
  <c r="C614" i="23"/>
  <c r="K614" i="23" s="1"/>
  <c r="E614" i="23"/>
  <c r="F614" i="23"/>
  <c r="G614" i="23"/>
  <c r="B615" i="23"/>
  <c r="J557" i="23"/>
  <c r="D557" i="23"/>
  <c r="P557" i="23"/>
  <c r="Q557" i="23"/>
  <c r="R557" i="23"/>
  <c r="AF557" i="23"/>
  <c r="L558" i="23"/>
  <c r="I558" i="23"/>
  <c r="C558" i="23"/>
  <c r="K558" i="23" s="1"/>
  <c r="E558" i="23"/>
  <c r="F558" i="23"/>
  <c r="G558" i="23"/>
  <c r="B559" i="23"/>
  <c r="M501" i="23"/>
  <c r="J501" i="23"/>
  <c r="D501" i="23"/>
  <c r="O501" i="23"/>
  <c r="Y501" i="23" s="1"/>
  <c r="AB501" i="23"/>
  <c r="AC501" i="23"/>
  <c r="P501" i="23"/>
  <c r="Q501" i="23"/>
  <c r="R501" i="23"/>
  <c r="AF501" i="23"/>
  <c r="L502" i="23"/>
  <c r="I502" i="23"/>
  <c r="C502" i="23"/>
  <c r="E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K390" i="23" s="1"/>
  <c r="E390" i="23"/>
  <c r="F390" i="23"/>
  <c r="G390" i="23"/>
  <c r="B391" i="23"/>
  <c r="J333" i="23"/>
  <c r="D333" i="23"/>
  <c r="P333" i="23"/>
  <c r="Q333" i="23"/>
  <c r="R333" i="23"/>
  <c r="AF333" i="23"/>
  <c r="L334" i="23"/>
  <c r="I334" i="23"/>
  <c r="C334" i="23"/>
  <c r="K334" i="23" s="1"/>
  <c r="E334" i="23"/>
  <c r="F334" i="23"/>
  <c r="G334" i="23"/>
  <c r="B335" i="23"/>
  <c r="M277" i="23"/>
  <c r="J277" i="23"/>
  <c r="N277" i="23" s="1"/>
  <c r="D277" i="23"/>
  <c r="O277" i="23"/>
  <c r="Y277" i="23" s="1"/>
  <c r="AB277" i="23"/>
  <c r="AC277" i="23"/>
  <c r="P277" i="23"/>
  <c r="Q277" i="23"/>
  <c r="R277" i="23"/>
  <c r="W277" i="23"/>
  <c r="X277" i="23"/>
  <c r="AF277" i="23"/>
  <c r="L278" i="23"/>
  <c r="I278" i="23"/>
  <c r="C278" i="23"/>
  <c r="K278" i="23" s="1"/>
  <c r="E278" i="23"/>
  <c r="F278" i="23"/>
  <c r="G278" i="23"/>
  <c r="B279" i="23"/>
  <c r="P4756" i="22"/>
  <c r="Q4756" i="22"/>
  <c r="R4756" i="22"/>
  <c r="I4757" i="22"/>
  <c r="C4757" i="22"/>
  <c r="E4757" i="22"/>
  <c r="G4757" i="22"/>
  <c r="L4757" i="22"/>
  <c r="B4758" i="22"/>
  <c r="D4756" i="22"/>
  <c r="J4756" i="22"/>
  <c r="N4756" i="22" s="1"/>
  <c r="P96" i="12" s="1"/>
  <c r="M4756" i="22"/>
  <c r="T4700" i="22"/>
  <c r="D31" i="15" s="1"/>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D4649" i="22" s="1"/>
  <c r="E4649" i="22"/>
  <c r="F4649" i="22"/>
  <c r="O4649" i="22" s="1"/>
  <c r="G4649" i="22"/>
  <c r="B4650" i="22"/>
  <c r="M4594" i="22"/>
  <c r="J4594" i="22"/>
  <c r="D4594" i="22"/>
  <c r="P4594" i="22"/>
  <c r="Q4594" i="22"/>
  <c r="R4594" i="22"/>
  <c r="I4595" i="22"/>
  <c r="L4595" i="22"/>
  <c r="C4595" i="22"/>
  <c r="E4595" i="22"/>
  <c r="G4595" i="22"/>
  <c r="B4596" i="22"/>
  <c r="D4540" i="22"/>
  <c r="M4540" i="22" s="1"/>
  <c r="J4540" i="22"/>
  <c r="P4540" i="22"/>
  <c r="Q4540" i="22"/>
  <c r="R4540" i="22"/>
  <c r="L4541" i="22"/>
  <c r="C4541" i="22"/>
  <c r="E4541" i="22"/>
  <c r="G4541" i="22"/>
  <c r="I4541" i="22"/>
  <c r="B4542" i="22"/>
  <c r="D4240" i="22"/>
  <c r="J4240" i="22"/>
  <c r="P4240" i="22"/>
  <c r="Q4240" i="22"/>
  <c r="R4240" i="22"/>
  <c r="M4240" i="22"/>
  <c r="N4240" i="22"/>
  <c r="U4240" i="22" s="1"/>
  <c r="C4241" i="22"/>
  <c r="E4241" i="22"/>
  <c r="F4241" i="22"/>
  <c r="O4241" i="22" s="1"/>
  <c r="G4241" i="22"/>
  <c r="I4241" i="22"/>
  <c r="K4241" i="22"/>
  <c r="L4241" i="22"/>
  <c r="B4242" i="22"/>
  <c r="D4186" i="22"/>
  <c r="M4186" i="22" s="1"/>
  <c r="J4186" i="22"/>
  <c r="P4186" i="22"/>
  <c r="Q4186" i="22"/>
  <c r="R4186" i="22"/>
  <c r="L4187" i="22"/>
  <c r="C4187" i="22"/>
  <c r="K4187" i="22" s="1"/>
  <c r="E4187" i="22"/>
  <c r="F4187" i="22"/>
  <c r="O4187" i="22" s="1"/>
  <c r="G4187" i="22"/>
  <c r="I4187" i="22"/>
  <c r="B4188" i="22"/>
  <c r="D4132" i="22"/>
  <c r="J4132" i="22"/>
  <c r="P4132" i="22"/>
  <c r="Q4132" i="22"/>
  <c r="R4132" i="22"/>
  <c r="M4132" i="22"/>
  <c r="N4132" i="22" s="1"/>
  <c r="U4132" i="22" s="1"/>
  <c r="C4133" i="22"/>
  <c r="E4133" i="22"/>
  <c r="F4133" i="22"/>
  <c r="O4133" i="22" s="1"/>
  <c r="G4133" i="22"/>
  <c r="I4133" i="22"/>
  <c r="K4133" i="22"/>
  <c r="L4133" i="22"/>
  <c r="B4134" i="22"/>
  <c r="D4078" i="22"/>
  <c r="J4078" i="22"/>
  <c r="N4078" i="22" s="1"/>
  <c r="U4078" i="22" s="1"/>
  <c r="P4078" i="22"/>
  <c r="Q4078" i="22"/>
  <c r="R4078" i="22"/>
  <c r="M4078" i="22"/>
  <c r="C4079" i="22"/>
  <c r="E4079" i="22"/>
  <c r="F4079" i="22"/>
  <c r="O4079" i="22" s="1"/>
  <c r="G4079" i="22"/>
  <c r="I4079" i="22"/>
  <c r="K4079" i="22"/>
  <c r="L4079" i="22"/>
  <c r="B4080" i="22"/>
  <c r="U3777" i="22"/>
  <c r="AO72" i="22"/>
  <c r="BA72" i="22"/>
  <c r="D3778" i="22"/>
  <c r="J3778" i="22"/>
  <c r="P3778" i="22"/>
  <c r="Q3778" i="22"/>
  <c r="R3778" i="22"/>
  <c r="L3779" i="22"/>
  <c r="C3779" i="22"/>
  <c r="E3779" i="22"/>
  <c r="G3779" i="22"/>
  <c r="I3779" i="22"/>
  <c r="B3780" i="22"/>
  <c r="M3724" i="22"/>
  <c r="D3724" i="22"/>
  <c r="J3724" i="22"/>
  <c r="N3724" i="22" s="1"/>
  <c r="P3724" i="22"/>
  <c r="Q3724" i="22"/>
  <c r="R3724" i="22"/>
  <c r="L3725" i="22"/>
  <c r="C3725" i="22"/>
  <c r="E3725" i="22"/>
  <c r="G3725" i="22"/>
  <c r="I3725" i="22"/>
  <c r="B3726" i="22"/>
  <c r="M3670" i="22"/>
  <c r="D3670" i="22"/>
  <c r="J3670" i="22"/>
  <c r="N3670" i="22" s="1"/>
  <c r="P3670" i="22"/>
  <c r="Q3670" i="22"/>
  <c r="R3670" i="22"/>
  <c r="L3671" i="22"/>
  <c r="C3671" i="22"/>
  <c r="E3671" i="22"/>
  <c r="G3671" i="22"/>
  <c r="I3671" i="22"/>
  <c r="B3672" i="22"/>
  <c r="U3615" i="22"/>
  <c r="AO69" i="22"/>
  <c r="BA69" i="22"/>
  <c r="M3616" i="22"/>
  <c r="D3616" i="22"/>
  <c r="J3616" i="22"/>
  <c r="N3616" i="22" s="1"/>
  <c r="P3616" i="22"/>
  <c r="Q3616" i="22"/>
  <c r="R3616" i="22"/>
  <c r="L3617" i="22"/>
  <c r="C3617" i="22"/>
  <c r="K3617" i="22" s="1"/>
  <c r="E3617" i="22"/>
  <c r="F3617" i="22"/>
  <c r="O3617" i="22" s="1"/>
  <c r="G3617" i="22"/>
  <c r="I3617" i="22"/>
  <c r="B3618" i="22"/>
  <c r="U3561" i="22"/>
  <c r="AO68" i="22"/>
  <c r="BA68" i="22"/>
  <c r="P3562" i="22"/>
  <c r="Q3562" i="22"/>
  <c r="R3562" i="22"/>
  <c r="L3563" i="22"/>
  <c r="I3563" i="22"/>
  <c r="B3564" i="22"/>
  <c r="C3563" i="22"/>
  <c r="E3563" i="22"/>
  <c r="G3563" i="22"/>
  <c r="J3562" i="22"/>
  <c r="D3562" i="22"/>
  <c r="U3507" i="22"/>
  <c r="AO67" i="22"/>
  <c r="BA67" i="22"/>
  <c r="M3508" i="22"/>
  <c r="D3508" i="22"/>
  <c r="J3508" i="22"/>
  <c r="N3508" i="22" s="1"/>
  <c r="BN67" i="22"/>
  <c r="P3508" i="22"/>
  <c r="Q3508" i="22"/>
  <c r="R3508" i="22"/>
  <c r="L3509" i="22"/>
  <c r="C3509" i="22"/>
  <c r="K3509" i="22" s="1"/>
  <c r="E3509" i="22"/>
  <c r="F3509" i="22"/>
  <c r="O3509" i="22" s="1"/>
  <c r="G3509" i="22"/>
  <c r="I3509" i="22"/>
  <c r="B3510" i="22"/>
  <c r="U3453" i="22"/>
  <c r="AO66" i="22"/>
  <c r="BA66" i="22"/>
  <c r="M3454" i="22"/>
  <c r="D3454" i="22"/>
  <c r="J3454" i="22"/>
  <c r="N3454" i="22" s="1"/>
  <c r="P3454" i="22"/>
  <c r="Q3454" i="22"/>
  <c r="R3454" i="22"/>
  <c r="L3455" i="22"/>
  <c r="C3455" i="22"/>
  <c r="E3455" i="22"/>
  <c r="G3455" i="22"/>
  <c r="I3455" i="22"/>
  <c r="B3456" i="22"/>
  <c r="U3399" i="22"/>
  <c r="AO65" i="22"/>
  <c r="BA65" i="22"/>
  <c r="D3400" i="22"/>
  <c r="J3400" i="22"/>
  <c r="P3400" i="22"/>
  <c r="Q3400" i="22"/>
  <c r="R3400" i="22"/>
  <c r="L3401" i="22"/>
  <c r="C3401" i="22"/>
  <c r="E3401" i="22"/>
  <c r="G3401" i="22"/>
  <c r="I3401" i="22"/>
  <c r="B3402" i="22"/>
  <c r="U3345" i="22"/>
  <c r="AO64" i="22"/>
  <c r="BA64" i="22"/>
  <c r="M3346" i="22"/>
  <c r="D3346" i="22"/>
  <c r="J3346" i="22"/>
  <c r="N3346" i="22" s="1"/>
  <c r="P3346" i="22"/>
  <c r="Q3346" i="22"/>
  <c r="R3346" i="22"/>
  <c r="L3347" i="22"/>
  <c r="C3347" i="22"/>
  <c r="E3347" i="22"/>
  <c r="G3347" i="22"/>
  <c r="I3347" i="22"/>
  <c r="B3348" i="22"/>
  <c r="J3292" i="22"/>
  <c r="D3292" i="22"/>
  <c r="P3292" i="22"/>
  <c r="Q3292" i="22"/>
  <c r="R3292" i="22"/>
  <c r="L3293" i="22"/>
  <c r="E3293" i="22"/>
  <c r="C3293" i="22"/>
  <c r="I3293" i="22"/>
  <c r="G3293" i="22"/>
  <c r="B3294" i="22"/>
  <c r="U3237" i="22"/>
  <c r="AO62" i="22"/>
  <c r="BA62" i="22"/>
  <c r="M3238" i="22"/>
  <c r="J3238" i="22"/>
  <c r="N3238" i="22" s="1"/>
  <c r="D3238" i="22"/>
  <c r="P3238" i="22"/>
  <c r="Q3238" i="22"/>
  <c r="R3238" i="22"/>
  <c r="L3239" i="22"/>
  <c r="I3239" i="22"/>
  <c r="C3239" i="22"/>
  <c r="K3239" i="22" s="1"/>
  <c r="F3239" i="22"/>
  <c r="O3239" i="22" s="1"/>
  <c r="B3240" i="22"/>
  <c r="E3239" i="22"/>
  <c r="G3239" i="22"/>
  <c r="M3184" i="22"/>
  <c r="D3184" i="22"/>
  <c r="J3184" i="22"/>
  <c r="N3184" i="22" s="1"/>
  <c r="P3184" i="22"/>
  <c r="Q3184" i="22"/>
  <c r="R3184" i="22"/>
  <c r="L3185" i="22"/>
  <c r="C3185" i="22"/>
  <c r="K3185" i="22" s="1"/>
  <c r="E3185" i="22"/>
  <c r="F3185" i="22"/>
  <c r="O3185" i="22" s="1"/>
  <c r="G3185" i="22"/>
  <c r="I3185" i="22"/>
  <c r="B3186" i="22"/>
  <c r="U3129" i="22"/>
  <c r="AO60" i="22"/>
  <c r="BA60" i="22"/>
  <c r="M3130" i="22"/>
  <c r="D3130" i="22"/>
  <c r="J3130" i="22"/>
  <c r="N3130" i="22" s="1"/>
  <c r="BN60" i="22"/>
  <c r="P3130" i="22"/>
  <c r="Q3130" i="22"/>
  <c r="R3130" i="22"/>
  <c r="L3131" i="22"/>
  <c r="C3131" i="22"/>
  <c r="K3131" i="22" s="1"/>
  <c r="E3131" i="22"/>
  <c r="F3131" i="22"/>
  <c r="O3131" i="22" s="1"/>
  <c r="G3131" i="22"/>
  <c r="I3131" i="22"/>
  <c r="B3132" i="22"/>
  <c r="U3075" i="22"/>
  <c r="AO59" i="22"/>
  <c r="BA59" i="22"/>
  <c r="D3076" i="22"/>
  <c r="J3076" i="22"/>
  <c r="P3076" i="22"/>
  <c r="Q3076" i="22"/>
  <c r="R3076" i="22"/>
  <c r="L3077" i="22"/>
  <c r="C3077" i="22"/>
  <c r="K3077" i="22" s="1"/>
  <c r="E3077" i="22"/>
  <c r="F3077" i="22"/>
  <c r="O3077" i="22" s="1"/>
  <c r="BO59" i="22" s="1"/>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U2967" i="22"/>
  <c r="AO57" i="22"/>
  <c r="BA57" i="22"/>
  <c r="D2968" i="22"/>
  <c r="J2968" i="22"/>
  <c r="P2968" i="22"/>
  <c r="Q2968" i="22"/>
  <c r="R2968" i="22"/>
  <c r="L2969" i="22"/>
  <c r="C2969" i="22"/>
  <c r="E2969" i="22"/>
  <c r="G2969" i="22"/>
  <c r="I2969" i="22"/>
  <c r="B2970" i="22"/>
  <c r="M2914" i="22"/>
  <c r="D2914" i="22"/>
  <c r="J2914" i="22"/>
  <c r="N2914" i="22" s="1"/>
  <c r="P2914" i="22"/>
  <c r="Q2914" i="22"/>
  <c r="R2914" i="22"/>
  <c r="L2915" i="22"/>
  <c r="C2915" i="22"/>
  <c r="K2915" i="22" s="1"/>
  <c r="E2915" i="22"/>
  <c r="F2915" i="22"/>
  <c r="O2915" i="22" s="1"/>
  <c r="G2915" i="22"/>
  <c r="I2915" i="22"/>
  <c r="B2916" i="22"/>
  <c r="M2860" i="22"/>
  <c r="D2860" i="22"/>
  <c r="J2860" i="22"/>
  <c r="N2860" i="22" s="1"/>
  <c r="P2860" i="22"/>
  <c r="Q2860" i="22"/>
  <c r="R2860" i="22"/>
  <c r="L2861" i="22"/>
  <c r="C2861" i="22"/>
  <c r="E2861" i="22"/>
  <c r="G2861" i="22"/>
  <c r="I2861" i="22"/>
  <c r="B2862" i="22"/>
  <c r="S2805" i="22"/>
  <c r="AO54" i="22"/>
  <c r="BA54" i="22"/>
  <c r="AL1620" i="23"/>
  <c r="U2805" i="22"/>
  <c r="D2806" i="22"/>
  <c r="M2806" i="22" s="1"/>
  <c r="J2806" i="22"/>
  <c r="BN54" i="22"/>
  <c r="P2806" i="22"/>
  <c r="Q2806" i="22"/>
  <c r="R2806" i="22"/>
  <c r="T2806" i="22"/>
  <c r="L2807" i="22"/>
  <c r="C2807" i="22"/>
  <c r="K2807" i="22" s="1"/>
  <c r="E2807" i="22"/>
  <c r="F2807" i="22"/>
  <c r="O2807" i="22" s="1"/>
  <c r="G2807" i="22"/>
  <c r="I2807" i="22"/>
  <c r="B2808" i="22"/>
  <c r="U2751" i="22"/>
  <c r="AO53" i="22"/>
  <c r="BA53" i="22"/>
  <c r="M2752" i="22"/>
  <c r="D2752" i="22"/>
  <c r="J2752" i="22"/>
  <c r="N2752" i="22" s="1"/>
  <c r="BN53" i="22"/>
  <c r="P2752" i="22"/>
  <c r="Q2752" i="22"/>
  <c r="R2752" i="22"/>
  <c r="L2753" i="22"/>
  <c r="C2753" i="22"/>
  <c r="K2753" i="22" s="1"/>
  <c r="E2753" i="22"/>
  <c r="F2753" i="22"/>
  <c r="O2753" i="22" s="1"/>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L2645" i="22"/>
  <c r="I2645" i="22"/>
  <c r="B2646" i="22"/>
  <c r="C2645" i="22"/>
  <c r="K2645" i="22" s="1"/>
  <c r="E2645" i="22"/>
  <c r="F2645" i="22"/>
  <c r="O2645" i="22" s="1"/>
  <c r="BO51" i="22" s="1"/>
  <c r="G2645" i="22"/>
  <c r="D2644" i="22"/>
  <c r="J2644" i="22"/>
  <c r="P2644" i="22"/>
  <c r="Q2644" i="22"/>
  <c r="R2644" i="22"/>
  <c r="U2589" i="22"/>
  <c r="AO50" i="22"/>
  <c r="BA50" i="22"/>
  <c r="D2590" i="22"/>
  <c r="J2590" i="22"/>
  <c r="P2590" i="22"/>
  <c r="Q2590" i="22"/>
  <c r="R2590" i="22"/>
  <c r="L2591" i="22"/>
  <c r="C2591" i="22"/>
  <c r="E2591" i="22"/>
  <c r="G2591" i="22"/>
  <c r="I2591" i="22"/>
  <c r="B2592" i="22"/>
  <c r="D2536" i="22"/>
  <c r="J2536" i="22"/>
  <c r="P2536" i="22"/>
  <c r="Q2536" i="22"/>
  <c r="R2536" i="22"/>
  <c r="L2537" i="22"/>
  <c r="C2537" i="22"/>
  <c r="E2537" i="22"/>
  <c r="G2537" i="22"/>
  <c r="I2537" i="22"/>
  <c r="B2538" i="22"/>
  <c r="U2481" i="22"/>
  <c r="AO48" i="22"/>
  <c r="BA48" i="22"/>
  <c r="M2482" i="22"/>
  <c r="D2482" i="22"/>
  <c r="J2482" i="22"/>
  <c r="N2482" i="22" s="1"/>
  <c r="P2482" i="22"/>
  <c r="Q2482" i="22"/>
  <c r="R2482" i="22"/>
  <c r="L2483" i="22"/>
  <c r="C2483" i="22"/>
  <c r="K2483" i="22" s="1"/>
  <c r="E2483" i="22"/>
  <c r="F2483" i="22"/>
  <c r="O2483" i="22" s="1"/>
  <c r="BO48" i="22" s="1"/>
  <c r="G2483" i="22"/>
  <c r="I2483" i="22"/>
  <c r="B2484" i="22"/>
  <c r="U2427" i="22"/>
  <c r="AO47" i="22"/>
  <c r="BA47" i="22"/>
  <c r="M2428" i="22"/>
  <c r="D2428" i="22"/>
  <c r="J2428" i="22"/>
  <c r="N2428" i="22" s="1"/>
  <c r="P2428" i="22"/>
  <c r="Q2428" i="22"/>
  <c r="R2428" i="22"/>
  <c r="L2429" i="22"/>
  <c r="C2429" i="22"/>
  <c r="K2429" i="22" s="1"/>
  <c r="E2429" i="22"/>
  <c r="F2429" i="22"/>
  <c r="O2429" i="22" s="1"/>
  <c r="BO47" i="22" s="1"/>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U2319" i="22"/>
  <c r="AO45" i="22"/>
  <c r="BA45" i="22"/>
  <c r="M2320" i="22"/>
  <c r="D2320" i="22"/>
  <c r="J2320" i="22"/>
  <c r="N2320" i="22" s="1"/>
  <c r="P2320" i="22"/>
  <c r="Q2320" i="22"/>
  <c r="R2320" i="22"/>
  <c r="L2321" i="22"/>
  <c r="C2321" i="22"/>
  <c r="E2321" i="22"/>
  <c r="G2321" i="22"/>
  <c r="I2321" i="22"/>
  <c r="B2322" i="22"/>
  <c r="U2265" i="22"/>
  <c r="AO44" i="22"/>
  <c r="BA44" i="22"/>
  <c r="M2266" i="22"/>
  <c r="D2266" i="22"/>
  <c r="J2266" i="22"/>
  <c r="N2266" i="22" s="1"/>
  <c r="P2266" i="22"/>
  <c r="Q2266" i="22"/>
  <c r="R2266" i="22"/>
  <c r="L2267" i="22"/>
  <c r="C2267" i="22"/>
  <c r="E2267" i="22"/>
  <c r="G2267" i="22"/>
  <c r="I2267" i="22"/>
  <c r="B2268" i="22"/>
  <c r="M2212" i="22"/>
  <c r="D2212" i="22"/>
  <c r="J2212" i="22"/>
  <c r="N2212" i="22" s="1"/>
  <c r="P2212" i="22"/>
  <c r="Q2212" i="22"/>
  <c r="R2212" i="22"/>
  <c r="L2213" i="22"/>
  <c r="C2213" i="22"/>
  <c r="E2213" i="22"/>
  <c r="G2213" i="22"/>
  <c r="I2213" i="22"/>
  <c r="B2214" i="22"/>
  <c r="U2157" i="22"/>
  <c r="AO42" i="22"/>
  <c r="BA42" i="22"/>
  <c r="D2158" i="22"/>
  <c r="J2158" i="22"/>
  <c r="P2158" i="22"/>
  <c r="Q2158" i="22"/>
  <c r="R2158" i="22"/>
  <c r="L2159" i="22"/>
  <c r="C2159" i="22"/>
  <c r="E2159" i="22"/>
  <c r="G2159" i="22"/>
  <c r="I2159" i="22"/>
  <c r="B2160" i="22"/>
  <c r="U2103" i="22"/>
  <c r="AO41" i="22"/>
  <c r="BA41" i="22"/>
  <c r="M2104" i="22"/>
  <c r="D2104" i="22"/>
  <c r="J2104" i="22"/>
  <c r="N2104" i="22" s="1"/>
  <c r="P2104" i="22"/>
  <c r="Q2104" i="22"/>
  <c r="R2104" i="22"/>
  <c r="L2105" i="22"/>
  <c r="C2105" i="22"/>
  <c r="K2105" i="22" s="1"/>
  <c r="E2105" i="22"/>
  <c r="F2105" i="22"/>
  <c r="O2105" i="22" s="1"/>
  <c r="BO41" i="22" s="1"/>
  <c r="G2105" i="22"/>
  <c r="I2105" i="22"/>
  <c r="B2106" i="22"/>
  <c r="U2049" i="22"/>
  <c r="AO40" i="22"/>
  <c r="BA40" i="22"/>
  <c r="M2050" i="22"/>
  <c r="D2050" i="22"/>
  <c r="J2050" i="22"/>
  <c r="N2050" i="22" s="1"/>
  <c r="P2050" i="22"/>
  <c r="Q2050" i="22"/>
  <c r="R2050" i="22"/>
  <c r="L2051" i="22"/>
  <c r="C2051" i="22"/>
  <c r="K2051" i="22" s="1"/>
  <c r="E2051" i="22"/>
  <c r="F2051" i="22"/>
  <c r="O2051" i="22" s="1"/>
  <c r="G2051" i="22"/>
  <c r="I2051" i="22"/>
  <c r="B2052" i="22"/>
  <c r="U1995" i="22"/>
  <c r="AO39" i="22"/>
  <c r="BA39" i="22"/>
  <c r="M1996" i="22"/>
  <c r="D1996" i="22"/>
  <c r="J1996" i="22"/>
  <c r="N1996" i="22" s="1"/>
  <c r="P1996" i="22"/>
  <c r="Q1996" i="22"/>
  <c r="R1996" i="22"/>
  <c r="L1997" i="22"/>
  <c r="C1997" i="22"/>
  <c r="E1997" i="22"/>
  <c r="G1997" i="22"/>
  <c r="I1997" i="22"/>
  <c r="B1998" i="22"/>
  <c r="M1942" i="22"/>
  <c r="D1942" i="22"/>
  <c r="J1942" i="22"/>
  <c r="N1942" i="22" s="1"/>
  <c r="P1942" i="22"/>
  <c r="Q1942" i="22"/>
  <c r="R1942" i="22"/>
  <c r="L1943" i="22"/>
  <c r="C1943" i="22"/>
  <c r="K1943" i="22" s="1"/>
  <c r="E1943" i="22"/>
  <c r="F1943" i="22"/>
  <c r="O1943" i="22" s="1"/>
  <c r="G1943" i="22"/>
  <c r="I1943" i="22"/>
  <c r="B1944" i="22"/>
  <c r="D1888" i="22"/>
  <c r="J1888" i="22"/>
  <c r="P1888" i="22"/>
  <c r="Q1888" i="22"/>
  <c r="R1888" i="22"/>
  <c r="L1889" i="22"/>
  <c r="C1889" i="22"/>
  <c r="K1889" i="22" s="1"/>
  <c r="E1889" i="22"/>
  <c r="F1889" i="22"/>
  <c r="O1889" i="22" s="1"/>
  <c r="BO37" i="22" s="1"/>
  <c r="G1889" i="22"/>
  <c r="I1889" i="22"/>
  <c r="B1890" i="22"/>
  <c r="U1833" i="22"/>
  <c r="AO36" i="22"/>
  <c r="BA36" i="22"/>
  <c r="D1834" i="22"/>
  <c r="J1834" i="22"/>
  <c r="P1834" i="22"/>
  <c r="Q1834" i="22"/>
  <c r="R1834" i="22"/>
  <c r="L1835" i="22"/>
  <c r="C1835" i="22"/>
  <c r="E1835" i="22"/>
  <c r="G1835" i="22"/>
  <c r="I1835" i="22"/>
  <c r="B1836" i="22"/>
  <c r="U1779" i="22"/>
  <c r="AO35" i="22"/>
  <c r="BA35" i="22"/>
  <c r="D1780" i="22"/>
  <c r="J1780" i="22"/>
  <c r="P1780" i="22"/>
  <c r="Q1780" i="22"/>
  <c r="R1780" i="22"/>
  <c r="L1781" i="22"/>
  <c r="C1781" i="22"/>
  <c r="E1781" i="22"/>
  <c r="G1781" i="22"/>
  <c r="I1781" i="22"/>
  <c r="B1782" i="22"/>
  <c r="U1725" i="22"/>
  <c r="AO34" i="22"/>
  <c r="BA34" i="22"/>
  <c r="M1726" i="22"/>
  <c r="D1726" i="22"/>
  <c r="J1726" i="22"/>
  <c r="N1726" i="22" s="1"/>
  <c r="P1726" i="22"/>
  <c r="Q1726" i="22"/>
  <c r="R1726" i="22"/>
  <c r="L1727" i="22"/>
  <c r="C1727" i="22"/>
  <c r="E1727" i="22"/>
  <c r="G1727" i="22"/>
  <c r="I1727" i="22"/>
  <c r="B1728" i="22"/>
  <c r="M1672" i="22"/>
  <c r="D1672" i="22"/>
  <c r="J1672" i="22"/>
  <c r="N1672" i="22" s="1"/>
  <c r="P1672" i="22"/>
  <c r="Q1672" i="22"/>
  <c r="R1672" i="22"/>
  <c r="L1673" i="22"/>
  <c r="C1673" i="22"/>
  <c r="E1673" i="22"/>
  <c r="G1673" i="22"/>
  <c r="I1673" i="22"/>
  <c r="B1674"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BN31" i="22"/>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U1455" i="22"/>
  <c r="AO29" i="22"/>
  <c r="BA29" i="22"/>
  <c r="D1456" i="22"/>
  <c r="J1456" i="22"/>
  <c r="P1456" i="22"/>
  <c r="Q1456" i="22"/>
  <c r="R1456" i="22"/>
  <c r="L1457" i="22"/>
  <c r="C1457" i="22"/>
  <c r="E1457" i="22"/>
  <c r="G1457" i="22"/>
  <c r="I1457" i="22"/>
  <c r="B1458" i="22"/>
  <c r="U1401" i="22"/>
  <c r="AO28" i="22"/>
  <c r="BA28" i="22"/>
  <c r="P1402" i="22"/>
  <c r="Q1402" i="22"/>
  <c r="R1402" i="22"/>
  <c r="L1403" i="22"/>
  <c r="B1404" i="22"/>
  <c r="C1403" i="22"/>
  <c r="E1403" i="22"/>
  <c r="G1403" i="22"/>
  <c r="I1403" i="22"/>
  <c r="D1402" i="22"/>
  <c r="J1402" i="22"/>
  <c r="J1348" i="22"/>
  <c r="D1348" i="22"/>
  <c r="P1348" i="22"/>
  <c r="Q1348" i="22"/>
  <c r="R1348" i="22"/>
  <c r="L1349" i="22"/>
  <c r="B1350" i="22"/>
  <c r="C1349" i="22"/>
  <c r="E1349" i="22"/>
  <c r="G1349" i="22"/>
  <c r="I1349" i="22"/>
  <c r="M1294" i="22"/>
  <c r="D1294" i="22"/>
  <c r="J1294" i="22"/>
  <c r="N1294" i="22" s="1"/>
  <c r="P1294" i="22"/>
  <c r="Q1294" i="22"/>
  <c r="R1294" i="22"/>
  <c r="L1295" i="22"/>
  <c r="C1295" i="22"/>
  <c r="K1295" i="22" s="1"/>
  <c r="E1295" i="22"/>
  <c r="F1295" i="22"/>
  <c r="O1295" i="22" s="1"/>
  <c r="G1295" i="22"/>
  <c r="I1295" i="22"/>
  <c r="B1296" i="22"/>
  <c r="U1239" i="22"/>
  <c r="AO25" i="22"/>
  <c r="BA25" i="22"/>
  <c r="M1240" i="22"/>
  <c r="D1240" i="22"/>
  <c r="J1240" i="22"/>
  <c r="N1240" i="22" s="1"/>
  <c r="P1240" i="22"/>
  <c r="Q1240" i="22"/>
  <c r="R1240" i="22"/>
  <c r="L1241" i="22"/>
  <c r="C1241" i="22"/>
  <c r="K1241" i="22" s="1"/>
  <c r="E1241" i="22"/>
  <c r="F1241" i="22"/>
  <c r="O1241" i="22" s="1"/>
  <c r="BO25" i="22" s="1"/>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D122" i="7"/>
  <c r="D60" i="7"/>
  <c r="U1131" i="22"/>
  <c r="AO23" i="22"/>
  <c r="BA23" i="22"/>
  <c r="D1132" i="22"/>
  <c r="J1132" i="22"/>
  <c r="P1132" i="22"/>
  <c r="Q1132" i="22"/>
  <c r="R1132" i="22"/>
  <c r="L1133" i="22"/>
  <c r="C1133" i="22"/>
  <c r="K1133" i="22" s="1"/>
  <c r="E1133" i="22"/>
  <c r="F1133" i="22"/>
  <c r="O1133" i="22" s="1"/>
  <c r="G1133" i="22"/>
  <c r="I1133" i="22"/>
  <c r="B1134" i="22"/>
  <c r="D121" i="7"/>
  <c r="D59" i="7"/>
  <c r="U1077" i="22"/>
  <c r="AO22" i="22"/>
  <c r="BA22" i="22"/>
  <c r="D1078" i="22"/>
  <c r="J1078" i="22"/>
  <c r="P1078" i="22"/>
  <c r="Q1078" i="22"/>
  <c r="R1078" i="22"/>
  <c r="L1079" i="22"/>
  <c r="C1079" i="22"/>
  <c r="K1079" i="22" s="1"/>
  <c r="E1079" i="22"/>
  <c r="F1079" i="22"/>
  <c r="O1079" i="22" s="1"/>
  <c r="G1079" i="22"/>
  <c r="I1079" i="22"/>
  <c r="B1080" i="22"/>
  <c r="D1024" i="22"/>
  <c r="J1024" i="22"/>
  <c r="P1024" i="22"/>
  <c r="Q1024" i="22"/>
  <c r="R1024" i="22"/>
  <c r="L1025" i="22"/>
  <c r="C1025" i="22"/>
  <c r="E1025" i="22"/>
  <c r="G1025" i="22"/>
  <c r="I1025" i="22"/>
  <c r="B1026" i="22"/>
  <c r="M970" i="22"/>
  <c r="D970" i="22"/>
  <c r="J970" i="22"/>
  <c r="N970" i="22" s="1"/>
  <c r="E88" i="7"/>
  <c r="BN20" i="22"/>
  <c r="P970" i="22"/>
  <c r="Q970" i="22"/>
  <c r="R970" i="22"/>
  <c r="L971" i="22"/>
  <c r="C971" i="22"/>
  <c r="E971" i="22"/>
  <c r="G971" i="22"/>
  <c r="I971" i="22"/>
  <c r="B972" i="22"/>
  <c r="D118" i="7"/>
  <c r="D56" i="7"/>
  <c r="U915" i="22"/>
  <c r="AO19" i="22"/>
  <c r="BA19" i="22"/>
  <c r="M916" i="22"/>
  <c r="D916" i="22"/>
  <c r="J916" i="22"/>
  <c r="N916" i="22" s="1"/>
  <c r="E87" i="7"/>
  <c r="BN19"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116" i="7"/>
  <c r="D54" i="7"/>
  <c r="U807" i="22"/>
  <c r="AO17" i="22"/>
  <c r="BA17" i="22"/>
  <c r="D808" i="22"/>
  <c r="M808" i="22" s="1"/>
  <c r="N808" i="22" s="1"/>
  <c r="J808" i="22"/>
  <c r="E85" i="7"/>
  <c r="BN17"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P754" i="22"/>
  <c r="Q754" i="22"/>
  <c r="R754" i="22"/>
  <c r="L755" i="22"/>
  <c r="C755" i="22"/>
  <c r="K755" i="22" s="1"/>
  <c r="E755" i="22"/>
  <c r="F755" i="22"/>
  <c r="O755" i="22" s="1"/>
  <c r="G755" i="22"/>
  <c r="I755" i="22"/>
  <c r="B756" i="22"/>
  <c r="D114" i="7"/>
  <c r="D52" i="7"/>
  <c r="U699" i="22"/>
  <c r="AO15" i="22"/>
  <c r="BA15" i="22"/>
  <c r="D700" i="22"/>
  <c r="J700" i="22"/>
  <c r="P700" i="22"/>
  <c r="Q700" i="22"/>
  <c r="R700" i="22"/>
  <c r="L701" i="22"/>
  <c r="C701" i="22"/>
  <c r="K701" i="22" s="1"/>
  <c r="E701" i="22"/>
  <c r="F701" i="22"/>
  <c r="O701" i="22" s="1"/>
  <c r="G701" i="22"/>
  <c r="I701" i="22"/>
  <c r="B702" i="22"/>
  <c r="D646" i="22"/>
  <c r="J646" i="22"/>
  <c r="P646" i="22"/>
  <c r="Q646" i="22"/>
  <c r="R646" i="22"/>
  <c r="L647" i="22"/>
  <c r="C647" i="22"/>
  <c r="E647" i="22"/>
  <c r="G647" i="22"/>
  <c r="I647" i="22"/>
  <c r="B648" i="22"/>
  <c r="D112" i="7"/>
  <c r="D50" i="7"/>
  <c r="U591" i="22"/>
  <c r="AO13" i="22"/>
  <c r="BA13" i="22"/>
  <c r="M592" i="22"/>
  <c r="D592" i="22"/>
  <c r="J592" i="22"/>
  <c r="N592" i="22" s="1"/>
  <c r="E81" i="7"/>
  <c r="BN13" i="22"/>
  <c r="P592" i="22"/>
  <c r="Q592" i="22"/>
  <c r="R592" i="22"/>
  <c r="L593" i="22"/>
  <c r="C593" i="22"/>
  <c r="K593" i="22" s="1"/>
  <c r="E593" i="22"/>
  <c r="F593" i="22"/>
  <c r="O593" i="22" s="1"/>
  <c r="G593" i="22"/>
  <c r="I593" i="22"/>
  <c r="B594" i="22"/>
  <c r="D111" i="7"/>
  <c r="D49" i="7"/>
  <c r="U537" i="22"/>
  <c r="AO12" i="22"/>
  <c r="BA12" i="22"/>
  <c r="M538" i="22"/>
  <c r="D538" i="22"/>
  <c r="J538" i="22"/>
  <c r="N538" i="22" s="1"/>
  <c r="E80" i="7"/>
  <c r="BN12" i="22"/>
  <c r="P538" i="22"/>
  <c r="Q538" i="22"/>
  <c r="R538" i="22"/>
  <c r="L539" i="22"/>
  <c r="C539" i="22"/>
  <c r="K539" i="22" s="1"/>
  <c r="E539" i="22"/>
  <c r="F539" i="22"/>
  <c r="O539" i="22" s="1"/>
  <c r="G539" i="22"/>
  <c r="I539" i="22"/>
  <c r="B540" i="22"/>
  <c r="D110" i="7"/>
  <c r="D48" i="7"/>
  <c r="U483" i="22"/>
  <c r="AO11" i="22"/>
  <c r="BA11" i="22"/>
  <c r="M484" i="22"/>
  <c r="D484" i="22"/>
  <c r="J484" i="22"/>
  <c r="N484" i="22" s="1"/>
  <c r="E79" i="7"/>
  <c r="BN11" i="22"/>
  <c r="P484" i="22"/>
  <c r="Q484" i="22"/>
  <c r="R484" i="22"/>
  <c r="L485" i="22"/>
  <c r="C485" i="22"/>
  <c r="K485" i="22" s="1"/>
  <c r="E485" i="22"/>
  <c r="F485" i="22"/>
  <c r="O485" i="22" s="1"/>
  <c r="G485" i="22"/>
  <c r="I485" i="22"/>
  <c r="B486" i="22"/>
  <c r="D109" i="7"/>
  <c r="D47" i="7"/>
  <c r="U429" i="22"/>
  <c r="AO10" i="22"/>
  <c r="BA10" i="22"/>
  <c r="M430" i="22"/>
  <c r="D430" i="22"/>
  <c r="J430" i="22"/>
  <c r="N430" i="22" s="1"/>
  <c r="E78" i="7"/>
  <c r="BN10" i="22"/>
  <c r="P430" i="22"/>
  <c r="Q430" i="22"/>
  <c r="R430" i="22"/>
  <c r="L431" i="22"/>
  <c r="C431" i="22"/>
  <c r="K431" i="22" s="1"/>
  <c r="E431" i="22"/>
  <c r="F431" i="22"/>
  <c r="O431" i="22" s="1"/>
  <c r="G431" i="22"/>
  <c r="I431" i="22"/>
  <c r="B432" i="22"/>
  <c r="D108" i="7"/>
  <c r="D46" i="7"/>
  <c r="U375" i="22"/>
  <c r="AO9" i="22"/>
  <c r="BA9" i="22"/>
  <c r="M376" i="22"/>
  <c r="D376" i="22"/>
  <c r="J376" i="22"/>
  <c r="N376" i="22" s="1"/>
  <c r="E77" i="7"/>
  <c r="BN9" i="22"/>
  <c r="P376" i="22"/>
  <c r="Q376" i="22"/>
  <c r="R376" i="22"/>
  <c r="L377" i="22"/>
  <c r="C377" i="22"/>
  <c r="K377" i="22" s="1"/>
  <c r="E377" i="22"/>
  <c r="F377" i="22"/>
  <c r="O377" i="22" s="1"/>
  <c r="G377" i="22"/>
  <c r="I377" i="22"/>
  <c r="B378" i="22"/>
  <c r="M322" i="22"/>
  <c r="D322" i="22"/>
  <c r="J322" i="22"/>
  <c r="N322" i="22" s="1"/>
  <c r="E76" i="7"/>
  <c r="BN8" i="22"/>
  <c r="P322" i="22"/>
  <c r="Q322" i="22"/>
  <c r="R322" i="22"/>
  <c r="L323" i="22"/>
  <c r="C323" i="22"/>
  <c r="E323" i="22"/>
  <c r="G323" i="22"/>
  <c r="I323" i="22"/>
  <c r="B324" i="22"/>
  <c r="D106" i="7"/>
  <c r="D44" i="7"/>
  <c r="U267" i="22"/>
  <c r="AO7" i="22"/>
  <c r="BA7" i="22"/>
  <c r="M268" i="22"/>
  <c r="D268" i="22"/>
  <c r="J268" i="22"/>
  <c r="N268" i="22" s="1"/>
  <c r="P268" i="22"/>
  <c r="Q268" i="22"/>
  <c r="R268" i="22"/>
  <c r="L269" i="22"/>
  <c r="C269" i="22"/>
  <c r="E269" i="22"/>
  <c r="G269" i="22"/>
  <c r="I269" i="22"/>
  <c r="B270" i="22"/>
  <c r="D105" i="7"/>
  <c r="D43" i="7"/>
  <c r="U213" i="22"/>
  <c r="AO6" i="22"/>
  <c r="BA6" i="22"/>
  <c r="M214" i="22"/>
  <c r="D214" i="22"/>
  <c r="J214" i="22"/>
  <c r="N214" i="22" s="1"/>
  <c r="E74" i="7"/>
  <c r="BN6" i="22"/>
  <c r="P214" i="22"/>
  <c r="Q214" i="22"/>
  <c r="R214" i="22"/>
  <c r="L215" i="22"/>
  <c r="C215" i="22"/>
  <c r="K215" i="22" s="1"/>
  <c r="E215" i="22"/>
  <c r="F215" i="22"/>
  <c r="O215" i="22" s="1"/>
  <c r="G215" i="22"/>
  <c r="I215" i="22"/>
  <c r="B216" i="22"/>
  <c r="D104" i="7"/>
  <c r="D42" i="7"/>
  <c r="U159" i="22"/>
  <c r="AO5" i="22"/>
  <c r="BA5" i="22"/>
  <c r="M160" i="22"/>
  <c r="P160" i="22"/>
  <c r="Q160" i="22"/>
  <c r="R160" i="22"/>
  <c r="L161" i="22"/>
  <c r="G161" i="22"/>
  <c r="I161" i="22"/>
  <c r="B162" i="22"/>
  <c r="C161" i="22"/>
  <c r="K161" i="22" s="1"/>
  <c r="E161" i="22"/>
  <c r="F161" i="22"/>
  <c r="O161" i="22" s="1"/>
  <c r="D160" i="22"/>
  <c r="J160" i="22"/>
  <c r="N160" i="22" s="1"/>
  <c r="E73" i="7"/>
  <c r="BN5" i="22"/>
  <c r="D41" i="7"/>
  <c r="D103" i="7"/>
  <c r="U105" i="22"/>
  <c r="AO4" i="22"/>
  <c r="BA4" i="22"/>
  <c r="D106" i="22"/>
  <c r="M106" i="22" s="1"/>
  <c r="J106" i="22"/>
  <c r="E72" i="7"/>
  <c r="BN4" i="22"/>
  <c r="P106" i="22"/>
  <c r="Q106" i="22"/>
  <c r="R106" i="22"/>
  <c r="L107" i="22"/>
  <c r="G107" i="22"/>
  <c r="I107" i="22"/>
  <c r="C107" i="22"/>
  <c r="E107" i="22"/>
  <c r="B108" i="22"/>
  <c r="C94" i="12"/>
  <c r="U43" i="17"/>
  <c r="F49" i="12"/>
  <c r="M95" i="12"/>
  <c r="O95" i="12"/>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J44" i="17"/>
  <c r="D44" i="17"/>
  <c r="M44" i="17"/>
  <c r="N44" i="17"/>
  <c r="L45" i="17"/>
  <c r="B45" i="18"/>
  <c r="C45" i="17"/>
  <c r="F45" i="17" s="1"/>
  <c r="C45" i="18" s="1"/>
  <c r="E45" i="18" s="1"/>
  <c r="E45" i="17"/>
  <c r="G45" i="17"/>
  <c r="AX45" i="17" s="1"/>
  <c r="I45" i="17"/>
  <c r="K45" i="17"/>
  <c r="B46" i="17"/>
  <c r="G93" i="12"/>
  <c r="AZ16" i="17"/>
  <c r="B110" i="12"/>
  <c r="I110" i="12" s="1"/>
  <c r="AY15" i="17"/>
  <c r="AX17" i="17"/>
  <c r="AX18" i="17"/>
  <c r="AX19" i="17"/>
  <c r="AX20" i="17"/>
  <c r="AX21" i="17"/>
  <c r="AX22" i="17"/>
  <c r="AX23" i="17"/>
  <c r="AX24" i="17"/>
  <c r="AX25" i="17"/>
  <c r="AX26" i="17"/>
  <c r="AX27" i="17"/>
  <c r="AX28" i="17"/>
  <c r="AX29" i="17"/>
  <c r="AX30" i="17"/>
  <c r="AX31" i="17"/>
  <c r="AX32" i="17"/>
  <c r="AX33" i="17"/>
  <c r="AX40" i="17"/>
  <c r="AX41" i="17"/>
  <c r="AX42" i="17"/>
  <c r="AX43" i="17"/>
  <c r="AX34" i="17"/>
  <c r="AX35" i="17"/>
  <c r="AX36" i="17"/>
  <c r="AX37" i="17"/>
  <c r="AX38" i="17"/>
  <c r="AX39" i="17"/>
  <c r="AX44" i="17"/>
  <c r="AD1115" i="23"/>
  <c r="AD723" i="23"/>
  <c r="AG723" i="23"/>
  <c r="AD667" i="23"/>
  <c r="U3614" i="22"/>
  <c r="AN69" i="22"/>
  <c r="AZ69" i="22"/>
  <c r="U3560" i="22"/>
  <c r="AN68" i="22"/>
  <c r="AZ68" i="22"/>
  <c r="U3290" i="22"/>
  <c r="AN63" i="22"/>
  <c r="AZ63" i="22"/>
  <c r="U3236" i="22"/>
  <c r="AN62" i="22"/>
  <c r="AZ62" i="22"/>
  <c r="U2912" i="22"/>
  <c r="AN56" i="22"/>
  <c r="AZ56" i="22"/>
  <c r="U2858" i="22"/>
  <c r="AN55" i="22"/>
  <c r="AZ55" i="22"/>
  <c r="U2642" i="22"/>
  <c r="AN51" i="22"/>
  <c r="AZ51" i="22"/>
  <c r="U2534" i="22"/>
  <c r="AN49" i="22"/>
  <c r="AZ49" i="22"/>
  <c r="U2264" i="22"/>
  <c r="AN44" i="22"/>
  <c r="AZ44" i="22"/>
  <c r="U2210" i="22"/>
  <c r="AN43" i="22"/>
  <c r="AZ43" i="22"/>
  <c r="U1238" i="22"/>
  <c r="AN25" i="22"/>
  <c r="AZ25" i="22"/>
  <c r="C117" i="7"/>
  <c r="C55" i="7"/>
  <c r="U860" i="22"/>
  <c r="AN18" i="22"/>
  <c r="AZ18" i="22"/>
  <c r="C112" i="7"/>
  <c r="C50" i="7"/>
  <c r="U590" i="22"/>
  <c r="AN13" i="22"/>
  <c r="AZ13" i="22"/>
  <c r="C111" i="7"/>
  <c r="C49" i="7"/>
  <c r="U536" i="22"/>
  <c r="AN12" i="22"/>
  <c r="AZ12" i="22"/>
  <c r="C105" i="7"/>
  <c r="C43" i="7"/>
  <c r="U212" i="22"/>
  <c r="AN6" i="22"/>
  <c r="AZ6" i="22"/>
  <c r="C42" i="7"/>
  <c r="C104" i="7"/>
  <c r="U158" i="22"/>
  <c r="AN5" i="22"/>
  <c r="AZ5" i="22"/>
  <c r="C103" i="7"/>
  <c r="C41" i="7"/>
  <c r="AN4" i="22"/>
  <c r="C127" i="7" s="1"/>
  <c r="AZ4" i="22"/>
  <c r="C65" i="7" s="1"/>
  <c r="U104" i="22"/>
  <c r="AB1452" i="23"/>
  <c r="AC1452" i="23"/>
  <c r="O1452" i="23"/>
  <c r="M1452" i="23"/>
  <c r="N1452" i="23"/>
  <c r="W1452" i="23" s="1"/>
  <c r="O1396" i="23"/>
  <c r="Y1396" i="23" s="1"/>
  <c r="AB1396" i="23"/>
  <c r="AC1396" i="23" s="1"/>
  <c r="M1396" i="23"/>
  <c r="N1396" i="23"/>
  <c r="W1396" i="23" s="1"/>
  <c r="AD1339" i="23"/>
  <c r="AB1172" i="23"/>
  <c r="AC1172" i="23"/>
  <c r="O1172" i="23"/>
  <c r="Y1172" i="23" s="1"/>
  <c r="M1172" i="23"/>
  <c r="N1172" i="23"/>
  <c r="W1172" i="23" s="1"/>
  <c r="M724" i="23"/>
  <c r="N724" i="23"/>
  <c r="W724" i="23" s="1"/>
  <c r="O724" i="23"/>
  <c r="Y724" i="23" s="1"/>
  <c r="AB724" i="23"/>
  <c r="AC724" i="23" s="1"/>
  <c r="N4755" i="22"/>
  <c r="M4755" i="22"/>
  <c r="M4185" i="22"/>
  <c r="N4185" i="22"/>
  <c r="U4185" i="22" s="1"/>
  <c r="BM71" i="22"/>
  <c r="M3723" i="22"/>
  <c r="N3723" i="22"/>
  <c r="M3669" i="22"/>
  <c r="N3669" i="22"/>
  <c r="BM70" i="22"/>
  <c r="M3291" i="22"/>
  <c r="N3291" i="22"/>
  <c r="M3183" i="22"/>
  <c r="N3183" i="22"/>
  <c r="BM61" i="22"/>
  <c r="M2913" i="22"/>
  <c r="N2913" i="22"/>
  <c r="M2859" i="22"/>
  <c r="N2859" i="22"/>
  <c r="N2643" i="22"/>
  <c r="M2643" i="22"/>
  <c r="BM51" i="22"/>
  <c r="M2535" i="22"/>
  <c r="N2535" i="22"/>
  <c r="BM49" i="22"/>
  <c r="M2211" i="22"/>
  <c r="N2211" i="22"/>
  <c r="M1941" i="22"/>
  <c r="N1941" i="22"/>
  <c r="BM38" i="22"/>
  <c r="BM37" i="22"/>
  <c r="M1887" i="22"/>
  <c r="N1887" i="22"/>
  <c r="BM33" i="22"/>
  <c r="M1671" i="22"/>
  <c r="N1671" i="22"/>
  <c r="M1617" i="22"/>
  <c r="N1617" i="22"/>
  <c r="BM32" i="22"/>
  <c r="M1347" i="22"/>
  <c r="N1347" i="22"/>
  <c r="BM27" i="22"/>
  <c r="BM26" i="22"/>
  <c r="M1293" i="22"/>
  <c r="N1293" i="22"/>
  <c r="BM21" i="22"/>
  <c r="D89" i="7"/>
  <c r="M1023" i="22"/>
  <c r="N1023" i="22"/>
  <c r="M969" i="22"/>
  <c r="N969" i="22"/>
  <c r="BM20" i="22"/>
  <c r="D88" i="7"/>
  <c r="M645" i="22"/>
  <c r="N645" i="22"/>
  <c r="BM14" i="22"/>
  <c r="D82" i="7"/>
  <c r="BM8" i="22"/>
  <c r="D96" i="7" s="1"/>
  <c r="D76" i="7"/>
  <c r="M321" i="22"/>
  <c r="N321" i="22"/>
  <c r="C96" i="7"/>
  <c r="K1509" i="23"/>
  <c r="F1509" i="23"/>
  <c r="K1453" i="23"/>
  <c r="F1453" i="23"/>
  <c r="F1397" i="23"/>
  <c r="K1397" i="23"/>
  <c r="X1340" i="23"/>
  <c r="W1340" i="23"/>
  <c r="F1341" i="23"/>
  <c r="K1341" i="23"/>
  <c r="F1285" i="23"/>
  <c r="K1285" i="23"/>
  <c r="K1173" i="23"/>
  <c r="F1173" i="23"/>
  <c r="AD1116" i="23"/>
  <c r="K1061" i="23"/>
  <c r="F1061" i="23"/>
  <c r="K949" i="23"/>
  <c r="F949" i="23"/>
  <c r="AD892" i="23"/>
  <c r="K725" i="23"/>
  <c r="F725" i="23"/>
  <c r="AD668" i="23"/>
  <c r="K557" i="23"/>
  <c r="F557" i="23"/>
  <c r="AD444" i="23"/>
  <c r="K333" i="23"/>
  <c r="F333" i="23"/>
  <c r="D4648" i="22"/>
  <c r="F4648" i="22"/>
  <c r="O4648" i="22" s="1"/>
  <c r="K3778" i="22"/>
  <c r="F3778" i="22"/>
  <c r="O3778" i="22" s="1"/>
  <c r="F3562" i="22"/>
  <c r="O3562" i="22" s="1"/>
  <c r="K3562" i="22"/>
  <c r="BN66" i="22"/>
  <c r="F3400" i="22"/>
  <c r="O3400" i="22" s="1"/>
  <c r="K3400" i="22"/>
  <c r="BN64" i="22"/>
  <c r="K3292" i="22"/>
  <c r="F3292" i="22"/>
  <c r="O3292" i="22" s="1"/>
  <c r="K3076" i="22"/>
  <c r="F3076" i="22"/>
  <c r="O3076" i="22" s="1"/>
  <c r="BN58" i="22"/>
  <c r="K2968" i="22"/>
  <c r="F2968" i="22"/>
  <c r="O2968" i="22" s="1"/>
  <c r="BN56" i="22"/>
  <c r="BN52" i="22"/>
  <c r="K2644" i="22"/>
  <c r="F2644" i="22"/>
  <c r="O2644" i="22" s="1"/>
  <c r="K2590" i="22"/>
  <c r="F2590" i="22"/>
  <c r="O2590" i="22" s="1"/>
  <c r="F2536" i="22"/>
  <c r="O2536" i="22" s="1"/>
  <c r="K2536" i="22"/>
  <c r="BN48" i="22"/>
  <c r="BN47" i="22"/>
  <c r="BN46" i="22"/>
  <c r="BN45" i="22"/>
  <c r="BN44" i="22"/>
  <c r="BN43" i="22"/>
  <c r="K2158" i="22"/>
  <c r="F2158" i="22"/>
  <c r="O2158" i="22" s="1"/>
  <c r="BN41" i="22"/>
  <c r="BN40" i="22"/>
  <c r="BN39" i="22"/>
  <c r="K1888" i="22"/>
  <c r="F1888" i="22"/>
  <c r="O1888" i="22" s="1"/>
  <c r="K1834" i="22"/>
  <c r="F1834" i="22"/>
  <c r="O1834" i="22" s="1"/>
  <c r="K1780" i="22"/>
  <c r="F1780" i="22"/>
  <c r="O1780" i="22" s="1"/>
  <c r="BN34" i="22"/>
  <c r="BN30" i="22"/>
  <c r="F1456" i="22"/>
  <c r="O1456" i="22" s="1"/>
  <c r="K1456" i="22"/>
  <c r="F1402" i="22"/>
  <c r="O1402" i="22" s="1"/>
  <c r="K1402" i="22"/>
  <c r="F1348" i="22"/>
  <c r="O1348" i="22" s="1"/>
  <c r="K1348" i="22"/>
  <c r="BN25" i="22"/>
  <c r="K1132" i="22"/>
  <c r="F1132" i="22"/>
  <c r="O1132" i="22" s="1"/>
  <c r="K1078" i="22"/>
  <c r="F1078" i="22"/>
  <c r="O1078" i="22" s="1"/>
  <c r="F1024" i="22"/>
  <c r="O1024" i="22" s="1"/>
  <c r="K1024" i="22"/>
  <c r="K700" i="22"/>
  <c r="F700" i="22"/>
  <c r="O700" i="22" s="1"/>
  <c r="F646" i="22"/>
  <c r="O646" i="22" s="1"/>
  <c r="K646" i="22"/>
  <c r="N4186" i="22" l="1"/>
  <c r="U4186" i="22" s="1"/>
  <c r="N2806" i="22"/>
  <c r="N106" i="22"/>
  <c r="N4594" i="22"/>
  <c r="N4540" i="22"/>
  <c r="O837" i="23"/>
  <c r="Y837" i="23" s="1"/>
  <c r="AB837" i="23"/>
  <c r="AC837" i="23"/>
  <c r="N1565" i="23"/>
  <c r="W1565" i="23"/>
  <c r="X1565" i="23"/>
  <c r="X1173" i="23"/>
  <c r="W1173" i="23"/>
  <c r="K894" i="23"/>
  <c r="F894" i="23"/>
  <c r="N389" i="23"/>
  <c r="W389" i="23"/>
  <c r="X389" i="23"/>
  <c r="X333" i="23"/>
  <c r="W333" i="23"/>
  <c r="K4595" i="22"/>
  <c r="F4595" i="22"/>
  <c r="K4541" i="22"/>
  <c r="F4541" i="22"/>
  <c r="K3455" i="22"/>
  <c r="F3455" i="22"/>
  <c r="O3455" i="22" s="1"/>
  <c r="BO66" i="22" s="1"/>
  <c r="K3401" i="22"/>
  <c r="F3401" i="22"/>
  <c r="O3401" i="22" s="1"/>
  <c r="BO65" i="22" s="1"/>
  <c r="K2321" i="22"/>
  <c r="F2321" i="22"/>
  <c r="O2321" i="22" s="1"/>
  <c r="BO45" i="22" s="1"/>
  <c r="K1997" i="22"/>
  <c r="F1997" i="22"/>
  <c r="O1997" i="22" s="1"/>
  <c r="K1673" i="22"/>
  <c r="F1673" i="22"/>
  <c r="O1673"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E1623" i="23"/>
  <c r="G1623" i="23"/>
  <c r="B1624" i="23"/>
  <c r="M1566" i="23"/>
  <c r="J1566" i="23"/>
  <c r="N1566" i="23" s="1"/>
  <c r="D1566" i="23"/>
  <c r="O1566" i="23"/>
  <c r="AB1566" i="23"/>
  <c r="AC1566" i="23" s="1"/>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P1454" i="23"/>
  <c r="Q1454" i="23"/>
  <c r="R1454" i="23"/>
  <c r="AF1454" i="23"/>
  <c r="J1454" i="23"/>
  <c r="D1454" i="23"/>
  <c r="L1455" i="23"/>
  <c r="I1455" i="23"/>
  <c r="B1456" i="23"/>
  <c r="C1455" i="23"/>
  <c r="E1455" i="23"/>
  <c r="G1455" i="23"/>
  <c r="M1398" i="23"/>
  <c r="P1398" i="23"/>
  <c r="Q1398" i="23"/>
  <c r="R1398" i="23"/>
  <c r="AF1398" i="23"/>
  <c r="L1399" i="23"/>
  <c r="I1399" i="23"/>
  <c r="E1399" i="23"/>
  <c r="G1399" i="23"/>
  <c r="B1400" i="23"/>
  <c r="C1399" i="23"/>
  <c r="J1398" i="23"/>
  <c r="N1398" i="23" s="1"/>
  <c r="D1398" i="23"/>
  <c r="O1398" i="23"/>
  <c r="Y1398" i="23" s="1"/>
  <c r="AB1398" i="23"/>
  <c r="AC1398" i="23" s="1"/>
  <c r="M1342" i="23"/>
  <c r="J1342" i="23"/>
  <c r="N1342" i="23" s="1"/>
  <c r="D1342" i="23"/>
  <c r="O1342" i="23"/>
  <c r="Y1342" i="23" s="1"/>
  <c r="AB1342" i="23"/>
  <c r="AC1342" i="23" s="1"/>
  <c r="P1342" i="23"/>
  <c r="Q1342" i="23"/>
  <c r="R1342" i="23"/>
  <c r="AF1342" i="23"/>
  <c r="L1343" i="23"/>
  <c r="I1343" i="23"/>
  <c r="E1343" i="23"/>
  <c r="G1343" i="23"/>
  <c r="C1343" i="23"/>
  <c r="B1344" i="23"/>
  <c r="M1286" i="23"/>
  <c r="J1286" i="23"/>
  <c r="N1286" i="23" s="1"/>
  <c r="D1286" i="23"/>
  <c r="O1286" i="23"/>
  <c r="Y1286" i="23" s="1"/>
  <c r="AB1286" i="23"/>
  <c r="AC1286" i="23" s="1"/>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E1231" i="23"/>
  <c r="G1231" i="23"/>
  <c r="B1232" i="23"/>
  <c r="M1174" i="23"/>
  <c r="J1174" i="23"/>
  <c r="N1174" i="23" s="1"/>
  <c r="D1174" i="23"/>
  <c r="O1174" i="23"/>
  <c r="Y1174" i="23" s="1"/>
  <c r="AB1174" i="23"/>
  <c r="AC1174" i="23"/>
  <c r="P1174" i="23"/>
  <c r="Q1174" i="23"/>
  <c r="R1174" i="23"/>
  <c r="AF1174" i="23"/>
  <c r="L1175" i="23"/>
  <c r="I1175" i="23"/>
  <c r="E1175" i="23"/>
  <c r="G1175" i="23"/>
  <c r="B1176" i="23"/>
  <c r="C1175" i="23"/>
  <c r="K1175" i="23" s="1"/>
  <c r="F1175" i="23"/>
  <c r="M1118" i="23"/>
  <c r="J1118" i="23"/>
  <c r="N1118" i="23" s="1"/>
  <c r="W1118" i="23" s="1"/>
  <c r="D1118" i="23"/>
  <c r="O1118" i="23"/>
  <c r="Y1118" i="23" s="1"/>
  <c r="AB1118" i="23"/>
  <c r="AC1118" i="23" s="1"/>
  <c r="P1118" i="23"/>
  <c r="Q1118" i="23"/>
  <c r="R1118" i="23"/>
  <c r="AF1118" i="23"/>
  <c r="X1118" i="23"/>
  <c r="L1119" i="23"/>
  <c r="I1119" i="23"/>
  <c r="C1119" i="23"/>
  <c r="K1119" i="23" s="1"/>
  <c r="E1119" i="23"/>
  <c r="F1119" i="23"/>
  <c r="G1119" i="23"/>
  <c r="B1120" i="23"/>
  <c r="P1062" i="23"/>
  <c r="Q1062" i="23"/>
  <c r="R1062" i="23"/>
  <c r="AF1062" i="23"/>
  <c r="L1063" i="23"/>
  <c r="I1063" i="23"/>
  <c r="B1064" i="23"/>
  <c r="C1063" i="23"/>
  <c r="K1063" i="23" s="1"/>
  <c r="E1063" i="23"/>
  <c r="F1063" i="23"/>
  <c r="G1063" i="23"/>
  <c r="J1062" i="23"/>
  <c r="D1062" i="23"/>
  <c r="J1006" i="23"/>
  <c r="D1006" i="23"/>
  <c r="P1006" i="23"/>
  <c r="Q1006" i="23"/>
  <c r="R1006" i="23"/>
  <c r="AF1006" i="23"/>
  <c r="L1007" i="23"/>
  <c r="I1007" i="23"/>
  <c r="C1007" i="23"/>
  <c r="E1007" i="23"/>
  <c r="G1007" i="23"/>
  <c r="B1008" i="23"/>
  <c r="M950" i="23"/>
  <c r="J950" i="23"/>
  <c r="N950" i="23" s="1"/>
  <c r="D950" i="23"/>
  <c r="O950" i="23"/>
  <c r="Y950" i="23" s="1"/>
  <c r="AB950" i="23"/>
  <c r="AC950" i="23" s="1"/>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L727" i="23"/>
  <c r="I727" i="23"/>
  <c r="E727" i="23"/>
  <c r="G727" i="23"/>
  <c r="B728" i="23"/>
  <c r="C727" i="23"/>
  <c r="K727" i="23" s="1"/>
  <c r="F727" i="23"/>
  <c r="J726" i="23"/>
  <c r="D726" i="23"/>
  <c r="Q726" i="23"/>
  <c r="R726" i="23"/>
  <c r="P726" i="23"/>
  <c r="AF726" i="23"/>
  <c r="M670" i="23"/>
  <c r="J670" i="23"/>
  <c r="N670" i="23" s="1"/>
  <c r="W670" i="23" s="1"/>
  <c r="D670" i="23"/>
  <c r="O670" i="23"/>
  <c r="Y670" i="23" s="1"/>
  <c r="AB670" i="23"/>
  <c r="AC670" i="23"/>
  <c r="P670" i="23"/>
  <c r="Q670" i="23"/>
  <c r="R670" i="23"/>
  <c r="X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J502" i="23"/>
  <c r="D502" i="23"/>
  <c r="P502" i="23"/>
  <c r="Q502" i="23"/>
  <c r="R502" i="23"/>
  <c r="AF502" i="23"/>
  <c r="L503" i="23"/>
  <c r="I503" i="23"/>
  <c r="C503" i="23"/>
  <c r="K503" i="23" s="1"/>
  <c r="E503" i="23"/>
  <c r="F503" i="23"/>
  <c r="G503" i="23"/>
  <c r="B504" i="23"/>
  <c r="M446" i="23"/>
  <c r="J446" i="23"/>
  <c r="N446" i="23" s="1"/>
  <c r="W446" i="23" s="1"/>
  <c r="D446" i="23"/>
  <c r="O446" i="23"/>
  <c r="Y446" i="23" s="1"/>
  <c r="AB446" i="23"/>
  <c r="AC446" i="23"/>
  <c r="P446" i="23"/>
  <c r="Q446" i="23"/>
  <c r="R446" i="23"/>
  <c r="X446" i="23"/>
  <c r="AF446" i="23"/>
  <c r="L447" i="23"/>
  <c r="I447" i="23"/>
  <c r="C447" i="23"/>
  <c r="E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E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D4757" i="22"/>
  <c r="J4757" i="22"/>
  <c r="P4757" i="22"/>
  <c r="Q4757" i="22"/>
  <c r="R4757" i="22"/>
  <c r="E4758" i="22"/>
  <c r="I4758" i="22"/>
  <c r="C4758" i="22"/>
  <c r="G4758" i="22"/>
  <c r="L4758" i="22"/>
  <c r="B4759" i="22"/>
  <c r="U4702" i="22"/>
  <c r="S4702" i="22"/>
  <c r="G18" i="15"/>
  <c r="M4703" i="22"/>
  <c r="D4703" i="22"/>
  <c r="J4703" i="22"/>
  <c r="N4703" i="22" s="1"/>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E4596" i="22"/>
  <c r="G4596" i="22"/>
  <c r="B4597" i="22"/>
  <c r="M4541" i="22"/>
  <c r="D4541" i="22"/>
  <c r="J4541" i="22"/>
  <c r="N4541" i="22" s="1"/>
  <c r="P4541" i="22"/>
  <c r="Q4541" i="22"/>
  <c r="R4541" i="22"/>
  <c r="L4542" i="22"/>
  <c r="C4542" i="22"/>
  <c r="E4542" i="22"/>
  <c r="G4542" i="22"/>
  <c r="I4542" i="22"/>
  <c r="B4543" i="22"/>
  <c r="D4241" i="22"/>
  <c r="J4241" i="22"/>
  <c r="N4241" i="22" s="1"/>
  <c r="U4241" i="22" s="1"/>
  <c r="P4241" i="22"/>
  <c r="Q4241" i="22"/>
  <c r="R4241" i="22"/>
  <c r="M4241" i="22"/>
  <c r="C4242" i="22"/>
  <c r="E4242" i="22"/>
  <c r="F4242" i="22"/>
  <c r="O4242" i="22" s="1"/>
  <c r="G4242" i="22"/>
  <c r="I4242" i="22"/>
  <c r="K4242" i="22"/>
  <c r="L4242" i="22"/>
  <c r="B4243" i="22"/>
  <c r="M4187" i="22"/>
  <c r="D4187" i="22"/>
  <c r="J4187" i="22"/>
  <c r="N4187" i="22" s="1"/>
  <c r="U4187" i="22" s="1"/>
  <c r="P4187" i="22"/>
  <c r="Q4187" i="22"/>
  <c r="R4187" i="22"/>
  <c r="L4188" i="22"/>
  <c r="C4188" i="22"/>
  <c r="K4188" i="22" s="1"/>
  <c r="E4188" i="22"/>
  <c r="F4188" i="22"/>
  <c r="O4188" i="22" s="1"/>
  <c r="G4188" i="22"/>
  <c r="I4188" i="22"/>
  <c r="B4189" i="22"/>
  <c r="D4133" i="22"/>
  <c r="J4133" i="22"/>
  <c r="P4133" i="22"/>
  <c r="Q4133" i="22"/>
  <c r="R4133" i="22"/>
  <c r="M4133" i="22"/>
  <c r="N4133" i="22"/>
  <c r="U4133" i="22" s="1"/>
  <c r="C4134" i="22"/>
  <c r="E4134" i="22"/>
  <c r="F4134" i="22"/>
  <c r="O4134" i="22" s="1"/>
  <c r="G4134" i="22"/>
  <c r="I4134" i="22"/>
  <c r="K4134" i="22"/>
  <c r="L4134" i="22"/>
  <c r="B4135" i="22"/>
  <c r="D4079" i="22"/>
  <c r="J4079" i="22"/>
  <c r="N4079" i="22" s="1"/>
  <c r="U4079" i="22" s="1"/>
  <c r="P4079" i="22"/>
  <c r="Q4079" i="22"/>
  <c r="R4079" i="22"/>
  <c r="M4079" i="22"/>
  <c r="C4080" i="22"/>
  <c r="F4080" i="22" s="1"/>
  <c r="O4080" i="22" s="1"/>
  <c r="E4080" i="22"/>
  <c r="G4080" i="22"/>
  <c r="I4080" i="22"/>
  <c r="K4080" i="22"/>
  <c r="L4080" i="22"/>
  <c r="B4081" i="22"/>
  <c r="D3779" i="22"/>
  <c r="J3779" i="22"/>
  <c r="P3779" i="22"/>
  <c r="Q3779" i="22"/>
  <c r="R3779" i="22"/>
  <c r="L3780" i="22"/>
  <c r="C3780" i="22"/>
  <c r="E3780" i="22"/>
  <c r="G3780" i="22"/>
  <c r="I3780" i="22"/>
  <c r="B3781" i="22"/>
  <c r="U3724" i="22"/>
  <c r="AP71" i="22"/>
  <c r="BB71" i="22"/>
  <c r="D3725" i="22"/>
  <c r="J3725" i="22"/>
  <c r="P3725" i="22"/>
  <c r="Q3725" i="22"/>
  <c r="R3725" i="22"/>
  <c r="L3726" i="22"/>
  <c r="C3726" i="22"/>
  <c r="E3726" i="22"/>
  <c r="G3726" i="22"/>
  <c r="I3726" i="22"/>
  <c r="B3727" i="22"/>
  <c r="U3670" i="22"/>
  <c r="AP70" i="22"/>
  <c r="BB70" i="22"/>
  <c r="D3671" i="22"/>
  <c r="J3671" i="22"/>
  <c r="P3671" i="22"/>
  <c r="Q3671" i="22"/>
  <c r="R3671" i="22"/>
  <c r="L3672" i="22"/>
  <c r="C3672" i="22"/>
  <c r="E3672" i="22"/>
  <c r="G3672" i="22"/>
  <c r="I3672" i="22"/>
  <c r="B3673" i="22"/>
  <c r="U3616" i="22"/>
  <c r="AP69" i="22"/>
  <c r="BB69" i="22"/>
  <c r="M3617" i="22"/>
  <c r="D3617" i="22"/>
  <c r="J3617" i="22"/>
  <c r="N3617" i="22" s="1"/>
  <c r="BO69" i="22"/>
  <c r="P3617" i="22"/>
  <c r="Q3617" i="22"/>
  <c r="R3617" i="22"/>
  <c r="L3618" i="22"/>
  <c r="C3618" i="22"/>
  <c r="E3618" i="22"/>
  <c r="G3618" i="22"/>
  <c r="I3618" i="22"/>
  <c r="B3619" i="22"/>
  <c r="L3564" i="22"/>
  <c r="I3564" i="22"/>
  <c r="B3565" i="22"/>
  <c r="C3564" i="22"/>
  <c r="K3564" i="22" s="1"/>
  <c r="E3564" i="22"/>
  <c r="F3564" i="22"/>
  <c r="O3564" i="22" s="1"/>
  <c r="BP68" i="22" s="1"/>
  <c r="G3564" i="22"/>
  <c r="J3563" i="22"/>
  <c r="D3563" i="22"/>
  <c r="P3563" i="22"/>
  <c r="Q3563" i="22"/>
  <c r="R3563" i="22"/>
  <c r="U3508" i="22"/>
  <c r="AP67" i="22"/>
  <c r="BB67" i="22"/>
  <c r="M3509" i="22"/>
  <c r="D3509" i="22"/>
  <c r="J3509" i="22"/>
  <c r="N3509" i="22" s="1"/>
  <c r="P3509" i="22"/>
  <c r="Q3509" i="22"/>
  <c r="R3509" i="22"/>
  <c r="L3510" i="22"/>
  <c r="C3510" i="22"/>
  <c r="K3510" i="22" s="1"/>
  <c r="E3510" i="22"/>
  <c r="F3510" i="22"/>
  <c r="O3510" i="22" s="1"/>
  <c r="BP67" i="22" s="1"/>
  <c r="G3510" i="22"/>
  <c r="I3510" i="22"/>
  <c r="B3511" i="22"/>
  <c r="U3454" i="22"/>
  <c r="AP66" i="22"/>
  <c r="BB66" i="22"/>
  <c r="M3455" i="22"/>
  <c r="D3455" i="22"/>
  <c r="J3455" i="22"/>
  <c r="N3455" i="22" s="1"/>
  <c r="P3455" i="22"/>
  <c r="Q3455" i="22"/>
  <c r="R3455" i="22"/>
  <c r="L3456" i="22"/>
  <c r="C3456" i="22"/>
  <c r="E3456" i="22"/>
  <c r="G3456" i="22"/>
  <c r="I3456" i="22"/>
  <c r="B3457" i="22"/>
  <c r="M3401" i="22"/>
  <c r="D3401" i="22"/>
  <c r="J3401" i="22"/>
  <c r="N3401" i="22" s="1"/>
  <c r="P3401" i="22"/>
  <c r="Q3401" i="22"/>
  <c r="R3401" i="22"/>
  <c r="L3402" i="22"/>
  <c r="C3402" i="22"/>
  <c r="K3402" i="22" s="1"/>
  <c r="E3402" i="22"/>
  <c r="F3402" i="22"/>
  <c r="O3402" i="22" s="1"/>
  <c r="G3402" i="22"/>
  <c r="I3402" i="22"/>
  <c r="B3403" i="22"/>
  <c r="U3346" i="22"/>
  <c r="AP64" i="22"/>
  <c r="BB64" i="22"/>
  <c r="D3347" i="22"/>
  <c r="J3347" i="22"/>
  <c r="P3347" i="22"/>
  <c r="Q3347" i="22"/>
  <c r="R3347" i="22"/>
  <c r="L3348" i="22"/>
  <c r="C3348" i="22"/>
  <c r="K3348" i="22" s="1"/>
  <c r="E3348" i="22"/>
  <c r="F3348" i="22"/>
  <c r="O3348" i="22" s="1"/>
  <c r="BP64" i="22" s="1"/>
  <c r="G3348" i="22"/>
  <c r="I3348" i="22"/>
  <c r="B3349" i="22"/>
  <c r="D3293" i="22"/>
  <c r="J3293" i="22"/>
  <c r="P3293" i="22"/>
  <c r="Q3293" i="22"/>
  <c r="R3293" i="22"/>
  <c r="L3294" i="22"/>
  <c r="C3294" i="22"/>
  <c r="E3294" i="22"/>
  <c r="G3294" i="22"/>
  <c r="I3294" i="22"/>
  <c r="B3295" i="22"/>
  <c r="U3238" i="22"/>
  <c r="AP62" i="22"/>
  <c r="BB62" i="22"/>
  <c r="M3239" i="22"/>
  <c r="D3239" i="22"/>
  <c r="J3239" i="22"/>
  <c r="N3239" i="22" s="1"/>
  <c r="BO62" i="22"/>
  <c r="L3240" i="22"/>
  <c r="E3240" i="22"/>
  <c r="G3240" i="22"/>
  <c r="I3240" i="22"/>
  <c r="B3241" i="22"/>
  <c r="C3240" i="22"/>
  <c r="P3239" i="22"/>
  <c r="Q3239" i="22"/>
  <c r="R3239" i="22"/>
  <c r="U3184" i="22"/>
  <c r="AP61" i="22"/>
  <c r="BB61" i="22"/>
  <c r="M3185" i="22"/>
  <c r="D3185" i="22"/>
  <c r="J3185" i="22"/>
  <c r="N3185" i="22" s="1"/>
  <c r="P3185" i="22"/>
  <c r="Q3185" i="22"/>
  <c r="R3185" i="22"/>
  <c r="L3186" i="22"/>
  <c r="C3186" i="22"/>
  <c r="K3186" i="22" s="1"/>
  <c r="E3186" i="22"/>
  <c r="F3186" i="22"/>
  <c r="O3186" i="22" s="1"/>
  <c r="G3186" i="22"/>
  <c r="I3186" i="22"/>
  <c r="B3187" i="22"/>
  <c r="U3130" i="22"/>
  <c r="AP60" i="22"/>
  <c r="BB60" i="22"/>
  <c r="M3131" i="22"/>
  <c r="D3131" i="22"/>
  <c r="J3131" i="22"/>
  <c r="N3131" i="22" s="1"/>
  <c r="P3131" i="22"/>
  <c r="Q3131" i="22"/>
  <c r="R3131" i="22"/>
  <c r="L3132" i="22"/>
  <c r="C3132" i="22"/>
  <c r="K3132" i="22" s="1"/>
  <c r="E3132" i="22"/>
  <c r="F3132" i="22"/>
  <c r="O3132" i="22" s="1"/>
  <c r="G3132" i="22"/>
  <c r="I3132" i="22"/>
  <c r="B3133" i="22"/>
  <c r="M3077" i="22"/>
  <c r="D3077" i="22"/>
  <c r="J3077" i="22"/>
  <c r="N3077" i="22" s="1"/>
  <c r="P3077" i="22"/>
  <c r="Q3077" i="22"/>
  <c r="R3077" i="22"/>
  <c r="L3078" i="22"/>
  <c r="C3078" i="22"/>
  <c r="E3078" i="22"/>
  <c r="G3078" i="22"/>
  <c r="I3078" i="22"/>
  <c r="B3079" i="22"/>
  <c r="U3022" i="22"/>
  <c r="AP58" i="22"/>
  <c r="BB58" i="22"/>
  <c r="M3023" i="22"/>
  <c r="D3023" i="22"/>
  <c r="J3023" i="22"/>
  <c r="N3023" i="22" s="1"/>
  <c r="P3023" i="22"/>
  <c r="Q3023" i="22"/>
  <c r="R3023" i="22"/>
  <c r="L3024" i="22"/>
  <c r="C3024" i="22"/>
  <c r="K3024" i="22" s="1"/>
  <c r="E3024" i="22"/>
  <c r="F3024" i="22"/>
  <c r="O3024" i="22" s="1"/>
  <c r="G3024" i="22"/>
  <c r="I3024" i="22"/>
  <c r="B3025" i="22"/>
  <c r="D2969" i="22"/>
  <c r="J2969" i="22"/>
  <c r="P2969" i="22"/>
  <c r="Q2969" i="22"/>
  <c r="R2969" i="22"/>
  <c r="L2970" i="22"/>
  <c r="C2970" i="22"/>
  <c r="K2970" i="22" s="1"/>
  <c r="E2970" i="22"/>
  <c r="F2970" i="22"/>
  <c r="O2970" i="22" s="1"/>
  <c r="BP57" i="22" s="1"/>
  <c r="G2970" i="22"/>
  <c r="I2970" i="22"/>
  <c r="B2971" i="22"/>
  <c r="U2914" i="22"/>
  <c r="AP56" i="22"/>
  <c r="BB56" i="22"/>
  <c r="M2915" i="22"/>
  <c r="D2915" i="22"/>
  <c r="J2915" i="22"/>
  <c r="N2915" i="22" s="1"/>
  <c r="P2915" i="22"/>
  <c r="Q2915" i="22"/>
  <c r="R2915" i="22"/>
  <c r="L2916" i="22"/>
  <c r="C2916" i="22"/>
  <c r="E2916" i="22"/>
  <c r="G2916" i="22"/>
  <c r="I2916" i="22"/>
  <c r="B2917" i="22"/>
  <c r="U2860" i="22"/>
  <c r="AP55" i="22"/>
  <c r="BB55" i="22"/>
  <c r="D2861" i="22"/>
  <c r="J2861" i="22"/>
  <c r="P2861" i="22"/>
  <c r="Q2861" i="22"/>
  <c r="R2861" i="22"/>
  <c r="L2862" i="22"/>
  <c r="C2862" i="22"/>
  <c r="E2862" i="22"/>
  <c r="G2862" i="22"/>
  <c r="I2862" i="22"/>
  <c r="B2863" i="22"/>
  <c r="S2806" i="22"/>
  <c r="AP54" i="22"/>
  <c r="BB54" i="22"/>
  <c r="AL1621" i="23"/>
  <c r="U2806" i="22"/>
  <c r="M2807" i="22"/>
  <c r="D2807" i="22"/>
  <c r="J2807" i="22"/>
  <c r="N2807" i="22" s="1"/>
  <c r="P2807" i="22"/>
  <c r="Q2807" i="22"/>
  <c r="R2807" i="22"/>
  <c r="T2807" i="22"/>
  <c r="L2808" i="22"/>
  <c r="C2808" i="22"/>
  <c r="E2808" i="22"/>
  <c r="G2808" i="22"/>
  <c r="I2808" i="22"/>
  <c r="B2809" i="22"/>
  <c r="U2752" i="22"/>
  <c r="AP53" i="22"/>
  <c r="BB53" i="22"/>
  <c r="M2753" i="22"/>
  <c r="D2753" i="22"/>
  <c r="J2753" i="22"/>
  <c r="N2753" i="22" s="1"/>
  <c r="P2753" i="22"/>
  <c r="Q2753" i="22"/>
  <c r="R2753" i="22"/>
  <c r="L2754" i="22"/>
  <c r="C2754" i="22"/>
  <c r="K2754" i="22" s="1"/>
  <c r="E2754" i="22"/>
  <c r="F2754" i="22"/>
  <c r="O2754" i="22" s="1"/>
  <c r="G2754" i="22"/>
  <c r="I2754" i="22"/>
  <c r="B2755" i="22"/>
  <c r="U2698" i="22"/>
  <c r="AP52" i="22"/>
  <c r="BB52" i="22"/>
  <c r="M2699" i="22"/>
  <c r="D2699" i="22"/>
  <c r="J2699" i="22"/>
  <c r="N2699" i="22" s="1"/>
  <c r="P2699" i="22"/>
  <c r="Q2699" i="22"/>
  <c r="R2699" i="22"/>
  <c r="L2700" i="22"/>
  <c r="C2700" i="22"/>
  <c r="K2700" i="22" s="1"/>
  <c r="E2700" i="22"/>
  <c r="F2700" i="22"/>
  <c r="O2700" i="22" s="1"/>
  <c r="G2700" i="22"/>
  <c r="I2700" i="22"/>
  <c r="B2701" i="22"/>
  <c r="M2645" i="22"/>
  <c r="L2646" i="22"/>
  <c r="E2646" i="22"/>
  <c r="I2646" i="22"/>
  <c r="B2647" i="22"/>
  <c r="C2646" i="22"/>
  <c r="K2646" i="22" s="1"/>
  <c r="F2646" i="22"/>
  <c r="O2646" i="22" s="1"/>
  <c r="G2646" i="22"/>
  <c r="J2645" i="22"/>
  <c r="N2645" i="22" s="1"/>
  <c r="D2645" i="22"/>
  <c r="P2645" i="22"/>
  <c r="Q2645" i="22"/>
  <c r="R2645" i="22"/>
  <c r="D2591" i="22"/>
  <c r="J2591" i="22"/>
  <c r="P2591" i="22"/>
  <c r="Q2591" i="22"/>
  <c r="R2591" i="22"/>
  <c r="L2592" i="22"/>
  <c r="C2592" i="22"/>
  <c r="K2592" i="22" s="1"/>
  <c r="E2592" i="22"/>
  <c r="F2592" i="22"/>
  <c r="O2592" i="22" s="1"/>
  <c r="BP50" i="22" s="1"/>
  <c r="G2592" i="22"/>
  <c r="I2592" i="22"/>
  <c r="B2593" i="22"/>
  <c r="D2537" i="22"/>
  <c r="J2537" i="22"/>
  <c r="P2537" i="22"/>
  <c r="Q2537" i="22"/>
  <c r="R2537" i="22"/>
  <c r="L2538" i="22"/>
  <c r="C2538" i="22"/>
  <c r="K2538" i="22" s="1"/>
  <c r="E2538" i="22"/>
  <c r="F2538" i="22"/>
  <c r="O2538" i="22" s="1"/>
  <c r="G2538" i="22"/>
  <c r="I2538" i="22"/>
  <c r="B2539" i="22"/>
  <c r="U2482" i="22"/>
  <c r="AP48" i="22"/>
  <c r="BB48" i="22"/>
  <c r="M2483" i="22"/>
  <c r="D2483" i="22"/>
  <c r="J2483" i="22"/>
  <c r="N2483" i="22" s="1"/>
  <c r="P2483" i="22"/>
  <c r="Q2483" i="22"/>
  <c r="R2483" i="22"/>
  <c r="L2484" i="22"/>
  <c r="C2484" i="22"/>
  <c r="E2484" i="22"/>
  <c r="G2484" i="22"/>
  <c r="I2484" i="22"/>
  <c r="B2485" i="22"/>
  <c r="U2428" i="22"/>
  <c r="AP47" i="22"/>
  <c r="BB47" i="22"/>
  <c r="M2429" i="22"/>
  <c r="D2429" i="22"/>
  <c r="J2429" i="22"/>
  <c r="N2429" i="22" s="1"/>
  <c r="P2429" i="22"/>
  <c r="Q2429" i="22"/>
  <c r="R2429" i="22"/>
  <c r="L2430" i="22"/>
  <c r="C2430" i="22"/>
  <c r="E2430" i="22"/>
  <c r="G2430" i="22"/>
  <c r="I2430" i="22"/>
  <c r="B2431" i="22"/>
  <c r="U2374" i="22"/>
  <c r="AP46" i="22"/>
  <c r="BB46" i="22"/>
  <c r="M2375" i="22"/>
  <c r="D2375" i="22"/>
  <c r="J2375" i="22"/>
  <c r="N2375" i="22" s="1"/>
  <c r="P2375" i="22"/>
  <c r="Q2375" i="22"/>
  <c r="R2375" i="22"/>
  <c r="L2376" i="22"/>
  <c r="C2376" i="22"/>
  <c r="K2376" i="22" s="1"/>
  <c r="E2376" i="22"/>
  <c r="F2376" i="22"/>
  <c r="O2376" i="22" s="1"/>
  <c r="BP46" i="22" s="1"/>
  <c r="G2376" i="22"/>
  <c r="I2376" i="22"/>
  <c r="B2377" i="22"/>
  <c r="U2320" i="22"/>
  <c r="AP45" i="22"/>
  <c r="BB45" i="22"/>
  <c r="M2321" i="22"/>
  <c r="D2321" i="22"/>
  <c r="J2321" i="22"/>
  <c r="N2321" i="22" s="1"/>
  <c r="P2321" i="22"/>
  <c r="Q2321" i="22"/>
  <c r="R2321" i="22"/>
  <c r="L2322" i="22"/>
  <c r="C2322" i="22"/>
  <c r="K2322" i="22" s="1"/>
  <c r="E2322" i="22"/>
  <c r="F2322" i="22"/>
  <c r="O2322" i="22" s="1"/>
  <c r="BP45" i="22" s="1"/>
  <c r="G2322" i="22"/>
  <c r="I2322" i="22"/>
  <c r="B2323" i="22"/>
  <c r="U2266" i="22"/>
  <c r="AP44" i="22"/>
  <c r="BB44" i="22"/>
  <c r="D2267" i="22"/>
  <c r="J2267" i="22"/>
  <c r="P2267" i="22"/>
  <c r="Q2267" i="22"/>
  <c r="R2267" i="22"/>
  <c r="L2268" i="22"/>
  <c r="C2268" i="22"/>
  <c r="K2268" i="22" s="1"/>
  <c r="E2268" i="22"/>
  <c r="F2268" i="22"/>
  <c r="O2268" i="22" s="1"/>
  <c r="BP44" i="22" s="1"/>
  <c r="G2268" i="22"/>
  <c r="I2268" i="22"/>
  <c r="B2269" i="22"/>
  <c r="U2212" i="22"/>
  <c r="AP43" i="22"/>
  <c r="BB43" i="22"/>
  <c r="D2213" i="22"/>
  <c r="J2213" i="22"/>
  <c r="P2213" i="22"/>
  <c r="Q2213" i="22"/>
  <c r="R2213" i="22"/>
  <c r="L2214" i="22"/>
  <c r="C2214" i="22"/>
  <c r="E2214" i="22"/>
  <c r="G2214" i="22"/>
  <c r="I2214" i="22"/>
  <c r="B2215" i="22"/>
  <c r="D2159" i="22"/>
  <c r="J2159" i="22"/>
  <c r="P2159" i="22"/>
  <c r="Q2159" i="22"/>
  <c r="R2159" i="22"/>
  <c r="L2160" i="22"/>
  <c r="C2160" i="22"/>
  <c r="E2160" i="22"/>
  <c r="G2160" i="22"/>
  <c r="I2160" i="22"/>
  <c r="B2161" i="22"/>
  <c r="U2104" i="22"/>
  <c r="AP41" i="22"/>
  <c r="BB41" i="22"/>
  <c r="M2105" i="22"/>
  <c r="D2105" i="22"/>
  <c r="J2105" i="22"/>
  <c r="N2105" i="22" s="1"/>
  <c r="P2105" i="22"/>
  <c r="Q2105" i="22"/>
  <c r="R2105" i="22"/>
  <c r="L2106" i="22"/>
  <c r="C2106" i="22"/>
  <c r="K2106" i="22" s="1"/>
  <c r="E2106" i="22"/>
  <c r="F2106" i="22"/>
  <c r="O2106" i="22" s="1"/>
  <c r="G2106" i="22"/>
  <c r="I2106" i="22"/>
  <c r="B2107" i="22"/>
  <c r="U2050" i="22"/>
  <c r="AP40" i="22"/>
  <c r="BB40" i="22"/>
  <c r="M2051" i="22"/>
  <c r="D2051" i="22"/>
  <c r="J2051" i="22"/>
  <c r="N2051" i="22" s="1"/>
  <c r="P2051" i="22"/>
  <c r="Q2051" i="22"/>
  <c r="R2051" i="22"/>
  <c r="L2052" i="22"/>
  <c r="C2052" i="22"/>
  <c r="K2052" i="22" s="1"/>
  <c r="E2052" i="22"/>
  <c r="F2052" i="22"/>
  <c r="O2052" i="22" s="1"/>
  <c r="G2052" i="22"/>
  <c r="I2052" i="22"/>
  <c r="B2053" i="22"/>
  <c r="U1996" i="22"/>
  <c r="AP39" i="22"/>
  <c r="BB39" i="22"/>
  <c r="M1997" i="22"/>
  <c r="D1997" i="22"/>
  <c r="J1997" i="22"/>
  <c r="N1997" i="22" s="1"/>
  <c r="P1997" i="22"/>
  <c r="Q1997" i="22"/>
  <c r="R1997" i="22"/>
  <c r="L1998" i="22"/>
  <c r="C1998" i="22"/>
  <c r="E1998" i="22"/>
  <c r="G1998" i="22"/>
  <c r="I1998" i="22"/>
  <c r="B1999" i="22"/>
  <c r="U1942" i="22"/>
  <c r="AP38" i="22"/>
  <c r="BB38" i="22"/>
  <c r="M1943" i="22"/>
  <c r="D1943" i="22"/>
  <c r="J1943" i="22"/>
  <c r="N1943" i="22" s="1"/>
  <c r="P1943" i="22"/>
  <c r="Q1943" i="22"/>
  <c r="R1943" i="22"/>
  <c r="L1944" i="22"/>
  <c r="C1944" i="22"/>
  <c r="K1944" i="22" s="1"/>
  <c r="E1944" i="22"/>
  <c r="F1944" i="22"/>
  <c r="O1944" i="22" s="1"/>
  <c r="BP38" i="22" s="1"/>
  <c r="G1944" i="22"/>
  <c r="I1944" i="22"/>
  <c r="B1945" i="22"/>
  <c r="M1889" i="22"/>
  <c r="D1889" i="22"/>
  <c r="J1889" i="22"/>
  <c r="N1889" i="22" s="1"/>
  <c r="P1889" i="22"/>
  <c r="Q1889" i="22"/>
  <c r="R1889" i="22"/>
  <c r="L1890" i="22"/>
  <c r="C1890" i="22"/>
  <c r="E1890" i="22"/>
  <c r="G1890" i="22"/>
  <c r="I1890" i="22"/>
  <c r="B1891" i="22"/>
  <c r="D1835" i="22"/>
  <c r="J1835" i="22"/>
  <c r="P1835" i="22"/>
  <c r="Q1835" i="22"/>
  <c r="R1835" i="22"/>
  <c r="L1836" i="22"/>
  <c r="C1836" i="22"/>
  <c r="K1836" i="22" s="1"/>
  <c r="E1836" i="22"/>
  <c r="F1836" i="22"/>
  <c r="O1836" i="22" s="1"/>
  <c r="BP36" i="22" s="1"/>
  <c r="G1836" i="22"/>
  <c r="I1836" i="22"/>
  <c r="B1837" i="22"/>
  <c r="D1781" i="22"/>
  <c r="J1781" i="22"/>
  <c r="P1781" i="22"/>
  <c r="Q1781" i="22"/>
  <c r="R1781" i="22"/>
  <c r="L1782" i="22"/>
  <c r="C1782" i="22"/>
  <c r="K1782" i="22" s="1"/>
  <c r="E1782" i="22"/>
  <c r="F1782" i="22"/>
  <c r="O1782" i="22" s="1"/>
  <c r="BP35" i="22" s="1"/>
  <c r="G1782" i="22"/>
  <c r="I1782" i="22"/>
  <c r="B1783" i="22"/>
  <c r="U1726" i="22"/>
  <c r="AP34" i="22"/>
  <c r="BB34" i="22"/>
  <c r="D1727" i="22"/>
  <c r="J1727" i="22"/>
  <c r="P1727" i="22"/>
  <c r="Q1727" i="22"/>
  <c r="R1727" i="22"/>
  <c r="L1728" i="22"/>
  <c r="C1728" i="22"/>
  <c r="K1728" i="22" s="1"/>
  <c r="E1728" i="22"/>
  <c r="F1728" i="22"/>
  <c r="O1728" i="22" s="1"/>
  <c r="BP34" i="22" s="1"/>
  <c r="G1728" i="22"/>
  <c r="I1728" i="22"/>
  <c r="B1729" i="22"/>
  <c r="U1672" i="22"/>
  <c r="AP33" i="22"/>
  <c r="BB33" i="22"/>
  <c r="M1673" i="22"/>
  <c r="D1673" i="22"/>
  <c r="J1673" i="22"/>
  <c r="N1673" i="22" s="1"/>
  <c r="P1673" i="22"/>
  <c r="Q1673" i="22"/>
  <c r="R1673" i="22"/>
  <c r="L1674" i="22"/>
  <c r="C1674" i="22"/>
  <c r="E1674" i="22"/>
  <c r="G1674" i="22"/>
  <c r="I1674" i="22"/>
  <c r="B1675" i="22"/>
  <c r="U1618" i="22"/>
  <c r="AP32" i="22"/>
  <c r="BB32" i="22"/>
  <c r="M1619" i="22"/>
  <c r="D1619" i="22"/>
  <c r="J1619" i="22"/>
  <c r="N1619" i="22" s="1"/>
  <c r="P1619" i="22"/>
  <c r="Q1619" i="22"/>
  <c r="R1619" i="22"/>
  <c r="L1620" i="22"/>
  <c r="C1620" i="22"/>
  <c r="E1620" i="22"/>
  <c r="G1620" i="22"/>
  <c r="I1620" i="22"/>
  <c r="B1621" i="22"/>
  <c r="U1564" i="22"/>
  <c r="AP31" i="22"/>
  <c r="BB31" i="22"/>
  <c r="M1565" i="22"/>
  <c r="D1565" i="22"/>
  <c r="J1565" i="22"/>
  <c r="N1565" i="22" s="1"/>
  <c r="P1565" i="22"/>
  <c r="Q1565" i="22"/>
  <c r="R1565" i="22"/>
  <c r="L1566" i="22"/>
  <c r="C1566" i="22"/>
  <c r="E1566" i="22"/>
  <c r="G1566" i="22"/>
  <c r="I1566" i="22"/>
  <c r="B1567" i="22"/>
  <c r="U1510" i="22"/>
  <c r="AP30" i="22"/>
  <c r="BB30" i="22"/>
  <c r="M1511" i="22"/>
  <c r="D1511" i="22"/>
  <c r="J1511" i="22"/>
  <c r="N1511" i="22" s="1"/>
  <c r="P1511" i="22"/>
  <c r="Q1511" i="22"/>
  <c r="R1511" i="22"/>
  <c r="L1512" i="22"/>
  <c r="C1512" i="22"/>
  <c r="K1512" i="22" s="1"/>
  <c r="E1512" i="22"/>
  <c r="F1512" i="22"/>
  <c r="O1512" i="22" s="1"/>
  <c r="BP30" i="22" s="1"/>
  <c r="G1512" i="22"/>
  <c r="I1512" i="22"/>
  <c r="B1513" i="22"/>
  <c r="D1457" i="22"/>
  <c r="J1457" i="22"/>
  <c r="P1457" i="22"/>
  <c r="Q1457" i="22"/>
  <c r="R1457" i="22"/>
  <c r="L1458" i="22"/>
  <c r="C1458" i="22"/>
  <c r="K1458" i="22" s="1"/>
  <c r="E1458" i="22"/>
  <c r="F1458" i="22"/>
  <c r="O1458" i="22" s="1"/>
  <c r="BP29" i="22" s="1"/>
  <c r="G1458" i="22"/>
  <c r="I1458" i="22"/>
  <c r="B1459" i="22"/>
  <c r="L1404" i="22"/>
  <c r="B1405" i="22"/>
  <c r="C1404" i="22"/>
  <c r="K1404" i="22" s="1"/>
  <c r="E1404" i="22"/>
  <c r="F1404" i="22"/>
  <c r="O1404" i="22" s="1"/>
  <c r="BP28" i="22" s="1"/>
  <c r="G1404" i="22"/>
  <c r="I1404" i="22"/>
  <c r="D1403" i="22"/>
  <c r="J1403" i="22"/>
  <c r="P1403" i="22"/>
  <c r="Q1403" i="22"/>
  <c r="R1403" i="22"/>
  <c r="L1350" i="22"/>
  <c r="C1350" i="22"/>
  <c r="K1350" i="22" s="1"/>
  <c r="E1350" i="22"/>
  <c r="F1350" i="22"/>
  <c r="O1350" i="22" s="1"/>
  <c r="G1350" i="22"/>
  <c r="I1350" i="22"/>
  <c r="B1351" i="22"/>
  <c r="D1349" i="22"/>
  <c r="J1349" i="22"/>
  <c r="P1349" i="22"/>
  <c r="Q1349" i="22"/>
  <c r="R1349" i="22"/>
  <c r="U1294" i="22"/>
  <c r="AP26" i="22"/>
  <c r="BB26" i="22"/>
  <c r="M1295" i="22"/>
  <c r="D1295" i="22"/>
  <c r="J1295" i="22"/>
  <c r="N1295" i="22" s="1"/>
  <c r="P1295" i="22"/>
  <c r="Q1295" i="22"/>
  <c r="R1295" i="22"/>
  <c r="L1296" i="22"/>
  <c r="C1296" i="22"/>
  <c r="K1296" i="22" s="1"/>
  <c r="E1296" i="22"/>
  <c r="F1296" i="22"/>
  <c r="O1296" i="22" s="1"/>
  <c r="G1296" i="22"/>
  <c r="I1296" i="22"/>
  <c r="B1297" i="22"/>
  <c r="U1240" i="22"/>
  <c r="AP25" i="22"/>
  <c r="BB25" i="22"/>
  <c r="M1241" i="22"/>
  <c r="D1241" i="22"/>
  <c r="J1241" i="22"/>
  <c r="N1241" i="22" s="1"/>
  <c r="P1241" i="22"/>
  <c r="Q1241" i="22"/>
  <c r="R1241" i="22"/>
  <c r="L1242" i="22"/>
  <c r="C1242" i="22"/>
  <c r="E1242" i="22"/>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M1133" i="22"/>
  <c r="D1133" i="22"/>
  <c r="J1133" i="22"/>
  <c r="N1133" i="22" s="1"/>
  <c r="F91" i="7"/>
  <c r="BO23" i="22"/>
  <c r="P1133" i="22"/>
  <c r="Q1133" i="22"/>
  <c r="R1133" i="22"/>
  <c r="L1134" i="22"/>
  <c r="C1134" i="22"/>
  <c r="K1134" i="22" s="1"/>
  <c r="E1134" i="22"/>
  <c r="F1134" i="22"/>
  <c r="O1134" i="22" s="1"/>
  <c r="G1134" i="22"/>
  <c r="I1134" i="22"/>
  <c r="B1135" i="22"/>
  <c r="M1079" i="22"/>
  <c r="D1079" i="22"/>
  <c r="J1079" i="22"/>
  <c r="N1079" i="22" s="1"/>
  <c r="F90" i="7"/>
  <c r="BO22" i="22"/>
  <c r="P1079" i="22"/>
  <c r="Q1079" i="22"/>
  <c r="R1079" i="22"/>
  <c r="L1080" i="22"/>
  <c r="C1080" i="22"/>
  <c r="K1080" i="22" s="1"/>
  <c r="E1080" i="22"/>
  <c r="F1080" i="22"/>
  <c r="O1080" i="22" s="1"/>
  <c r="G1080" i="22"/>
  <c r="I1080" i="22"/>
  <c r="B1081" i="22"/>
  <c r="D1025" i="22"/>
  <c r="J1025" i="22"/>
  <c r="P1025" i="22"/>
  <c r="Q1025" i="22"/>
  <c r="R1025" i="22"/>
  <c r="L1026" i="22"/>
  <c r="C1026" i="22"/>
  <c r="K1026" i="22" s="1"/>
  <c r="E1026" i="22"/>
  <c r="F1026" i="22"/>
  <c r="O1026" i="22" s="1"/>
  <c r="G1026" i="22"/>
  <c r="I1026" i="22"/>
  <c r="B1027" i="22"/>
  <c r="E119" i="7"/>
  <c r="E57" i="7"/>
  <c r="U970" i="22"/>
  <c r="AP20" i="22"/>
  <c r="BB20" i="22"/>
  <c r="D971" i="22"/>
  <c r="J971" i="22"/>
  <c r="P971" i="22"/>
  <c r="Q971" i="22"/>
  <c r="R971" i="22"/>
  <c r="L972" i="22"/>
  <c r="C972" i="22"/>
  <c r="E972" i="22"/>
  <c r="G972" i="22"/>
  <c r="I972" i="22"/>
  <c r="B973" i="22"/>
  <c r="E56" i="7"/>
  <c r="E118" i="7"/>
  <c r="U916" i="22"/>
  <c r="AP19" i="22"/>
  <c r="BB19" i="22"/>
  <c r="M917" i="22"/>
  <c r="D917" i="22"/>
  <c r="J917" i="22"/>
  <c r="N917" i="22" s="1"/>
  <c r="F87" i="7"/>
  <c r="BO19" i="22"/>
  <c r="P917" i="22"/>
  <c r="Q917" i="22"/>
  <c r="R917" i="22"/>
  <c r="L918" i="22"/>
  <c r="C918" i="22"/>
  <c r="K918" i="22" s="1"/>
  <c r="E918" i="22"/>
  <c r="F918" i="22"/>
  <c r="O918" i="22" s="1"/>
  <c r="G918" i="22"/>
  <c r="I918" i="22"/>
  <c r="B919" i="22"/>
  <c r="E117" i="7"/>
  <c r="E55" i="7"/>
  <c r="U862" i="22"/>
  <c r="AP18" i="22"/>
  <c r="BB18" i="22"/>
  <c r="M863" i="22"/>
  <c r="D863" i="22"/>
  <c r="J863" i="22"/>
  <c r="N863" i="22" s="1"/>
  <c r="F86" i="7"/>
  <c r="BO18" i="22"/>
  <c r="P863" i="22"/>
  <c r="Q863" i="22"/>
  <c r="R863" i="22"/>
  <c r="L864" i="22"/>
  <c r="C864" i="22"/>
  <c r="E864" i="22"/>
  <c r="G864" i="22"/>
  <c r="I864" i="22"/>
  <c r="B865" i="22"/>
  <c r="E54" i="7"/>
  <c r="E116" i="7"/>
  <c r="U808" i="22"/>
  <c r="AP17" i="22"/>
  <c r="BB17" i="22"/>
  <c r="M809" i="22"/>
  <c r="D809" i="22"/>
  <c r="J809" i="22"/>
  <c r="N809" i="22" s="1"/>
  <c r="F85" i="7"/>
  <c r="BO17" i="22"/>
  <c r="P809" i="22"/>
  <c r="Q809" i="22"/>
  <c r="R809" i="22"/>
  <c r="L810" i="22"/>
  <c r="C810" i="22"/>
  <c r="E810" i="22"/>
  <c r="G810" i="22"/>
  <c r="I810" i="22"/>
  <c r="B811" i="22"/>
  <c r="E115" i="7"/>
  <c r="E53" i="7"/>
  <c r="U754" i="22"/>
  <c r="AP16" i="22"/>
  <c r="BB16" i="22"/>
  <c r="M755" i="22"/>
  <c r="D755" i="22"/>
  <c r="J755" i="22"/>
  <c r="N755" i="22" s="1"/>
  <c r="F84" i="7"/>
  <c r="BO16" i="22"/>
  <c r="P755" i="22"/>
  <c r="Q755" i="22"/>
  <c r="R755" i="22"/>
  <c r="L756" i="22"/>
  <c r="C756" i="22"/>
  <c r="K756" i="22" s="1"/>
  <c r="E756" i="22"/>
  <c r="F756" i="22"/>
  <c r="O756" i="22" s="1"/>
  <c r="G756" i="22"/>
  <c r="I756" i="22"/>
  <c r="B757" i="22"/>
  <c r="M701" i="22"/>
  <c r="D701" i="22"/>
  <c r="J701" i="22"/>
  <c r="N701" i="22" s="1"/>
  <c r="F83" i="7"/>
  <c r="BO15" i="22"/>
  <c r="P701" i="22"/>
  <c r="Q701" i="22"/>
  <c r="R701" i="22"/>
  <c r="L702" i="22"/>
  <c r="C702" i="22"/>
  <c r="E702" i="22"/>
  <c r="G702" i="22"/>
  <c r="I702" i="22"/>
  <c r="B703" i="22"/>
  <c r="D647" i="22"/>
  <c r="J647" i="22"/>
  <c r="P647" i="22"/>
  <c r="Q647" i="22"/>
  <c r="R647" i="22"/>
  <c r="L648" i="22"/>
  <c r="C648" i="22"/>
  <c r="K648" i="22" s="1"/>
  <c r="E648" i="22"/>
  <c r="F648" i="22"/>
  <c r="O648" i="22" s="1"/>
  <c r="G648" i="22"/>
  <c r="I648" i="22"/>
  <c r="B649" i="22"/>
  <c r="E112" i="7"/>
  <c r="E50" i="7"/>
  <c r="U592" i="22"/>
  <c r="AP13" i="22"/>
  <c r="BB13" i="22"/>
  <c r="M593" i="22"/>
  <c r="D593" i="22"/>
  <c r="J593" i="22"/>
  <c r="N593" i="22" s="1"/>
  <c r="F81" i="7"/>
  <c r="BO13" i="22"/>
  <c r="P593" i="22"/>
  <c r="Q593" i="22"/>
  <c r="R593" i="22"/>
  <c r="L594" i="22"/>
  <c r="C594" i="22"/>
  <c r="K594" i="22" s="1"/>
  <c r="E594" i="22"/>
  <c r="F594" i="22"/>
  <c r="O594" i="22" s="1"/>
  <c r="G594" i="22"/>
  <c r="I594" i="22"/>
  <c r="B595" i="22"/>
  <c r="E111" i="7"/>
  <c r="E49" i="7"/>
  <c r="U538" i="22"/>
  <c r="AP12" i="22"/>
  <c r="BB12" i="22"/>
  <c r="M539" i="22"/>
  <c r="D539" i="22"/>
  <c r="J539" i="22"/>
  <c r="N539" i="22" s="1"/>
  <c r="F80" i="7"/>
  <c r="BO12" i="22"/>
  <c r="P539" i="22"/>
  <c r="Q539" i="22"/>
  <c r="R539" i="22"/>
  <c r="L540" i="22"/>
  <c r="C540" i="22"/>
  <c r="K540" i="22" s="1"/>
  <c r="E540" i="22"/>
  <c r="F540" i="22"/>
  <c r="O540" i="22" s="1"/>
  <c r="G540" i="22"/>
  <c r="I540" i="22"/>
  <c r="B541" i="22"/>
  <c r="E110" i="7"/>
  <c r="E48" i="7"/>
  <c r="U484" i="22"/>
  <c r="AP11" i="22"/>
  <c r="BB11" i="22"/>
  <c r="M485" i="22"/>
  <c r="D485" i="22"/>
  <c r="J485" i="22"/>
  <c r="N485" i="22" s="1"/>
  <c r="F79" i="7"/>
  <c r="BO11" i="22"/>
  <c r="P485" i="22"/>
  <c r="Q485" i="22"/>
  <c r="R485" i="22"/>
  <c r="L486" i="22"/>
  <c r="C486" i="22"/>
  <c r="E486" i="22"/>
  <c r="G486" i="22"/>
  <c r="B487" i="22"/>
  <c r="I486" i="22"/>
  <c r="E109" i="7"/>
  <c r="E47" i="7"/>
  <c r="U430" i="22"/>
  <c r="AP10" i="22"/>
  <c r="BB10" i="22"/>
  <c r="M431" i="22"/>
  <c r="D431" i="22"/>
  <c r="J431" i="22"/>
  <c r="N431" i="22" s="1"/>
  <c r="F78" i="7"/>
  <c r="BO10" i="22"/>
  <c r="P431" i="22"/>
  <c r="Q431" i="22"/>
  <c r="R431" i="22"/>
  <c r="L432" i="22"/>
  <c r="C432" i="22"/>
  <c r="E432" i="22"/>
  <c r="G432" i="22"/>
  <c r="I432" i="22"/>
  <c r="B433" i="22"/>
  <c r="E108" i="7"/>
  <c r="E46" i="7"/>
  <c r="U376" i="22"/>
  <c r="AP9" i="22"/>
  <c r="BB9" i="22"/>
  <c r="M377" i="22"/>
  <c r="D377" i="22"/>
  <c r="J377" i="22"/>
  <c r="N377" i="22" s="1"/>
  <c r="F77" i="7"/>
  <c r="BO9" i="22"/>
  <c r="P377" i="22"/>
  <c r="Q377" i="22"/>
  <c r="R377" i="22"/>
  <c r="L378" i="22"/>
  <c r="C378" i="22"/>
  <c r="K378" i="22" s="1"/>
  <c r="E378" i="22"/>
  <c r="F378" i="22"/>
  <c r="O378" i="22" s="1"/>
  <c r="G378" i="22"/>
  <c r="I378" i="22"/>
  <c r="B379" i="22"/>
  <c r="E45" i="7"/>
  <c r="E107" i="7"/>
  <c r="U322" i="22"/>
  <c r="AP8" i="22"/>
  <c r="BB8" i="22"/>
  <c r="D323" i="22"/>
  <c r="J323" i="22"/>
  <c r="P323" i="22"/>
  <c r="Q323" i="22"/>
  <c r="R323" i="22"/>
  <c r="L324" i="22"/>
  <c r="C324" i="22"/>
  <c r="K324" i="22" s="1"/>
  <c r="E324" i="22"/>
  <c r="F324" i="22"/>
  <c r="O324" i="22" s="1"/>
  <c r="G324" i="22"/>
  <c r="I324" i="22"/>
  <c r="B325" i="22"/>
  <c r="E106" i="7"/>
  <c r="E44" i="7"/>
  <c r="U268" i="22"/>
  <c r="AP7" i="22"/>
  <c r="BB7" i="22"/>
  <c r="D269" i="22"/>
  <c r="J269" i="22"/>
  <c r="P269" i="22"/>
  <c r="Q269" i="22"/>
  <c r="R269" i="22"/>
  <c r="L270" i="22"/>
  <c r="C270" i="22"/>
  <c r="K270" i="22" s="1"/>
  <c r="E270" i="22"/>
  <c r="F270" i="22"/>
  <c r="O270" i="22" s="1"/>
  <c r="BP7" i="22" s="1"/>
  <c r="G270" i="22"/>
  <c r="I270" i="22"/>
  <c r="B271" i="22"/>
  <c r="E105" i="7"/>
  <c r="E43" i="7"/>
  <c r="U214" i="22"/>
  <c r="AP6" i="22"/>
  <c r="BB6" i="22"/>
  <c r="M215" i="22"/>
  <c r="D215" i="22"/>
  <c r="J215" i="22"/>
  <c r="N215" i="22" s="1"/>
  <c r="F74" i="7"/>
  <c r="BO6" i="22"/>
  <c r="P215" i="22"/>
  <c r="Q215" i="22"/>
  <c r="R215" i="22"/>
  <c r="L216" i="22"/>
  <c r="C216" i="22"/>
  <c r="E216" i="22"/>
  <c r="G216" i="22"/>
  <c r="I216" i="22"/>
  <c r="B217" i="22"/>
  <c r="E42" i="7"/>
  <c r="E104" i="7"/>
  <c r="U160" i="22"/>
  <c r="AP5" i="22"/>
  <c r="BB5" i="22"/>
  <c r="M161" i="22"/>
  <c r="P161" i="22"/>
  <c r="Q161" i="22"/>
  <c r="R161" i="22"/>
  <c r="L162" i="22"/>
  <c r="G162" i="22"/>
  <c r="C162" i="22"/>
  <c r="E162" i="22"/>
  <c r="I162" i="22"/>
  <c r="B163" i="22"/>
  <c r="D161" i="22"/>
  <c r="J161" i="22"/>
  <c r="N161" i="22" s="1"/>
  <c r="F73" i="7"/>
  <c r="BO5" i="22"/>
  <c r="P107" i="22"/>
  <c r="Q107" i="22"/>
  <c r="R107" i="22"/>
  <c r="D107" i="22"/>
  <c r="J107" i="22"/>
  <c r="L108" i="22"/>
  <c r="C108" i="22"/>
  <c r="E108" i="22"/>
  <c r="B109" i="22"/>
  <c r="I108" i="22"/>
  <c r="G108" i="22"/>
  <c r="G94" i="12"/>
  <c r="C95" i="12"/>
  <c r="F44" i="18"/>
  <c r="G44" i="18"/>
  <c r="H44" i="18"/>
  <c r="U44" i="17"/>
  <c r="M96" i="12"/>
  <c r="Q96" i="12" s="1"/>
  <c r="O96" i="12"/>
  <c r="N97" i="12"/>
  <c r="O45" i="17"/>
  <c r="E97" i="12"/>
  <c r="D45" i="17"/>
  <c r="J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M45" i="17"/>
  <c r="N45" i="17"/>
  <c r="E46" i="17"/>
  <c r="G46" i="17"/>
  <c r="AY46" i="17" s="1"/>
  <c r="L46" i="17"/>
  <c r="C46" i="17"/>
  <c r="F46" i="17" s="1"/>
  <c r="C46" i="18" s="1"/>
  <c r="E46" i="18" s="1"/>
  <c r="I46" i="17"/>
  <c r="K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44" i="17"/>
  <c r="AY39" i="17"/>
  <c r="AY40" i="17"/>
  <c r="AY41" i="17"/>
  <c r="AY42" i="17"/>
  <c r="AY43" i="17"/>
  <c r="AY45" i="17"/>
  <c r="AH723" i="23"/>
  <c r="C49" i="8"/>
  <c r="AD724" i="23"/>
  <c r="AG724" i="23"/>
  <c r="P95" i="12"/>
  <c r="Q95" i="12" s="1"/>
  <c r="U3723" i="22"/>
  <c r="AO71" i="22"/>
  <c r="BA71" i="22"/>
  <c r="U3669" i="22"/>
  <c r="AO70" i="22"/>
  <c r="BA70" i="22"/>
  <c r="U3291" i="22"/>
  <c r="AO63" i="22"/>
  <c r="BA63" i="22"/>
  <c r="U3183" i="22"/>
  <c r="AO61" i="22"/>
  <c r="BA61" i="22"/>
  <c r="U2913" i="22"/>
  <c r="AO56" i="22"/>
  <c r="BA56" i="22"/>
  <c r="U2859" i="22"/>
  <c r="AO55" i="22"/>
  <c r="BA55" i="22"/>
  <c r="U2643" i="22"/>
  <c r="AO51" i="22"/>
  <c r="BA51" i="22"/>
  <c r="U2535" i="22"/>
  <c r="AO49" i="22"/>
  <c r="BA49" i="22"/>
  <c r="U2211" i="22"/>
  <c r="AO43" i="22"/>
  <c r="BA43" i="22"/>
  <c r="U1941" i="22"/>
  <c r="AO38" i="22"/>
  <c r="BA38" i="22"/>
  <c r="U1887" i="22"/>
  <c r="AO37" i="22"/>
  <c r="BA37" i="22"/>
  <c r="U1671" i="22"/>
  <c r="AO33" i="22"/>
  <c r="BA33" i="22"/>
  <c r="U1617" i="22"/>
  <c r="AO32" i="22"/>
  <c r="BA32" i="22"/>
  <c r="U1347" i="22"/>
  <c r="AO27" i="22"/>
  <c r="BA27" i="22"/>
  <c r="U1293" i="22"/>
  <c r="AO26" i="22"/>
  <c r="BA26" i="22"/>
  <c r="D120" i="7"/>
  <c r="D58" i="7"/>
  <c r="U1023" i="22"/>
  <c r="AO21" i="22"/>
  <c r="BA21" i="22"/>
  <c r="D119" i="7"/>
  <c r="D57" i="7"/>
  <c r="U969" i="22"/>
  <c r="AO20" i="22"/>
  <c r="BA20" i="22"/>
  <c r="D113" i="7"/>
  <c r="D51" i="7"/>
  <c r="U645" i="22"/>
  <c r="AO14" i="22"/>
  <c r="BA14" i="22"/>
  <c r="D45" i="7"/>
  <c r="D107" i="7"/>
  <c r="U321" i="22"/>
  <c r="AO8" i="22"/>
  <c r="BA8" i="22"/>
  <c r="M1509" i="23"/>
  <c r="N1509" i="23"/>
  <c r="AB1509" i="23"/>
  <c r="AC1509" i="23" s="1"/>
  <c r="O1509" i="23"/>
  <c r="M1453" i="23"/>
  <c r="N1453" i="23"/>
  <c r="AB1453" i="23"/>
  <c r="AC1453" i="23" s="1"/>
  <c r="O1453" i="23"/>
  <c r="AB1397" i="23"/>
  <c r="AC1397" i="23"/>
  <c r="O1397" i="23"/>
  <c r="Y1397" i="23" s="1"/>
  <c r="M1397" i="23"/>
  <c r="N1397" i="23"/>
  <c r="AD1340" i="23"/>
  <c r="AB1341" i="23"/>
  <c r="O1341" i="23"/>
  <c r="Y1341" i="23" s="1"/>
  <c r="AC1341" i="23"/>
  <c r="M1341" i="23"/>
  <c r="N1341" i="23"/>
  <c r="AB1285" i="23"/>
  <c r="AC1285" i="23" s="1"/>
  <c r="O1285" i="23"/>
  <c r="Y1285" i="23" s="1"/>
  <c r="M1285" i="23"/>
  <c r="N1285" i="23"/>
  <c r="N1173" i="23"/>
  <c r="M1173" i="23"/>
  <c r="AB1173" i="23"/>
  <c r="O1173" i="23"/>
  <c r="Y1173" i="23" s="1"/>
  <c r="AC1173" i="23"/>
  <c r="N1061" i="23"/>
  <c r="M1061" i="23"/>
  <c r="AB1061" i="23"/>
  <c r="AC1061" i="23"/>
  <c r="O1061" i="23"/>
  <c r="Y1061" i="23" s="1"/>
  <c r="M949" i="23"/>
  <c r="N949" i="23"/>
  <c r="AB949" i="23"/>
  <c r="AC949" i="23" s="1"/>
  <c r="O949" i="23"/>
  <c r="Y949" i="23" s="1"/>
  <c r="N725" i="23"/>
  <c r="M725" i="23"/>
  <c r="AB725" i="23"/>
  <c r="AC725" i="23" s="1"/>
  <c r="O725" i="23"/>
  <c r="Y725" i="23" s="1"/>
  <c r="M557" i="23"/>
  <c r="N557" i="23"/>
  <c r="AB557" i="23"/>
  <c r="AC557" i="23" s="1"/>
  <c r="O557" i="23"/>
  <c r="Y557" i="23" s="1"/>
  <c r="M333" i="23"/>
  <c r="N333" i="23"/>
  <c r="AB333" i="23"/>
  <c r="AC333" i="23" s="1"/>
  <c r="O333" i="23"/>
  <c r="Y333" i="23" s="1"/>
  <c r="M3778" i="22"/>
  <c r="N3778" i="22"/>
  <c r="BN72" i="22"/>
  <c r="BN68" i="22"/>
  <c r="N3562" i="22"/>
  <c r="M3562" i="22"/>
  <c r="BN65" i="22"/>
  <c r="M3400" i="22"/>
  <c r="N3400" i="22"/>
  <c r="M3292" i="22"/>
  <c r="N3292" i="22"/>
  <c r="BN63" i="22"/>
  <c r="M3076" i="22"/>
  <c r="N3076" i="22"/>
  <c r="BN59" i="22"/>
  <c r="M2968" i="22"/>
  <c r="N2968" i="22"/>
  <c r="BN57" i="22"/>
  <c r="M2644" i="22"/>
  <c r="N2644" i="22"/>
  <c r="M2590" i="22"/>
  <c r="N2590" i="22"/>
  <c r="BN50" i="22"/>
  <c r="M2536" i="22"/>
  <c r="N2536" i="22"/>
  <c r="M2158" i="22"/>
  <c r="N2158" i="22"/>
  <c r="BN42" i="22"/>
  <c r="M1888" i="22"/>
  <c r="N1888" i="22"/>
  <c r="M1834" i="22"/>
  <c r="N1834" i="22"/>
  <c r="BN36" i="22"/>
  <c r="M1780" i="22"/>
  <c r="N1780" i="22"/>
  <c r="BN35" i="22"/>
  <c r="BN29" i="22"/>
  <c r="M1456" i="22"/>
  <c r="N1456" i="22"/>
  <c r="BN28" i="22"/>
  <c r="M1402" i="22"/>
  <c r="N1402" i="22"/>
  <c r="M1348" i="22"/>
  <c r="N1348" i="22"/>
  <c r="M1132" i="22"/>
  <c r="N1132" i="22"/>
  <c r="BN23" i="22"/>
  <c r="E91" i="7"/>
  <c r="M1078" i="22"/>
  <c r="N1078" i="22"/>
  <c r="BN22" i="22"/>
  <c r="E90" i="7"/>
  <c r="BN21" i="22"/>
  <c r="E89" i="7"/>
  <c r="M1024" i="22"/>
  <c r="N1024" i="22"/>
  <c r="M700" i="22"/>
  <c r="N700" i="22"/>
  <c r="BN15" i="22"/>
  <c r="E83" i="7"/>
  <c r="BN14" i="22"/>
  <c r="E82" i="7"/>
  <c r="M646" i="22"/>
  <c r="N646" i="22"/>
  <c r="X1509" i="23"/>
  <c r="W1509" i="23"/>
  <c r="F1510" i="23"/>
  <c r="K1510" i="23"/>
  <c r="W1453" i="23"/>
  <c r="X1453" i="23"/>
  <c r="F1454" i="23"/>
  <c r="K1454" i="23"/>
  <c r="X1397" i="23"/>
  <c r="W1397" i="23"/>
  <c r="X1285" i="23"/>
  <c r="W1285" i="23"/>
  <c r="W1229" i="23"/>
  <c r="X1229" i="23"/>
  <c r="N1229" i="23"/>
  <c r="AD1117" i="23"/>
  <c r="F1062" i="23"/>
  <c r="K1062" i="23"/>
  <c r="W1005" i="23"/>
  <c r="X1005" i="23"/>
  <c r="N1005" i="23"/>
  <c r="K1006" i="23"/>
  <c r="F1006" i="23"/>
  <c r="X949" i="23"/>
  <c r="W949" i="23"/>
  <c r="W893" i="23"/>
  <c r="N893" i="23"/>
  <c r="X893" i="23"/>
  <c r="X837" i="23"/>
  <c r="W837" i="23"/>
  <c r="N837" i="23"/>
  <c r="K726" i="23"/>
  <c r="F726" i="23"/>
  <c r="W725" i="23"/>
  <c r="X725" i="23"/>
  <c r="AD669" i="23"/>
  <c r="X613" i="23"/>
  <c r="W613" i="23"/>
  <c r="N613" i="23"/>
  <c r="W557" i="23"/>
  <c r="X557" i="23"/>
  <c r="N501" i="23"/>
  <c r="X501" i="23"/>
  <c r="W501" i="23"/>
  <c r="F502" i="23"/>
  <c r="K502" i="23"/>
  <c r="AD445" i="23"/>
  <c r="K4757" i="22"/>
  <c r="F4757" i="22"/>
  <c r="G17" i="15"/>
  <c r="N4702" i="22"/>
  <c r="K3779" i="22"/>
  <c r="F3779" i="22"/>
  <c r="O3779" i="22" s="1"/>
  <c r="K3725" i="22"/>
  <c r="F3725" i="22"/>
  <c r="O3725" i="22" s="1"/>
  <c r="F3671" i="22"/>
  <c r="O3671" i="22" s="1"/>
  <c r="K3671" i="22"/>
  <c r="F3563" i="22"/>
  <c r="O3563" i="22" s="1"/>
  <c r="K3563" i="22"/>
  <c r="BO67" i="22"/>
  <c r="F3347" i="22"/>
  <c r="O3347" i="22" s="1"/>
  <c r="K3347" i="22"/>
  <c r="F3293" i="22"/>
  <c r="O3293" i="22" s="1"/>
  <c r="K3293" i="22"/>
  <c r="BO61" i="22"/>
  <c r="BO60" i="22"/>
  <c r="BO58" i="22"/>
  <c r="F2969" i="22"/>
  <c r="O2969" i="22" s="1"/>
  <c r="K2969" i="22"/>
  <c r="BO56" i="22"/>
  <c r="K2861" i="22"/>
  <c r="F2861" i="22"/>
  <c r="O2861" i="22" s="1"/>
  <c r="BO54" i="22"/>
  <c r="BO53" i="22"/>
  <c r="BO52" i="22"/>
  <c r="F2591" i="22"/>
  <c r="O2591" i="22" s="1"/>
  <c r="K2591" i="22"/>
  <c r="K2537" i="22"/>
  <c r="F2537" i="22"/>
  <c r="O2537" i="22" s="1"/>
  <c r="BO49" i="22" s="1"/>
  <c r="BO46" i="22"/>
  <c r="K2267" i="22"/>
  <c r="F2267" i="22"/>
  <c r="O2267" i="22" s="1"/>
  <c r="F2213" i="22"/>
  <c r="O2213" i="22" s="1"/>
  <c r="K2213" i="22"/>
  <c r="K2159" i="22"/>
  <c r="F2159" i="22"/>
  <c r="O2159" i="22" s="1"/>
  <c r="BO40" i="22"/>
  <c r="BO39" i="22"/>
  <c r="BO38" i="22"/>
  <c r="K1835" i="22"/>
  <c r="F1835" i="22"/>
  <c r="O1835" i="22" s="1"/>
  <c r="K1781" i="22"/>
  <c r="F1781" i="22"/>
  <c r="O1781" i="22" s="1"/>
  <c r="K1727" i="22"/>
  <c r="F1727" i="22"/>
  <c r="O1727" i="22" s="1"/>
  <c r="BO33" i="22"/>
  <c r="BO32" i="22"/>
  <c r="BO31" i="22"/>
  <c r="BO30" i="22"/>
  <c r="K1457" i="22"/>
  <c r="F1457" i="22"/>
  <c r="O1457" i="22" s="1"/>
  <c r="K1403" i="22"/>
  <c r="F1403" i="22"/>
  <c r="O1403" i="22" s="1"/>
  <c r="K1349" i="22"/>
  <c r="F1349" i="22"/>
  <c r="O1349" i="22" s="1"/>
  <c r="BO27" i="22" s="1"/>
  <c r="BO26" i="22"/>
  <c r="K1025" i="22"/>
  <c r="F1025" i="22"/>
  <c r="O1025" i="22" s="1"/>
  <c r="F971" i="22"/>
  <c r="O971" i="22" s="1"/>
  <c r="K971" i="22"/>
  <c r="K647" i="22"/>
  <c r="F647" i="22"/>
  <c r="O647" i="22" s="1"/>
  <c r="K323" i="22"/>
  <c r="F323" i="22"/>
  <c r="O323" i="22" s="1"/>
  <c r="K269" i="22"/>
  <c r="F269" i="22"/>
  <c r="O269" i="22" s="1"/>
  <c r="K107" i="22"/>
  <c r="F107" i="22"/>
  <c r="O107" i="22" s="1"/>
  <c r="BN51" i="22"/>
  <c r="BN49" i="22"/>
  <c r="BN37" i="22"/>
  <c r="BN27" i="22"/>
  <c r="E96" i="7" s="1"/>
  <c r="D127" i="7" l="1"/>
  <c r="D65" i="7"/>
  <c r="E103" i="7"/>
  <c r="E41" i="7"/>
  <c r="U106" i="22"/>
  <c r="AP4" i="22"/>
  <c r="E127" i="7" s="1"/>
  <c r="BB4" i="22"/>
  <c r="E65" i="7" s="1"/>
  <c r="K1623" i="23"/>
  <c r="F1623" i="23"/>
  <c r="K1231" i="23"/>
  <c r="F1231" i="23"/>
  <c r="K447" i="23"/>
  <c r="F447" i="23"/>
  <c r="K335" i="23"/>
  <c r="F335" i="23"/>
  <c r="AC335" i="23" s="1"/>
  <c r="K3726" i="22"/>
  <c r="F3726" i="22"/>
  <c r="O3726" i="22" s="1"/>
  <c r="BP71" i="22" s="1"/>
  <c r="K3618" i="22"/>
  <c r="M3618" i="22" s="1"/>
  <c r="F3618" i="22"/>
  <c r="O3618" i="22" s="1"/>
  <c r="BP69" i="22" s="1"/>
  <c r="K3456" i="22"/>
  <c r="F3456" i="22"/>
  <c r="O3456" i="22" s="1"/>
  <c r="BP66" i="22" s="1"/>
  <c r="K3078" i="22"/>
  <c r="F3078" i="22"/>
  <c r="O3078" i="22" s="1"/>
  <c r="BP59" i="22" s="1"/>
  <c r="K2484" i="22"/>
  <c r="F2484" i="22"/>
  <c r="O2484" i="22" s="1"/>
  <c r="K2214" i="22"/>
  <c r="F2214" i="22"/>
  <c r="O2214" i="22" s="1"/>
  <c r="BP43" i="22" s="1"/>
  <c r="K2160" i="22"/>
  <c r="F2160" i="22"/>
  <c r="O2160" i="22" s="1"/>
  <c r="BP42" i="22" s="1"/>
  <c r="K1890" i="22"/>
  <c r="F1890" i="22"/>
  <c r="O1890" i="22" s="1"/>
  <c r="BP37" i="22" s="1"/>
  <c r="K972" i="22"/>
  <c r="F972" i="22"/>
  <c r="O972" i="22" s="1"/>
  <c r="K702" i="22"/>
  <c r="F702" i="22"/>
  <c r="O702" i="22" s="1"/>
  <c r="K486" i="22"/>
  <c r="F486" i="22"/>
  <c r="O486" i="22" s="1"/>
  <c r="K216" i="22"/>
  <c r="F216" i="22"/>
  <c r="O216"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E1512" i="23"/>
  <c r="G1512" i="23"/>
  <c r="B1513" i="23"/>
  <c r="L1456" i="23"/>
  <c r="I1456" i="23"/>
  <c r="C1456" i="23"/>
  <c r="E1456" i="23"/>
  <c r="G1456" i="23"/>
  <c r="B1457" i="23"/>
  <c r="J1455" i="23"/>
  <c r="D1455" i="23"/>
  <c r="P1455" i="23"/>
  <c r="Q1455" i="23"/>
  <c r="R1455" i="23"/>
  <c r="AF1455" i="23"/>
  <c r="P1399" i="23"/>
  <c r="Q1399" i="23"/>
  <c r="R1399" i="23"/>
  <c r="AF1399" i="23"/>
  <c r="L1400" i="23"/>
  <c r="I1400" i="23"/>
  <c r="G1400" i="23"/>
  <c r="C1400" i="23"/>
  <c r="E1400" i="23"/>
  <c r="B1401" i="23"/>
  <c r="J1399" i="23"/>
  <c r="D1399" i="23"/>
  <c r="P1343" i="23"/>
  <c r="Q1343" i="23"/>
  <c r="R1343" i="23"/>
  <c r="AF1343" i="23"/>
  <c r="J1343" i="23"/>
  <c r="D1343" i="23"/>
  <c r="L1344" i="23"/>
  <c r="I1344" i="23"/>
  <c r="C1344" i="23"/>
  <c r="K1344" i="23" s="1"/>
  <c r="E1344" i="23"/>
  <c r="F1344" i="23"/>
  <c r="G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s="1"/>
  <c r="P1231" i="23"/>
  <c r="Q1231" i="23"/>
  <c r="R1231" i="23"/>
  <c r="AF1231" i="23"/>
  <c r="L1232" i="23"/>
  <c r="I1232" i="23"/>
  <c r="C1232" i="23"/>
  <c r="K1232" i="23" s="1"/>
  <c r="E1232" i="23"/>
  <c r="F1232" i="23"/>
  <c r="G1232" i="23"/>
  <c r="B1233" i="23"/>
  <c r="M1175" i="23"/>
  <c r="P1175" i="23"/>
  <c r="Q1175" i="23"/>
  <c r="R1175" i="23"/>
  <c r="AF1175" i="23"/>
  <c r="L1176" i="23"/>
  <c r="I1176" i="23"/>
  <c r="G1176" i="23"/>
  <c r="B1177" i="23"/>
  <c r="C1176" i="23"/>
  <c r="E1176" i="23"/>
  <c r="J1175" i="23"/>
  <c r="N1175" i="23" s="1"/>
  <c r="D1175" i="23"/>
  <c r="O1175" i="23"/>
  <c r="Y1175" i="23" s="1"/>
  <c r="AB1175" i="23"/>
  <c r="AC1175" i="23" s="1"/>
  <c r="M1119" i="23"/>
  <c r="J1119" i="23"/>
  <c r="N1119" i="23" s="1"/>
  <c r="W1119" i="23" s="1"/>
  <c r="D1119" i="23"/>
  <c r="AB1119" i="23"/>
  <c r="O1119" i="23"/>
  <c r="Y1119" i="23" s="1"/>
  <c r="AC1119" i="23"/>
  <c r="P1119" i="23"/>
  <c r="Q1119" i="23"/>
  <c r="R1119" i="23"/>
  <c r="AF1119" i="23"/>
  <c r="X1119" i="23"/>
  <c r="L1120" i="23"/>
  <c r="I1120" i="23"/>
  <c r="C1120" i="23"/>
  <c r="K1120" i="23" s="1"/>
  <c r="E1120" i="23"/>
  <c r="F1120" i="23"/>
  <c r="G1120" i="23"/>
  <c r="B1121" i="23"/>
  <c r="M1063" i="23"/>
  <c r="L1064" i="23"/>
  <c r="I1064" i="23"/>
  <c r="G1064" i="23"/>
  <c r="C1064" i="23"/>
  <c r="E1064" i="23"/>
  <c r="B1065" i="23"/>
  <c r="J1063" i="23"/>
  <c r="N1063" i="23" s="1"/>
  <c r="D1063" i="23"/>
  <c r="AB1063" i="23"/>
  <c r="O1063" i="23"/>
  <c r="Y1063" i="23" s="1"/>
  <c r="AC1063" i="23"/>
  <c r="P1063" i="23"/>
  <c r="Q1063" i="23"/>
  <c r="R1063" i="23"/>
  <c r="AF1063" i="23"/>
  <c r="J1007" i="23"/>
  <c r="D1007" i="23"/>
  <c r="P1007" i="23"/>
  <c r="Q1007" i="23"/>
  <c r="R1007" i="23"/>
  <c r="AF1007" i="23"/>
  <c r="L1008" i="23"/>
  <c r="I1008" i="23"/>
  <c r="C1008" i="23"/>
  <c r="K1008" i="23" s="1"/>
  <c r="E1008" i="23"/>
  <c r="F1008" i="23"/>
  <c r="G1008" i="23"/>
  <c r="B1009" i="23"/>
  <c r="J951" i="23"/>
  <c r="D951" i="23"/>
  <c r="P951" i="23"/>
  <c r="Q951" i="23"/>
  <c r="R951" i="23"/>
  <c r="AF951" i="23"/>
  <c r="L952" i="23"/>
  <c r="I952" i="23"/>
  <c r="C952" i="23"/>
  <c r="K952" i="23" s="1"/>
  <c r="E952" i="23"/>
  <c r="F952" i="23"/>
  <c r="G952" i="23"/>
  <c r="B953" i="23"/>
  <c r="J895" i="23"/>
  <c r="D895" i="23"/>
  <c r="P895" i="23"/>
  <c r="Q895" i="23"/>
  <c r="R895" i="23"/>
  <c r="AF895" i="23"/>
  <c r="L896" i="23"/>
  <c r="I896" i="23"/>
  <c r="C896" i="23"/>
  <c r="E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M727" i="23"/>
  <c r="P727" i="23"/>
  <c r="Q727" i="23"/>
  <c r="R727" i="23"/>
  <c r="AF727" i="23"/>
  <c r="L728" i="23"/>
  <c r="I728" i="23"/>
  <c r="G728" i="23"/>
  <c r="C728" i="23"/>
  <c r="K728" i="23" s="1"/>
  <c r="E728" i="23"/>
  <c r="B729" i="23"/>
  <c r="F728" i="23"/>
  <c r="J727" i="23"/>
  <c r="N727" i="23" s="1"/>
  <c r="D727" i="23"/>
  <c r="O727" i="23"/>
  <c r="Y727" i="23" s="1"/>
  <c r="AB727" i="23"/>
  <c r="AC727" i="23" s="1"/>
  <c r="M671" i="23"/>
  <c r="J671" i="23"/>
  <c r="N671" i="23" s="1"/>
  <c r="W671" i="23" s="1"/>
  <c r="D671" i="23"/>
  <c r="O671" i="23"/>
  <c r="Y671" i="23" s="1"/>
  <c r="AB671" i="23"/>
  <c r="AC671" i="23"/>
  <c r="P671" i="23"/>
  <c r="Q671" i="23"/>
  <c r="R671" i="23"/>
  <c r="X671" i="23"/>
  <c r="AF671" i="23"/>
  <c r="L672" i="23"/>
  <c r="I672" i="23"/>
  <c r="C672" i="23"/>
  <c r="K672" i="23" s="1"/>
  <c r="E672" i="23"/>
  <c r="F672" i="23"/>
  <c r="G672" i="23"/>
  <c r="B673" i="23"/>
  <c r="J615" i="23"/>
  <c r="D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E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E280" i="23"/>
  <c r="G280" i="23"/>
  <c r="B281" i="23"/>
  <c r="D4758" i="22"/>
  <c r="J4758" i="22"/>
  <c r="P4758" i="22"/>
  <c r="Q4758" i="22"/>
  <c r="R4758" i="22"/>
  <c r="E4759" i="22"/>
  <c r="G4759" i="22"/>
  <c r="I4759" i="22"/>
  <c r="C4759" i="22"/>
  <c r="L4759" i="22"/>
  <c r="B4760" i="22"/>
  <c r="T4702" i="22"/>
  <c r="D33" i="15" s="1"/>
  <c r="U4703" i="22"/>
  <c r="S4703" i="22"/>
  <c r="T4703" i="22" s="1"/>
  <c r="D34" i="15" s="1"/>
  <c r="M4704" i="22"/>
  <c r="D4704" i="22"/>
  <c r="J4704" i="22"/>
  <c r="N4704" i="22" s="1"/>
  <c r="P4704" i="22"/>
  <c r="Q4704" i="22"/>
  <c r="R4704" i="22"/>
  <c r="L4705" i="22"/>
  <c r="C4705" i="22"/>
  <c r="E4705" i="22"/>
  <c r="G4705" i="22"/>
  <c r="I4705" i="22"/>
  <c r="B4706" i="22"/>
  <c r="P4650" i="22"/>
  <c r="Q4650" i="22"/>
  <c r="R4650" i="22"/>
  <c r="C4651" i="22"/>
  <c r="D4651" i="22" s="1"/>
  <c r="E4651" i="22"/>
  <c r="F4651" i="22"/>
  <c r="O4651" i="22" s="1"/>
  <c r="G4651" i="22"/>
  <c r="B4652" i="22"/>
  <c r="J4596" i="22"/>
  <c r="D4596" i="22"/>
  <c r="P4596" i="22"/>
  <c r="Q4596" i="22"/>
  <c r="R4596" i="22"/>
  <c r="I4597" i="22"/>
  <c r="L4597" i="22"/>
  <c r="C4597" i="22"/>
  <c r="E4597" i="22"/>
  <c r="G4597" i="22"/>
  <c r="B4598" i="22"/>
  <c r="D4542" i="22"/>
  <c r="J4542" i="22"/>
  <c r="P4542" i="22"/>
  <c r="Q4542" i="22"/>
  <c r="R4542" i="22"/>
  <c r="L4543" i="22"/>
  <c r="C4543" i="22"/>
  <c r="K4543" i="22" s="1"/>
  <c r="E4543" i="22"/>
  <c r="F4543" i="22"/>
  <c r="G4543" i="22"/>
  <c r="I4543" i="22"/>
  <c r="B4544" i="22"/>
  <c r="D4242" i="22"/>
  <c r="J4242" i="22"/>
  <c r="P4242" i="22"/>
  <c r="Q4242" i="22"/>
  <c r="R4242" i="22"/>
  <c r="M4242" i="22"/>
  <c r="N4242" i="22"/>
  <c r="U4242" i="22" s="1"/>
  <c r="C4243" i="22"/>
  <c r="E4243" i="22"/>
  <c r="F4243" i="22"/>
  <c r="O4243" i="22" s="1"/>
  <c r="G4243" i="22"/>
  <c r="I4243" i="22"/>
  <c r="K4243" i="22"/>
  <c r="L4243" i="22"/>
  <c r="B4244" i="22"/>
  <c r="M4188" i="22"/>
  <c r="D4188" i="22"/>
  <c r="J4188" i="22"/>
  <c r="N4188" i="22" s="1"/>
  <c r="U4188" i="22" s="1"/>
  <c r="P4188" i="22"/>
  <c r="Q4188" i="22"/>
  <c r="R4188" i="22"/>
  <c r="L4189" i="22"/>
  <c r="C4189" i="22"/>
  <c r="K4189" i="22" s="1"/>
  <c r="E4189" i="22"/>
  <c r="F4189" i="22"/>
  <c r="O4189" i="22" s="1"/>
  <c r="G4189" i="22"/>
  <c r="I4189" i="22"/>
  <c r="B4190" i="22"/>
  <c r="D4134" i="22"/>
  <c r="J4134" i="22"/>
  <c r="N4134" i="22" s="1"/>
  <c r="U4134" i="22" s="1"/>
  <c r="P4134" i="22"/>
  <c r="Q4134" i="22"/>
  <c r="R4134" i="22"/>
  <c r="M4134" i="22"/>
  <c r="C4135" i="22"/>
  <c r="F4135" i="22" s="1"/>
  <c r="O4135" i="22" s="1"/>
  <c r="E4135" i="22"/>
  <c r="G4135" i="22"/>
  <c r="I4135" i="22"/>
  <c r="K4135" i="22"/>
  <c r="L4135" i="22"/>
  <c r="B4136" i="22"/>
  <c r="D4080" i="22"/>
  <c r="J4080" i="22"/>
  <c r="N4080" i="22" s="1"/>
  <c r="U4080" i="22" s="1"/>
  <c r="P4080" i="22"/>
  <c r="Q4080" i="22"/>
  <c r="R4080" i="22"/>
  <c r="M4080" i="22"/>
  <c r="C4081" i="22"/>
  <c r="E4081" i="22"/>
  <c r="F4081" i="22"/>
  <c r="O4081" i="22" s="1"/>
  <c r="G4081" i="22"/>
  <c r="I4081" i="22"/>
  <c r="K4081" i="22"/>
  <c r="L4081" i="22"/>
  <c r="B4082" i="22"/>
  <c r="D3780" i="22"/>
  <c r="J3780" i="22"/>
  <c r="P3780" i="22"/>
  <c r="Q3780" i="22"/>
  <c r="R3780" i="22"/>
  <c r="L3781" i="22"/>
  <c r="C3781" i="22"/>
  <c r="K3781" i="22" s="1"/>
  <c r="E3781" i="22"/>
  <c r="F3781" i="22"/>
  <c r="O3781" i="22" s="1"/>
  <c r="G3781" i="22"/>
  <c r="I3781" i="22"/>
  <c r="B3782" i="22"/>
  <c r="M3726" i="22"/>
  <c r="D3726" i="22"/>
  <c r="J3726" i="22"/>
  <c r="N3726" i="22" s="1"/>
  <c r="P3726" i="22"/>
  <c r="Q3726" i="22"/>
  <c r="R3726" i="22"/>
  <c r="L3727" i="22"/>
  <c r="C3727" i="22"/>
  <c r="K3727" i="22" s="1"/>
  <c r="E3727" i="22"/>
  <c r="F3727" i="22"/>
  <c r="O3727" i="22" s="1"/>
  <c r="G3727" i="22"/>
  <c r="I3727" i="22"/>
  <c r="B3728" i="22"/>
  <c r="D3672" i="22"/>
  <c r="J3672" i="22"/>
  <c r="P3672" i="22"/>
  <c r="Q3672" i="22"/>
  <c r="R3672" i="22"/>
  <c r="L3673" i="22"/>
  <c r="C3673" i="22"/>
  <c r="K3673" i="22" s="1"/>
  <c r="E3673" i="22"/>
  <c r="F3673" i="22"/>
  <c r="O3673" i="22" s="1"/>
  <c r="G3673" i="22"/>
  <c r="I3673" i="22"/>
  <c r="B3674" i="22"/>
  <c r="U3617" i="22"/>
  <c r="AQ69" i="22"/>
  <c r="BC69" i="22"/>
  <c r="D3618" i="22"/>
  <c r="J3618" i="22"/>
  <c r="P3618" i="22"/>
  <c r="Q3618" i="22"/>
  <c r="R3618" i="22"/>
  <c r="L3619" i="22"/>
  <c r="C3619" i="22"/>
  <c r="K3619" i="22" s="1"/>
  <c r="E3619" i="22"/>
  <c r="F3619" i="22"/>
  <c r="O3619" i="22" s="1"/>
  <c r="G3619" i="22"/>
  <c r="I3619" i="22"/>
  <c r="B3620" i="22"/>
  <c r="M3564" i="22"/>
  <c r="L3565" i="22"/>
  <c r="G3565" i="22"/>
  <c r="C3565" i="22"/>
  <c r="E3565" i="22"/>
  <c r="I3565" i="22"/>
  <c r="B3566" i="22"/>
  <c r="J3564" i="22"/>
  <c r="N3564" i="22" s="1"/>
  <c r="D3564" i="22"/>
  <c r="P3564" i="22"/>
  <c r="Q3564" i="22"/>
  <c r="R3564" i="22"/>
  <c r="U3509" i="22"/>
  <c r="AQ67" i="22"/>
  <c r="BC67" i="22"/>
  <c r="M3510" i="22"/>
  <c r="D3510" i="22"/>
  <c r="J3510" i="22"/>
  <c r="N3510" i="22" s="1"/>
  <c r="P3510" i="22"/>
  <c r="Q3510" i="22"/>
  <c r="R3510" i="22"/>
  <c r="L3511" i="22"/>
  <c r="C3511" i="22"/>
  <c r="K3511" i="22" s="1"/>
  <c r="E3511" i="22"/>
  <c r="F3511" i="22"/>
  <c r="O3511" i="22" s="1"/>
  <c r="G3511" i="22"/>
  <c r="I3511" i="22"/>
  <c r="B3512" i="22"/>
  <c r="U3455" i="22"/>
  <c r="AQ66" i="22"/>
  <c r="BC66" i="22"/>
  <c r="M3456" i="22"/>
  <c r="D3456" i="22"/>
  <c r="J3456" i="22"/>
  <c r="N3456" i="22" s="1"/>
  <c r="P3456" i="22"/>
  <c r="Q3456" i="22"/>
  <c r="R3456" i="22"/>
  <c r="L3457" i="22"/>
  <c r="C3457" i="22"/>
  <c r="K3457" i="22" s="1"/>
  <c r="E3457" i="22"/>
  <c r="F3457" i="22"/>
  <c r="O3457" i="22" s="1"/>
  <c r="G3457" i="22"/>
  <c r="I3457" i="22"/>
  <c r="B3458" i="22"/>
  <c r="U3401" i="22"/>
  <c r="AQ65" i="22"/>
  <c r="BC65" i="22"/>
  <c r="M3402" i="22"/>
  <c r="D3402" i="22"/>
  <c r="J3402" i="22"/>
  <c r="N3402" i="22" s="1"/>
  <c r="P3402" i="22"/>
  <c r="Q3402" i="22"/>
  <c r="R3402" i="22"/>
  <c r="L3403" i="22"/>
  <c r="C3403" i="22"/>
  <c r="K3403" i="22" s="1"/>
  <c r="E3403" i="22"/>
  <c r="F3403" i="22"/>
  <c r="O3403" i="22" s="1"/>
  <c r="G3403" i="22"/>
  <c r="I3403" i="22"/>
  <c r="B3404" i="22"/>
  <c r="M3348" i="22"/>
  <c r="D3348" i="22"/>
  <c r="J3348" i="22"/>
  <c r="N3348" i="22" s="1"/>
  <c r="P3348" i="22"/>
  <c r="Q3348" i="22"/>
  <c r="R3348" i="22"/>
  <c r="L3349" i="22"/>
  <c r="C3349" i="22"/>
  <c r="E3349" i="22"/>
  <c r="G3349" i="22"/>
  <c r="I3349" i="22"/>
  <c r="B3350" i="22"/>
  <c r="J3294" i="22"/>
  <c r="D3294" i="22"/>
  <c r="P3294" i="22"/>
  <c r="Q3294" i="22"/>
  <c r="R3294" i="22"/>
  <c r="L3295" i="22"/>
  <c r="C3295" i="22"/>
  <c r="E3295" i="22"/>
  <c r="G3295" i="22"/>
  <c r="I3295" i="22"/>
  <c r="B3296" i="22"/>
  <c r="U3239" i="22"/>
  <c r="AQ62" i="22"/>
  <c r="BC62" i="22"/>
  <c r="P3240" i="22"/>
  <c r="Q3240" i="22"/>
  <c r="R3240" i="22"/>
  <c r="L3241" i="22"/>
  <c r="C3241" i="22"/>
  <c r="K3241" i="22" s="1"/>
  <c r="B3242" i="22"/>
  <c r="I3241" i="22"/>
  <c r="F3241" i="22"/>
  <c r="O3241" i="22" s="1"/>
  <c r="BQ62" i="22" s="1"/>
  <c r="G3241" i="22"/>
  <c r="E3241" i="22"/>
  <c r="J3240" i="22"/>
  <c r="D3240" i="22"/>
  <c r="U3185" i="22"/>
  <c r="AQ61" i="22"/>
  <c r="BC61" i="22"/>
  <c r="M3186" i="22"/>
  <c r="D3186" i="22"/>
  <c r="J3186" i="22"/>
  <c r="N3186" i="22" s="1"/>
  <c r="P3186" i="22"/>
  <c r="Q3186" i="22"/>
  <c r="R3186" i="22"/>
  <c r="L3187" i="22"/>
  <c r="C3187" i="22"/>
  <c r="K3187" i="22" s="1"/>
  <c r="E3187" i="22"/>
  <c r="F3187" i="22"/>
  <c r="O3187" i="22" s="1"/>
  <c r="G3187" i="22"/>
  <c r="I3187" i="22"/>
  <c r="B3188" i="22"/>
  <c r="U3131" i="22"/>
  <c r="AQ60" i="22"/>
  <c r="BC60" i="22"/>
  <c r="M3132" i="22"/>
  <c r="D3132" i="22"/>
  <c r="J3132" i="22"/>
  <c r="N3132" i="22" s="1"/>
  <c r="P3132" i="22"/>
  <c r="Q3132" i="22"/>
  <c r="R3132" i="22"/>
  <c r="L3133" i="22"/>
  <c r="C3133" i="22"/>
  <c r="E3133" i="22"/>
  <c r="G3133" i="22"/>
  <c r="I3133" i="22"/>
  <c r="B3134" i="22"/>
  <c r="U3077" i="22"/>
  <c r="AQ59" i="22"/>
  <c r="BC59" i="22"/>
  <c r="M3078" i="22"/>
  <c r="D3078" i="22"/>
  <c r="J3078" i="22"/>
  <c r="N3078" i="22" s="1"/>
  <c r="P3078" i="22"/>
  <c r="Q3078" i="22"/>
  <c r="R3078" i="22"/>
  <c r="L3079" i="22"/>
  <c r="C3079" i="22"/>
  <c r="E3079" i="22"/>
  <c r="G3079" i="22"/>
  <c r="I3079" i="22"/>
  <c r="B3080" i="22"/>
  <c r="U3023" i="22"/>
  <c r="AQ58" i="22"/>
  <c r="BC58" i="22"/>
  <c r="M3024" i="22"/>
  <c r="D3024" i="22"/>
  <c r="J3024" i="22"/>
  <c r="N3024" i="22" s="1"/>
  <c r="P3024" i="22"/>
  <c r="Q3024" i="22"/>
  <c r="R3024" i="22"/>
  <c r="L3025" i="22"/>
  <c r="C3025" i="22"/>
  <c r="E3025" i="22"/>
  <c r="G3025" i="22"/>
  <c r="I3025" i="22"/>
  <c r="B3026" i="22"/>
  <c r="M2970" i="22"/>
  <c r="D2970" i="22"/>
  <c r="J2970" i="22"/>
  <c r="N2970" i="22" s="1"/>
  <c r="P2970" i="22"/>
  <c r="Q2970" i="22"/>
  <c r="R2970" i="22"/>
  <c r="L2971" i="22"/>
  <c r="C2971" i="22"/>
  <c r="K2971" i="22" s="1"/>
  <c r="E2971" i="22"/>
  <c r="F2971" i="22"/>
  <c r="O2971" i="22" s="1"/>
  <c r="G2971" i="22"/>
  <c r="I2971" i="22"/>
  <c r="B2972" i="22"/>
  <c r="U2915" i="22"/>
  <c r="AQ56" i="22"/>
  <c r="BC56" i="22"/>
  <c r="D2916" i="22"/>
  <c r="J2916" i="22"/>
  <c r="P2916" i="22"/>
  <c r="Q2916" i="22"/>
  <c r="R2916" i="22"/>
  <c r="L2917" i="22"/>
  <c r="C2917" i="22"/>
  <c r="K2917" i="22" s="1"/>
  <c r="E2917" i="22"/>
  <c r="F2917" i="22"/>
  <c r="O2917" i="22" s="1"/>
  <c r="BQ56" i="22" s="1"/>
  <c r="G2917" i="22"/>
  <c r="I2917" i="22"/>
  <c r="B2918" i="22"/>
  <c r="D2862" i="22"/>
  <c r="J2862" i="22"/>
  <c r="P2862" i="22"/>
  <c r="Q2862" i="22"/>
  <c r="R2862" i="22"/>
  <c r="L2863" i="22"/>
  <c r="C2863" i="22"/>
  <c r="K2863" i="22" s="1"/>
  <c r="E2863" i="22"/>
  <c r="F2863" i="22"/>
  <c r="O2863" i="22" s="1"/>
  <c r="BQ55" i="22" s="1"/>
  <c r="G2863" i="22"/>
  <c r="I2863" i="22"/>
  <c r="B2864" i="22"/>
  <c r="S2807" i="22"/>
  <c r="AQ54" i="22"/>
  <c r="BC54" i="22"/>
  <c r="AL1622" i="23"/>
  <c r="U2807" i="22"/>
  <c r="D2808" i="22"/>
  <c r="J2808" i="22"/>
  <c r="P2808" i="22"/>
  <c r="Q2808" i="22"/>
  <c r="R2808" i="22"/>
  <c r="T2808" i="22"/>
  <c r="L2809" i="22"/>
  <c r="C2809" i="22"/>
  <c r="K2809" i="22" s="1"/>
  <c r="E2809" i="22"/>
  <c r="F2809" i="22"/>
  <c r="O2809" i="22" s="1"/>
  <c r="BQ54" i="22" s="1"/>
  <c r="G2809" i="22"/>
  <c r="I2809" i="22"/>
  <c r="B2810" i="22"/>
  <c r="U2753" i="22"/>
  <c r="AQ53" i="22"/>
  <c r="BC53" i="22"/>
  <c r="M2754" i="22"/>
  <c r="D2754" i="22"/>
  <c r="J2754" i="22"/>
  <c r="N2754" i="22" s="1"/>
  <c r="P2754" i="22"/>
  <c r="Q2754" i="22"/>
  <c r="R2754" i="22"/>
  <c r="L2755" i="22"/>
  <c r="C2755" i="22"/>
  <c r="K2755" i="22" s="1"/>
  <c r="E2755" i="22"/>
  <c r="F2755" i="22"/>
  <c r="O2755" i="22" s="1"/>
  <c r="G2755" i="22"/>
  <c r="I2755" i="22"/>
  <c r="B2756" i="22"/>
  <c r="U2699" i="22"/>
  <c r="AQ52" i="22"/>
  <c r="BC52" i="22"/>
  <c r="M2700" i="22"/>
  <c r="D2700" i="22"/>
  <c r="J2700" i="22"/>
  <c r="N2700" i="22" s="1"/>
  <c r="P2700" i="22"/>
  <c r="Q2700" i="22"/>
  <c r="R2700" i="22"/>
  <c r="L2701" i="22"/>
  <c r="C2701" i="22"/>
  <c r="K2701" i="22" s="1"/>
  <c r="E2701" i="22"/>
  <c r="F2701" i="22"/>
  <c r="O2701" i="22" s="1"/>
  <c r="G2701" i="22"/>
  <c r="I2701" i="22"/>
  <c r="B2702" i="22"/>
  <c r="U2645" i="22"/>
  <c r="AQ51" i="22"/>
  <c r="BC51" i="22"/>
  <c r="M2646" i="22"/>
  <c r="L2647" i="22"/>
  <c r="I2647" i="22"/>
  <c r="B2648" i="22"/>
  <c r="C2647" i="22"/>
  <c r="E2647" i="22"/>
  <c r="G2647" i="22"/>
  <c r="D2646" i="22"/>
  <c r="J2646" i="22"/>
  <c r="N2646" i="22" s="1"/>
  <c r="P2646" i="22"/>
  <c r="Q2646" i="22"/>
  <c r="R2646" i="22"/>
  <c r="M2592" i="22"/>
  <c r="D2592" i="22"/>
  <c r="J2592" i="22"/>
  <c r="N2592" i="22" s="1"/>
  <c r="P2592" i="22"/>
  <c r="Q2592" i="22"/>
  <c r="R2592" i="22"/>
  <c r="L2593" i="22"/>
  <c r="C2593" i="22"/>
  <c r="E2593" i="22"/>
  <c r="G2593" i="22"/>
  <c r="I2593" i="22"/>
  <c r="B2594" i="22"/>
  <c r="D2538" i="22"/>
  <c r="M2538" i="22" s="1"/>
  <c r="J2538" i="22"/>
  <c r="P2538" i="22"/>
  <c r="Q2538" i="22"/>
  <c r="R2538" i="22"/>
  <c r="L2539" i="22"/>
  <c r="C2539" i="22"/>
  <c r="E2539" i="22"/>
  <c r="G2539" i="22"/>
  <c r="I2539" i="22"/>
  <c r="B2540" i="22"/>
  <c r="U2483" i="22"/>
  <c r="AQ48" i="22"/>
  <c r="BC48" i="22"/>
  <c r="M2484" i="22"/>
  <c r="D2484" i="22"/>
  <c r="J2484" i="22"/>
  <c r="N2484" i="22" s="1"/>
  <c r="BP48" i="22"/>
  <c r="P2484" i="22"/>
  <c r="Q2484" i="22"/>
  <c r="R2484" i="22"/>
  <c r="L2485" i="22"/>
  <c r="C2485" i="22"/>
  <c r="K2485" i="22" s="1"/>
  <c r="E2485" i="22"/>
  <c r="F2485" i="22"/>
  <c r="O2485" i="22" s="1"/>
  <c r="BQ48" i="22" s="1"/>
  <c r="G2485" i="22"/>
  <c r="I2485" i="22"/>
  <c r="B2486" i="22"/>
  <c r="U2429" i="22"/>
  <c r="AQ47" i="22"/>
  <c r="BC47" i="22"/>
  <c r="D2430" i="22"/>
  <c r="J2430" i="22"/>
  <c r="P2430" i="22"/>
  <c r="Q2430" i="22"/>
  <c r="R2430" i="22"/>
  <c r="L2431" i="22"/>
  <c r="C2431" i="22"/>
  <c r="K2431" i="22" s="1"/>
  <c r="E2431" i="22"/>
  <c r="F2431" i="22"/>
  <c r="O2431" i="22" s="1"/>
  <c r="BQ47" i="22" s="1"/>
  <c r="G2431" i="22"/>
  <c r="I2431" i="22"/>
  <c r="B2432" i="22"/>
  <c r="U2375" i="22"/>
  <c r="AQ46" i="22"/>
  <c r="BC46" i="22"/>
  <c r="M2376" i="22"/>
  <c r="D2376" i="22"/>
  <c r="J2376" i="22"/>
  <c r="N2376" i="22" s="1"/>
  <c r="P2376" i="22"/>
  <c r="Q2376" i="22"/>
  <c r="R2376" i="22"/>
  <c r="L2377" i="22"/>
  <c r="C2377" i="22"/>
  <c r="K2377" i="22" s="1"/>
  <c r="E2377" i="22"/>
  <c r="F2377" i="22"/>
  <c r="O2377" i="22" s="1"/>
  <c r="G2377" i="22"/>
  <c r="I2377" i="22"/>
  <c r="B2378" i="22"/>
  <c r="U2321" i="22"/>
  <c r="AQ45" i="22"/>
  <c r="BC45" i="22"/>
  <c r="M2322" i="22"/>
  <c r="D2322" i="22"/>
  <c r="J2322" i="22"/>
  <c r="N2322" i="22" s="1"/>
  <c r="P2322" i="22"/>
  <c r="Q2322" i="22"/>
  <c r="R2322" i="22"/>
  <c r="L2323" i="22"/>
  <c r="C2323" i="22"/>
  <c r="K2323" i="22" s="1"/>
  <c r="E2323" i="22"/>
  <c r="F2323" i="22"/>
  <c r="O2323" i="22" s="1"/>
  <c r="G2323" i="22"/>
  <c r="I2323" i="22"/>
  <c r="B2324" i="22"/>
  <c r="M2268" i="22"/>
  <c r="D2268" i="22"/>
  <c r="J2268" i="22"/>
  <c r="N2268" i="22" s="1"/>
  <c r="P2268" i="22"/>
  <c r="Q2268" i="22"/>
  <c r="R2268" i="22"/>
  <c r="L2269" i="22"/>
  <c r="C2269" i="22"/>
  <c r="E2269" i="22"/>
  <c r="G2269" i="22"/>
  <c r="I2269" i="22"/>
  <c r="B2270" i="22"/>
  <c r="M2214" i="22"/>
  <c r="D2214" i="22"/>
  <c r="J2214" i="22"/>
  <c r="N2214" i="22" s="1"/>
  <c r="P2214" i="22"/>
  <c r="Q2214" i="22"/>
  <c r="R2214" i="22"/>
  <c r="L2215" i="22"/>
  <c r="C2215" i="22"/>
  <c r="E2215" i="22"/>
  <c r="G2215" i="22"/>
  <c r="I2215" i="22"/>
  <c r="B2216" i="22"/>
  <c r="M2160" i="22"/>
  <c r="D2160" i="22"/>
  <c r="J2160" i="22"/>
  <c r="N2160" i="22" s="1"/>
  <c r="P2160" i="22"/>
  <c r="Q2160" i="22"/>
  <c r="R2160" i="22"/>
  <c r="L2161" i="22"/>
  <c r="C2161" i="22"/>
  <c r="E2161" i="22"/>
  <c r="G2161" i="22"/>
  <c r="I2161" i="22"/>
  <c r="B2162" i="22"/>
  <c r="U2105" i="22"/>
  <c r="AQ41" i="22"/>
  <c r="BC41" i="22"/>
  <c r="M2106" i="22"/>
  <c r="D2106" i="22"/>
  <c r="J2106" i="22"/>
  <c r="N2106" i="22" s="1"/>
  <c r="BP41" i="22"/>
  <c r="P2106" i="22"/>
  <c r="Q2106" i="22"/>
  <c r="R2106" i="22"/>
  <c r="L2107" i="22"/>
  <c r="C2107" i="22"/>
  <c r="K2107" i="22" s="1"/>
  <c r="E2107" i="22"/>
  <c r="F2107" i="22"/>
  <c r="O2107" i="22" s="1"/>
  <c r="G2107" i="22"/>
  <c r="I2107" i="22"/>
  <c r="B2108" i="22"/>
  <c r="U2051" i="22"/>
  <c r="AQ40" i="22"/>
  <c r="BC40" i="22"/>
  <c r="M2052" i="22"/>
  <c r="D2052" i="22"/>
  <c r="J2052" i="22"/>
  <c r="N2052" i="22" s="1"/>
  <c r="P2052" i="22"/>
  <c r="Q2052" i="22"/>
  <c r="R2052" i="22"/>
  <c r="L2053" i="22"/>
  <c r="C2053" i="22"/>
  <c r="K2053" i="22" s="1"/>
  <c r="E2053" i="22"/>
  <c r="F2053" i="22"/>
  <c r="O2053" i="22" s="1"/>
  <c r="G2053" i="22"/>
  <c r="I2053" i="22"/>
  <c r="B2054" i="22"/>
  <c r="U1997" i="22"/>
  <c r="AQ39" i="22"/>
  <c r="BC39" i="22"/>
  <c r="D1998" i="22"/>
  <c r="J1998" i="22"/>
  <c r="P1998" i="22"/>
  <c r="Q1998" i="22"/>
  <c r="R1998" i="22"/>
  <c r="L1999" i="22"/>
  <c r="C1999" i="22"/>
  <c r="K1999" i="22" s="1"/>
  <c r="E1999" i="22"/>
  <c r="F1999" i="22"/>
  <c r="O1999" i="22" s="1"/>
  <c r="BQ39" i="22" s="1"/>
  <c r="G1999" i="22"/>
  <c r="I1999" i="22"/>
  <c r="B2000" i="22"/>
  <c r="U1943" i="22"/>
  <c r="AQ38" i="22"/>
  <c r="BC38" i="22"/>
  <c r="M1944" i="22"/>
  <c r="D1944" i="22"/>
  <c r="J1944" i="22"/>
  <c r="N1944" i="22" s="1"/>
  <c r="P1944" i="22"/>
  <c r="Q1944" i="22"/>
  <c r="R1944" i="22"/>
  <c r="L1945" i="22"/>
  <c r="C1945" i="22"/>
  <c r="K1945" i="22" s="1"/>
  <c r="E1945" i="22"/>
  <c r="F1945" i="22"/>
  <c r="O1945" i="22" s="1"/>
  <c r="G1945" i="22"/>
  <c r="I1945" i="22"/>
  <c r="B1946" i="22"/>
  <c r="U1889" i="22"/>
  <c r="AQ37" i="22"/>
  <c r="BC37" i="22"/>
  <c r="M1890" i="22"/>
  <c r="D1890" i="22"/>
  <c r="J1890" i="22"/>
  <c r="N1890" i="22" s="1"/>
  <c r="P1890" i="22"/>
  <c r="Q1890" i="22"/>
  <c r="R1890" i="22"/>
  <c r="L1891" i="22"/>
  <c r="C1891" i="22"/>
  <c r="E1891" i="22"/>
  <c r="G1891" i="22"/>
  <c r="I1891" i="22"/>
  <c r="B1892" i="22"/>
  <c r="M1836" i="22"/>
  <c r="D1836" i="22"/>
  <c r="J1836" i="22"/>
  <c r="N1836" i="22" s="1"/>
  <c r="P1836" i="22"/>
  <c r="Q1836" i="22"/>
  <c r="R1836" i="22"/>
  <c r="L1837" i="22"/>
  <c r="C1837" i="22"/>
  <c r="E1837" i="22"/>
  <c r="G1837" i="22"/>
  <c r="I1837" i="22"/>
  <c r="B1838" i="22"/>
  <c r="M1782" i="22"/>
  <c r="D1782" i="22"/>
  <c r="J1782" i="22"/>
  <c r="N1782" i="22" s="1"/>
  <c r="P1782" i="22"/>
  <c r="Q1782" i="22"/>
  <c r="R1782" i="22"/>
  <c r="L1783" i="22"/>
  <c r="C1783" i="22"/>
  <c r="K1783" i="22" s="1"/>
  <c r="E1783" i="22"/>
  <c r="F1783" i="22"/>
  <c r="O1783" i="22" s="1"/>
  <c r="G1783" i="22"/>
  <c r="I1783" i="22"/>
  <c r="B1784" i="22"/>
  <c r="M1728" i="22"/>
  <c r="D1728" i="22"/>
  <c r="J1728" i="22"/>
  <c r="N1728" i="22" s="1"/>
  <c r="P1728" i="22"/>
  <c r="Q1728" i="22"/>
  <c r="R1728" i="22"/>
  <c r="L1729" i="22"/>
  <c r="C1729" i="22"/>
  <c r="E1729" i="22"/>
  <c r="G1729" i="22"/>
  <c r="I1729" i="22"/>
  <c r="B1730" i="22"/>
  <c r="U1673" i="22"/>
  <c r="AQ33" i="22"/>
  <c r="BC33" i="22"/>
  <c r="D1674" i="22"/>
  <c r="J1674" i="22"/>
  <c r="P1674" i="22"/>
  <c r="Q1674" i="22"/>
  <c r="R1674" i="22"/>
  <c r="L1675" i="22"/>
  <c r="C1675" i="22"/>
  <c r="K1675" i="22" s="1"/>
  <c r="E1675" i="22"/>
  <c r="F1675" i="22"/>
  <c r="O1675" i="22" s="1"/>
  <c r="BQ33" i="22" s="1"/>
  <c r="G1675" i="22"/>
  <c r="I1675" i="22"/>
  <c r="B1676" i="22"/>
  <c r="U1619" i="22"/>
  <c r="AQ32" i="22"/>
  <c r="BC32" i="22"/>
  <c r="D1620" i="22"/>
  <c r="J1620" i="22"/>
  <c r="P1620" i="22"/>
  <c r="Q1620" i="22"/>
  <c r="R1620" i="22"/>
  <c r="L1621" i="22"/>
  <c r="C1621" i="22"/>
  <c r="K1621" i="22" s="1"/>
  <c r="E1621" i="22"/>
  <c r="F1621" i="22"/>
  <c r="O1621" i="22" s="1"/>
  <c r="BQ32" i="22" s="1"/>
  <c r="G1621" i="22"/>
  <c r="I1621" i="22"/>
  <c r="B1622" i="22"/>
  <c r="U1565" i="22"/>
  <c r="AQ31" i="22"/>
  <c r="BC31" i="22"/>
  <c r="D1566" i="22"/>
  <c r="J1566" i="22"/>
  <c r="P1566" i="22"/>
  <c r="Q1566" i="22"/>
  <c r="R1566" i="22"/>
  <c r="L1567" i="22"/>
  <c r="C1567" i="22"/>
  <c r="K1567" i="22" s="1"/>
  <c r="E1567" i="22"/>
  <c r="F1567" i="22"/>
  <c r="O1567" i="22" s="1"/>
  <c r="BQ31" i="22" s="1"/>
  <c r="G1567" i="22"/>
  <c r="I1567" i="22"/>
  <c r="B1568" i="22"/>
  <c r="U1511" i="22"/>
  <c r="AQ30" i="22"/>
  <c r="BC30" i="22"/>
  <c r="M1512" i="22"/>
  <c r="D1512" i="22"/>
  <c r="J1512" i="22"/>
  <c r="N1512" i="22" s="1"/>
  <c r="P1512" i="22"/>
  <c r="Q1512" i="22"/>
  <c r="R1512" i="22"/>
  <c r="L1513" i="22"/>
  <c r="C1513" i="22"/>
  <c r="K1513" i="22" s="1"/>
  <c r="E1513" i="22"/>
  <c r="F1513" i="22"/>
  <c r="O1513" i="22" s="1"/>
  <c r="G1513" i="22"/>
  <c r="I1513" i="22"/>
  <c r="B1514" i="22"/>
  <c r="D1458" i="22"/>
  <c r="M1458" i="22" s="1"/>
  <c r="J1458" i="22"/>
  <c r="P1458" i="22"/>
  <c r="Q1458" i="22"/>
  <c r="R1458" i="22"/>
  <c r="L1459" i="22"/>
  <c r="C1459" i="22"/>
  <c r="K1459" i="22" s="1"/>
  <c r="E1459" i="22"/>
  <c r="F1459" i="22"/>
  <c r="O1459" i="22" s="1"/>
  <c r="G1459" i="22"/>
  <c r="I1459" i="22"/>
  <c r="B1460" i="22"/>
  <c r="M1404" i="22"/>
  <c r="L1405" i="22"/>
  <c r="I1405" i="22"/>
  <c r="C1405" i="22"/>
  <c r="E1405" i="22"/>
  <c r="G1405" i="22"/>
  <c r="B1406" i="22"/>
  <c r="D1404" i="22"/>
  <c r="J1404" i="22"/>
  <c r="N1404" i="22" s="1"/>
  <c r="P1404" i="22"/>
  <c r="Q1404" i="22"/>
  <c r="R1404" i="22"/>
  <c r="M1350" i="22"/>
  <c r="D1350" i="22"/>
  <c r="J1350" i="22"/>
  <c r="N1350" i="22" s="1"/>
  <c r="P1350" i="22"/>
  <c r="Q1350" i="22"/>
  <c r="R1350" i="22"/>
  <c r="L1351" i="22"/>
  <c r="C1351" i="22"/>
  <c r="E1351" i="22"/>
  <c r="G1351" i="22"/>
  <c r="I1351" i="22"/>
  <c r="B1352" i="22"/>
  <c r="U1295" i="22"/>
  <c r="AQ26" i="22"/>
  <c r="BC26" i="22"/>
  <c r="M1296" i="22"/>
  <c r="D1296" i="22"/>
  <c r="J1296" i="22"/>
  <c r="N1296" i="22" s="1"/>
  <c r="P1296" i="22"/>
  <c r="Q1296" i="22"/>
  <c r="R1296" i="22"/>
  <c r="L1297" i="22"/>
  <c r="C1297" i="22"/>
  <c r="E1297" i="22"/>
  <c r="G1297" i="22"/>
  <c r="I1297" i="22"/>
  <c r="B1298" i="22"/>
  <c r="U1241" i="22"/>
  <c r="AQ25" i="22"/>
  <c r="BC25" i="22"/>
  <c r="D1242" i="22"/>
  <c r="J1242" i="22"/>
  <c r="P1242" i="22"/>
  <c r="Q1242" i="22"/>
  <c r="R1242" i="22"/>
  <c r="L1243" i="22"/>
  <c r="C1243" i="22"/>
  <c r="K1243" i="22" s="1"/>
  <c r="E1243" i="22"/>
  <c r="F1243" i="22"/>
  <c r="O1243" i="22" s="1"/>
  <c r="BQ25" i="22" s="1"/>
  <c r="G1243" i="22"/>
  <c r="I1243" i="22"/>
  <c r="B1244" i="22"/>
  <c r="F123" i="7"/>
  <c r="F61"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F122" i="7"/>
  <c r="F60" i="7"/>
  <c r="U1133" i="22"/>
  <c r="AQ23" i="22"/>
  <c r="BC23" i="22"/>
  <c r="M1134" i="22"/>
  <c r="D1134" i="22"/>
  <c r="J1134" i="22"/>
  <c r="N1134" i="22" s="1"/>
  <c r="G91" i="7"/>
  <c r="BP23" i="22"/>
  <c r="P1134" i="22"/>
  <c r="Q1134" i="22"/>
  <c r="R1134" i="22"/>
  <c r="L1135" i="22"/>
  <c r="C1135" i="22"/>
  <c r="K1135" i="22" s="1"/>
  <c r="E1135" i="22"/>
  <c r="F1135" i="22"/>
  <c r="O1135" i="22" s="1"/>
  <c r="G1135" i="22"/>
  <c r="I1135" i="22"/>
  <c r="B1136" i="22"/>
  <c r="F59" i="7"/>
  <c r="F121" i="7"/>
  <c r="U1079" i="22"/>
  <c r="AQ22" i="22"/>
  <c r="BC22" i="22"/>
  <c r="M1080" i="22"/>
  <c r="D1080" i="22"/>
  <c r="J1080" i="22"/>
  <c r="N1080" i="22" s="1"/>
  <c r="G90" i="7"/>
  <c r="BP22" i="22"/>
  <c r="P1080" i="22"/>
  <c r="Q1080" i="22"/>
  <c r="R1080" i="22"/>
  <c r="L1081" i="22"/>
  <c r="C1081" i="22"/>
  <c r="K1081" i="22" s="1"/>
  <c r="E1081" i="22"/>
  <c r="F1081" i="22"/>
  <c r="O1081" i="22" s="1"/>
  <c r="G1081" i="22"/>
  <c r="I1081" i="22"/>
  <c r="B1082" i="22"/>
  <c r="M1026" i="22"/>
  <c r="D1026" i="22"/>
  <c r="J1026" i="22"/>
  <c r="N1026" i="22" s="1"/>
  <c r="G89" i="7"/>
  <c r="BP21" i="22"/>
  <c r="P1026" i="22"/>
  <c r="Q1026" i="22"/>
  <c r="R1026" i="22"/>
  <c r="L1027" i="22"/>
  <c r="C1027" i="22"/>
  <c r="K1027" i="22" s="1"/>
  <c r="E1027" i="22"/>
  <c r="F1027" i="22"/>
  <c r="O1027" i="22" s="1"/>
  <c r="G1027" i="22"/>
  <c r="I1027" i="22"/>
  <c r="B1028" i="22"/>
  <c r="M972" i="22"/>
  <c r="D972" i="22"/>
  <c r="J972" i="22"/>
  <c r="N972" i="22" s="1"/>
  <c r="P972" i="22"/>
  <c r="Q972" i="22"/>
  <c r="R972" i="22"/>
  <c r="L973" i="22"/>
  <c r="C973" i="22"/>
  <c r="E973" i="22"/>
  <c r="G973" i="22"/>
  <c r="I973" i="22"/>
  <c r="B974" i="22"/>
  <c r="F118" i="7"/>
  <c r="F56" i="7"/>
  <c r="U917" i="22"/>
  <c r="AQ19" i="22"/>
  <c r="BC19"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D864" i="22"/>
  <c r="J864" i="22"/>
  <c r="P864" i="22"/>
  <c r="Q864" i="22"/>
  <c r="R864" i="22"/>
  <c r="L865" i="22"/>
  <c r="C865" i="22"/>
  <c r="K865" i="22" s="1"/>
  <c r="E865" i="22"/>
  <c r="F865" i="22"/>
  <c r="O865" i="22" s="1"/>
  <c r="G865" i="22"/>
  <c r="I865" i="22"/>
  <c r="B866" i="22"/>
  <c r="F116" i="7"/>
  <c r="F54" i="7"/>
  <c r="U809" i="22"/>
  <c r="AQ17" i="22"/>
  <c r="BC17" i="22"/>
  <c r="D810" i="22"/>
  <c r="J810" i="22"/>
  <c r="P810" i="22"/>
  <c r="Q810" i="22"/>
  <c r="R810" i="22"/>
  <c r="L811" i="22"/>
  <c r="C811" i="22"/>
  <c r="K811" i="22" s="1"/>
  <c r="E811" i="22"/>
  <c r="F811" i="22"/>
  <c r="O811" i="22" s="1"/>
  <c r="G811" i="22"/>
  <c r="I811" i="22"/>
  <c r="B812" i="22"/>
  <c r="F115" i="7"/>
  <c r="F53" i="7"/>
  <c r="U755" i="22"/>
  <c r="AQ16" i="22"/>
  <c r="BC16" i="22"/>
  <c r="M756" i="22"/>
  <c r="D756" i="22"/>
  <c r="J756" i="22"/>
  <c r="N756" i="22" s="1"/>
  <c r="G84" i="7"/>
  <c r="BP16" i="22"/>
  <c r="P756" i="22"/>
  <c r="Q756" i="22"/>
  <c r="R756" i="22"/>
  <c r="L757" i="22"/>
  <c r="C757" i="22"/>
  <c r="E757" i="22"/>
  <c r="G757" i="22"/>
  <c r="I757" i="22"/>
  <c r="B758" i="22"/>
  <c r="F114" i="7"/>
  <c r="F52" i="7"/>
  <c r="U701" i="22"/>
  <c r="AQ15" i="22"/>
  <c r="BC15" i="22"/>
  <c r="M702" i="22"/>
  <c r="D702" i="22"/>
  <c r="J702" i="22"/>
  <c r="N702" i="22" s="1"/>
  <c r="P702" i="22"/>
  <c r="Q702" i="22"/>
  <c r="R702" i="22"/>
  <c r="L703" i="22"/>
  <c r="C703" i="22"/>
  <c r="K703" i="22" s="1"/>
  <c r="E703" i="22"/>
  <c r="F703" i="22"/>
  <c r="O703" i="22" s="1"/>
  <c r="G703" i="22"/>
  <c r="I703" i="22"/>
  <c r="B70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M594" i="22"/>
  <c r="D594" i="22"/>
  <c r="J594" i="22"/>
  <c r="N594" i="22" s="1"/>
  <c r="G81" i="7"/>
  <c r="BP13" i="22"/>
  <c r="P594" i="22"/>
  <c r="Q594" i="22"/>
  <c r="R594" i="22"/>
  <c r="L595" i="22"/>
  <c r="C595" i="22"/>
  <c r="E595" i="22"/>
  <c r="G595" i="22"/>
  <c r="I595" i="22"/>
  <c r="B596" i="22"/>
  <c r="F111" i="7"/>
  <c r="F49" i="7"/>
  <c r="U539" i="22"/>
  <c r="AQ12" i="22"/>
  <c r="BC12" i="22"/>
  <c r="M540" i="22"/>
  <c r="D540" i="22"/>
  <c r="J540" i="22"/>
  <c r="N540" i="22" s="1"/>
  <c r="G80" i="7"/>
  <c r="BP12" i="22"/>
  <c r="P540" i="22"/>
  <c r="Q540" i="22"/>
  <c r="R540" i="22"/>
  <c r="L541" i="22"/>
  <c r="C541" i="22"/>
  <c r="K541" i="22" s="1"/>
  <c r="E541" i="22"/>
  <c r="F541" i="22"/>
  <c r="O541" i="22" s="1"/>
  <c r="G541" i="22"/>
  <c r="I541" i="22"/>
  <c r="B542" i="22"/>
  <c r="F110" i="7"/>
  <c r="F48" i="7"/>
  <c r="U485" i="22"/>
  <c r="AQ11" i="22"/>
  <c r="BC11" i="22"/>
  <c r="M486" i="22"/>
  <c r="D486" i="22"/>
  <c r="J486" i="22"/>
  <c r="N486" i="22" s="1"/>
  <c r="P486" i="22"/>
  <c r="Q486" i="22"/>
  <c r="R486" i="22"/>
  <c r="L487" i="22"/>
  <c r="C487" i="22"/>
  <c r="K487" i="22" s="1"/>
  <c r="E487" i="22"/>
  <c r="F487" i="22"/>
  <c r="O487" i="22" s="1"/>
  <c r="G487" i="22"/>
  <c r="I487" i="22"/>
  <c r="B488" i="22"/>
  <c r="F109" i="7"/>
  <c r="F47" i="7"/>
  <c r="U431" i="22"/>
  <c r="AQ10" i="22"/>
  <c r="BC10" i="22"/>
  <c r="D432" i="22"/>
  <c r="J432" i="22"/>
  <c r="P432" i="22"/>
  <c r="Q432" i="22"/>
  <c r="R432" i="22"/>
  <c r="L433" i="22"/>
  <c r="C433" i="22"/>
  <c r="K433" i="22" s="1"/>
  <c r="E433" i="22"/>
  <c r="F433" i="22"/>
  <c r="O433" i="22" s="1"/>
  <c r="G433" i="22"/>
  <c r="B434" i="22"/>
  <c r="I433" i="22"/>
  <c r="F108" i="7"/>
  <c r="F46" i="7"/>
  <c r="U377" i="22"/>
  <c r="AQ9" i="22"/>
  <c r="BC9" i="22"/>
  <c r="D378" i="22"/>
  <c r="M378" i="22" s="1"/>
  <c r="J378" i="22"/>
  <c r="G77" i="7"/>
  <c r="BP9" i="22"/>
  <c r="P378" i="22"/>
  <c r="Q378" i="22"/>
  <c r="R378" i="22"/>
  <c r="L379" i="22"/>
  <c r="C379" i="22"/>
  <c r="K379" i="22" s="1"/>
  <c r="E379" i="22"/>
  <c r="F379" i="22"/>
  <c r="O379" i="22" s="1"/>
  <c r="G379" i="22"/>
  <c r="I379" i="22"/>
  <c r="B380" i="22"/>
  <c r="M324" i="22"/>
  <c r="D324" i="22"/>
  <c r="J324" i="22"/>
  <c r="N324" i="22" s="1"/>
  <c r="G76" i="7"/>
  <c r="BP8" i="22"/>
  <c r="P324" i="22"/>
  <c r="Q324" i="22"/>
  <c r="R324" i="22"/>
  <c r="L325" i="22"/>
  <c r="C325" i="22"/>
  <c r="K325" i="22" s="1"/>
  <c r="E325" i="22"/>
  <c r="F325" i="22"/>
  <c r="O325" i="22" s="1"/>
  <c r="G325" i="22"/>
  <c r="I325" i="22"/>
  <c r="B326" i="22"/>
  <c r="M270" i="22"/>
  <c r="D270" i="22"/>
  <c r="J270" i="22"/>
  <c r="N270" i="22" s="1"/>
  <c r="P270" i="22"/>
  <c r="Q270" i="22"/>
  <c r="R270" i="22"/>
  <c r="L271" i="22"/>
  <c r="C271" i="22"/>
  <c r="E271" i="22"/>
  <c r="G271" i="22"/>
  <c r="I271" i="22"/>
  <c r="B272" i="22"/>
  <c r="F105" i="7"/>
  <c r="F43" i="7"/>
  <c r="U215" i="22"/>
  <c r="AQ6" i="22"/>
  <c r="BC6" i="22"/>
  <c r="M216" i="22"/>
  <c r="D216" i="22"/>
  <c r="J216" i="22"/>
  <c r="N216" i="22" s="1"/>
  <c r="P216" i="22"/>
  <c r="Q216" i="22"/>
  <c r="R216" i="22"/>
  <c r="L217" i="22"/>
  <c r="C217" i="22"/>
  <c r="K217" i="22" s="1"/>
  <c r="E217" i="22"/>
  <c r="F217" i="22"/>
  <c r="O217" i="22" s="1"/>
  <c r="G217" i="22"/>
  <c r="I217" i="22"/>
  <c r="B218" i="22"/>
  <c r="F104" i="7"/>
  <c r="F42" i="7"/>
  <c r="U161" i="22"/>
  <c r="AQ5" i="22"/>
  <c r="BC5" i="22"/>
  <c r="P162" i="22"/>
  <c r="Q162" i="22"/>
  <c r="R162" i="22"/>
  <c r="D162" i="22"/>
  <c r="J162" i="22"/>
  <c r="L163" i="22"/>
  <c r="E163" i="22"/>
  <c r="G163" i="22"/>
  <c r="B164" i="22"/>
  <c r="C163" i="22"/>
  <c r="K163" i="22" s="1"/>
  <c r="F163" i="22"/>
  <c r="O163" i="22" s="1"/>
  <c r="I163" i="22"/>
  <c r="J108" i="22"/>
  <c r="D108" i="22"/>
  <c r="L109" i="22"/>
  <c r="E109" i="22"/>
  <c r="I109" i="22"/>
  <c r="B110" i="22"/>
  <c r="C109" i="22"/>
  <c r="K109" i="22" s="1"/>
  <c r="F109" i="22"/>
  <c r="O109" i="22" s="1"/>
  <c r="G109" i="22"/>
  <c r="P108" i="22"/>
  <c r="Q108" i="22"/>
  <c r="R108" i="22"/>
  <c r="G95" i="12"/>
  <c r="C96" i="12"/>
  <c r="U45" i="17"/>
  <c r="M97" i="12"/>
  <c r="O97" i="12"/>
  <c r="N98" i="12"/>
  <c r="O46" i="17"/>
  <c r="E98" i="12"/>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D46" i="17"/>
  <c r="J46" i="17"/>
  <c r="M46" i="17"/>
  <c r="N46" i="17"/>
  <c r="G47" i="17"/>
  <c r="L47" i="17"/>
  <c r="E42" i="10" s="1"/>
  <c r="B48" i="17"/>
  <c r="B47" i="18"/>
  <c r="C47" i="17"/>
  <c r="F47" i="17" s="1"/>
  <c r="C47" i="18" s="1"/>
  <c r="E47" i="18" s="1"/>
  <c r="E47" i="17"/>
  <c r="I47" i="17"/>
  <c r="E39" i="10" s="1"/>
  <c r="K47" i="17"/>
  <c r="E37" i="10"/>
  <c r="BB16" i="17"/>
  <c r="B112" i="12"/>
  <c r="I112" i="12" s="1"/>
  <c r="BA15" i="17"/>
  <c r="AZ17" i="17"/>
  <c r="AZ18" i="17"/>
  <c r="AZ19" i="17"/>
  <c r="AZ20" i="17"/>
  <c r="AZ21" i="17"/>
  <c r="AZ22" i="17"/>
  <c r="AZ23" i="17"/>
  <c r="AZ24" i="17"/>
  <c r="AZ25" i="17"/>
  <c r="AZ26" i="17"/>
  <c r="AZ27" i="17"/>
  <c r="AZ28" i="17"/>
  <c r="AZ29" i="17"/>
  <c r="AZ30" i="17"/>
  <c r="AZ31" i="17"/>
  <c r="AZ39" i="17"/>
  <c r="AZ41" i="17"/>
  <c r="AZ42" i="17"/>
  <c r="AZ43" i="17"/>
  <c r="AZ46" i="17"/>
  <c r="AZ32" i="17"/>
  <c r="AZ33" i="17"/>
  <c r="AZ34" i="17"/>
  <c r="AZ35" i="17"/>
  <c r="AZ36" i="17"/>
  <c r="AZ37" i="17"/>
  <c r="AZ38" i="17"/>
  <c r="AZ40" i="17"/>
  <c r="AZ44" i="17"/>
  <c r="AZ45" i="17"/>
  <c r="AI723" i="23"/>
  <c r="C79" i="8"/>
  <c r="AH724" i="23"/>
  <c r="D49" i="8"/>
  <c r="X1341" i="23"/>
  <c r="W1341" i="23"/>
  <c r="U3778" i="22"/>
  <c r="AP72" i="22"/>
  <c r="BB72" i="22"/>
  <c r="U3562" i="22"/>
  <c r="AP68" i="22"/>
  <c r="BB68" i="22"/>
  <c r="U3400" i="22"/>
  <c r="AP65" i="22"/>
  <c r="BB65" i="22"/>
  <c r="U3292" i="22"/>
  <c r="AP63" i="22"/>
  <c r="BB63" i="22"/>
  <c r="U3076" i="22"/>
  <c r="AP59" i="22"/>
  <c r="BB59" i="22"/>
  <c r="U2968" i="22"/>
  <c r="AP57" i="22"/>
  <c r="BB57" i="22"/>
  <c r="U2644" i="22"/>
  <c r="AP51" i="22"/>
  <c r="BB51" i="22"/>
  <c r="U2590" i="22"/>
  <c r="AP50" i="22"/>
  <c r="BB50" i="22"/>
  <c r="U2536" i="22"/>
  <c r="AP49" i="22"/>
  <c r="BB49" i="22"/>
  <c r="U2158" i="22"/>
  <c r="AP42" i="22"/>
  <c r="BB42" i="22"/>
  <c r="U1888" i="22"/>
  <c r="AP37" i="22"/>
  <c r="BB37" i="22"/>
  <c r="U1834" i="22"/>
  <c r="AP36" i="22"/>
  <c r="BB36" i="22"/>
  <c r="U1780" i="22"/>
  <c r="AP35" i="22"/>
  <c r="BB35" i="22"/>
  <c r="U1456" i="22"/>
  <c r="AP29" i="22"/>
  <c r="BB29" i="22"/>
  <c r="U1402" i="22"/>
  <c r="AP28" i="22"/>
  <c r="BB28" i="22"/>
  <c r="U1348" i="22"/>
  <c r="AP27" i="22"/>
  <c r="BB27" i="22"/>
  <c r="E122" i="7"/>
  <c r="E60" i="7"/>
  <c r="U1132" i="22"/>
  <c r="AP23" i="22"/>
  <c r="BB23" i="22"/>
  <c r="E59" i="7"/>
  <c r="E121" i="7"/>
  <c r="U1078" i="22"/>
  <c r="AP22" i="22"/>
  <c r="BB22" i="22"/>
  <c r="E120" i="7"/>
  <c r="E58" i="7"/>
  <c r="U1024" i="22"/>
  <c r="AP21" i="22"/>
  <c r="BB21" i="22"/>
  <c r="E114" i="7"/>
  <c r="E52" i="7"/>
  <c r="U700" i="22"/>
  <c r="AP15" i="22"/>
  <c r="BB15" i="22"/>
  <c r="E113" i="7"/>
  <c r="E51" i="7"/>
  <c r="U646" i="22"/>
  <c r="AP14" i="22"/>
  <c r="BB14" i="22"/>
  <c r="AB1510" i="23"/>
  <c r="AC1510" i="23" s="1"/>
  <c r="O1510" i="23"/>
  <c r="M1510" i="23"/>
  <c r="N1510" i="23"/>
  <c r="O1454" i="23"/>
  <c r="AB1454" i="23"/>
  <c r="AC1454" i="23" s="1"/>
  <c r="M1454" i="23"/>
  <c r="N1454" i="23"/>
  <c r="O1062" i="23"/>
  <c r="Y1062" i="23" s="1"/>
  <c r="AB1062" i="23"/>
  <c r="AC1062" i="23" s="1"/>
  <c r="N1062" i="23"/>
  <c r="M1062" i="23"/>
  <c r="M1006" i="23"/>
  <c r="N1006" i="23"/>
  <c r="AB1006" i="23"/>
  <c r="AC1006" i="23" s="1"/>
  <c r="O1006" i="23"/>
  <c r="Y1006" i="23" s="1"/>
  <c r="AD893" i="23"/>
  <c r="N726" i="23"/>
  <c r="M726" i="23"/>
  <c r="AB726" i="23"/>
  <c r="AC726" i="23" s="1"/>
  <c r="O726" i="23"/>
  <c r="Y726" i="23" s="1"/>
  <c r="AD725" i="23"/>
  <c r="AG725" i="23"/>
  <c r="AB502" i="23"/>
  <c r="AC502" i="23" s="1"/>
  <c r="O502" i="23"/>
  <c r="Y502" i="23" s="1"/>
  <c r="M502" i="23"/>
  <c r="N502" i="23"/>
  <c r="M4757" i="22"/>
  <c r="N4757" i="22"/>
  <c r="M3779" i="22"/>
  <c r="N3779" i="22"/>
  <c r="M3725" i="22"/>
  <c r="N3725" i="22"/>
  <c r="BO71" i="22"/>
  <c r="BO70" i="22"/>
  <c r="M3671" i="22"/>
  <c r="N3671" i="22"/>
  <c r="M3563" i="22"/>
  <c r="N3563" i="22"/>
  <c r="BO64" i="22"/>
  <c r="M3347" i="22"/>
  <c r="N3347" i="22"/>
  <c r="N3293" i="22"/>
  <c r="M3293" i="22"/>
  <c r="M2969" i="22"/>
  <c r="N2969" i="22"/>
  <c r="M2861" i="22"/>
  <c r="N2861" i="22"/>
  <c r="BO55" i="22"/>
  <c r="M2591" i="22"/>
  <c r="N2591" i="22"/>
  <c r="M2537" i="22"/>
  <c r="N2537" i="22"/>
  <c r="M2267" i="22"/>
  <c r="N2267" i="22"/>
  <c r="BO44" i="22"/>
  <c r="BO43" i="22"/>
  <c r="M2213" i="22"/>
  <c r="N2213" i="22"/>
  <c r="M2159" i="22"/>
  <c r="N2159" i="22"/>
  <c r="M1835" i="22"/>
  <c r="N1835" i="22"/>
  <c r="M1781" i="22"/>
  <c r="N1781" i="22"/>
  <c r="M1727" i="22"/>
  <c r="N1727" i="22"/>
  <c r="BO34" i="22"/>
  <c r="M1457" i="22"/>
  <c r="N1457" i="22"/>
  <c r="M1403" i="22"/>
  <c r="N1403" i="22"/>
  <c r="M1349" i="22"/>
  <c r="N1349" i="22" s="1"/>
  <c r="M1025" i="22"/>
  <c r="N1025" i="22"/>
  <c r="BO21" i="22"/>
  <c r="F89" i="7"/>
  <c r="BO20" i="22"/>
  <c r="F88" i="7"/>
  <c r="M971" i="22"/>
  <c r="N971" i="22"/>
  <c r="M647" i="22"/>
  <c r="N647" i="22"/>
  <c r="BO14" i="22"/>
  <c r="F82" i="7"/>
  <c r="M323" i="22"/>
  <c r="N323" i="22"/>
  <c r="BO8" i="22"/>
  <c r="F76" i="7"/>
  <c r="M269" i="22"/>
  <c r="N269" i="22"/>
  <c r="BO7" i="22"/>
  <c r="M107" i="22"/>
  <c r="N107" i="22"/>
  <c r="BO4" i="22"/>
  <c r="F72" i="7"/>
  <c r="X1622" i="23"/>
  <c r="W1622" i="23"/>
  <c r="X1566" i="23"/>
  <c r="W1566" i="23"/>
  <c r="K1511" i="23"/>
  <c r="F1511" i="23"/>
  <c r="F1455" i="23"/>
  <c r="K1455" i="23"/>
  <c r="K1399" i="23"/>
  <c r="F1399" i="23"/>
  <c r="X1398" i="23"/>
  <c r="W1398" i="23"/>
  <c r="X1342" i="23"/>
  <c r="W1342" i="23"/>
  <c r="F1343" i="23"/>
  <c r="K1343" i="23"/>
  <c r="X1286" i="23"/>
  <c r="W1286" i="23"/>
  <c r="X1230" i="23"/>
  <c r="W1230" i="23"/>
  <c r="W1174" i="23"/>
  <c r="X1174" i="23"/>
  <c r="AD1118" i="23"/>
  <c r="K1007" i="23"/>
  <c r="F1007" i="23"/>
  <c r="X950" i="23"/>
  <c r="W950" i="23"/>
  <c r="F951" i="23"/>
  <c r="K951" i="23"/>
  <c r="X894" i="23"/>
  <c r="W894" i="23"/>
  <c r="F895" i="23"/>
  <c r="K895" i="23"/>
  <c r="X838" i="23"/>
  <c r="W838" i="23"/>
  <c r="X782" i="23"/>
  <c r="W782" i="23"/>
  <c r="AD670" i="23"/>
  <c r="X614" i="23"/>
  <c r="W614" i="23"/>
  <c r="K615" i="23"/>
  <c r="F615" i="23"/>
  <c r="X558" i="23"/>
  <c r="W558" i="23"/>
  <c r="AD446" i="23"/>
  <c r="X390" i="23"/>
  <c r="W390" i="23"/>
  <c r="X334" i="23"/>
  <c r="W334" i="23"/>
  <c r="X278" i="23"/>
  <c r="W278" i="23"/>
  <c r="F4758" i="22"/>
  <c r="K4758" i="22"/>
  <c r="K4596" i="22"/>
  <c r="F4596" i="22"/>
  <c r="K4542" i="22"/>
  <c r="F4542" i="22"/>
  <c r="K3780" i="22"/>
  <c r="F3780" i="22"/>
  <c r="O3780" i="22" s="1"/>
  <c r="BP72" i="22" s="1"/>
  <c r="K3672" i="22"/>
  <c r="F3672" i="22"/>
  <c r="O3672" i="22" s="1"/>
  <c r="BP70" i="22" s="1"/>
  <c r="BP65" i="22"/>
  <c r="F3294" i="22"/>
  <c r="O3294" i="22" s="1"/>
  <c r="BP63" i="22" s="1"/>
  <c r="K3294" i="22"/>
  <c r="K3240" i="22"/>
  <c r="F3240" i="22"/>
  <c r="O3240" i="22" s="1"/>
  <c r="BP61" i="22"/>
  <c r="BP60" i="22"/>
  <c r="BP58" i="22"/>
  <c r="K2916" i="22"/>
  <c r="F2916" i="22"/>
  <c r="O2916" i="22" s="1"/>
  <c r="F2862" i="22"/>
  <c r="O2862" i="22" s="1"/>
  <c r="K2862" i="22"/>
  <c r="K2808" i="22"/>
  <c r="F2808" i="22"/>
  <c r="O2808" i="22" s="1"/>
  <c r="BP53" i="22"/>
  <c r="BP52" i="22"/>
  <c r="BP51" i="22"/>
  <c r="BP49" i="22"/>
  <c r="K2430" i="22"/>
  <c r="F2430" i="22"/>
  <c r="O2430" i="22" s="1"/>
  <c r="BP40" i="22"/>
  <c r="F1998" i="22"/>
  <c r="O1998" i="22" s="1"/>
  <c r="K1998" i="22"/>
  <c r="K1674" i="22"/>
  <c r="F1674" i="22"/>
  <c r="O1674" i="22" s="1"/>
  <c r="K1620" i="22"/>
  <c r="F1620" i="22"/>
  <c r="O1620" i="22" s="1"/>
  <c r="F1566" i="22"/>
  <c r="O1566" i="22" s="1"/>
  <c r="K1566" i="22"/>
  <c r="BP27" i="22"/>
  <c r="BP26" i="22"/>
  <c r="F1242" i="22"/>
  <c r="O1242" i="22" s="1"/>
  <c r="K1242" i="22"/>
  <c r="K864" i="22"/>
  <c r="F864" i="22"/>
  <c r="O864" i="22" s="1"/>
  <c r="F810" i="22"/>
  <c r="O810" i="22" s="1"/>
  <c r="K810" i="22"/>
  <c r="K432" i="22"/>
  <c r="F432" i="22"/>
  <c r="O432" i="22" s="1"/>
  <c r="F162" i="22"/>
  <c r="O162" i="22" s="1"/>
  <c r="K162" i="22"/>
  <c r="F108" i="22"/>
  <c r="O108" i="22" s="1"/>
  <c r="K108" i="22"/>
  <c r="F45" i="18"/>
  <c r="G45" i="18"/>
  <c r="H45" i="18"/>
  <c r="BO72" i="22"/>
  <c r="BO68" i="22"/>
  <c r="BO63" i="22"/>
  <c r="BO57" i="22"/>
  <c r="BO50" i="22"/>
  <c r="BO42" i="22"/>
  <c r="BO36" i="22"/>
  <c r="BO35" i="22"/>
  <c r="BO29" i="22"/>
  <c r="BO28" i="22"/>
  <c r="N3618" i="22" l="1"/>
  <c r="N2538" i="22"/>
  <c r="N1458" i="22"/>
  <c r="N378" i="22"/>
  <c r="G88" i="7"/>
  <c r="BP20" i="22"/>
  <c r="G83" i="7"/>
  <c r="BP15" i="22"/>
  <c r="G79" i="7"/>
  <c r="BP11" i="22"/>
  <c r="G74" i="7"/>
  <c r="BP6" i="22"/>
  <c r="K3133" i="22"/>
  <c r="F3133" i="22"/>
  <c r="O3133" i="22" s="1"/>
  <c r="BQ60" i="22" s="1"/>
  <c r="K757" i="22"/>
  <c r="F757" i="22"/>
  <c r="O757"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J1456" i="23"/>
  <c r="D1456" i="23"/>
  <c r="P1456" i="23"/>
  <c r="Q1456" i="23"/>
  <c r="R1456" i="23"/>
  <c r="AF1456" i="23"/>
  <c r="L1457" i="23"/>
  <c r="I1457" i="23"/>
  <c r="G1457" i="23"/>
  <c r="B1458" i="23"/>
  <c r="C1457" i="23"/>
  <c r="E1457" i="23"/>
  <c r="P1400" i="23"/>
  <c r="Q1400" i="23"/>
  <c r="R1400" i="23"/>
  <c r="AF1400" i="23"/>
  <c r="J1400" i="23"/>
  <c r="D1400" i="23"/>
  <c r="L1401" i="23"/>
  <c r="I1401" i="23"/>
  <c r="B1402" i="23"/>
  <c r="C1401" i="23"/>
  <c r="K1401" i="23" s="1"/>
  <c r="E1401" i="23"/>
  <c r="F1401" i="23"/>
  <c r="G1401" i="23"/>
  <c r="M1344" i="23"/>
  <c r="J1344" i="23"/>
  <c r="N1344" i="23" s="1"/>
  <c r="D1344" i="23"/>
  <c r="O1344" i="23"/>
  <c r="Y1344" i="23" s="1"/>
  <c r="AB1344" i="23"/>
  <c r="AC1344" i="23" s="1"/>
  <c r="P1344" i="23"/>
  <c r="Q1344" i="23"/>
  <c r="R1344" i="23"/>
  <c r="AF1344" i="23"/>
  <c r="L1345" i="23"/>
  <c r="I1345" i="23"/>
  <c r="B1346" i="23"/>
  <c r="C1345" i="23"/>
  <c r="E1345" i="23"/>
  <c r="G1345"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s="1"/>
  <c r="P1232" i="23"/>
  <c r="Q1232" i="23"/>
  <c r="R1232" i="23"/>
  <c r="AF1232" i="23"/>
  <c r="L1233" i="23"/>
  <c r="I1233" i="23"/>
  <c r="C1233" i="23"/>
  <c r="K1233" i="23" s="1"/>
  <c r="E1233" i="23"/>
  <c r="F1233" i="23"/>
  <c r="G1233" i="23"/>
  <c r="B1234" i="23"/>
  <c r="P1176" i="23"/>
  <c r="Q1176" i="23"/>
  <c r="R1176" i="23"/>
  <c r="AF1176" i="23"/>
  <c r="L1177" i="23"/>
  <c r="I1177" i="23"/>
  <c r="G1177" i="23"/>
  <c r="C1177" i="23"/>
  <c r="E1177" i="23"/>
  <c r="B1178" i="23"/>
  <c r="J1176" i="23"/>
  <c r="D1176" i="23"/>
  <c r="M1120" i="23"/>
  <c r="J1120" i="23"/>
  <c r="N1120" i="23" s="1"/>
  <c r="W1120" i="23" s="1"/>
  <c r="D1120" i="23"/>
  <c r="AB1120" i="23"/>
  <c r="O1120" i="23"/>
  <c r="Y1120" i="23" s="1"/>
  <c r="AC1120" i="23"/>
  <c r="P1120" i="23"/>
  <c r="Q1120" i="23"/>
  <c r="R1120" i="23"/>
  <c r="X1120" i="23"/>
  <c r="AF1120" i="23"/>
  <c r="L1121" i="23"/>
  <c r="I1121" i="23"/>
  <c r="C1121" i="23"/>
  <c r="K1121" i="23" s="1"/>
  <c r="E1121" i="23"/>
  <c r="F1121" i="23"/>
  <c r="G1121" i="23"/>
  <c r="B1122" i="23"/>
  <c r="P1064" i="23"/>
  <c r="Q1064" i="23"/>
  <c r="R1064" i="23"/>
  <c r="AF1064" i="23"/>
  <c r="J1064" i="23"/>
  <c r="D1064" i="23"/>
  <c r="L1065" i="23"/>
  <c r="I1065" i="23"/>
  <c r="B1066" i="23"/>
  <c r="C1065" i="23"/>
  <c r="E1065" i="23"/>
  <c r="G1065"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M952" i="23"/>
  <c r="J952" i="23"/>
  <c r="N952" i="23" s="1"/>
  <c r="D952" i="23"/>
  <c r="O952" i="23"/>
  <c r="Y952" i="23" s="1"/>
  <c r="AB952" i="23"/>
  <c r="AC952" i="23"/>
  <c r="P952" i="23"/>
  <c r="Q952" i="23"/>
  <c r="R952" i="23"/>
  <c r="AF952" i="23"/>
  <c r="L953" i="23"/>
  <c r="I953" i="23"/>
  <c r="C953" i="23"/>
  <c r="E953" i="23"/>
  <c r="G953" i="23"/>
  <c r="B954" i="23"/>
  <c r="J896" i="23"/>
  <c r="D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E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P728" i="23"/>
  <c r="Q728" i="23"/>
  <c r="R728" i="23"/>
  <c r="AF728" i="23"/>
  <c r="J728" i="23"/>
  <c r="N728" i="23" s="1"/>
  <c r="D728" i="23"/>
  <c r="L729" i="23"/>
  <c r="I729" i="23"/>
  <c r="C729" i="23"/>
  <c r="G729" i="23"/>
  <c r="B730" i="23"/>
  <c r="E729" i="23"/>
  <c r="AB728" i="23"/>
  <c r="O728" i="23"/>
  <c r="Y728" i="23" s="1"/>
  <c r="AC728" i="23"/>
  <c r="M672" i="23"/>
  <c r="J672" i="23"/>
  <c r="N672" i="23" s="1"/>
  <c r="W672" i="23" s="1"/>
  <c r="D672" i="23"/>
  <c r="O672" i="23"/>
  <c r="Y672" i="23" s="1"/>
  <c r="AB672" i="23"/>
  <c r="AC672" i="23"/>
  <c r="P672" i="23"/>
  <c r="Q672" i="23"/>
  <c r="R672" i="23"/>
  <c r="X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J560" i="23"/>
  <c r="D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E505" i="23"/>
  <c r="G505" i="23"/>
  <c r="B506" i="23"/>
  <c r="M448" i="23"/>
  <c r="J448" i="23"/>
  <c r="N448" i="23" s="1"/>
  <c r="D448" i="23"/>
  <c r="O448" i="23"/>
  <c r="Y448" i="23" s="1"/>
  <c r="AB448" i="23"/>
  <c r="AC448" i="23"/>
  <c r="P448" i="23"/>
  <c r="Q448" i="23"/>
  <c r="R448" i="23"/>
  <c r="AF448" i="23"/>
  <c r="L449" i="23"/>
  <c r="I449" i="23"/>
  <c r="C449" i="23"/>
  <c r="E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J280" i="23"/>
  <c r="D280" i="23"/>
  <c r="P280" i="23"/>
  <c r="Q280" i="23"/>
  <c r="R280" i="23"/>
  <c r="AF280" i="23"/>
  <c r="L281" i="23"/>
  <c r="I281" i="23"/>
  <c r="C281" i="23"/>
  <c r="K281" i="23" s="1"/>
  <c r="E281" i="23"/>
  <c r="F281" i="23"/>
  <c r="G281" i="23"/>
  <c r="B282" i="23"/>
  <c r="P4759" i="22"/>
  <c r="Q4759" i="22"/>
  <c r="R4759" i="22"/>
  <c r="J4759" i="22"/>
  <c r="D4759" i="22"/>
  <c r="I4760" i="22"/>
  <c r="B4761" i="22"/>
  <c r="C4760" i="22"/>
  <c r="K4760" i="22" s="1"/>
  <c r="E4760" i="22"/>
  <c r="F4760" i="22"/>
  <c r="G4760" i="22"/>
  <c r="L4760" i="22"/>
  <c r="U4704" i="22"/>
  <c r="S4704" i="22"/>
  <c r="D4705" i="22"/>
  <c r="J4705" i="22"/>
  <c r="P4705" i="22"/>
  <c r="Q4705" i="22"/>
  <c r="R4705" i="22"/>
  <c r="L4706" i="22"/>
  <c r="C4706" i="22"/>
  <c r="E4706" i="22"/>
  <c r="G4706" i="22"/>
  <c r="I4706" i="22"/>
  <c r="B4707" i="22"/>
  <c r="P4651" i="22"/>
  <c r="Q4651" i="22"/>
  <c r="R4651" i="22"/>
  <c r="C4652" i="22"/>
  <c r="D4652" i="22" s="1"/>
  <c r="E4652" i="22"/>
  <c r="F4652" i="22"/>
  <c r="O4652" i="22" s="1"/>
  <c r="G4652" i="22"/>
  <c r="B4653" i="22"/>
  <c r="J4597" i="22"/>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K4544" i="22" s="1"/>
  <c r="E4544" i="22"/>
  <c r="F4544" i="22"/>
  <c r="G4544" i="22"/>
  <c r="I4544" i="22"/>
  <c r="B4545" i="22"/>
  <c r="D4243" i="22"/>
  <c r="J4243" i="22"/>
  <c r="N4243" i="22" s="1"/>
  <c r="U4243" i="22" s="1"/>
  <c r="P4243" i="22"/>
  <c r="Q4243" i="22"/>
  <c r="R4243" i="22"/>
  <c r="M4243" i="22"/>
  <c r="C4244" i="22"/>
  <c r="F4244" i="22" s="1"/>
  <c r="O4244" i="22" s="1"/>
  <c r="E4244" i="22"/>
  <c r="G4244" i="22"/>
  <c r="I4244" i="22"/>
  <c r="K4244" i="22"/>
  <c r="L4244" i="22"/>
  <c r="B4245" i="22"/>
  <c r="M4189" i="22"/>
  <c r="D4189" i="22"/>
  <c r="J4189" i="22"/>
  <c r="N4189" i="22" s="1"/>
  <c r="U4189" i="22" s="1"/>
  <c r="P4189" i="22"/>
  <c r="Q4189" i="22"/>
  <c r="R4189" i="22"/>
  <c r="L4190" i="22"/>
  <c r="C4190" i="22"/>
  <c r="E4190" i="22"/>
  <c r="G4190" i="22"/>
  <c r="I4190" i="22"/>
  <c r="B4191" i="22"/>
  <c r="D4135" i="22"/>
  <c r="J4135" i="22"/>
  <c r="N4135" i="22" s="1"/>
  <c r="U4135" i="22" s="1"/>
  <c r="P4135" i="22"/>
  <c r="Q4135" i="22"/>
  <c r="R4135" i="22"/>
  <c r="M4135" i="22"/>
  <c r="C4136" i="22"/>
  <c r="F4136" i="22" s="1"/>
  <c r="O4136" i="22" s="1"/>
  <c r="E4136" i="22"/>
  <c r="G4136" i="22"/>
  <c r="I4136" i="22"/>
  <c r="K4136" i="22"/>
  <c r="L4136" i="22"/>
  <c r="B4137" i="22"/>
  <c r="D4081" i="22"/>
  <c r="J4081" i="22"/>
  <c r="N4081" i="22" s="1"/>
  <c r="U4081" i="22" s="1"/>
  <c r="P4081" i="22"/>
  <c r="Q4081" i="22"/>
  <c r="R4081" i="22"/>
  <c r="M4081" i="22"/>
  <c r="C4082" i="22"/>
  <c r="E4082" i="22"/>
  <c r="F4082" i="22"/>
  <c r="O4082" i="22" s="1"/>
  <c r="G4082" i="22"/>
  <c r="I4082" i="22"/>
  <c r="K4082" i="22"/>
  <c r="L4082" i="22"/>
  <c r="B4083" i="22"/>
  <c r="M3781" i="22"/>
  <c r="D3781" i="22"/>
  <c r="J3781" i="22"/>
  <c r="N3781" i="22" s="1"/>
  <c r="P3781" i="22"/>
  <c r="Q3781" i="22"/>
  <c r="R3781" i="22"/>
  <c r="L3782" i="22"/>
  <c r="C3782" i="22"/>
  <c r="K3782" i="22" s="1"/>
  <c r="E3782" i="22"/>
  <c r="F3782" i="22"/>
  <c r="O3782" i="22" s="1"/>
  <c r="G3782" i="22"/>
  <c r="I3782" i="22"/>
  <c r="B3783" i="22"/>
  <c r="U3726" i="22"/>
  <c r="AR71" i="22"/>
  <c r="BD71" i="22"/>
  <c r="M3727" i="22"/>
  <c r="D3727" i="22"/>
  <c r="J3727" i="22"/>
  <c r="N3727" i="22" s="1"/>
  <c r="P3727" i="22"/>
  <c r="Q3727" i="22"/>
  <c r="R3727" i="22"/>
  <c r="L3728" i="22"/>
  <c r="C3728" i="22"/>
  <c r="K3728" i="22" s="1"/>
  <c r="E3728" i="22"/>
  <c r="F3728" i="22"/>
  <c r="O3728" i="22" s="1"/>
  <c r="G3728" i="22"/>
  <c r="I3728" i="22"/>
  <c r="B3729" i="22"/>
  <c r="M3673" i="22"/>
  <c r="D3673" i="22"/>
  <c r="J3673" i="22"/>
  <c r="N3673" i="22" s="1"/>
  <c r="P3673" i="22"/>
  <c r="Q3673" i="22"/>
  <c r="R3673" i="22"/>
  <c r="L3674" i="22"/>
  <c r="C3674" i="22"/>
  <c r="K3674" i="22" s="1"/>
  <c r="E3674" i="22"/>
  <c r="F3674" i="22"/>
  <c r="O3674" i="22" s="1"/>
  <c r="G3674" i="22"/>
  <c r="I3674" i="22"/>
  <c r="B3675" i="22"/>
  <c r="U3618" i="22"/>
  <c r="AR69" i="22"/>
  <c r="BD69" i="22"/>
  <c r="M3619" i="22"/>
  <c r="D3619" i="22"/>
  <c r="J3619" i="22"/>
  <c r="N3619" i="22" s="1"/>
  <c r="BQ69" i="22"/>
  <c r="P3619" i="22"/>
  <c r="Q3619" i="22"/>
  <c r="R3619" i="22"/>
  <c r="L3620" i="22"/>
  <c r="C3620" i="22"/>
  <c r="K3620" i="22" s="1"/>
  <c r="E3620" i="22"/>
  <c r="F3620" i="22"/>
  <c r="O3620" i="22" s="1"/>
  <c r="G3620" i="22"/>
  <c r="I3620" i="22"/>
  <c r="B3621" i="22"/>
  <c r="U3564" i="22"/>
  <c r="AR68" i="22"/>
  <c r="BD68" i="22"/>
  <c r="P3565" i="22"/>
  <c r="Q3565" i="22"/>
  <c r="R3565" i="22"/>
  <c r="D3565" i="22"/>
  <c r="J3565" i="22"/>
  <c r="L3566" i="22"/>
  <c r="G3566" i="22"/>
  <c r="C3566" i="22"/>
  <c r="E3566" i="22"/>
  <c r="I3566" i="22"/>
  <c r="B3567" i="22"/>
  <c r="U3510" i="22"/>
  <c r="AR67" i="22"/>
  <c r="BD67" i="22"/>
  <c r="M3511" i="22"/>
  <c r="D3511" i="22"/>
  <c r="J3511" i="22"/>
  <c r="N3511" i="22" s="1"/>
  <c r="BQ67" i="22"/>
  <c r="P3511" i="22"/>
  <c r="Q3511" i="22"/>
  <c r="R3511" i="22"/>
  <c r="L3512" i="22"/>
  <c r="C3512" i="22"/>
  <c r="K3512" i="22" s="1"/>
  <c r="E3512" i="22"/>
  <c r="F3512" i="22"/>
  <c r="O3512" i="22" s="1"/>
  <c r="G3512" i="22"/>
  <c r="I3512" i="22"/>
  <c r="B3513" i="22"/>
  <c r="U3456" i="22"/>
  <c r="AR66" i="22"/>
  <c r="BD66" i="22"/>
  <c r="M3457" i="22"/>
  <c r="D3457" i="22"/>
  <c r="J3457" i="22"/>
  <c r="N3457" i="22" s="1"/>
  <c r="P3457" i="22"/>
  <c r="Q3457" i="22"/>
  <c r="R3457" i="22"/>
  <c r="L3458" i="22"/>
  <c r="C3458" i="22"/>
  <c r="K3458" i="22" s="1"/>
  <c r="E3458" i="22"/>
  <c r="F3458" i="22"/>
  <c r="O3458" i="22" s="1"/>
  <c r="BR66" i="22" s="1"/>
  <c r="G3458" i="22"/>
  <c r="I3458" i="22"/>
  <c r="B3459" i="22"/>
  <c r="U3402" i="22"/>
  <c r="AR65" i="22"/>
  <c r="BD65" i="22"/>
  <c r="M3403" i="22"/>
  <c r="D3403" i="22"/>
  <c r="J3403" i="22"/>
  <c r="N3403" i="22" s="1"/>
  <c r="P3403" i="22"/>
  <c r="Q3403" i="22"/>
  <c r="R3403" i="22"/>
  <c r="L3404" i="22"/>
  <c r="C3404" i="22"/>
  <c r="K3404" i="22" s="1"/>
  <c r="E3404" i="22"/>
  <c r="F3404" i="22"/>
  <c r="O3404" i="22" s="1"/>
  <c r="G3404" i="22"/>
  <c r="I3404" i="22"/>
  <c r="B3405" i="22"/>
  <c r="U3348" i="22"/>
  <c r="AR64" i="22"/>
  <c r="BD64" i="22"/>
  <c r="D3349" i="22"/>
  <c r="J3349" i="22"/>
  <c r="P3349" i="22"/>
  <c r="Q3349" i="22"/>
  <c r="R3349" i="22"/>
  <c r="L3350" i="22"/>
  <c r="C3350" i="22"/>
  <c r="K3350" i="22" s="1"/>
  <c r="E3350" i="22"/>
  <c r="F3350" i="22"/>
  <c r="O3350" i="22" s="1"/>
  <c r="BR64" i="22" s="1"/>
  <c r="G3350" i="22"/>
  <c r="I3350" i="22"/>
  <c r="B3351" i="22"/>
  <c r="D3295" i="22"/>
  <c r="J3295" i="22"/>
  <c r="P3295" i="22"/>
  <c r="Q3295" i="22"/>
  <c r="R3295" i="22"/>
  <c r="L3296" i="22"/>
  <c r="C3296" i="22"/>
  <c r="K3296" i="22" s="1"/>
  <c r="E3296" i="22"/>
  <c r="F3296" i="22"/>
  <c r="O3296" i="22" s="1"/>
  <c r="BR63" i="22" s="1"/>
  <c r="G3296" i="22"/>
  <c r="I3296" i="22"/>
  <c r="B3297" i="22"/>
  <c r="M3241" i="22"/>
  <c r="J3241" i="22"/>
  <c r="N3241" i="22" s="1"/>
  <c r="D3241" i="22"/>
  <c r="L3242" i="22"/>
  <c r="B3243" i="22"/>
  <c r="C3242" i="22"/>
  <c r="I3242" i="22"/>
  <c r="G3242" i="22"/>
  <c r="E3242" i="22"/>
  <c r="P3241" i="22"/>
  <c r="Q3241" i="22"/>
  <c r="R3241" i="22"/>
  <c r="U3186" i="22"/>
  <c r="AR61" i="22"/>
  <c r="BD61" i="22"/>
  <c r="M3187" i="22"/>
  <c r="D3187" i="22"/>
  <c r="J3187" i="22"/>
  <c r="N3187" i="22" s="1"/>
  <c r="P3187" i="22"/>
  <c r="Q3187" i="22"/>
  <c r="R3187" i="22"/>
  <c r="L3188" i="22"/>
  <c r="C3188" i="22"/>
  <c r="E3188" i="22"/>
  <c r="G3188" i="22"/>
  <c r="I3188" i="22"/>
  <c r="B3189" i="22"/>
  <c r="U3132" i="22"/>
  <c r="AR60" i="22"/>
  <c r="BD60" i="22"/>
  <c r="M3133" i="22"/>
  <c r="D3133" i="22"/>
  <c r="J3133" i="22"/>
  <c r="N3133" i="22" s="1"/>
  <c r="P3133" i="22"/>
  <c r="Q3133" i="22"/>
  <c r="R3133" i="22"/>
  <c r="L3134" i="22"/>
  <c r="C3134" i="22"/>
  <c r="K3134" i="22" s="1"/>
  <c r="E3134" i="22"/>
  <c r="F3134" i="22"/>
  <c r="O3134" i="22" s="1"/>
  <c r="G3134" i="22"/>
  <c r="I3134" i="22"/>
  <c r="B3135" i="22"/>
  <c r="U3078" i="22"/>
  <c r="AR59" i="22"/>
  <c r="BD59" i="22"/>
  <c r="D3079" i="22"/>
  <c r="J3079" i="22"/>
  <c r="P3079" i="22"/>
  <c r="Q3079" i="22"/>
  <c r="R3079" i="22"/>
  <c r="L3080" i="22"/>
  <c r="C3080" i="22"/>
  <c r="K3080" i="22" s="1"/>
  <c r="E3080" i="22"/>
  <c r="F3080" i="22"/>
  <c r="O3080" i="22" s="1"/>
  <c r="BR59" i="22" s="1"/>
  <c r="G3080" i="22"/>
  <c r="I3080" i="22"/>
  <c r="B3081" i="22"/>
  <c r="U3024" i="22"/>
  <c r="AR58" i="22"/>
  <c r="BD58" i="22"/>
  <c r="D3025" i="22"/>
  <c r="J3025" i="22"/>
  <c r="P3025" i="22"/>
  <c r="Q3025" i="22"/>
  <c r="R3025" i="22"/>
  <c r="L3026" i="22"/>
  <c r="C3026" i="22"/>
  <c r="E3026" i="22"/>
  <c r="G3026" i="22"/>
  <c r="I3026" i="22"/>
  <c r="B3027" i="22"/>
  <c r="U2970" i="22"/>
  <c r="AR57" i="22"/>
  <c r="BD57" i="22"/>
  <c r="M2971" i="22"/>
  <c r="D2971" i="22"/>
  <c r="J2971" i="22"/>
  <c r="N2971" i="22" s="1"/>
  <c r="P2971" i="22"/>
  <c r="Q2971" i="22"/>
  <c r="R2971" i="22"/>
  <c r="L2972" i="22"/>
  <c r="C2972" i="22"/>
  <c r="E2972" i="22"/>
  <c r="G2972" i="22"/>
  <c r="I2972" i="22"/>
  <c r="B2973" i="22"/>
  <c r="M2917" i="22"/>
  <c r="D2917" i="22"/>
  <c r="J2917" i="22"/>
  <c r="N2917" i="22" s="1"/>
  <c r="P2917" i="22"/>
  <c r="Q2917" i="22"/>
  <c r="R2917" i="22"/>
  <c r="L2918" i="22"/>
  <c r="C2918" i="22"/>
  <c r="K2918" i="22" s="1"/>
  <c r="E2918" i="22"/>
  <c r="F2918" i="22"/>
  <c r="O2918" i="22" s="1"/>
  <c r="G2918" i="22"/>
  <c r="I2918" i="22"/>
  <c r="B2919" i="22"/>
  <c r="M2863" i="22"/>
  <c r="D2863" i="22"/>
  <c r="J2863" i="22"/>
  <c r="N2863" i="22" s="1"/>
  <c r="P2863" i="22"/>
  <c r="Q2863" i="22"/>
  <c r="R2863" i="22"/>
  <c r="L2864" i="22"/>
  <c r="C2864" i="22"/>
  <c r="K2864" i="22" s="1"/>
  <c r="E2864" i="22"/>
  <c r="F2864" i="22"/>
  <c r="O2864" i="22" s="1"/>
  <c r="G2864" i="22"/>
  <c r="I2864" i="22"/>
  <c r="B2865" i="22"/>
  <c r="AL1623" i="23"/>
  <c r="U2808" i="22"/>
  <c r="M2809" i="22"/>
  <c r="D2809" i="22"/>
  <c r="J2809" i="22"/>
  <c r="N2809" i="22" s="1"/>
  <c r="P2809" i="22"/>
  <c r="Q2809" i="22"/>
  <c r="R2809" i="22"/>
  <c r="T2809" i="22"/>
  <c r="L2810" i="22"/>
  <c r="C2810" i="22"/>
  <c r="E2810" i="22"/>
  <c r="G2810" i="22"/>
  <c r="I2810" i="22"/>
  <c r="B2811" i="22"/>
  <c r="U2754" i="22"/>
  <c r="AR53" i="22"/>
  <c r="BD53" i="22"/>
  <c r="M2755" i="22"/>
  <c r="D2755" i="22"/>
  <c r="J2755" i="22"/>
  <c r="N2755" i="22" s="1"/>
  <c r="P2755" i="22"/>
  <c r="Q2755" i="22"/>
  <c r="R2755" i="22"/>
  <c r="L2756" i="22"/>
  <c r="C2756" i="22"/>
  <c r="E2756" i="22"/>
  <c r="G2756" i="22"/>
  <c r="I2756" i="22"/>
  <c r="B2757" i="22"/>
  <c r="U2700" i="22"/>
  <c r="AR52" i="22"/>
  <c r="BD52" i="22"/>
  <c r="M2701" i="22"/>
  <c r="D2701" i="22"/>
  <c r="J2701" i="22"/>
  <c r="N2701" i="22" s="1"/>
  <c r="P2701" i="22"/>
  <c r="Q2701" i="22"/>
  <c r="R2701" i="22"/>
  <c r="L2702" i="22"/>
  <c r="C2702" i="22"/>
  <c r="E2702" i="22"/>
  <c r="G2702" i="22"/>
  <c r="I2702" i="22"/>
  <c r="B2703" i="22"/>
  <c r="U2646" i="22"/>
  <c r="AR51" i="22"/>
  <c r="BD51" i="22"/>
  <c r="L2648" i="22"/>
  <c r="I2648" i="22"/>
  <c r="C2648" i="22"/>
  <c r="K2648" i="22" s="1"/>
  <c r="E2648" i="22"/>
  <c r="F2648" i="22"/>
  <c r="O2648" i="22" s="1"/>
  <c r="BR51" i="22" s="1"/>
  <c r="G2648" i="22"/>
  <c r="B2649" i="22"/>
  <c r="J2647" i="22"/>
  <c r="D2647" i="22"/>
  <c r="P2647" i="22"/>
  <c r="Q2647" i="22"/>
  <c r="R2647" i="22"/>
  <c r="U2592" i="22"/>
  <c r="AR50" i="22"/>
  <c r="BD50" i="22"/>
  <c r="D2593" i="22"/>
  <c r="J2593" i="22"/>
  <c r="P2593" i="22"/>
  <c r="Q2593" i="22"/>
  <c r="R2593" i="22"/>
  <c r="L2594" i="22"/>
  <c r="C2594" i="22"/>
  <c r="K2594" i="22" s="1"/>
  <c r="E2594" i="22"/>
  <c r="F2594" i="22"/>
  <c r="O2594" i="22" s="1"/>
  <c r="BR50" i="22" s="1"/>
  <c r="G2594" i="22"/>
  <c r="I2594" i="22"/>
  <c r="B2595" i="22"/>
  <c r="U2538" i="22"/>
  <c r="AR49" i="22"/>
  <c r="BD49" i="22"/>
  <c r="D2539" i="22"/>
  <c r="J2539" i="22"/>
  <c r="P2539" i="22"/>
  <c r="Q2539" i="22"/>
  <c r="R2539" i="22"/>
  <c r="L2540" i="22"/>
  <c r="C2540" i="22"/>
  <c r="K2540" i="22" s="1"/>
  <c r="E2540" i="22"/>
  <c r="F2540" i="22"/>
  <c r="O2540" i="22" s="1"/>
  <c r="BR49" i="22" s="1"/>
  <c r="G2540" i="22"/>
  <c r="I2540" i="22"/>
  <c r="B2541" i="22"/>
  <c r="U2484" i="22"/>
  <c r="AR48" i="22"/>
  <c r="BD48" i="22"/>
  <c r="M2485" i="22"/>
  <c r="D2485" i="22"/>
  <c r="J2485" i="22"/>
  <c r="N2485" i="22" s="1"/>
  <c r="P2485" i="22"/>
  <c r="Q2485" i="22"/>
  <c r="R2485" i="22"/>
  <c r="L2486" i="22"/>
  <c r="C2486" i="22"/>
  <c r="K2486" i="22" s="1"/>
  <c r="E2486" i="22"/>
  <c r="F2486" i="22"/>
  <c r="O2486" i="22" s="1"/>
  <c r="G2486" i="22"/>
  <c r="I2486" i="22"/>
  <c r="B2487" i="22"/>
  <c r="M2431" i="22"/>
  <c r="D2431" i="22"/>
  <c r="J2431" i="22"/>
  <c r="N2431" i="22" s="1"/>
  <c r="P2431" i="22"/>
  <c r="Q2431" i="22"/>
  <c r="R2431" i="22"/>
  <c r="L2432" i="22"/>
  <c r="C2432" i="22"/>
  <c r="K2432" i="22" s="1"/>
  <c r="E2432" i="22"/>
  <c r="F2432" i="22"/>
  <c r="O2432" i="22" s="1"/>
  <c r="G2432" i="22"/>
  <c r="I2432" i="22"/>
  <c r="B2433" i="22"/>
  <c r="U2376" i="22"/>
  <c r="AR46" i="22"/>
  <c r="BD46" i="22"/>
  <c r="M2377" i="22"/>
  <c r="D2377" i="22"/>
  <c r="J2377" i="22"/>
  <c r="N2377" i="22" s="1"/>
  <c r="BQ46" i="22"/>
  <c r="P2377" i="22"/>
  <c r="Q2377" i="22"/>
  <c r="R2377" i="22"/>
  <c r="L2378" i="22"/>
  <c r="C2378" i="22"/>
  <c r="K2378" i="22" s="1"/>
  <c r="E2378" i="22"/>
  <c r="F2378" i="22"/>
  <c r="O2378" i="22" s="1"/>
  <c r="G2378" i="22"/>
  <c r="I2378" i="22"/>
  <c r="B2379" i="22"/>
  <c r="U2322" i="22"/>
  <c r="AR45" i="22"/>
  <c r="BD45" i="22"/>
  <c r="M2323" i="22"/>
  <c r="D2323" i="22"/>
  <c r="J2323" i="22"/>
  <c r="N2323" i="22" s="1"/>
  <c r="BQ45" i="22"/>
  <c r="P2323" i="22"/>
  <c r="Q2323" i="22"/>
  <c r="R2323" i="22"/>
  <c r="L2324" i="22"/>
  <c r="C2324" i="22"/>
  <c r="K2324" i="22" s="1"/>
  <c r="E2324" i="22"/>
  <c r="F2324" i="22"/>
  <c r="O2324" i="22" s="1"/>
  <c r="BR45" i="22" s="1"/>
  <c r="G2324" i="22"/>
  <c r="I2324" i="22"/>
  <c r="B2325" i="22"/>
  <c r="U2268" i="22"/>
  <c r="AR44" i="22"/>
  <c r="BD44" i="22"/>
  <c r="D2269" i="22"/>
  <c r="J2269" i="22"/>
  <c r="P2269" i="22"/>
  <c r="Q2269" i="22"/>
  <c r="R2269" i="22"/>
  <c r="L2270" i="22"/>
  <c r="C2270" i="22"/>
  <c r="K2270" i="22" s="1"/>
  <c r="E2270" i="22"/>
  <c r="F2270" i="22"/>
  <c r="O2270" i="22" s="1"/>
  <c r="BR44" i="22" s="1"/>
  <c r="G2270" i="22"/>
  <c r="I2270" i="22"/>
  <c r="B2271" i="22"/>
  <c r="U2214" i="22"/>
  <c r="AR43" i="22"/>
  <c r="BD43" i="22"/>
  <c r="D2215" i="22"/>
  <c r="J2215" i="22"/>
  <c r="P2215" i="22"/>
  <c r="Q2215" i="22"/>
  <c r="R2215" i="22"/>
  <c r="L2216" i="22"/>
  <c r="C2216" i="22"/>
  <c r="K2216" i="22" s="1"/>
  <c r="E2216" i="22"/>
  <c r="F2216" i="22"/>
  <c r="O2216" i="22" s="1"/>
  <c r="BR43" i="22" s="1"/>
  <c r="G2216" i="22"/>
  <c r="I2216" i="22"/>
  <c r="B2217" i="22"/>
  <c r="U2160" i="22"/>
  <c r="AR42" i="22"/>
  <c r="BD42" i="22"/>
  <c r="D2161" i="22"/>
  <c r="J2161" i="22"/>
  <c r="P2161" i="22"/>
  <c r="Q2161" i="22"/>
  <c r="R2161" i="22"/>
  <c r="L2162" i="22"/>
  <c r="C2162" i="22"/>
  <c r="K2162" i="22" s="1"/>
  <c r="E2162" i="22"/>
  <c r="F2162" i="22"/>
  <c r="O2162" i="22" s="1"/>
  <c r="BR42" i="22" s="1"/>
  <c r="G2162" i="22"/>
  <c r="I2162" i="22"/>
  <c r="B2163" i="22"/>
  <c r="U2106" i="22"/>
  <c r="AR41" i="22"/>
  <c r="BD41" i="22"/>
  <c r="M2107" i="22"/>
  <c r="D2107" i="22"/>
  <c r="J2107" i="22"/>
  <c r="N2107" i="22" s="1"/>
  <c r="P2107" i="22"/>
  <c r="Q2107" i="22"/>
  <c r="R2107" i="22"/>
  <c r="L2108" i="22"/>
  <c r="C2108" i="22"/>
  <c r="K2108" i="22" s="1"/>
  <c r="E2108" i="22"/>
  <c r="F2108" i="22"/>
  <c r="O2108" i="22" s="1"/>
  <c r="G2108" i="22"/>
  <c r="I2108" i="22"/>
  <c r="B2109" i="22"/>
  <c r="U2052" i="22"/>
  <c r="AR40" i="22"/>
  <c r="BD40" i="22"/>
  <c r="M2053" i="22"/>
  <c r="D2053" i="22"/>
  <c r="J2053" i="22"/>
  <c r="N2053" i="22" s="1"/>
  <c r="P2053" i="22"/>
  <c r="Q2053" i="22"/>
  <c r="R2053" i="22"/>
  <c r="L2054" i="22"/>
  <c r="C2054" i="22"/>
  <c r="E2054" i="22"/>
  <c r="G2054" i="22"/>
  <c r="I2054" i="22"/>
  <c r="B2055" i="22"/>
  <c r="M1999" i="22"/>
  <c r="D1999" i="22"/>
  <c r="J1999" i="22"/>
  <c r="N1999" i="22" s="1"/>
  <c r="P1999" i="22"/>
  <c r="Q1999" i="22"/>
  <c r="R1999" i="22"/>
  <c r="L2000" i="22"/>
  <c r="C2000" i="22"/>
  <c r="E2000" i="22"/>
  <c r="G2000" i="22"/>
  <c r="I2000" i="22"/>
  <c r="B2001" i="22"/>
  <c r="U1944" i="22"/>
  <c r="AR38" i="22"/>
  <c r="BD38" i="22"/>
  <c r="M1945" i="22"/>
  <c r="D1945" i="22"/>
  <c r="J1945" i="22"/>
  <c r="N1945" i="22" s="1"/>
  <c r="BQ38" i="22"/>
  <c r="P1945" i="22"/>
  <c r="Q1945" i="22"/>
  <c r="R1945" i="22"/>
  <c r="L1946" i="22"/>
  <c r="C1946" i="22"/>
  <c r="E1946" i="22"/>
  <c r="G1946" i="22"/>
  <c r="I1946" i="22"/>
  <c r="B1947" i="22"/>
  <c r="U1890" i="22"/>
  <c r="AR37" i="22"/>
  <c r="BD37" i="22"/>
  <c r="D1891" i="22"/>
  <c r="J1891" i="22"/>
  <c r="P1891" i="22"/>
  <c r="Q1891" i="22"/>
  <c r="R1891" i="22"/>
  <c r="L1892" i="22"/>
  <c r="C1892" i="22"/>
  <c r="E1892" i="22"/>
  <c r="G1892" i="22"/>
  <c r="I1892" i="22"/>
  <c r="B1893" i="22"/>
  <c r="U1836" i="22"/>
  <c r="AR36" i="22"/>
  <c r="BD36" i="22"/>
  <c r="D1837" i="22"/>
  <c r="J1837" i="22"/>
  <c r="P1837" i="22"/>
  <c r="Q1837" i="22"/>
  <c r="R1837" i="22"/>
  <c r="L1838" i="22"/>
  <c r="C1838" i="22"/>
  <c r="E1838" i="22"/>
  <c r="G1838" i="22"/>
  <c r="I1838" i="22"/>
  <c r="B1839" i="22"/>
  <c r="U1782" i="22"/>
  <c r="AR35" i="22"/>
  <c r="BD35" i="22"/>
  <c r="M1783" i="22"/>
  <c r="D1783" i="22"/>
  <c r="J1783" i="22"/>
  <c r="N1783" i="22" s="1"/>
  <c r="P1783" i="22"/>
  <c r="Q1783" i="22"/>
  <c r="R1783" i="22"/>
  <c r="L1784" i="22"/>
  <c r="C1784" i="22"/>
  <c r="K1784" i="22" s="1"/>
  <c r="E1784" i="22"/>
  <c r="F1784" i="22"/>
  <c r="O1784" i="22" s="1"/>
  <c r="G1784" i="22"/>
  <c r="I1784" i="22"/>
  <c r="B1785" i="22"/>
  <c r="U1728" i="22"/>
  <c r="AR34" i="22"/>
  <c r="BD34" i="22"/>
  <c r="D1729" i="22"/>
  <c r="J1729" i="22"/>
  <c r="P1729" i="22"/>
  <c r="Q1729" i="22"/>
  <c r="R1729" i="22"/>
  <c r="L1730" i="22"/>
  <c r="C1730" i="22"/>
  <c r="K1730" i="22" s="1"/>
  <c r="E1730" i="22"/>
  <c r="F1730" i="22"/>
  <c r="O1730" i="22" s="1"/>
  <c r="BR34" i="22" s="1"/>
  <c r="G1730" i="22"/>
  <c r="I1730" i="22"/>
  <c r="B1731" i="22"/>
  <c r="M1675" i="22"/>
  <c r="D1675" i="22"/>
  <c r="J1675" i="22"/>
  <c r="N1675" i="22" s="1"/>
  <c r="P1675" i="22"/>
  <c r="Q1675" i="22"/>
  <c r="R1675" i="22"/>
  <c r="L1676" i="22"/>
  <c r="C1676" i="22"/>
  <c r="K1676" i="22" s="1"/>
  <c r="E1676" i="22"/>
  <c r="F1676" i="22"/>
  <c r="O1676" i="22" s="1"/>
  <c r="G1676" i="22"/>
  <c r="I1676" i="22"/>
  <c r="B1677" i="22"/>
  <c r="M1621" i="22"/>
  <c r="D1621" i="22"/>
  <c r="J1621" i="22"/>
  <c r="N1621" i="22" s="1"/>
  <c r="P1621" i="22"/>
  <c r="Q1621" i="22"/>
  <c r="R1621" i="22"/>
  <c r="L1622" i="22"/>
  <c r="C1622" i="22"/>
  <c r="K1622" i="22" s="1"/>
  <c r="E1622" i="22"/>
  <c r="F1622" i="22"/>
  <c r="O1622" i="22" s="1"/>
  <c r="G1622" i="22"/>
  <c r="I1622" i="22"/>
  <c r="B1623" i="22"/>
  <c r="M1567" i="22"/>
  <c r="D1567" i="22"/>
  <c r="J1567" i="22"/>
  <c r="N1567" i="22" s="1"/>
  <c r="P1567" i="22"/>
  <c r="Q1567" i="22"/>
  <c r="R1567" i="22"/>
  <c r="L1568" i="22"/>
  <c r="C1568" i="22"/>
  <c r="K1568" i="22" s="1"/>
  <c r="E1568" i="22"/>
  <c r="F1568" i="22"/>
  <c r="O1568" i="22" s="1"/>
  <c r="BR31" i="22" s="1"/>
  <c r="G1568" i="22"/>
  <c r="I1568" i="22"/>
  <c r="B1569" i="22"/>
  <c r="U1512" i="22"/>
  <c r="AR30" i="22"/>
  <c r="BD30" i="22"/>
  <c r="M1513" i="22"/>
  <c r="D1513" i="22"/>
  <c r="J1513" i="22"/>
  <c r="N1513" i="22" s="1"/>
  <c r="BQ30" i="22"/>
  <c r="P1513" i="22"/>
  <c r="Q1513" i="22"/>
  <c r="R1513" i="22"/>
  <c r="L1514" i="22"/>
  <c r="C1514" i="22"/>
  <c r="E1514" i="22"/>
  <c r="G1514" i="22"/>
  <c r="I1514" i="22"/>
  <c r="B1515" i="22"/>
  <c r="M1459" i="22"/>
  <c r="D1459" i="22"/>
  <c r="J1459" i="22"/>
  <c r="N1459" i="22" s="1"/>
  <c r="P1459" i="22"/>
  <c r="Q1459" i="22"/>
  <c r="R1459" i="22"/>
  <c r="L1460" i="22"/>
  <c r="C1460" i="22"/>
  <c r="K1460" i="22" s="1"/>
  <c r="E1460" i="22"/>
  <c r="F1460" i="22"/>
  <c r="O1460" i="22" s="1"/>
  <c r="G1460" i="22"/>
  <c r="I1460" i="22"/>
  <c r="B1461" i="22"/>
  <c r="U1404" i="22"/>
  <c r="AR28" i="22"/>
  <c r="BD28" i="22"/>
  <c r="J1405" i="22"/>
  <c r="D1405" i="22"/>
  <c r="P1405" i="22"/>
  <c r="Q1405" i="22"/>
  <c r="R1405" i="22"/>
  <c r="L1406" i="22"/>
  <c r="G1406" i="22"/>
  <c r="I1406" i="22"/>
  <c r="B1407" i="22"/>
  <c r="C1406" i="22"/>
  <c r="E1406" i="22"/>
  <c r="U1350" i="22"/>
  <c r="AR27" i="22"/>
  <c r="BD27" i="22"/>
  <c r="D1351" i="22"/>
  <c r="J1351" i="22"/>
  <c r="P1351" i="22"/>
  <c r="Q1351" i="22"/>
  <c r="R1351" i="22"/>
  <c r="L1352" i="22"/>
  <c r="E1352" i="22"/>
  <c r="G1352" i="22"/>
  <c r="I1352" i="22"/>
  <c r="C1352" i="22"/>
  <c r="K1352" i="22" s="1"/>
  <c r="F1352" i="22"/>
  <c r="O1352" i="22" s="1"/>
  <c r="BR27" i="22" s="1"/>
  <c r="B1353" i="22"/>
  <c r="U1296" i="22"/>
  <c r="AR26" i="22"/>
  <c r="BD26" i="22"/>
  <c r="D1297" i="22"/>
  <c r="J1297" i="22"/>
  <c r="P1297" i="22"/>
  <c r="Q1297" i="22"/>
  <c r="R1297" i="22"/>
  <c r="L1298" i="22"/>
  <c r="C1298" i="22"/>
  <c r="E1298" i="22"/>
  <c r="G1298" i="22"/>
  <c r="I1298" i="22"/>
  <c r="B1299" i="22"/>
  <c r="M1243" i="22"/>
  <c r="D1243" i="22"/>
  <c r="J1243" i="22"/>
  <c r="N1243" i="22" s="1"/>
  <c r="P1243" i="22"/>
  <c r="Q1243" i="22"/>
  <c r="R1243" i="22"/>
  <c r="L1244" i="22"/>
  <c r="C1244" i="22"/>
  <c r="E1244" i="22"/>
  <c r="G1244" i="22"/>
  <c r="I1244" i="22"/>
  <c r="B1245" i="22"/>
  <c r="G123" i="7"/>
  <c r="G61" i="7"/>
  <c r="U1188" i="22"/>
  <c r="AR24" i="22"/>
  <c r="BD24" i="22"/>
  <c r="M1189" i="22"/>
  <c r="D1189" i="22"/>
  <c r="J1189" i="22"/>
  <c r="N1189" i="22" s="1"/>
  <c r="H92" i="7"/>
  <c r="BQ24" i="22"/>
  <c r="P1189" i="22"/>
  <c r="Q1189" i="22"/>
  <c r="R1189" i="22"/>
  <c r="L1190" i="22"/>
  <c r="C1190" i="22"/>
  <c r="E1190" i="22"/>
  <c r="G1190" i="22"/>
  <c r="I1190" i="22"/>
  <c r="B1191" i="22"/>
  <c r="G122" i="7"/>
  <c r="G60" i="7"/>
  <c r="U1134" i="22"/>
  <c r="AR23" i="22"/>
  <c r="BD23" i="22"/>
  <c r="M1135" i="22"/>
  <c r="D1135" i="22"/>
  <c r="J1135" i="22"/>
  <c r="N1135" i="22" s="1"/>
  <c r="H91" i="7"/>
  <c r="BQ23" i="22"/>
  <c r="P1135" i="22"/>
  <c r="Q1135" i="22"/>
  <c r="R1135" i="22"/>
  <c r="L1136" i="22"/>
  <c r="C1136" i="22"/>
  <c r="K1136" i="22" s="1"/>
  <c r="E1136" i="22"/>
  <c r="F1136" i="22"/>
  <c r="O1136" i="22" s="1"/>
  <c r="G1136" i="22"/>
  <c r="I1136" i="22"/>
  <c r="B1137" i="22"/>
  <c r="G121" i="7"/>
  <c r="G59" i="7"/>
  <c r="U1080" i="22"/>
  <c r="AR22" i="22"/>
  <c r="BD22" i="22"/>
  <c r="M1081" i="22"/>
  <c r="D1081" i="22"/>
  <c r="J1081" i="22"/>
  <c r="N1081" i="22" s="1"/>
  <c r="H90" i="7"/>
  <c r="BQ22" i="22"/>
  <c r="P1081" i="22"/>
  <c r="Q1081" i="22"/>
  <c r="R1081" i="22"/>
  <c r="L1082" i="22"/>
  <c r="C1082" i="22"/>
  <c r="K1082" i="22" s="1"/>
  <c r="E1082" i="22"/>
  <c r="F1082" i="22"/>
  <c r="O1082" i="22" s="1"/>
  <c r="G1082" i="22"/>
  <c r="I1082" i="22"/>
  <c r="B1083" i="22"/>
  <c r="G120" i="7"/>
  <c r="G58"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G119" i="7"/>
  <c r="G57" i="7"/>
  <c r="U972" i="22"/>
  <c r="AR20" i="22"/>
  <c r="BD20" i="22"/>
  <c r="D973" i="22"/>
  <c r="J973" i="22"/>
  <c r="P973" i="22"/>
  <c r="Q973" i="22"/>
  <c r="R973" i="22"/>
  <c r="L974" i="22"/>
  <c r="C974" i="22"/>
  <c r="K974" i="22" s="1"/>
  <c r="E974" i="22"/>
  <c r="F974" i="22"/>
  <c r="O974" i="22" s="1"/>
  <c r="G974" i="22"/>
  <c r="I974" i="22"/>
  <c r="B975" i="22"/>
  <c r="G56" i="7"/>
  <c r="G118" i="7"/>
  <c r="U918" i="22"/>
  <c r="AR19" i="22"/>
  <c r="BD19" i="22"/>
  <c r="M919" i="22"/>
  <c r="D919" i="22"/>
  <c r="J919" i="22"/>
  <c r="N919" i="22" s="1"/>
  <c r="H87" i="7"/>
  <c r="BQ19" i="22"/>
  <c r="P919" i="22"/>
  <c r="Q919" i="22"/>
  <c r="R919" i="22"/>
  <c r="L920" i="22"/>
  <c r="C920" i="22"/>
  <c r="K920" i="22" s="1"/>
  <c r="E920" i="22"/>
  <c r="F920" i="22"/>
  <c r="O920" i="22" s="1"/>
  <c r="G920" i="22"/>
  <c r="I920" i="22"/>
  <c r="B921" i="22"/>
  <c r="M865" i="22"/>
  <c r="D865" i="22"/>
  <c r="J865" i="22"/>
  <c r="N865" i="22" s="1"/>
  <c r="H86" i="7"/>
  <c r="BQ18" i="22"/>
  <c r="P865" i="22"/>
  <c r="Q865" i="22"/>
  <c r="R865" i="22"/>
  <c r="L866" i="22"/>
  <c r="C866" i="22"/>
  <c r="E866" i="22"/>
  <c r="G866" i="22"/>
  <c r="I866" i="22"/>
  <c r="B867" i="22"/>
  <c r="M811" i="22"/>
  <c r="D811" i="22"/>
  <c r="J811" i="22"/>
  <c r="N811" i="22" s="1"/>
  <c r="H85" i="7"/>
  <c r="BQ17" i="22"/>
  <c r="P811" i="22"/>
  <c r="Q811" i="22"/>
  <c r="R811" i="22"/>
  <c r="L812" i="22"/>
  <c r="C812" i="22"/>
  <c r="K812" i="22" s="1"/>
  <c r="E812" i="22"/>
  <c r="F812" i="22"/>
  <c r="O812" i="22" s="1"/>
  <c r="G812" i="22"/>
  <c r="I812" i="22"/>
  <c r="B813" i="22"/>
  <c r="G115" i="7"/>
  <c r="G53" i="7"/>
  <c r="U756" i="22"/>
  <c r="AR16" i="22"/>
  <c r="BD16" i="22"/>
  <c r="M757" i="22"/>
  <c r="D757" i="22"/>
  <c r="J757" i="22"/>
  <c r="N757" i="22" s="1"/>
  <c r="H84" i="7"/>
  <c r="BQ16" i="22"/>
  <c r="P757" i="22"/>
  <c r="Q757" i="22"/>
  <c r="R757" i="22"/>
  <c r="L758" i="22"/>
  <c r="C758" i="22"/>
  <c r="K758" i="22" s="1"/>
  <c r="E758" i="22"/>
  <c r="F758" i="22"/>
  <c r="O758" i="22" s="1"/>
  <c r="G758" i="22"/>
  <c r="I758" i="22"/>
  <c r="B759" i="22"/>
  <c r="G114" i="7"/>
  <c r="G52" i="7"/>
  <c r="U702" i="22"/>
  <c r="AR15" i="22"/>
  <c r="BD15" i="22"/>
  <c r="M703" i="22"/>
  <c r="D703" i="22"/>
  <c r="J703" i="22"/>
  <c r="N703" i="22" s="1"/>
  <c r="H83" i="7"/>
  <c r="BQ15"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G112" i="7"/>
  <c r="G50" i="7"/>
  <c r="U594" i="22"/>
  <c r="AR13" i="22"/>
  <c r="BD13" i="22"/>
  <c r="D595" i="22"/>
  <c r="J595" i="22"/>
  <c r="P595" i="22"/>
  <c r="Q595" i="22"/>
  <c r="R595" i="22"/>
  <c r="L596" i="22"/>
  <c r="C596" i="22"/>
  <c r="K596" i="22" s="1"/>
  <c r="E596" i="22"/>
  <c r="F596" i="22"/>
  <c r="O596" i="22" s="1"/>
  <c r="G596" i="22"/>
  <c r="I596" i="22"/>
  <c r="B597" i="22"/>
  <c r="G111" i="7"/>
  <c r="G49" i="7"/>
  <c r="U540" i="22"/>
  <c r="AR12" i="22"/>
  <c r="BD12" i="22"/>
  <c r="M541" i="22"/>
  <c r="D541" i="22"/>
  <c r="J541" i="22"/>
  <c r="N541" i="22" s="1"/>
  <c r="H80" i="7"/>
  <c r="BQ12" i="22"/>
  <c r="P541" i="22"/>
  <c r="Q541" i="22"/>
  <c r="R541" i="22"/>
  <c r="L542" i="22"/>
  <c r="C542" i="22"/>
  <c r="K542" i="22" s="1"/>
  <c r="E542" i="22"/>
  <c r="F542" i="22"/>
  <c r="O542" i="22" s="1"/>
  <c r="G542" i="22"/>
  <c r="I542" i="22"/>
  <c r="B543" i="22"/>
  <c r="G110" i="7"/>
  <c r="G48" i="7"/>
  <c r="U486" i="22"/>
  <c r="AR11" i="22"/>
  <c r="BD11" i="22"/>
  <c r="M487" i="22"/>
  <c r="D487" i="22"/>
  <c r="J487" i="22"/>
  <c r="N487" i="22" s="1"/>
  <c r="H79" i="7"/>
  <c r="BQ11" i="22"/>
  <c r="P487" i="22"/>
  <c r="Q487" i="22"/>
  <c r="R487" i="22"/>
  <c r="L488" i="22"/>
  <c r="C488" i="22"/>
  <c r="K488" i="22" s="1"/>
  <c r="E488" i="22"/>
  <c r="F488" i="22"/>
  <c r="O488" i="22" s="1"/>
  <c r="G488" i="22"/>
  <c r="I488" i="22"/>
  <c r="B489" i="22"/>
  <c r="M433" i="22"/>
  <c r="D433" i="22"/>
  <c r="J433" i="22"/>
  <c r="N433" i="22" s="1"/>
  <c r="H78" i="7"/>
  <c r="BQ10" i="22"/>
  <c r="P433" i="22"/>
  <c r="Q433" i="22"/>
  <c r="R433" i="22"/>
  <c r="L434" i="22"/>
  <c r="C434" i="22"/>
  <c r="K434" i="22" s="1"/>
  <c r="E434" i="22"/>
  <c r="F434" i="22"/>
  <c r="O434" i="22" s="1"/>
  <c r="G434" i="22"/>
  <c r="B435" i="22"/>
  <c r="I434" i="22"/>
  <c r="M379" i="22"/>
  <c r="D379" i="22"/>
  <c r="J379" i="22"/>
  <c r="N379" i="22" s="1"/>
  <c r="H77" i="7"/>
  <c r="BQ9" i="22"/>
  <c r="P379" i="22"/>
  <c r="Q379" i="22"/>
  <c r="R379" i="22"/>
  <c r="L380" i="22"/>
  <c r="C380" i="22"/>
  <c r="K380" i="22" s="1"/>
  <c r="E380" i="22"/>
  <c r="F380" i="22"/>
  <c r="O380" i="22" s="1"/>
  <c r="G380" i="22"/>
  <c r="I380" i="22"/>
  <c r="B381" i="22"/>
  <c r="G45" i="7"/>
  <c r="G107" i="7"/>
  <c r="U324" i="22"/>
  <c r="AR8" i="22"/>
  <c r="BD8" i="22"/>
  <c r="M325" i="22"/>
  <c r="D325" i="22"/>
  <c r="J325" i="22"/>
  <c r="N325" i="22" s="1"/>
  <c r="H76" i="7"/>
  <c r="BQ8" i="22"/>
  <c r="P325" i="22"/>
  <c r="Q325" i="22"/>
  <c r="R325" i="22"/>
  <c r="L326" i="22"/>
  <c r="C326" i="22"/>
  <c r="K326" i="22" s="1"/>
  <c r="E326" i="22"/>
  <c r="F326" i="22"/>
  <c r="O326" i="22" s="1"/>
  <c r="G326" i="22"/>
  <c r="I326" i="22"/>
  <c r="B327" i="22"/>
  <c r="G106" i="7"/>
  <c r="G44" i="7"/>
  <c r="U270" i="22"/>
  <c r="AR7" i="22"/>
  <c r="BD7" i="22"/>
  <c r="D271" i="22"/>
  <c r="J271" i="22"/>
  <c r="P271" i="22"/>
  <c r="Q271" i="22"/>
  <c r="R271" i="22"/>
  <c r="L272" i="22"/>
  <c r="C272" i="22"/>
  <c r="K272" i="22" s="1"/>
  <c r="E272" i="22"/>
  <c r="F272" i="22"/>
  <c r="O272" i="22" s="1"/>
  <c r="BR7" i="22" s="1"/>
  <c r="G272" i="22"/>
  <c r="I272" i="22"/>
  <c r="B273" i="22"/>
  <c r="G105" i="7"/>
  <c r="G43" i="7"/>
  <c r="U216" i="22"/>
  <c r="AR6" i="22"/>
  <c r="BD6" i="22"/>
  <c r="M217" i="22"/>
  <c r="D217" i="22"/>
  <c r="J217" i="22"/>
  <c r="N217" i="22" s="1"/>
  <c r="H74" i="7"/>
  <c r="BQ6" i="22"/>
  <c r="P217" i="22"/>
  <c r="Q217" i="22"/>
  <c r="R217" i="22"/>
  <c r="L218" i="22"/>
  <c r="C218" i="22"/>
  <c r="K218" i="22" s="1"/>
  <c r="E218" i="22"/>
  <c r="F218" i="22"/>
  <c r="O218" i="22" s="1"/>
  <c r="G218" i="22"/>
  <c r="I218" i="22"/>
  <c r="B219" i="22"/>
  <c r="M163" i="22"/>
  <c r="P163" i="22"/>
  <c r="Q163" i="22"/>
  <c r="R163" i="22"/>
  <c r="L164" i="22"/>
  <c r="G164" i="22"/>
  <c r="I164" i="22"/>
  <c r="B165" i="22"/>
  <c r="C164" i="22"/>
  <c r="E164" i="22"/>
  <c r="J163" i="22"/>
  <c r="N163" i="22" s="1"/>
  <c r="D163" i="22"/>
  <c r="H73" i="7"/>
  <c r="BQ5" i="22"/>
  <c r="M109" i="22"/>
  <c r="L110" i="22"/>
  <c r="I110" i="22"/>
  <c r="C110" i="22"/>
  <c r="E110" i="22"/>
  <c r="G110" i="22"/>
  <c r="B111" i="22"/>
  <c r="D109" i="22"/>
  <c r="J109" i="22"/>
  <c r="N109" i="22" s="1"/>
  <c r="H72" i="7"/>
  <c r="BQ4" i="22"/>
  <c r="P109" i="22"/>
  <c r="Q109" i="22"/>
  <c r="R109" i="22"/>
  <c r="G96" i="12"/>
  <c r="C97" i="12"/>
  <c r="U46" i="17"/>
  <c r="F50" i="12"/>
  <c r="M98" i="12"/>
  <c r="Q98" i="12" s="1"/>
  <c r="O98" i="12"/>
  <c r="N99" i="12"/>
  <c r="O47" i="17"/>
  <c r="E99" i="12"/>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G48" i="17"/>
  <c r="BA48" i="17" s="1"/>
  <c r="L48" i="17"/>
  <c r="B49" i="17"/>
  <c r="B48" i="18"/>
  <c r="C48" i="17"/>
  <c r="E48" i="17"/>
  <c r="F48" i="17"/>
  <c r="C48" i="18" s="1"/>
  <c r="E48" i="18" s="1"/>
  <c r="I48" i="17"/>
  <c r="K48" i="17"/>
  <c r="D47" i="17"/>
  <c r="J47" i="17"/>
  <c r="E40" i="10" s="1"/>
  <c r="E41" i="10"/>
  <c r="M47" i="17"/>
  <c r="N47" i="17"/>
  <c r="BC16" i="17"/>
  <c r="B113" i="12"/>
  <c r="I113" i="12" s="1"/>
  <c r="BB15" i="17"/>
  <c r="BA17" i="17"/>
  <c r="BA18" i="17"/>
  <c r="BA19" i="17"/>
  <c r="BA20" i="17"/>
  <c r="BA21" i="17"/>
  <c r="BA22" i="17"/>
  <c r="BA23" i="17"/>
  <c r="BA24" i="17"/>
  <c r="BA25" i="17"/>
  <c r="BA26" i="17"/>
  <c r="BA27" i="17"/>
  <c r="BA28" i="17"/>
  <c r="BA29" i="17"/>
  <c r="BA30" i="17"/>
  <c r="BA31" i="17"/>
  <c r="BA32" i="17"/>
  <c r="BA34" i="17"/>
  <c r="BA36" i="17"/>
  <c r="BA37" i="17"/>
  <c r="BA40" i="17"/>
  <c r="BA41" i="17"/>
  <c r="BA44" i="17"/>
  <c r="BA45" i="17"/>
  <c r="BA47" i="17"/>
  <c r="BA33" i="17"/>
  <c r="BA35" i="17"/>
  <c r="BA38" i="17"/>
  <c r="BA39" i="17"/>
  <c r="BA42" i="17"/>
  <c r="BA43" i="17"/>
  <c r="BA46" i="17"/>
  <c r="AI724" i="23"/>
  <c r="D79" i="8"/>
  <c r="AD1341" i="23"/>
  <c r="X1510" i="23"/>
  <c r="W1510" i="23"/>
  <c r="X1454" i="23"/>
  <c r="W1454" i="23"/>
  <c r="X1062" i="23"/>
  <c r="W1062" i="23"/>
  <c r="X1006" i="23"/>
  <c r="W1006" i="23"/>
  <c r="W726" i="23"/>
  <c r="X726" i="23"/>
  <c r="AH725" i="23"/>
  <c r="E49" i="8"/>
  <c r="X502" i="23"/>
  <c r="W502" i="23"/>
  <c r="P97" i="12"/>
  <c r="Q97" i="12" s="1"/>
  <c r="U3779" i="22"/>
  <c r="AQ72" i="22"/>
  <c r="BC72" i="22"/>
  <c r="U3725" i="22"/>
  <c r="AQ71" i="22"/>
  <c r="BC71" i="22"/>
  <c r="U3671" i="22"/>
  <c r="AQ70" i="22"/>
  <c r="BC70" i="22"/>
  <c r="U3563" i="22"/>
  <c r="AQ68" i="22"/>
  <c r="BC68" i="22"/>
  <c r="U3347" i="22"/>
  <c r="AQ64" i="22"/>
  <c r="BC64" i="22"/>
  <c r="U3293" i="22"/>
  <c r="AQ63" i="22"/>
  <c r="BC63" i="22"/>
  <c r="U2969" i="22"/>
  <c r="AQ57" i="22"/>
  <c r="BC57" i="22"/>
  <c r="U2861" i="22"/>
  <c r="AQ55" i="22"/>
  <c r="BC55" i="22"/>
  <c r="U2591" i="22"/>
  <c r="AQ50" i="22"/>
  <c r="BC50" i="22"/>
  <c r="U2537" i="22"/>
  <c r="AQ49" i="22"/>
  <c r="BC49" i="22"/>
  <c r="U2267" i="22"/>
  <c r="AQ44" i="22"/>
  <c r="BC44" i="22"/>
  <c r="U2213" i="22"/>
  <c r="AQ43" i="22"/>
  <c r="BC43" i="22"/>
  <c r="U2159" i="22"/>
  <c r="AQ42" i="22"/>
  <c r="BC42" i="22"/>
  <c r="U1835" i="22"/>
  <c r="AQ36" i="22"/>
  <c r="BC36" i="22"/>
  <c r="U1781" i="22"/>
  <c r="AQ35" i="22"/>
  <c r="BC35" i="22"/>
  <c r="U1727" i="22"/>
  <c r="AQ34" i="22"/>
  <c r="BC34" i="22"/>
  <c r="U1457" i="22"/>
  <c r="AQ29" i="22"/>
  <c r="BC29" i="22"/>
  <c r="U1403" i="22"/>
  <c r="AQ28" i="22"/>
  <c r="BC28" i="22"/>
  <c r="AQ27" i="22"/>
  <c r="BC27" i="22"/>
  <c r="U1349" i="22"/>
  <c r="F120" i="7"/>
  <c r="F58" i="7"/>
  <c r="U1025" i="22"/>
  <c r="AQ21" i="22"/>
  <c r="BC21" i="22"/>
  <c r="F119" i="7"/>
  <c r="F57" i="7"/>
  <c r="U971" i="22"/>
  <c r="AQ20" i="22"/>
  <c r="BC20" i="22"/>
  <c r="F113" i="7"/>
  <c r="F51" i="7"/>
  <c r="U647" i="22"/>
  <c r="AQ14" i="22"/>
  <c r="BC14" i="22"/>
  <c r="F45" i="7"/>
  <c r="F107" i="7"/>
  <c r="U323" i="22"/>
  <c r="AQ8" i="22"/>
  <c r="BC8" i="22"/>
  <c r="F106" i="7"/>
  <c r="F44" i="7"/>
  <c r="U269" i="22"/>
  <c r="AQ7" i="22"/>
  <c r="BC7" i="22"/>
  <c r="F41" i="7"/>
  <c r="F103" i="7"/>
  <c r="AQ4" i="22"/>
  <c r="BC4" i="22"/>
  <c r="U107" i="22"/>
  <c r="AD1622" i="23"/>
  <c r="AG1622" i="23"/>
  <c r="M1511" i="23"/>
  <c r="N1511" i="23"/>
  <c r="AB1511" i="23"/>
  <c r="AC1511" i="23" s="1"/>
  <c r="O1511" i="23"/>
  <c r="O1455" i="23"/>
  <c r="AB1455" i="23"/>
  <c r="AC1455" i="23" s="1"/>
  <c r="M1455" i="23"/>
  <c r="N1455" i="23"/>
  <c r="M1399" i="23"/>
  <c r="N1399" i="23"/>
  <c r="O1399" i="23"/>
  <c r="Y1399" i="23" s="1"/>
  <c r="AB1399" i="23"/>
  <c r="AC1399" i="23" s="1"/>
  <c r="AD1342" i="23"/>
  <c r="O1343" i="23"/>
  <c r="Y1343" i="23" s="1"/>
  <c r="AB1343" i="23"/>
  <c r="AC1343" i="23" s="1"/>
  <c r="M1343" i="23"/>
  <c r="N1343" i="23"/>
  <c r="M1007" i="23"/>
  <c r="N1007" i="23"/>
  <c r="AB1007" i="23"/>
  <c r="AC1007" i="23" s="1"/>
  <c r="O1007" i="23"/>
  <c r="Y1007" i="23" s="1"/>
  <c r="AB951" i="23"/>
  <c r="AC951" i="23" s="1"/>
  <c r="O951" i="23"/>
  <c r="Y951" i="23" s="1"/>
  <c r="M951" i="23"/>
  <c r="N951" i="23"/>
  <c r="AD894" i="23"/>
  <c r="AB895" i="23"/>
  <c r="AC895" i="23" s="1"/>
  <c r="O895" i="23"/>
  <c r="Y895" i="23" s="1"/>
  <c r="M895" i="23"/>
  <c r="N895" i="23"/>
  <c r="M615" i="23"/>
  <c r="N615" i="23"/>
  <c r="AB615" i="23"/>
  <c r="AC615" i="23" s="1"/>
  <c r="O615" i="23"/>
  <c r="Y615" i="23" s="1"/>
  <c r="N4758" i="22"/>
  <c r="P98" i="12" s="1"/>
  <c r="M4758" i="22"/>
  <c r="M4596" i="22"/>
  <c r="N4596" i="22"/>
  <c r="M4542" i="22"/>
  <c r="N4542" i="22"/>
  <c r="M3780" i="22"/>
  <c r="N3780" i="22"/>
  <c r="M3672" i="22"/>
  <c r="N3672" i="22"/>
  <c r="M3294" i="22"/>
  <c r="N3294" i="22"/>
  <c r="N3240" i="22"/>
  <c r="M3240" i="22"/>
  <c r="BP62" i="22"/>
  <c r="M2916" i="22"/>
  <c r="N2916" i="22"/>
  <c r="BP56" i="22"/>
  <c r="M2862" i="22"/>
  <c r="N2862" i="22"/>
  <c r="M2808" i="22"/>
  <c r="N2808" i="22"/>
  <c r="BP54" i="22"/>
  <c r="M2430" i="22"/>
  <c r="N2430" i="22"/>
  <c r="BP47" i="22"/>
  <c r="BP39" i="22"/>
  <c r="M1998" i="22"/>
  <c r="N1998" i="22"/>
  <c r="M1674" i="22"/>
  <c r="N1674" i="22"/>
  <c r="BP33" i="22"/>
  <c r="M1620" i="22"/>
  <c r="N1620" i="22"/>
  <c r="BP32" i="22"/>
  <c r="BP31" i="22"/>
  <c r="M1566" i="22"/>
  <c r="N1566" i="22"/>
  <c r="BP25" i="22"/>
  <c r="M1242" i="22"/>
  <c r="N1242" i="22"/>
  <c r="M864" i="22"/>
  <c r="N864" i="22"/>
  <c r="BP18" i="22"/>
  <c r="G86" i="7"/>
  <c r="BP17" i="22"/>
  <c r="G85" i="7"/>
  <c r="M810" i="22"/>
  <c r="N810" i="22"/>
  <c r="N432" i="22"/>
  <c r="M432" i="22"/>
  <c r="BP10" i="22"/>
  <c r="G78" i="7"/>
  <c r="BP5" i="22"/>
  <c r="G73" i="7"/>
  <c r="N162" i="22"/>
  <c r="M162" i="22"/>
  <c r="BP4" i="22"/>
  <c r="G72" i="7"/>
  <c r="N108" i="22"/>
  <c r="M108" i="22"/>
  <c r="F96" i="7"/>
  <c r="X1623" i="23"/>
  <c r="W1623" i="23"/>
  <c r="X1567" i="23"/>
  <c r="W1567" i="23"/>
  <c r="F1512" i="23"/>
  <c r="K1512" i="23"/>
  <c r="F1456" i="23"/>
  <c r="K1456" i="23"/>
  <c r="F1400" i="23"/>
  <c r="K1400" i="23"/>
  <c r="W1287" i="23"/>
  <c r="X1287" i="23"/>
  <c r="X1231" i="23"/>
  <c r="W1231" i="23"/>
  <c r="K1176" i="23"/>
  <c r="F1176" i="23"/>
  <c r="W1175" i="23"/>
  <c r="X1175" i="23"/>
  <c r="AD1119" i="23"/>
  <c r="K1064" i="23"/>
  <c r="F1064" i="23"/>
  <c r="X1063" i="23"/>
  <c r="W1063" i="23"/>
  <c r="K896" i="23"/>
  <c r="F896" i="23"/>
  <c r="X839" i="23"/>
  <c r="W839" i="23"/>
  <c r="X783" i="23"/>
  <c r="W783" i="23"/>
  <c r="W727" i="23"/>
  <c r="X727" i="23"/>
  <c r="AD671" i="23"/>
  <c r="X559" i="23"/>
  <c r="W559" i="23"/>
  <c r="K560" i="23"/>
  <c r="F560" i="23"/>
  <c r="X503" i="23"/>
  <c r="W503" i="23"/>
  <c r="W447" i="23"/>
  <c r="X447" i="23"/>
  <c r="N447" i="23"/>
  <c r="X391" i="23"/>
  <c r="W391" i="23"/>
  <c r="X335" i="23"/>
  <c r="W335" i="23"/>
  <c r="X279" i="23"/>
  <c r="W279" i="23"/>
  <c r="K280" i="23"/>
  <c r="F280" i="23"/>
  <c r="F4759" i="22"/>
  <c r="K4759" i="22"/>
  <c r="F4705" i="22"/>
  <c r="K4705" i="22"/>
  <c r="K4597" i="22"/>
  <c r="F4597" i="22"/>
  <c r="BQ72" i="22"/>
  <c r="BQ71" i="22"/>
  <c r="BQ70" i="22"/>
  <c r="K3565" i="22"/>
  <c r="F3565" i="22"/>
  <c r="O3565" i="22" s="1"/>
  <c r="BQ66" i="22"/>
  <c r="BQ65" i="22"/>
  <c r="K3349" i="22"/>
  <c r="F3349" i="22"/>
  <c r="O3349" i="22" s="1"/>
  <c r="F3295" i="22"/>
  <c r="O3295" i="22" s="1"/>
  <c r="K3295" i="22"/>
  <c r="BQ61" i="22"/>
  <c r="K3079" i="22"/>
  <c r="F3079" i="22"/>
  <c r="O3079" i="22" s="1"/>
  <c r="F3025" i="22"/>
  <c r="O3025" i="22" s="1"/>
  <c r="K3025" i="22"/>
  <c r="BQ57" i="22"/>
  <c r="BQ53" i="22"/>
  <c r="BQ52" i="22"/>
  <c r="F2647" i="22"/>
  <c r="O2647" i="22" s="1"/>
  <c r="K2647" i="22"/>
  <c r="F2593" i="22"/>
  <c r="O2593" i="22" s="1"/>
  <c r="K2593" i="22"/>
  <c r="K2539" i="22"/>
  <c r="F2539" i="22"/>
  <c r="O2539" i="22" s="1"/>
  <c r="K2269" i="22"/>
  <c r="F2269" i="22"/>
  <c r="O2269" i="22" s="1"/>
  <c r="K2215" i="22"/>
  <c r="F2215" i="22"/>
  <c r="O2215" i="22" s="1"/>
  <c r="F2161" i="22"/>
  <c r="O2161" i="22" s="1"/>
  <c r="K2161" i="22"/>
  <c r="BQ41" i="22"/>
  <c r="BQ40" i="22"/>
  <c r="K1891" i="22"/>
  <c r="F1891" i="22"/>
  <c r="O1891" i="22" s="1"/>
  <c r="K1837" i="22"/>
  <c r="F1837" i="22"/>
  <c r="O1837" i="22" s="1"/>
  <c r="BQ35" i="22"/>
  <c r="F1729" i="22"/>
  <c r="O1729" i="22" s="1"/>
  <c r="K1729" i="22"/>
  <c r="BQ29" i="22"/>
  <c r="K1405" i="22"/>
  <c r="F1405" i="22"/>
  <c r="O1405" i="22" s="1"/>
  <c r="F1351" i="22"/>
  <c r="O1351" i="22" s="1"/>
  <c r="K1351" i="22"/>
  <c r="K1297" i="22"/>
  <c r="F1297" i="22"/>
  <c r="O1297" i="22" s="1"/>
  <c r="F973" i="22"/>
  <c r="O973" i="22" s="1"/>
  <c r="K973" i="22"/>
  <c r="K595" i="22"/>
  <c r="F595" i="22"/>
  <c r="O595" i="22" s="1"/>
  <c r="K271" i="22"/>
  <c r="F271" i="22"/>
  <c r="O271" i="22" s="1"/>
  <c r="F46" i="18"/>
  <c r="G46" i="18"/>
  <c r="H46" i="18"/>
  <c r="AZ47" i="17"/>
  <c r="BP55" i="22"/>
  <c r="G96" i="7" l="1"/>
  <c r="U1458" i="22"/>
  <c r="AR29" i="22"/>
  <c r="BD29" i="22"/>
  <c r="G108" i="7"/>
  <c r="G46" i="7"/>
  <c r="U378" i="22"/>
  <c r="AR9" i="22"/>
  <c r="BD9" i="22"/>
  <c r="K841" i="23"/>
  <c r="F841" i="23"/>
  <c r="K505" i="23"/>
  <c r="F505" i="23"/>
  <c r="K4190" i="22"/>
  <c r="F4190" i="22"/>
  <c r="O4190" i="22" s="1"/>
  <c r="K3026" i="22"/>
  <c r="F3026" i="22"/>
  <c r="O3026" i="22" s="1"/>
  <c r="BR58" i="22" s="1"/>
  <c r="K2972" i="22"/>
  <c r="F2972" i="22"/>
  <c r="O2972" i="22" s="1"/>
  <c r="BR57" i="22" s="1"/>
  <c r="K2054" i="22"/>
  <c r="F2054" i="22"/>
  <c r="O2054" i="22" s="1"/>
  <c r="BR40" i="22" s="1"/>
  <c r="K1946" i="22"/>
  <c r="F1946" i="22"/>
  <c r="O1946" i="22" s="1"/>
  <c r="BR38" i="22" s="1"/>
  <c r="K1892" i="22"/>
  <c r="F1892" i="22"/>
  <c r="O1892" i="22" s="1"/>
  <c r="BR37" i="22" s="1"/>
  <c r="K1838" i="22"/>
  <c r="F1838" i="22"/>
  <c r="O1838" i="22" s="1"/>
  <c r="BR36" i="22" s="1"/>
  <c r="K1514" i="22"/>
  <c r="F1514" i="22"/>
  <c r="O1514" i="22" s="1"/>
  <c r="BR30" i="22" s="1"/>
  <c r="K1190" i="22"/>
  <c r="F1190" i="22"/>
  <c r="O1190" i="22" s="1"/>
  <c r="E105" i="8"/>
  <c r="E107" i="8"/>
  <c r="Y1624" i="23"/>
  <c r="H106" i="8"/>
  <c r="M1625" i="23"/>
  <c r="J1625" i="23"/>
  <c r="N1625" i="23" s="1"/>
  <c r="D1625" i="23"/>
  <c r="O1625" i="23"/>
  <c r="AB1625" i="23"/>
  <c r="AC1625" i="23"/>
  <c r="P1625" i="23"/>
  <c r="Q1625" i="23"/>
  <c r="R1625" i="23"/>
  <c r="AF1625" i="23"/>
  <c r="I1626" i="23"/>
  <c r="L1626" i="23"/>
  <c r="C1626" i="23"/>
  <c r="E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P1457" i="23"/>
  <c r="Q1457" i="23"/>
  <c r="R1457" i="23"/>
  <c r="AF1457" i="23"/>
  <c r="L1458" i="23"/>
  <c r="I1458" i="23"/>
  <c r="B1459" i="23"/>
  <c r="C1458" i="23"/>
  <c r="E1458" i="23"/>
  <c r="G1458" i="23"/>
  <c r="J1457" i="23"/>
  <c r="D1457" i="23"/>
  <c r="M1401" i="23"/>
  <c r="L1402" i="23"/>
  <c r="I1402" i="23"/>
  <c r="C1402" i="23"/>
  <c r="E1402" i="23"/>
  <c r="G1402" i="23"/>
  <c r="B1403" i="23"/>
  <c r="J1401" i="23"/>
  <c r="N1401" i="23" s="1"/>
  <c r="D1401" i="23"/>
  <c r="O1401" i="23"/>
  <c r="Y1401" i="23" s="1"/>
  <c r="AB1401" i="23"/>
  <c r="AC1401" i="23" s="1"/>
  <c r="P1401" i="23"/>
  <c r="Q1401" i="23"/>
  <c r="R1401" i="23"/>
  <c r="AF1401" i="23"/>
  <c r="L1346" i="23"/>
  <c r="I1346" i="23"/>
  <c r="C1346" i="23"/>
  <c r="E1346" i="23"/>
  <c r="G1346" i="23"/>
  <c r="B1347" i="23"/>
  <c r="J1345" i="23"/>
  <c r="D1345" i="23"/>
  <c r="P1345" i="23"/>
  <c r="Q1345" i="23"/>
  <c r="R1345" i="23"/>
  <c r="AF1345"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P1177" i="23"/>
  <c r="Q1177" i="23"/>
  <c r="R1177" i="23"/>
  <c r="AF1177" i="23"/>
  <c r="J1177" i="23"/>
  <c r="D1177" i="23"/>
  <c r="L1178" i="23"/>
  <c r="I1178" i="23"/>
  <c r="C1178" i="23"/>
  <c r="K1178" i="23" s="1"/>
  <c r="E1178" i="23"/>
  <c r="F1178" i="23"/>
  <c r="G1178" i="23"/>
  <c r="B1179" i="23"/>
  <c r="M1121" i="23"/>
  <c r="J1121" i="23"/>
  <c r="N1121" i="23" s="1"/>
  <c r="D1121" i="23"/>
  <c r="O1121" i="23"/>
  <c r="Y1121" i="23" s="1"/>
  <c r="AB1121" i="23"/>
  <c r="AC1121" i="23"/>
  <c r="P1121" i="23"/>
  <c r="Q1121" i="23"/>
  <c r="R1121" i="23"/>
  <c r="W1121" i="23"/>
  <c r="X1121" i="23"/>
  <c r="AF1121" i="23"/>
  <c r="L1122" i="23"/>
  <c r="I1122" i="23"/>
  <c r="B1123" i="23"/>
  <c r="C1122" i="23"/>
  <c r="K1122" i="23" s="1"/>
  <c r="E1122" i="23"/>
  <c r="F1122" i="23"/>
  <c r="G1122" i="23"/>
  <c r="L1066" i="23"/>
  <c r="I1066" i="23"/>
  <c r="B1067" i="23"/>
  <c r="C1066" i="23"/>
  <c r="E1066" i="23"/>
  <c r="G1066" i="23"/>
  <c r="J1065" i="23"/>
  <c r="D1065" i="23"/>
  <c r="P1065" i="23"/>
  <c r="Q1065" i="23"/>
  <c r="R1065" i="23"/>
  <c r="AF1065" i="23"/>
  <c r="M1009" i="23"/>
  <c r="J1009" i="23"/>
  <c r="N1009" i="23" s="1"/>
  <c r="D1009" i="23"/>
  <c r="O1009" i="23"/>
  <c r="Y1009" i="23" s="1"/>
  <c r="AB1009" i="23"/>
  <c r="AC1009" i="23" s="1"/>
  <c r="P1009" i="23"/>
  <c r="Q1009" i="23"/>
  <c r="R1009" i="23"/>
  <c r="AF1009" i="23"/>
  <c r="L1010" i="23"/>
  <c r="I1010" i="23"/>
  <c r="C1010" i="23"/>
  <c r="E1010" i="23"/>
  <c r="G1010" i="23"/>
  <c r="B1011" i="23"/>
  <c r="J953" i="23"/>
  <c r="D953" i="23"/>
  <c r="P953" i="23"/>
  <c r="Q953" i="23"/>
  <c r="R953" i="23"/>
  <c r="AF953" i="23"/>
  <c r="L954" i="23"/>
  <c r="I954" i="23"/>
  <c r="C954" i="23"/>
  <c r="E954" i="23"/>
  <c r="G954" i="23"/>
  <c r="B955" i="23"/>
  <c r="J897" i="23"/>
  <c r="D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J729" i="23"/>
  <c r="D729" i="23"/>
  <c r="P729" i="23"/>
  <c r="Q729" i="23"/>
  <c r="R729" i="23"/>
  <c r="AF729" i="23"/>
  <c r="L730" i="23"/>
  <c r="I730" i="23"/>
  <c r="B731" i="23"/>
  <c r="G730" i="23"/>
  <c r="C730" i="23"/>
  <c r="E730"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E506" i="23"/>
  <c r="G506" i="23"/>
  <c r="B507" i="23"/>
  <c r="J449" i="23"/>
  <c r="D449" i="23"/>
  <c r="P449" i="23"/>
  <c r="Q449" i="23"/>
  <c r="R449" i="23"/>
  <c r="AF449" i="23"/>
  <c r="L450" i="23"/>
  <c r="I450" i="23"/>
  <c r="C450" i="23"/>
  <c r="E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M4760" i="22"/>
  <c r="I4761" i="22"/>
  <c r="B4762" i="22"/>
  <c r="C4761" i="22"/>
  <c r="F4761" i="22" s="1"/>
  <c r="E4761" i="22"/>
  <c r="G4761" i="22"/>
  <c r="K4761" i="22"/>
  <c r="L4761" i="22"/>
  <c r="J4760" i="22"/>
  <c r="N4760" i="22" s="1"/>
  <c r="P100" i="12" s="1"/>
  <c r="D4760" i="22"/>
  <c r="P4760" i="22"/>
  <c r="Q4760" i="22"/>
  <c r="R4760" i="22"/>
  <c r="T4704" i="22"/>
  <c r="D35" i="15" s="1"/>
  <c r="T4705" i="22"/>
  <c r="D36" i="15" s="1"/>
  <c r="U4705" i="22"/>
  <c r="S4705" i="22"/>
  <c r="D4706" i="22"/>
  <c r="J4706" i="22"/>
  <c r="P4706" i="22"/>
  <c r="Q4706" i="22"/>
  <c r="R4706" i="22"/>
  <c r="L4707" i="22"/>
  <c r="C4707" i="22"/>
  <c r="E4707" i="22"/>
  <c r="G4707" i="22"/>
  <c r="I4707" i="22"/>
  <c r="B4708" i="22"/>
  <c r="P4652" i="22"/>
  <c r="Q4652" i="22"/>
  <c r="R4652" i="22"/>
  <c r="C4653" i="22"/>
  <c r="E4653" i="22"/>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K4545" i="22" s="1"/>
  <c r="E4545" i="22"/>
  <c r="F4545" i="22"/>
  <c r="G4545" i="22"/>
  <c r="I4545" i="22"/>
  <c r="B4546" i="22"/>
  <c r="D4244" i="22"/>
  <c r="J4244" i="22"/>
  <c r="N4244" i="22" s="1"/>
  <c r="U4244" i="22" s="1"/>
  <c r="P4244" i="22"/>
  <c r="Q4244" i="22"/>
  <c r="R4244" i="22"/>
  <c r="M4244" i="22"/>
  <c r="C4245" i="22"/>
  <c r="E4245" i="22"/>
  <c r="G4245" i="22"/>
  <c r="I4245" i="22"/>
  <c r="L4245" i="22"/>
  <c r="B4246" i="22"/>
  <c r="M4190" i="22"/>
  <c r="D4190" i="22"/>
  <c r="J4190" i="22"/>
  <c r="N4190" i="22" s="1"/>
  <c r="U4190" i="22" s="1"/>
  <c r="P4190" i="22"/>
  <c r="Q4190" i="22"/>
  <c r="R4190" i="22"/>
  <c r="L4191" i="22"/>
  <c r="C4191" i="22"/>
  <c r="K4191" i="22" s="1"/>
  <c r="E4191" i="22"/>
  <c r="F4191" i="22"/>
  <c r="O4191" i="22" s="1"/>
  <c r="G4191" i="22"/>
  <c r="I4191" i="22"/>
  <c r="B4192" i="22"/>
  <c r="D4136" i="22"/>
  <c r="J4136" i="22"/>
  <c r="P4136" i="22"/>
  <c r="Q4136" i="22"/>
  <c r="R4136" i="22"/>
  <c r="M4136" i="22"/>
  <c r="N4136" i="22"/>
  <c r="U4136" i="22" s="1"/>
  <c r="C4137" i="22"/>
  <c r="E4137" i="22"/>
  <c r="F4137" i="22"/>
  <c r="O4137" i="22" s="1"/>
  <c r="G4137" i="22"/>
  <c r="I4137" i="22"/>
  <c r="K4137" i="22"/>
  <c r="L4137" i="22"/>
  <c r="B4138" i="22"/>
  <c r="D4082" i="22"/>
  <c r="J4082" i="22"/>
  <c r="P4082" i="22"/>
  <c r="Q4082" i="22"/>
  <c r="R4082" i="22"/>
  <c r="M4082" i="22"/>
  <c r="N4082" i="22"/>
  <c r="U4082" i="22" s="1"/>
  <c r="L4083" i="22"/>
  <c r="C4083" i="22"/>
  <c r="F4083" i="22" s="1"/>
  <c r="O4083" i="22" s="1"/>
  <c r="E4083" i="22"/>
  <c r="G4083" i="22"/>
  <c r="I4083" i="22"/>
  <c r="K4083" i="22"/>
  <c r="B4084" i="22"/>
  <c r="U3781" i="22"/>
  <c r="AS72" i="22"/>
  <c r="BE72" i="22"/>
  <c r="M3782" i="22"/>
  <c r="D3782" i="22"/>
  <c r="J3782" i="22"/>
  <c r="N3782" i="22" s="1"/>
  <c r="P3782" i="22"/>
  <c r="Q3782" i="22"/>
  <c r="R3782" i="22"/>
  <c r="L3783" i="22"/>
  <c r="C3783" i="22"/>
  <c r="E3783" i="22"/>
  <c r="G3783" i="22"/>
  <c r="I3783" i="22"/>
  <c r="B3784" i="22"/>
  <c r="U3727" i="22"/>
  <c r="AS71" i="22"/>
  <c r="BE71" i="22"/>
  <c r="M3728" i="22"/>
  <c r="D3728" i="22"/>
  <c r="J3728" i="22"/>
  <c r="N3728" i="22" s="1"/>
  <c r="P3728" i="22"/>
  <c r="Q3728" i="22"/>
  <c r="R3728" i="22"/>
  <c r="L3729" i="22"/>
  <c r="C3729" i="22"/>
  <c r="K3729" i="22" s="1"/>
  <c r="E3729" i="22"/>
  <c r="F3729" i="22"/>
  <c r="O3729" i="22" s="1"/>
  <c r="G3729" i="22"/>
  <c r="I3729" i="22"/>
  <c r="B3730" i="22"/>
  <c r="U3673" i="22"/>
  <c r="AS70" i="22"/>
  <c r="BE70" i="22"/>
  <c r="M3674" i="22"/>
  <c r="D3674" i="22"/>
  <c r="J3674" i="22"/>
  <c r="N3674" i="22" s="1"/>
  <c r="P3674" i="22"/>
  <c r="Q3674" i="22"/>
  <c r="R3674" i="22"/>
  <c r="L3675" i="22"/>
  <c r="C3675" i="22"/>
  <c r="E3675" i="22"/>
  <c r="G3675" i="22"/>
  <c r="I3675" i="22"/>
  <c r="B3676" i="22"/>
  <c r="U3619" i="22"/>
  <c r="AS69" i="22"/>
  <c r="BE69" i="22"/>
  <c r="M3620" i="22"/>
  <c r="D3620" i="22"/>
  <c r="J3620" i="22"/>
  <c r="N3620" i="22" s="1"/>
  <c r="P3620" i="22"/>
  <c r="Q3620" i="22"/>
  <c r="R3620" i="22"/>
  <c r="L3621" i="22"/>
  <c r="C3621" i="22"/>
  <c r="E3621" i="22"/>
  <c r="G3621" i="22"/>
  <c r="I3621" i="22"/>
  <c r="B3622" i="22"/>
  <c r="P3566" i="22"/>
  <c r="Q3566" i="22"/>
  <c r="R3566" i="22"/>
  <c r="D3566" i="22"/>
  <c r="J3566" i="22"/>
  <c r="L3567" i="22"/>
  <c r="E3567" i="22"/>
  <c r="G3567" i="22"/>
  <c r="B3568" i="22"/>
  <c r="C3567" i="22"/>
  <c r="I3567"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M3458" i="22"/>
  <c r="D3458" i="22"/>
  <c r="J3458" i="22"/>
  <c r="N3458" i="22" s="1"/>
  <c r="P3458" i="22"/>
  <c r="Q3458" i="22"/>
  <c r="R3458" i="22"/>
  <c r="L3459" i="22"/>
  <c r="C3459" i="22"/>
  <c r="K3459" i="22" s="1"/>
  <c r="E3459" i="22"/>
  <c r="F3459" i="22"/>
  <c r="O3459" i="22" s="1"/>
  <c r="G3459" i="22"/>
  <c r="I3459" i="22"/>
  <c r="B3460" i="22"/>
  <c r="U3403" i="22"/>
  <c r="AS65" i="22"/>
  <c r="BE65" i="22"/>
  <c r="M3404" i="22"/>
  <c r="D3404" i="22"/>
  <c r="J3404" i="22"/>
  <c r="N3404" i="22" s="1"/>
  <c r="P3404" i="22"/>
  <c r="Q3404" i="22"/>
  <c r="R3404" i="22"/>
  <c r="L3405" i="22"/>
  <c r="C3405" i="22"/>
  <c r="E3405" i="22"/>
  <c r="G3405" i="22"/>
  <c r="I3405" i="22"/>
  <c r="B3406" i="22"/>
  <c r="M3350" i="22"/>
  <c r="D3350" i="22"/>
  <c r="J3350" i="22"/>
  <c r="N3350" i="22" s="1"/>
  <c r="P3350" i="22"/>
  <c r="Q3350" i="22"/>
  <c r="R3350" i="22"/>
  <c r="L3351" i="22"/>
  <c r="C3351" i="22"/>
  <c r="E3351" i="22"/>
  <c r="G3351" i="22"/>
  <c r="I3351" i="22"/>
  <c r="B3352" i="22"/>
  <c r="M3296" i="22"/>
  <c r="D3296" i="22"/>
  <c r="J3296" i="22"/>
  <c r="N3296" i="22" s="1"/>
  <c r="P3296" i="22"/>
  <c r="Q3296" i="22"/>
  <c r="R3296" i="22"/>
  <c r="L3297" i="22"/>
  <c r="C3297" i="22"/>
  <c r="E3297" i="22"/>
  <c r="G3297" i="22"/>
  <c r="I3297" i="22"/>
  <c r="B3298" i="22"/>
  <c r="U3241" i="22"/>
  <c r="AS62" i="22"/>
  <c r="BE62" i="22"/>
  <c r="L3243" i="22"/>
  <c r="E3243" i="22"/>
  <c r="I3243" i="22"/>
  <c r="C3243" i="22"/>
  <c r="G3243" i="22"/>
  <c r="B3244" i="22"/>
  <c r="D3242" i="22"/>
  <c r="J3242" i="22"/>
  <c r="P3242" i="22"/>
  <c r="R3242" i="22"/>
  <c r="Q3242" i="22"/>
  <c r="U3187" i="22"/>
  <c r="AS61" i="22"/>
  <c r="BE61" i="22"/>
  <c r="D3188" i="22"/>
  <c r="J3188" i="22"/>
  <c r="P3188" i="22"/>
  <c r="Q3188" i="22"/>
  <c r="R3188" i="22"/>
  <c r="L3189" i="22"/>
  <c r="C3189" i="22"/>
  <c r="K3189" i="22" s="1"/>
  <c r="E3189" i="22"/>
  <c r="F3189" i="22"/>
  <c r="O3189" i="22" s="1"/>
  <c r="BS61" i="22" s="1"/>
  <c r="G3189" i="22"/>
  <c r="I3189" i="22"/>
  <c r="B3190" i="22"/>
  <c r="U3133" i="22"/>
  <c r="AS60" i="22"/>
  <c r="BE60" i="22"/>
  <c r="M3134" i="22"/>
  <c r="D3134" i="22"/>
  <c r="J3134" i="22"/>
  <c r="N3134" i="22" s="1"/>
  <c r="P3134" i="22"/>
  <c r="Q3134" i="22"/>
  <c r="R3134" i="22"/>
  <c r="L3135" i="22"/>
  <c r="C3135" i="22"/>
  <c r="K3135" i="22" s="1"/>
  <c r="E3135" i="22"/>
  <c r="F3135" i="22"/>
  <c r="O3135" i="22" s="1"/>
  <c r="G3135" i="22"/>
  <c r="I3135" i="22"/>
  <c r="B3136" i="22"/>
  <c r="M3080" i="22"/>
  <c r="D3080" i="22"/>
  <c r="J3080" i="22"/>
  <c r="N3080" i="22" s="1"/>
  <c r="P3080" i="22"/>
  <c r="Q3080" i="22"/>
  <c r="R3080" i="22"/>
  <c r="L3081" i="22"/>
  <c r="C3081" i="22"/>
  <c r="E3081" i="22"/>
  <c r="G3081" i="22"/>
  <c r="I3081" i="22"/>
  <c r="B3082" i="22"/>
  <c r="M3026" i="22"/>
  <c r="D3026" i="22"/>
  <c r="J3026" i="22"/>
  <c r="N3026" i="22" s="1"/>
  <c r="P3026" i="22"/>
  <c r="Q3026" i="22"/>
  <c r="R3026" i="22"/>
  <c r="L3027" i="22"/>
  <c r="C3027" i="22"/>
  <c r="K3027" i="22" s="1"/>
  <c r="E3027" i="22"/>
  <c r="F3027" i="22"/>
  <c r="O3027" i="22" s="1"/>
  <c r="G3027" i="22"/>
  <c r="I3027" i="22"/>
  <c r="B3028" i="22"/>
  <c r="U2971" i="22"/>
  <c r="AS57" i="22"/>
  <c r="BE57" i="22"/>
  <c r="M2972" i="22"/>
  <c r="D2972" i="22"/>
  <c r="J2972" i="22"/>
  <c r="N2972" i="22" s="1"/>
  <c r="P2972" i="22"/>
  <c r="Q2972" i="22"/>
  <c r="R2972" i="22"/>
  <c r="L2973" i="22"/>
  <c r="C2973" i="22"/>
  <c r="E2973" i="22"/>
  <c r="G2973" i="22"/>
  <c r="I2973" i="22"/>
  <c r="B2974" i="22"/>
  <c r="U2917" i="22"/>
  <c r="AS56" i="22"/>
  <c r="BE56" i="22"/>
  <c r="M2918" i="22"/>
  <c r="D2918" i="22"/>
  <c r="J2918" i="22"/>
  <c r="N2918" i="22" s="1"/>
  <c r="P2918" i="22"/>
  <c r="Q2918" i="22"/>
  <c r="R2918" i="22"/>
  <c r="L2919" i="22"/>
  <c r="C2919" i="22"/>
  <c r="E2919" i="22"/>
  <c r="G2919" i="22"/>
  <c r="I2919" i="22"/>
  <c r="B2920" i="22"/>
  <c r="U2863" i="22"/>
  <c r="AS55" i="22"/>
  <c r="BE55" i="22"/>
  <c r="M2864" i="22"/>
  <c r="D2864" i="22"/>
  <c r="J2864" i="22"/>
  <c r="N2864" i="22" s="1"/>
  <c r="P2864" i="22"/>
  <c r="Q2864" i="22"/>
  <c r="R2864" i="22"/>
  <c r="L2865" i="22"/>
  <c r="C2865" i="22"/>
  <c r="E2865" i="22"/>
  <c r="G2865" i="22"/>
  <c r="I2865" i="22"/>
  <c r="B2866" i="22"/>
  <c r="S2809" i="22"/>
  <c r="AS54" i="22"/>
  <c r="BE54" i="22"/>
  <c r="AL1624" i="23"/>
  <c r="U2809" i="22"/>
  <c r="D2810" i="22"/>
  <c r="J2810" i="22"/>
  <c r="P2810" i="22"/>
  <c r="Q2810" i="22"/>
  <c r="R2810" i="22"/>
  <c r="T2810" i="22"/>
  <c r="L2811" i="22"/>
  <c r="C2811" i="22"/>
  <c r="K2811" i="22" s="1"/>
  <c r="E2811" i="22"/>
  <c r="F2811" i="22"/>
  <c r="O2811" i="22" s="1"/>
  <c r="BS54" i="22" s="1"/>
  <c r="G2811" i="22"/>
  <c r="I2811" i="22"/>
  <c r="B2812" i="22"/>
  <c r="U2755" i="22"/>
  <c r="AS53" i="22"/>
  <c r="BE53" i="22"/>
  <c r="D2756" i="22"/>
  <c r="J2756" i="22"/>
  <c r="P2756" i="22"/>
  <c r="Q2756" i="22"/>
  <c r="R2756" i="22"/>
  <c r="L2757" i="22"/>
  <c r="C2757" i="22"/>
  <c r="K2757" i="22" s="1"/>
  <c r="E2757" i="22"/>
  <c r="F2757" i="22"/>
  <c r="O2757" i="22" s="1"/>
  <c r="BS53" i="22" s="1"/>
  <c r="G2757" i="22"/>
  <c r="I2757" i="22"/>
  <c r="B2758" i="22"/>
  <c r="U2701" i="22"/>
  <c r="AS52" i="22"/>
  <c r="BE52" i="22"/>
  <c r="D2702" i="22"/>
  <c r="J2702" i="22"/>
  <c r="P2702" i="22"/>
  <c r="Q2702" i="22"/>
  <c r="R2702" i="22"/>
  <c r="L2703" i="22"/>
  <c r="C2703" i="22"/>
  <c r="K2703" i="22" s="1"/>
  <c r="E2703" i="22"/>
  <c r="F2703" i="22"/>
  <c r="O2703" i="22" s="1"/>
  <c r="BS52" i="22" s="1"/>
  <c r="G2703" i="22"/>
  <c r="I2703" i="22"/>
  <c r="B2704" i="22"/>
  <c r="M2648" i="22"/>
  <c r="D2648" i="22"/>
  <c r="J2648" i="22"/>
  <c r="N2648" i="22" s="1"/>
  <c r="P2648" i="22"/>
  <c r="Q2648" i="22"/>
  <c r="R2648" i="22"/>
  <c r="L2649" i="22"/>
  <c r="G2649" i="22"/>
  <c r="B2650" i="22"/>
  <c r="C2649" i="22"/>
  <c r="E2649" i="22"/>
  <c r="I2649" i="22"/>
  <c r="M2594" i="22"/>
  <c r="D2594" i="22"/>
  <c r="J2594" i="22"/>
  <c r="N2594" i="22" s="1"/>
  <c r="P2594" i="22"/>
  <c r="Q2594" i="22"/>
  <c r="R2594" i="22"/>
  <c r="L2595" i="22"/>
  <c r="C2595" i="22"/>
  <c r="E2595" i="22"/>
  <c r="G2595" i="22"/>
  <c r="I2595" i="22"/>
  <c r="B2596" i="22"/>
  <c r="M2540" i="22"/>
  <c r="D2540" i="22"/>
  <c r="J2540" i="22"/>
  <c r="N2540" i="22" s="1"/>
  <c r="P2540" i="22"/>
  <c r="Q2540" i="22"/>
  <c r="R2540" i="22"/>
  <c r="L2541" i="22"/>
  <c r="C2541" i="22"/>
  <c r="E2541" i="22"/>
  <c r="G2541" i="22"/>
  <c r="I2541" i="22"/>
  <c r="B2542" i="22"/>
  <c r="U2485" i="22"/>
  <c r="AS48" i="22"/>
  <c r="BE48" i="22"/>
  <c r="M2486" i="22"/>
  <c r="D2486" i="22"/>
  <c r="J2486" i="22"/>
  <c r="N2486" i="22" s="1"/>
  <c r="BR48" i="22"/>
  <c r="P2486" i="22"/>
  <c r="Q2486" i="22"/>
  <c r="R2486" i="22"/>
  <c r="L2487" i="22"/>
  <c r="C2487" i="22"/>
  <c r="E2487" i="22"/>
  <c r="G2487" i="22"/>
  <c r="I2487" i="22"/>
  <c r="B2488" i="22"/>
  <c r="U2431" i="22"/>
  <c r="AS47" i="22"/>
  <c r="BE47" i="22"/>
  <c r="M2432" i="22"/>
  <c r="D2432" i="22"/>
  <c r="J2432" i="22"/>
  <c r="N2432" i="22" s="1"/>
  <c r="P2432" i="22"/>
  <c r="Q2432" i="22"/>
  <c r="R2432" i="22"/>
  <c r="L2433" i="22"/>
  <c r="C2433" i="22"/>
  <c r="K2433" i="22" s="1"/>
  <c r="E2433" i="22"/>
  <c r="F2433" i="22"/>
  <c r="O2433" i="22" s="1"/>
  <c r="BS47" i="22" s="1"/>
  <c r="G2433" i="22"/>
  <c r="I2433" i="22"/>
  <c r="B2434" i="22"/>
  <c r="U2377" i="22"/>
  <c r="AS46" i="22"/>
  <c r="BE46" i="22"/>
  <c r="M2378" i="22"/>
  <c r="D2378" i="22"/>
  <c r="J2378" i="22"/>
  <c r="N2378" i="22" s="1"/>
  <c r="P2378" i="22"/>
  <c r="Q2378" i="22"/>
  <c r="R2378" i="22"/>
  <c r="L2379" i="22"/>
  <c r="C2379" i="22"/>
  <c r="K2379" i="22" s="1"/>
  <c r="E2379" i="22"/>
  <c r="F2379" i="22"/>
  <c r="O2379" i="22" s="1"/>
  <c r="BS46" i="22" s="1"/>
  <c r="G2379" i="22"/>
  <c r="I2379" i="22"/>
  <c r="B2380" i="22"/>
  <c r="U2323" i="22"/>
  <c r="AS45" i="22"/>
  <c r="BE45" i="22"/>
  <c r="M2324" i="22"/>
  <c r="D2324" i="22"/>
  <c r="J2324" i="22"/>
  <c r="N2324" i="22" s="1"/>
  <c r="P2324" i="22"/>
  <c r="Q2324" i="22"/>
  <c r="R2324" i="22"/>
  <c r="L2325" i="22"/>
  <c r="C2325" i="22"/>
  <c r="K2325" i="22" s="1"/>
  <c r="E2325" i="22"/>
  <c r="F2325" i="22"/>
  <c r="O2325" i="22" s="1"/>
  <c r="G2325" i="22"/>
  <c r="I2325" i="22"/>
  <c r="B2326" i="22"/>
  <c r="M2270" i="22"/>
  <c r="D2270" i="22"/>
  <c r="J2270" i="22"/>
  <c r="N2270" i="22" s="1"/>
  <c r="P2270" i="22"/>
  <c r="Q2270" i="22"/>
  <c r="R2270" i="22"/>
  <c r="L2271" i="22"/>
  <c r="C2271" i="22"/>
  <c r="K2271" i="22" s="1"/>
  <c r="E2271" i="22"/>
  <c r="F2271" i="22"/>
  <c r="O2271" i="22" s="1"/>
  <c r="G2271" i="22"/>
  <c r="I2271" i="22"/>
  <c r="B2272" i="22"/>
  <c r="M2216" i="22"/>
  <c r="D2216" i="22"/>
  <c r="J2216" i="22"/>
  <c r="N2216" i="22" s="1"/>
  <c r="P2216" i="22"/>
  <c r="Q2216" i="22"/>
  <c r="R2216" i="22"/>
  <c r="L2217" i="22"/>
  <c r="C2217" i="22"/>
  <c r="E2217" i="22"/>
  <c r="G2217" i="22"/>
  <c r="I2217" i="22"/>
  <c r="B2218" i="22"/>
  <c r="M2162" i="22"/>
  <c r="D2162" i="22"/>
  <c r="J2162" i="22"/>
  <c r="N2162" i="22" s="1"/>
  <c r="P2162" i="22"/>
  <c r="Q2162" i="22"/>
  <c r="R2162" i="22"/>
  <c r="L2163" i="22"/>
  <c r="C2163" i="22"/>
  <c r="E2163" i="22"/>
  <c r="G2163" i="22"/>
  <c r="I2163" i="22"/>
  <c r="B2164" i="22"/>
  <c r="U2107" i="22"/>
  <c r="AS41" i="22"/>
  <c r="BE41" i="22"/>
  <c r="D2108" i="22"/>
  <c r="M2108" i="22" s="1"/>
  <c r="J2108" i="22"/>
  <c r="P2108" i="22"/>
  <c r="Q2108" i="22"/>
  <c r="R2108" i="22"/>
  <c r="L2109" i="22"/>
  <c r="C2109" i="22"/>
  <c r="E2109" i="22"/>
  <c r="G2109" i="22"/>
  <c r="I2109" i="22"/>
  <c r="B2110" i="22"/>
  <c r="U2053" i="22"/>
  <c r="AS40" i="22"/>
  <c r="BE40" i="22"/>
  <c r="M2054" i="22"/>
  <c r="D2054" i="22"/>
  <c r="J2054" i="22"/>
  <c r="N2054" i="22" s="1"/>
  <c r="P2054" i="22"/>
  <c r="Q2054" i="22"/>
  <c r="R2054" i="22"/>
  <c r="L2055" i="22"/>
  <c r="C2055" i="22"/>
  <c r="K2055" i="22" s="1"/>
  <c r="E2055" i="22"/>
  <c r="F2055" i="22"/>
  <c r="O2055" i="22" s="1"/>
  <c r="BS40" i="22" s="1"/>
  <c r="G2055" i="22"/>
  <c r="I2055" i="22"/>
  <c r="B2056" i="22"/>
  <c r="U1999" i="22"/>
  <c r="AS39" i="22"/>
  <c r="BE39" i="22"/>
  <c r="D2000" i="22"/>
  <c r="J2000" i="22"/>
  <c r="P2000" i="22"/>
  <c r="Q2000" i="22"/>
  <c r="R2000" i="22"/>
  <c r="L2001" i="22"/>
  <c r="C2001" i="22"/>
  <c r="K2001" i="22" s="1"/>
  <c r="E2001" i="22"/>
  <c r="F2001" i="22"/>
  <c r="O2001" i="22" s="1"/>
  <c r="BS39" i="22" s="1"/>
  <c r="G2001" i="22"/>
  <c r="I2001" i="22"/>
  <c r="B2002" i="22"/>
  <c r="U1945" i="22"/>
  <c r="AS38" i="22"/>
  <c r="BE38" i="22"/>
  <c r="M1946" i="22"/>
  <c r="D1946" i="22"/>
  <c r="J1946" i="22"/>
  <c r="N1946" i="22" s="1"/>
  <c r="P1946" i="22"/>
  <c r="Q1946" i="22"/>
  <c r="R1946" i="22"/>
  <c r="L1947" i="22"/>
  <c r="C1947" i="22"/>
  <c r="K1947" i="22" s="1"/>
  <c r="E1947" i="22"/>
  <c r="F1947" i="22"/>
  <c r="O1947" i="22" s="1"/>
  <c r="G1947" i="22"/>
  <c r="I1947" i="22"/>
  <c r="B1948" i="22"/>
  <c r="M1892" i="22"/>
  <c r="D1892" i="22"/>
  <c r="J1892" i="22"/>
  <c r="N1892" i="22" s="1"/>
  <c r="P1892" i="22"/>
  <c r="Q1892" i="22"/>
  <c r="R1892" i="22"/>
  <c r="L1893" i="22"/>
  <c r="C1893" i="22"/>
  <c r="K1893" i="22" s="1"/>
  <c r="E1893" i="22"/>
  <c r="F1893" i="22"/>
  <c r="O1893" i="22" s="1"/>
  <c r="G1893" i="22"/>
  <c r="I1893" i="22"/>
  <c r="B1894" i="22"/>
  <c r="M1838" i="22"/>
  <c r="D1838" i="22"/>
  <c r="J1838" i="22"/>
  <c r="N1838" i="22" s="1"/>
  <c r="P1838" i="22"/>
  <c r="Q1838" i="22"/>
  <c r="R1838" i="22"/>
  <c r="L1839" i="22"/>
  <c r="C1839" i="22"/>
  <c r="E1839" i="22"/>
  <c r="G1839" i="22"/>
  <c r="I1839" i="22"/>
  <c r="B1840" i="22"/>
  <c r="U1783" i="22"/>
  <c r="AS35" i="22"/>
  <c r="BE35" i="22"/>
  <c r="M1784" i="22"/>
  <c r="D1784" i="22"/>
  <c r="J1784" i="22"/>
  <c r="N1784" i="22" s="1"/>
  <c r="P1784" i="22"/>
  <c r="Q1784" i="22"/>
  <c r="R1784" i="22"/>
  <c r="L1785" i="22"/>
  <c r="C1785" i="22"/>
  <c r="K1785" i="22" s="1"/>
  <c r="E1785" i="22"/>
  <c r="F1785" i="22"/>
  <c r="O1785" i="22" s="1"/>
  <c r="G1785" i="22"/>
  <c r="I1785" i="22"/>
  <c r="B1786" i="22"/>
  <c r="M1730" i="22"/>
  <c r="D1730" i="22"/>
  <c r="J1730" i="22"/>
  <c r="N1730" i="22" s="1"/>
  <c r="P1730" i="22"/>
  <c r="Q1730" i="22"/>
  <c r="R1730" i="22"/>
  <c r="L1731" i="22"/>
  <c r="C1731" i="22"/>
  <c r="E1731" i="22"/>
  <c r="G1731" i="22"/>
  <c r="I1731" i="22"/>
  <c r="B1732" i="22"/>
  <c r="U1675" i="22"/>
  <c r="AS33" i="22"/>
  <c r="BE33" i="22"/>
  <c r="M1676" i="22"/>
  <c r="D1676" i="22"/>
  <c r="J1676" i="22"/>
  <c r="N1676" i="22" s="1"/>
  <c r="P1676" i="22"/>
  <c r="Q1676" i="22"/>
  <c r="R1676" i="22"/>
  <c r="L1677" i="22"/>
  <c r="C1677" i="22"/>
  <c r="K1677" i="22" s="1"/>
  <c r="E1677" i="22"/>
  <c r="F1677" i="22"/>
  <c r="O1677" i="22" s="1"/>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U1567" i="22"/>
  <c r="AS31" i="22"/>
  <c r="BE31" i="22"/>
  <c r="M1568" i="22"/>
  <c r="D1568" i="22"/>
  <c r="J1568" i="22"/>
  <c r="N1568" i="22" s="1"/>
  <c r="P1568" i="22"/>
  <c r="Q1568" i="22"/>
  <c r="R1568" i="22"/>
  <c r="L1569" i="22"/>
  <c r="C1569" i="22"/>
  <c r="K1569" i="22" s="1"/>
  <c r="E1569" i="22"/>
  <c r="F1569" i="22"/>
  <c r="O1569" i="22" s="1"/>
  <c r="G1569" i="22"/>
  <c r="I1569" i="22"/>
  <c r="B1570" i="22"/>
  <c r="U1513" i="22"/>
  <c r="AS30" i="22"/>
  <c r="BE30" i="22"/>
  <c r="M1514" i="22"/>
  <c r="D1514" i="22"/>
  <c r="J1514" i="22"/>
  <c r="N1514" i="22" s="1"/>
  <c r="P1514" i="22"/>
  <c r="Q1514" i="22"/>
  <c r="R1514" i="22"/>
  <c r="L1515" i="22"/>
  <c r="C1515" i="22"/>
  <c r="K1515" i="22" s="1"/>
  <c r="E1515" i="22"/>
  <c r="F1515" i="22"/>
  <c r="O1515" i="22" s="1"/>
  <c r="G1515" i="22"/>
  <c r="I1515" i="22"/>
  <c r="B1516" i="22"/>
  <c r="U1459" i="22"/>
  <c r="AS29" i="22"/>
  <c r="BE29" i="22"/>
  <c r="M1460" i="22"/>
  <c r="D1460" i="22"/>
  <c r="J1460" i="22"/>
  <c r="N1460" i="22" s="1"/>
  <c r="P1460" i="22"/>
  <c r="Q1460" i="22"/>
  <c r="R1460" i="22"/>
  <c r="L1461" i="22"/>
  <c r="C1461" i="22"/>
  <c r="K1461" i="22" s="1"/>
  <c r="E1461" i="22"/>
  <c r="F1461" i="22"/>
  <c r="O1461" i="22" s="1"/>
  <c r="G1461" i="22"/>
  <c r="I1461" i="22"/>
  <c r="B1462" i="22"/>
  <c r="P1406" i="22"/>
  <c r="Q1406" i="22"/>
  <c r="R1406" i="22"/>
  <c r="L1407" i="22"/>
  <c r="I1407" i="22"/>
  <c r="C1407" i="22"/>
  <c r="E1407" i="22"/>
  <c r="G1407" i="22"/>
  <c r="B1408" i="22"/>
  <c r="J1406" i="22"/>
  <c r="D1406" i="22"/>
  <c r="M1352" i="22"/>
  <c r="P1352" i="22"/>
  <c r="Q1352" i="22"/>
  <c r="R1352" i="22"/>
  <c r="D1352" i="22"/>
  <c r="J1352" i="22"/>
  <c r="N1352" i="22" s="1"/>
  <c r="L1353" i="22"/>
  <c r="E1353" i="22"/>
  <c r="G1353" i="22"/>
  <c r="I1353" i="22"/>
  <c r="C1353" i="22"/>
  <c r="B1354" i="22"/>
  <c r="D1298" i="22"/>
  <c r="J1298" i="22"/>
  <c r="P1298" i="22"/>
  <c r="Q1298" i="22"/>
  <c r="R1298" i="22"/>
  <c r="L1299" i="22"/>
  <c r="C1299" i="22"/>
  <c r="E1299" i="22"/>
  <c r="G1299" i="22"/>
  <c r="I1299" i="22"/>
  <c r="B1300" i="22"/>
  <c r="U1243" i="22"/>
  <c r="AS25" i="22"/>
  <c r="BE25" i="22"/>
  <c r="D1244" i="22"/>
  <c r="J1244" i="22"/>
  <c r="P1244" i="22"/>
  <c r="Q1244" i="22"/>
  <c r="R1244" i="22"/>
  <c r="L1245" i="22"/>
  <c r="C1245" i="22"/>
  <c r="E1245" i="22"/>
  <c r="G1245" i="22"/>
  <c r="I1245" i="22"/>
  <c r="B1246" i="22"/>
  <c r="H123" i="7"/>
  <c r="H61" i="7"/>
  <c r="U1189" i="22"/>
  <c r="AS24" i="22"/>
  <c r="BE24" i="22"/>
  <c r="M1190" i="22"/>
  <c r="D1190" i="22"/>
  <c r="J1190" i="22"/>
  <c r="N1190" i="22" s="1"/>
  <c r="I92" i="7"/>
  <c r="BR24" i="22"/>
  <c r="P1190" i="22"/>
  <c r="Q1190" i="22"/>
  <c r="R1190" i="22"/>
  <c r="L1191" i="22"/>
  <c r="C1191" i="22"/>
  <c r="K1191" i="22" s="1"/>
  <c r="E1191" i="22"/>
  <c r="F1191" i="22"/>
  <c r="O1191" i="22" s="1"/>
  <c r="G1191" i="22"/>
  <c r="I1191" i="22"/>
  <c r="B1192" i="22"/>
  <c r="H122" i="7"/>
  <c r="H60" i="7"/>
  <c r="U1135" i="22"/>
  <c r="AS23" i="22"/>
  <c r="BE23" i="22"/>
  <c r="M1136" i="22"/>
  <c r="D1136" i="22"/>
  <c r="J1136" i="22"/>
  <c r="N1136" i="22" s="1"/>
  <c r="I91" i="7"/>
  <c r="BR23" i="22"/>
  <c r="P1136" i="22"/>
  <c r="Q1136" i="22"/>
  <c r="R1136" i="22"/>
  <c r="L1137" i="22"/>
  <c r="C1137" i="22"/>
  <c r="K1137" i="22" s="1"/>
  <c r="E1137" i="22"/>
  <c r="F1137" i="22"/>
  <c r="O1137" i="22" s="1"/>
  <c r="G1137" i="22"/>
  <c r="I1137" i="22"/>
  <c r="B1138" i="22"/>
  <c r="H59" i="7"/>
  <c r="H121" i="7"/>
  <c r="U1081" i="22"/>
  <c r="AS22" i="22"/>
  <c r="BE22" i="22"/>
  <c r="M1082" i="22"/>
  <c r="D1082" i="22"/>
  <c r="J1082" i="22"/>
  <c r="N1082" i="22" s="1"/>
  <c r="I90" i="7"/>
  <c r="BR22" i="22"/>
  <c r="P1082" i="22"/>
  <c r="Q1082" i="22"/>
  <c r="R1082" i="22"/>
  <c r="L1083" i="22"/>
  <c r="C1083" i="22"/>
  <c r="K1083" i="22" s="1"/>
  <c r="E1083" i="22"/>
  <c r="F1083" i="22"/>
  <c r="O1083" i="22" s="1"/>
  <c r="G1083" i="22"/>
  <c r="I1083" i="22"/>
  <c r="B1084" i="22"/>
  <c r="H120" i="7"/>
  <c r="H58" i="7"/>
  <c r="U1027" i="22"/>
  <c r="AS21" i="22"/>
  <c r="BE21" i="22"/>
  <c r="D1028" i="22"/>
  <c r="M1028" i="22" s="1"/>
  <c r="J1028" i="22"/>
  <c r="I89" i="7"/>
  <c r="BR21" i="22"/>
  <c r="P1028" i="22"/>
  <c r="Q1028" i="22"/>
  <c r="R1028" i="22"/>
  <c r="L1029" i="22"/>
  <c r="C1029" i="22"/>
  <c r="K1029" i="22" s="1"/>
  <c r="E1029" i="22"/>
  <c r="F1029" i="22"/>
  <c r="O1029" i="22" s="1"/>
  <c r="G1029" i="22"/>
  <c r="I1029" i="22"/>
  <c r="B1030" i="22"/>
  <c r="M974" i="22"/>
  <c r="D974" i="22"/>
  <c r="J974" i="22"/>
  <c r="N974" i="22" s="1"/>
  <c r="I88" i="7"/>
  <c r="BR20" i="22"/>
  <c r="P974" i="22"/>
  <c r="Q974" i="22"/>
  <c r="R974" i="22"/>
  <c r="L975" i="22"/>
  <c r="C975" i="22"/>
  <c r="E975" i="22"/>
  <c r="G975" i="22"/>
  <c r="I975" i="22"/>
  <c r="B976" i="22"/>
  <c r="H56" i="7"/>
  <c r="H118" i="7"/>
  <c r="U919" i="22"/>
  <c r="AS19" i="22"/>
  <c r="BE19" i="22"/>
  <c r="M920" i="22"/>
  <c r="D920" i="22"/>
  <c r="J920" i="22"/>
  <c r="N920" i="22" s="1"/>
  <c r="I87" i="7"/>
  <c r="BR19" i="22"/>
  <c r="P920" i="22"/>
  <c r="Q920" i="22"/>
  <c r="R920" i="22"/>
  <c r="L921" i="22"/>
  <c r="C921" i="22"/>
  <c r="E921" i="22"/>
  <c r="G921" i="22"/>
  <c r="I921" i="22"/>
  <c r="B922" i="22"/>
  <c r="H117" i="7"/>
  <c r="H55" i="7"/>
  <c r="U865" i="22"/>
  <c r="AS18" i="22"/>
  <c r="BE18" i="22"/>
  <c r="D866" i="22"/>
  <c r="J866" i="22"/>
  <c r="P866" i="22"/>
  <c r="Q866" i="22"/>
  <c r="R866" i="22"/>
  <c r="L867" i="22"/>
  <c r="C867" i="22"/>
  <c r="K867" i="22" s="1"/>
  <c r="E867" i="22"/>
  <c r="F867" i="22"/>
  <c r="O867" i="22" s="1"/>
  <c r="G867" i="22"/>
  <c r="I867" i="22"/>
  <c r="B868" i="22"/>
  <c r="H54" i="7"/>
  <c r="H116" i="7"/>
  <c r="U811" i="22"/>
  <c r="AS17" i="22"/>
  <c r="BE17" i="22"/>
  <c r="M812" i="22"/>
  <c r="D812" i="22"/>
  <c r="J812" i="22"/>
  <c r="N812" i="22" s="1"/>
  <c r="I85" i="7"/>
  <c r="BR17" i="22"/>
  <c r="P812" i="22"/>
  <c r="Q812" i="22"/>
  <c r="R812" i="22"/>
  <c r="L813" i="22"/>
  <c r="C813" i="22"/>
  <c r="K813" i="22" s="1"/>
  <c r="E813" i="22"/>
  <c r="F813" i="22"/>
  <c r="O813" i="22" s="1"/>
  <c r="G813" i="22"/>
  <c r="I813" i="22"/>
  <c r="B814" i="22"/>
  <c r="H115" i="7"/>
  <c r="H53" i="7"/>
  <c r="U757" i="22"/>
  <c r="AS16" i="22"/>
  <c r="BE16" i="22"/>
  <c r="M758" i="22"/>
  <c r="D758" i="22"/>
  <c r="J758" i="22"/>
  <c r="N758" i="22" s="1"/>
  <c r="I84" i="7"/>
  <c r="BR16" i="22"/>
  <c r="P758" i="22"/>
  <c r="Q758" i="22"/>
  <c r="R758" i="22"/>
  <c r="L759" i="22"/>
  <c r="C759" i="22"/>
  <c r="K759" i="22" s="1"/>
  <c r="E759" i="22"/>
  <c r="F759" i="22"/>
  <c r="O759" i="22" s="1"/>
  <c r="G759" i="22"/>
  <c r="I759" i="22"/>
  <c r="B760" i="22"/>
  <c r="H114" i="7"/>
  <c r="H52" i="7"/>
  <c r="U703" i="22"/>
  <c r="AS15" i="22"/>
  <c r="BE15"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M596" i="22"/>
  <c r="D596" i="22"/>
  <c r="J596" i="22"/>
  <c r="N596" i="22" s="1"/>
  <c r="I81" i="7"/>
  <c r="BR13" i="22"/>
  <c r="P596" i="22"/>
  <c r="Q596" i="22"/>
  <c r="R596" i="22"/>
  <c r="L597" i="22"/>
  <c r="C597" i="22"/>
  <c r="E597" i="22"/>
  <c r="G597" i="22"/>
  <c r="I597" i="22"/>
  <c r="B598" i="22"/>
  <c r="H111" i="7"/>
  <c r="H49" i="7"/>
  <c r="U541" i="22"/>
  <c r="AS12" i="22"/>
  <c r="BE12" i="22"/>
  <c r="M542" i="22"/>
  <c r="D542" i="22"/>
  <c r="J542" i="22"/>
  <c r="N542" i="22" s="1"/>
  <c r="I80" i="7"/>
  <c r="BR12" i="22"/>
  <c r="P542" i="22"/>
  <c r="Q542" i="22"/>
  <c r="R542" i="22"/>
  <c r="L543" i="22"/>
  <c r="C543" i="22"/>
  <c r="E543" i="22"/>
  <c r="G543" i="22"/>
  <c r="I543" i="22"/>
  <c r="B544" i="22"/>
  <c r="H110" i="7"/>
  <c r="H48" i="7"/>
  <c r="U487" i="22"/>
  <c r="AS11" i="22"/>
  <c r="BE11" i="22"/>
  <c r="M488" i="22"/>
  <c r="D488" i="22"/>
  <c r="J488" i="22"/>
  <c r="N488" i="22" s="1"/>
  <c r="I79" i="7"/>
  <c r="BR11" i="22"/>
  <c r="P488" i="22"/>
  <c r="Q488" i="22"/>
  <c r="R488" i="22"/>
  <c r="L489" i="22"/>
  <c r="C489" i="22"/>
  <c r="E489" i="22"/>
  <c r="G489" i="22"/>
  <c r="I489" i="22"/>
  <c r="B490" i="22"/>
  <c r="H109" i="7"/>
  <c r="H47" i="7"/>
  <c r="AS10" i="22"/>
  <c r="BE10" i="22"/>
  <c r="U433" i="22"/>
  <c r="M434" i="22"/>
  <c r="D434" i="22"/>
  <c r="J434" i="22"/>
  <c r="N434" i="22" s="1"/>
  <c r="I78" i="7"/>
  <c r="BR10" i="22"/>
  <c r="P434" i="22"/>
  <c r="Q434" i="22"/>
  <c r="R434" i="22"/>
  <c r="L435" i="22"/>
  <c r="C435" i="22"/>
  <c r="K435" i="22" s="1"/>
  <c r="E435" i="22"/>
  <c r="F435" i="22"/>
  <c r="O435" i="22" s="1"/>
  <c r="G435" i="22"/>
  <c r="I435" i="22"/>
  <c r="B436" i="22"/>
  <c r="H108" i="7"/>
  <c r="H46" i="7"/>
  <c r="U379" i="22"/>
  <c r="AS9" i="22"/>
  <c r="BE9" i="22"/>
  <c r="M380" i="22"/>
  <c r="D380" i="22"/>
  <c r="J380" i="22"/>
  <c r="N380" i="22" s="1"/>
  <c r="I77" i="7"/>
  <c r="BR9" i="22"/>
  <c r="P380" i="22"/>
  <c r="Q380" i="22"/>
  <c r="R380" i="22"/>
  <c r="L381" i="22"/>
  <c r="C381" i="22"/>
  <c r="K381" i="22" s="1"/>
  <c r="E381" i="22"/>
  <c r="F381" i="22"/>
  <c r="O381" i="22" s="1"/>
  <c r="G381" i="22"/>
  <c r="I381" i="22"/>
  <c r="B382" i="22"/>
  <c r="H45" i="7"/>
  <c r="H107" i="7"/>
  <c r="U325" i="22"/>
  <c r="AS8" i="22"/>
  <c r="BE8" i="22"/>
  <c r="M326" i="22"/>
  <c r="D326" i="22"/>
  <c r="J326" i="22"/>
  <c r="N326" i="22" s="1"/>
  <c r="I76" i="7"/>
  <c r="BR8" i="22"/>
  <c r="P326" i="22"/>
  <c r="Q326" i="22"/>
  <c r="R326" i="22"/>
  <c r="L327" i="22"/>
  <c r="C327" i="22"/>
  <c r="K327" i="22" s="1"/>
  <c r="E327" i="22"/>
  <c r="F327" i="22"/>
  <c r="O327" i="22" s="1"/>
  <c r="G327" i="22"/>
  <c r="I327" i="22"/>
  <c r="B328" i="22"/>
  <c r="M272" i="22"/>
  <c r="D272" i="22"/>
  <c r="J272" i="22"/>
  <c r="N272" i="22" s="1"/>
  <c r="P272" i="22"/>
  <c r="Q272" i="22"/>
  <c r="R272" i="22"/>
  <c r="L273" i="22"/>
  <c r="C273" i="22"/>
  <c r="E273" i="22"/>
  <c r="G273" i="22"/>
  <c r="I273" i="22"/>
  <c r="B274" i="22"/>
  <c r="H105" i="7"/>
  <c r="H43" i="7"/>
  <c r="U217" i="22"/>
  <c r="AS6" i="22"/>
  <c r="BE6" i="22"/>
  <c r="M218" i="22"/>
  <c r="D218" i="22"/>
  <c r="J218" i="22"/>
  <c r="N218" i="22" s="1"/>
  <c r="I74" i="7"/>
  <c r="BR6" i="22"/>
  <c r="P218" i="22"/>
  <c r="Q218" i="22"/>
  <c r="R218" i="22"/>
  <c r="L219" i="22"/>
  <c r="C219" i="22"/>
  <c r="E219" i="22"/>
  <c r="G219" i="22"/>
  <c r="I219" i="22"/>
  <c r="B220" i="22"/>
  <c r="H104" i="7"/>
  <c r="H42" i="7"/>
  <c r="U163" i="22"/>
  <c r="AS5" i="22"/>
  <c r="BE5" i="22"/>
  <c r="P164" i="22"/>
  <c r="Q164" i="22"/>
  <c r="R164" i="22"/>
  <c r="L165" i="22"/>
  <c r="C165" i="22"/>
  <c r="E165" i="22"/>
  <c r="G165" i="22"/>
  <c r="B166" i="22"/>
  <c r="I165" i="22"/>
  <c r="D164" i="22"/>
  <c r="J164" i="22"/>
  <c r="H41" i="7"/>
  <c r="H103" i="7"/>
  <c r="U109" i="22"/>
  <c r="AS4" i="22"/>
  <c r="BE4" i="22"/>
  <c r="J110" i="22"/>
  <c r="D110" i="22"/>
  <c r="P110" i="22"/>
  <c r="Q110" i="22"/>
  <c r="R110" i="22"/>
  <c r="L111" i="22"/>
  <c r="G111" i="22"/>
  <c r="B112" i="22"/>
  <c r="C111" i="22"/>
  <c r="E111" i="22"/>
  <c r="I111" i="22"/>
  <c r="G97" i="12"/>
  <c r="C98" i="12"/>
  <c r="E45" i="10"/>
  <c r="F47" i="18"/>
  <c r="E46" i="10"/>
  <c r="G47" i="18"/>
  <c r="E47" i="10"/>
  <c r="H47" i="18"/>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I49" i="17"/>
  <c r="L49" i="17"/>
  <c r="B49" i="18"/>
  <c r="C49" i="17"/>
  <c r="E49" i="17"/>
  <c r="G49" i="17"/>
  <c r="B50" i="17"/>
  <c r="D48" i="17"/>
  <c r="J48" i="17"/>
  <c r="N100" i="12"/>
  <c r="E100" i="12"/>
  <c r="O48" i="17"/>
  <c r="M48" i="17"/>
  <c r="N48" i="17"/>
  <c r="E43" i="10"/>
  <c r="E48" i="10"/>
  <c r="U47" i="17"/>
  <c r="E44" i="10"/>
  <c r="M99" i="12"/>
  <c r="O99" i="12"/>
  <c r="BD16" i="17"/>
  <c r="B114" i="12"/>
  <c r="I114" i="12" s="1"/>
  <c r="BC15" i="17"/>
  <c r="BB17" i="17"/>
  <c r="BB18" i="17"/>
  <c r="BB19" i="17"/>
  <c r="BB20" i="17"/>
  <c r="BB21" i="17"/>
  <c r="BB22" i="17"/>
  <c r="BB23" i="17"/>
  <c r="BB24" i="17"/>
  <c r="BB25" i="17"/>
  <c r="BB26" i="17"/>
  <c r="BB27" i="17"/>
  <c r="BB28" i="17"/>
  <c r="BB29" i="17"/>
  <c r="BB30" i="17"/>
  <c r="BB31" i="17"/>
  <c r="BB33" i="17"/>
  <c r="BB35" i="17"/>
  <c r="BB39" i="17"/>
  <c r="BB42" i="17"/>
  <c r="BB43" i="17"/>
  <c r="BB46" i="17"/>
  <c r="BB48" i="17"/>
  <c r="BB32" i="17"/>
  <c r="BB34" i="17"/>
  <c r="BB36" i="17"/>
  <c r="BB37" i="17"/>
  <c r="BB38" i="17"/>
  <c r="BB40" i="17"/>
  <c r="BB41" i="17"/>
  <c r="BB44" i="17"/>
  <c r="BB45" i="17"/>
  <c r="BB47" i="17"/>
  <c r="BB49" i="17"/>
  <c r="AD726" i="23"/>
  <c r="AG726" i="23"/>
  <c r="AI725" i="23"/>
  <c r="E79" i="8"/>
  <c r="AH1622" i="23"/>
  <c r="F103" i="8"/>
  <c r="B134" i="8"/>
  <c r="D134" i="8"/>
  <c r="X1511" i="23"/>
  <c r="W1511" i="23"/>
  <c r="X1455" i="23"/>
  <c r="W1455" i="23"/>
  <c r="W1399" i="23"/>
  <c r="X1399" i="23"/>
  <c r="W1343" i="23"/>
  <c r="X1343" i="23"/>
  <c r="X1007" i="23"/>
  <c r="W1007" i="23"/>
  <c r="X951" i="23"/>
  <c r="W951" i="23"/>
  <c r="X895" i="23"/>
  <c r="W895" i="23"/>
  <c r="W615" i="23"/>
  <c r="X615" i="23"/>
  <c r="U3780" i="22"/>
  <c r="AR72" i="22"/>
  <c r="BD72" i="22"/>
  <c r="U3672" i="22"/>
  <c r="AR70" i="22"/>
  <c r="BD70" i="22"/>
  <c r="U3294" i="22"/>
  <c r="AR63" i="22"/>
  <c r="BD63" i="22"/>
  <c r="U3240" i="22"/>
  <c r="AR62" i="22"/>
  <c r="BD62" i="22"/>
  <c r="U2916" i="22"/>
  <c r="AR56" i="22"/>
  <c r="BD56" i="22"/>
  <c r="U2862" i="22"/>
  <c r="AR55" i="22"/>
  <c r="BD55" i="22"/>
  <c r="S2808" i="22"/>
  <c r="AR54" i="22"/>
  <c r="BD54" i="22"/>
  <c r="U2430" i="22"/>
  <c r="AR47" i="22"/>
  <c r="BD47" i="22"/>
  <c r="U1998" i="22"/>
  <c r="AR39" i="22"/>
  <c r="BD39" i="22"/>
  <c r="U1674" i="22"/>
  <c r="AR33" i="22"/>
  <c r="BD33" i="22"/>
  <c r="U1620" i="22"/>
  <c r="AR32" i="22"/>
  <c r="BD32" i="22"/>
  <c r="U1566" i="22"/>
  <c r="AR31" i="22"/>
  <c r="BD31" i="22"/>
  <c r="U1242" i="22"/>
  <c r="AR25" i="22"/>
  <c r="BD25" i="22"/>
  <c r="G117" i="7"/>
  <c r="G55" i="7"/>
  <c r="U864" i="22"/>
  <c r="AR18" i="22"/>
  <c r="BD18" i="22"/>
  <c r="G54" i="7"/>
  <c r="G116" i="7"/>
  <c r="U810" i="22"/>
  <c r="AR17" i="22"/>
  <c r="BD17" i="22"/>
  <c r="G109" i="7"/>
  <c r="G47" i="7"/>
  <c r="U432" i="22"/>
  <c r="AR10" i="22"/>
  <c r="BD10" i="22"/>
  <c r="G42" i="7"/>
  <c r="G104" i="7"/>
  <c r="U162" i="22"/>
  <c r="AR5" i="22"/>
  <c r="BD5" i="22"/>
  <c r="G103" i="7"/>
  <c r="G41" i="7"/>
  <c r="U108" i="22"/>
  <c r="AR4" i="22"/>
  <c r="BD4" i="22"/>
  <c r="AD1623" i="23"/>
  <c r="AG1623" i="23"/>
  <c r="AB1512" i="23"/>
  <c r="AC1512" i="23" s="1"/>
  <c r="O1512" i="23"/>
  <c r="M1512" i="23"/>
  <c r="N1512" i="23"/>
  <c r="AB1456" i="23"/>
  <c r="AC1456" i="23"/>
  <c r="O1456" i="23"/>
  <c r="M1456" i="23"/>
  <c r="N1456" i="23"/>
  <c r="AB1400" i="23"/>
  <c r="AC1400" i="23" s="1"/>
  <c r="O1400" i="23"/>
  <c r="Y1400" i="23" s="1"/>
  <c r="M1400" i="23"/>
  <c r="N1400" i="23"/>
  <c r="M1176" i="23"/>
  <c r="N1176" i="23"/>
  <c r="AB1176" i="23"/>
  <c r="AC1176" i="23"/>
  <c r="O1176" i="23"/>
  <c r="Y1176" i="23" s="1"/>
  <c r="M1064" i="23"/>
  <c r="N1064" i="23"/>
  <c r="AB1064" i="23"/>
  <c r="O1064" i="23"/>
  <c r="Y1064" i="23" s="1"/>
  <c r="AC1064" i="23"/>
  <c r="M896" i="23"/>
  <c r="N896" i="23"/>
  <c r="AB896" i="23"/>
  <c r="AC896" i="23" s="1"/>
  <c r="O896" i="23"/>
  <c r="Y896" i="23" s="1"/>
  <c r="AD727" i="23"/>
  <c r="AG727" i="23"/>
  <c r="M560" i="23"/>
  <c r="N560" i="23"/>
  <c r="AB560" i="23"/>
  <c r="AC560" i="23" s="1"/>
  <c r="O560" i="23"/>
  <c r="Y560" i="23" s="1"/>
  <c r="AD447" i="23"/>
  <c r="M280" i="23"/>
  <c r="N280" i="23"/>
  <c r="AB280" i="23"/>
  <c r="AC280" i="23" s="1"/>
  <c r="O280" i="23"/>
  <c r="Y280" i="23" s="1"/>
  <c r="N4759" i="22"/>
  <c r="M4759" i="22"/>
  <c r="M4705" i="22"/>
  <c r="N4705" i="22"/>
  <c r="M4597" i="22"/>
  <c r="N4597" i="22"/>
  <c r="M3565" i="22"/>
  <c r="N3565" i="22"/>
  <c r="BQ68" i="22"/>
  <c r="M3349" i="22"/>
  <c r="N3349" i="22"/>
  <c r="BQ64" i="22"/>
  <c r="BQ63" i="22"/>
  <c r="M3295" i="22"/>
  <c r="N3295" i="22"/>
  <c r="M3079" i="22"/>
  <c r="N3079" i="22"/>
  <c r="BQ59" i="22"/>
  <c r="BQ58" i="22"/>
  <c r="M3025" i="22"/>
  <c r="N3025" i="22"/>
  <c r="BQ51" i="22"/>
  <c r="M2647" i="22"/>
  <c r="N2647" i="22"/>
  <c r="BQ50" i="22"/>
  <c r="M2593" i="22"/>
  <c r="N2593" i="22"/>
  <c r="M2539" i="22"/>
  <c r="N2539" i="22"/>
  <c r="BQ49" i="22"/>
  <c r="M2269" i="22"/>
  <c r="N2269" i="22"/>
  <c r="BQ44" i="22"/>
  <c r="M2215" i="22"/>
  <c r="N2215" i="22"/>
  <c r="BQ43" i="22"/>
  <c r="BQ42" i="22"/>
  <c r="M2161" i="22"/>
  <c r="N2161" i="22"/>
  <c r="M1891" i="22"/>
  <c r="N1891" i="22"/>
  <c r="BQ37" i="22"/>
  <c r="M1837" i="22"/>
  <c r="N1837" i="22"/>
  <c r="BQ36" i="22"/>
  <c r="BQ34" i="22"/>
  <c r="M1729" i="22"/>
  <c r="N1729" i="22"/>
  <c r="M1405" i="22"/>
  <c r="N1405" i="22"/>
  <c r="BQ28" i="22"/>
  <c r="BQ27" i="22"/>
  <c r="M1351" i="22"/>
  <c r="N1351" i="22"/>
  <c r="M1297" i="22"/>
  <c r="N1297" i="22"/>
  <c r="BQ26" i="22"/>
  <c r="BQ20" i="22"/>
  <c r="H88" i="7"/>
  <c r="M973" i="22"/>
  <c r="N973" i="22"/>
  <c r="M595" i="22"/>
  <c r="N595" i="22"/>
  <c r="BQ13" i="22"/>
  <c r="H81" i="7"/>
  <c r="M271" i="22"/>
  <c r="N271" i="22"/>
  <c r="BQ7" i="22"/>
  <c r="F127" i="7"/>
  <c r="F65" i="7"/>
  <c r="X1624" i="23"/>
  <c r="W1624" i="23"/>
  <c r="X1568" i="23"/>
  <c r="W1568" i="23"/>
  <c r="F1513" i="23"/>
  <c r="K1513" i="23"/>
  <c r="F1457" i="23"/>
  <c r="K1457" i="23"/>
  <c r="X1344" i="23"/>
  <c r="W1344" i="23"/>
  <c r="K1345" i="23"/>
  <c r="F1345" i="23"/>
  <c r="X1288" i="23"/>
  <c r="W1288" i="23"/>
  <c r="X1232" i="23"/>
  <c r="W1232" i="23"/>
  <c r="K1177" i="23"/>
  <c r="F1177" i="23"/>
  <c r="AD1120" i="23"/>
  <c r="F1065" i="23"/>
  <c r="K1065" i="23"/>
  <c r="X1008" i="23"/>
  <c r="W1008" i="23"/>
  <c r="W952" i="23"/>
  <c r="X952" i="23"/>
  <c r="F953" i="23"/>
  <c r="K953" i="23"/>
  <c r="F897" i="23"/>
  <c r="K897" i="23"/>
  <c r="X840" i="23"/>
  <c r="W840" i="23"/>
  <c r="X784" i="23"/>
  <c r="W784" i="23"/>
  <c r="W728" i="23"/>
  <c r="X728" i="23"/>
  <c r="K729" i="23"/>
  <c r="F729" i="23"/>
  <c r="AD672" i="23"/>
  <c r="X616" i="23"/>
  <c r="W616" i="23"/>
  <c r="X504" i="23"/>
  <c r="W504" i="23"/>
  <c r="W448" i="23"/>
  <c r="X448" i="23"/>
  <c r="K449" i="23"/>
  <c r="F449" i="23"/>
  <c r="X392" i="23"/>
  <c r="W392" i="23"/>
  <c r="X336" i="23"/>
  <c r="W336" i="23"/>
  <c r="K4706" i="22"/>
  <c r="F4706" i="22"/>
  <c r="BR72" i="22"/>
  <c r="BR71" i="22"/>
  <c r="BR70" i="22"/>
  <c r="BR69" i="22"/>
  <c r="F3566" i="22"/>
  <c r="O3566" i="22" s="1"/>
  <c r="BR68" i="22" s="1"/>
  <c r="K3566" i="22"/>
  <c r="BR67" i="22"/>
  <c r="BR65" i="22"/>
  <c r="F3242" i="22"/>
  <c r="O3242" i="22" s="1"/>
  <c r="K3242" i="22"/>
  <c r="K3188" i="22"/>
  <c r="F3188" i="22"/>
  <c r="O3188" i="22" s="1"/>
  <c r="BR60" i="22"/>
  <c r="BR56" i="22"/>
  <c r="BR55" i="22"/>
  <c r="F2810" i="22"/>
  <c r="O2810" i="22" s="1"/>
  <c r="K2810" i="22"/>
  <c r="F2756" i="22"/>
  <c r="O2756" i="22" s="1"/>
  <c r="K2756" i="22"/>
  <c r="K2702" i="22"/>
  <c r="F2702" i="22"/>
  <c r="O2702" i="22" s="1"/>
  <c r="BR47" i="22"/>
  <c r="BR46" i="22"/>
  <c r="BR41" i="22"/>
  <c r="F2000" i="22"/>
  <c r="O2000" i="22" s="1"/>
  <c r="K2000" i="22"/>
  <c r="BR35" i="22"/>
  <c r="BR33" i="22"/>
  <c r="BR32" i="22"/>
  <c r="BR29" i="22"/>
  <c r="K1406" i="22"/>
  <c r="F1406" i="22"/>
  <c r="O1406" i="22" s="1"/>
  <c r="F1298" i="22"/>
  <c r="O1298" i="22" s="1"/>
  <c r="K1298" i="22"/>
  <c r="F1244" i="22"/>
  <c r="O1244" i="22" s="1"/>
  <c r="K1244" i="22"/>
  <c r="F866" i="22"/>
  <c r="O866" i="22" s="1"/>
  <c r="K866" i="22"/>
  <c r="F164" i="22"/>
  <c r="O164" i="22" s="1"/>
  <c r="K164" i="22"/>
  <c r="F110" i="22"/>
  <c r="O110" i="22" s="1"/>
  <c r="K110" i="22"/>
  <c r="N2108" i="22" l="1"/>
  <c r="N1028" i="22"/>
  <c r="K1626" i="23"/>
  <c r="F1626" i="23"/>
  <c r="D4653" i="22"/>
  <c r="F4653" i="22"/>
  <c r="O4653" i="22" s="1"/>
  <c r="K3675" i="22"/>
  <c r="F3675" i="22"/>
  <c r="O3675" i="22" s="1"/>
  <c r="K3405" i="22"/>
  <c r="F3405" i="22"/>
  <c r="O3405" i="22" s="1"/>
  <c r="BS65" i="22" s="1"/>
  <c r="K3081" i="22"/>
  <c r="F3081" i="22"/>
  <c r="O3081" i="22" s="1"/>
  <c r="K1839" i="22"/>
  <c r="F1839" i="22"/>
  <c r="O1839" i="22" s="1"/>
  <c r="K975" i="22"/>
  <c r="F975" i="22"/>
  <c r="O975" i="22" s="1"/>
  <c r="K489" i="22"/>
  <c r="F489" i="22"/>
  <c r="O489" i="22" s="1"/>
  <c r="K273" i="22"/>
  <c r="F273" i="22"/>
  <c r="O273" i="22" s="1"/>
  <c r="F49" i="17"/>
  <c r="C49" i="18" s="1"/>
  <c r="E49" i="18" s="1"/>
  <c r="K49" i="17"/>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L1459" i="23"/>
  <c r="I1459" i="23"/>
  <c r="E1459" i="23"/>
  <c r="G1459" i="23"/>
  <c r="C1459" i="23"/>
  <c r="B1460" i="23"/>
  <c r="J1458" i="23"/>
  <c r="D1458" i="23"/>
  <c r="P1458" i="23"/>
  <c r="Q1458" i="23"/>
  <c r="R1458" i="23"/>
  <c r="AF1458" i="23"/>
  <c r="J1402" i="23"/>
  <c r="D1402" i="23"/>
  <c r="P1402" i="23"/>
  <c r="Q1402" i="23"/>
  <c r="R1402" i="23"/>
  <c r="AF1402" i="23"/>
  <c r="L1403" i="23"/>
  <c r="I1403" i="23"/>
  <c r="C1403" i="23"/>
  <c r="E1403" i="23"/>
  <c r="G1403" i="23"/>
  <c r="B1404" i="23"/>
  <c r="J1346" i="23"/>
  <c r="D1346" i="23"/>
  <c r="P1346" i="23"/>
  <c r="Q1346" i="23"/>
  <c r="R1346" i="23"/>
  <c r="AF1346" i="23"/>
  <c r="L1347" i="23"/>
  <c r="I1347" i="23"/>
  <c r="B1348" i="23"/>
  <c r="C1347" i="23"/>
  <c r="E1347" i="23"/>
  <c r="G1347"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E1235" i="23"/>
  <c r="G1235" i="23"/>
  <c r="B1236" i="23"/>
  <c r="M1178" i="23"/>
  <c r="J1178" i="23"/>
  <c r="N1178" i="23" s="1"/>
  <c r="D1178" i="23"/>
  <c r="O1178" i="23"/>
  <c r="Y1178" i="23" s="1"/>
  <c r="AB1178" i="23"/>
  <c r="AC1178" i="23" s="1"/>
  <c r="P1178" i="23"/>
  <c r="Q1178" i="23"/>
  <c r="R1178" i="23"/>
  <c r="AF1178" i="23"/>
  <c r="L1179" i="23"/>
  <c r="I1179" i="23"/>
  <c r="E1179" i="23"/>
  <c r="G1179" i="23"/>
  <c r="B1180" i="23"/>
  <c r="C1179" i="23"/>
  <c r="M1122" i="23"/>
  <c r="L1123" i="23"/>
  <c r="I1123" i="23"/>
  <c r="C1123" i="23"/>
  <c r="E1123" i="23"/>
  <c r="G1123" i="23"/>
  <c r="B1124" i="23"/>
  <c r="J1122" i="23"/>
  <c r="N1122" i="23" s="1"/>
  <c r="D1122" i="23"/>
  <c r="O1122" i="23"/>
  <c r="Y1122" i="23" s="1"/>
  <c r="AB1122" i="23"/>
  <c r="AC1122" i="23" s="1"/>
  <c r="P1122" i="23"/>
  <c r="Q1122" i="23"/>
  <c r="R1122" i="23"/>
  <c r="AF1122" i="23"/>
  <c r="L1067" i="23"/>
  <c r="I1067" i="23"/>
  <c r="C1067" i="23"/>
  <c r="E1067" i="23"/>
  <c r="G1067" i="23"/>
  <c r="B1068" i="23"/>
  <c r="J1066" i="23"/>
  <c r="D1066" i="23"/>
  <c r="P1066" i="23"/>
  <c r="Q1066" i="23"/>
  <c r="R1066" i="23"/>
  <c r="AF1066" i="23"/>
  <c r="J1010" i="23"/>
  <c r="D1010" i="23"/>
  <c r="P1010" i="23"/>
  <c r="Q1010" i="23"/>
  <c r="R1010" i="23"/>
  <c r="AF1010" i="23"/>
  <c r="L1011" i="23"/>
  <c r="I1011" i="23"/>
  <c r="C1011" i="23"/>
  <c r="K1011" i="23" s="1"/>
  <c r="E1011" i="23"/>
  <c r="F1011" i="23"/>
  <c r="G1011" i="23"/>
  <c r="B1012" i="23"/>
  <c r="J954" i="23"/>
  <c r="D954" i="23"/>
  <c r="P954" i="23"/>
  <c r="Q954" i="23"/>
  <c r="R954" i="23"/>
  <c r="AF954" i="23"/>
  <c r="L955" i="23"/>
  <c r="I955" i="23"/>
  <c r="C955" i="23"/>
  <c r="K955" i="23" s="1"/>
  <c r="E955" i="23"/>
  <c r="F955" i="23"/>
  <c r="G955" i="23"/>
  <c r="B956" i="23"/>
  <c r="M898" i="23"/>
  <c r="J898" i="23"/>
  <c r="N898" i="23" s="1"/>
  <c r="D898" i="23"/>
  <c r="O898" i="23"/>
  <c r="Y898" i="23" s="1"/>
  <c r="AB898" i="23"/>
  <c r="AC898" i="23" s="1"/>
  <c r="P898" i="23"/>
  <c r="Q898" i="23"/>
  <c r="R898" i="23"/>
  <c r="AF898" i="23"/>
  <c r="L899" i="23"/>
  <c r="I899" i="23"/>
  <c r="C899" i="23"/>
  <c r="E899" i="23"/>
  <c r="G899" i="23"/>
  <c r="B900" i="23"/>
  <c r="M842" i="23"/>
  <c r="J842" i="23"/>
  <c r="N842" i="23" s="1"/>
  <c r="D842" i="23"/>
  <c r="O842" i="23"/>
  <c r="Y842" i="23" s="1"/>
  <c r="AB842" i="23"/>
  <c r="AC842" i="23"/>
  <c r="P842" i="23"/>
  <c r="Q842" i="23"/>
  <c r="R842" i="23"/>
  <c r="AF842" i="23"/>
  <c r="L843" i="23"/>
  <c r="I843" i="23"/>
  <c r="C843" i="23"/>
  <c r="E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L731" i="23"/>
  <c r="I731" i="23"/>
  <c r="C731" i="23"/>
  <c r="E731" i="23"/>
  <c r="G731" i="23"/>
  <c r="B732" i="23"/>
  <c r="P730" i="23"/>
  <c r="Q730" i="23"/>
  <c r="R730" i="23"/>
  <c r="AF730" i="23"/>
  <c r="J730" i="23"/>
  <c r="D730"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J562" i="23"/>
  <c r="D562" i="23"/>
  <c r="P562" i="23"/>
  <c r="Q562" i="23"/>
  <c r="R562" i="23"/>
  <c r="AF562" i="23"/>
  <c r="L563" i="23"/>
  <c r="I563" i="23"/>
  <c r="C563" i="23"/>
  <c r="E563" i="23"/>
  <c r="G563" i="23"/>
  <c r="B564" i="23"/>
  <c r="J506" i="23"/>
  <c r="D506" i="23"/>
  <c r="P506" i="23"/>
  <c r="Q506" i="23"/>
  <c r="R506" i="23"/>
  <c r="AF506" i="23"/>
  <c r="L507" i="23"/>
  <c r="I507" i="23"/>
  <c r="C507" i="23"/>
  <c r="K507" i="23" s="1"/>
  <c r="E507" i="23"/>
  <c r="F507" i="23"/>
  <c r="G507" i="23"/>
  <c r="B508" i="23"/>
  <c r="J450" i="23"/>
  <c r="D450" i="23"/>
  <c r="P450" i="23"/>
  <c r="Q450" i="23"/>
  <c r="R450" i="23"/>
  <c r="AF450" i="23"/>
  <c r="L451" i="23"/>
  <c r="I451" i="23"/>
  <c r="C451" i="23"/>
  <c r="E451" i="23"/>
  <c r="G451" i="23"/>
  <c r="B452" i="23"/>
  <c r="M394" i="23"/>
  <c r="J394" i="23"/>
  <c r="N394" i="23" s="1"/>
  <c r="D394" i="23"/>
  <c r="O394" i="23"/>
  <c r="Y394" i="23" s="1"/>
  <c r="AB394" i="23"/>
  <c r="AC394" i="23"/>
  <c r="P394" i="23"/>
  <c r="Q394" i="23"/>
  <c r="R394" i="23"/>
  <c r="AF394" i="23"/>
  <c r="L395" i="23"/>
  <c r="I395" i="23"/>
  <c r="C395" i="23"/>
  <c r="E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E283" i="23"/>
  <c r="G283" i="23"/>
  <c r="B284" i="23"/>
  <c r="E4762" i="22"/>
  <c r="G4762" i="22"/>
  <c r="B4763" i="22"/>
  <c r="C4762" i="22"/>
  <c r="I4762" i="22"/>
  <c r="L4762" i="22"/>
  <c r="J4761" i="22"/>
  <c r="N4761" i="22" s="1"/>
  <c r="P101" i="12" s="1"/>
  <c r="D4761" i="22"/>
  <c r="P4761" i="22"/>
  <c r="Q4761" i="22"/>
  <c r="R4761" i="22"/>
  <c r="M4761" i="22"/>
  <c r="U4706" i="22"/>
  <c r="S4706" i="22"/>
  <c r="D4707" i="22"/>
  <c r="J4707" i="22"/>
  <c r="P4707" i="22"/>
  <c r="Q4707" i="22"/>
  <c r="R4707" i="22"/>
  <c r="L4708" i="22"/>
  <c r="C4708" i="22"/>
  <c r="E4708" i="22"/>
  <c r="G4708" i="22"/>
  <c r="I4708" i="22"/>
  <c r="B4709" i="22"/>
  <c r="P4653" i="22"/>
  <c r="Q4653" i="22"/>
  <c r="R4653" i="22"/>
  <c r="C4654" i="22"/>
  <c r="E4654" i="22"/>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E4546" i="22"/>
  <c r="G4546" i="22"/>
  <c r="I4546" i="22"/>
  <c r="B4547" i="22"/>
  <c r="D4245" i="22"/>
  <c r="J4245" i="22"/>
  <c r="P4245" i="22"/>
  <c r="R4245" i="22"/>
  <c r="Q4245" i="22"/>
  <c r="C4246" i="22"/>
  <c r="E4246" i="22"/>
  <c r="F4246" i="22"/>
  <c r="O4246" i="22" s="1"/>
  <c r="G4246" i="22"/>
  <c r="I4246" i="22"/>
  <c r="K4246" i="22"/>
  <c r="L4246" i="22"/>
  <c r="B4247" i="22"/>
  <c r="M4191" i="22"/>
  <c r="D4191" i="22"/>
  <c r="J4191" i="22"/>
  <c r="N4191" i="22" s="1"/>
  <c r="U4191" i="22" s="1"/>
  <c r="P4191" i="22"/>
  <c r="Q4191" i="22"/>
  <c r="R4191" i="22"/>
  <c r="L4192" i="22"/>
  <c r="C4192" i="22"/>
  <c r="E4192" i="22"/>
  <c r="G4192" i="22"/>
  <c r="I4192" i="22"/>
  <c r="B4193" i="22"/>
  <c r="D4137" i="22"/>
  <c r="J4137" i="22"/>
  <c r="N4137" i="22" s="1"/>
  <c r="U4137" i="22" s="1"/>
  <c r="P4137" i="22"/>
  <c r="Q4137" i="22"/>
  <c r="R4137" i="22"/>
  <c r="M4137" i="22"/>
  <c r="C4138" i="22"/>
  <c r="F4138" i="22" s="1"/>
  <c r="O4138" i="22" s="1"/>
  <c r="E4138" i="22"/>
  <c r="G4138" i="22"/>
  <c r="I4138" i="22"/>
  <c r="K4138" i="22"/>
  <c r="L4138" i="22"/>
  <c r="B4139" i="22"/>
  <c r="D4083" i="22"/>
  <c r="J4083" i="22"/>
  <c r="N4083" i="22" s="1"/>
  <c r="U4083" i="22" s="1"/>
  <c r="P4083" i="22"/>
  <c r="Q4083" i="22"/>
  <c r="R4083" i="22"/>
  <c r="M4083" i="22"/>
  <c r="E4084" i="22"/>
  <c r="G4084" i="22"/>
  <c r="I4084" i="22"/>
  <c r="B4085" i="22"/>
  <c r="C4084" i="22"/>
  <c r="L4084" i="22"/>
  <c r="U3782" i="22"/>
  <c r="AT72" i="22"/>
  <c r="BF72" i="22"/>
  <c r="D3783" i="22"/>
  <c r="J3783" i="22"/>
  <c r="P3783" i="22"/>
  <c r="Q3783" i="22"/>
  <c r="R3783" i="22"/>
  <c r="L3784" i="22"/>
  <c r="C3784" i="22"/>
  <c r="K3784" i="22" s="1"/>
  <c r="E3784" i="22"/>
  <c r="F3784" i="22"/>
  <c r="O3784" i="22" s="1"/>
  <c r="BT72" i="22" s="1"/>
  <c r="G3784" i="22"/>
  <c r="I3784" i="22"/>
  <c r="B3785" i="22"/>
  <c r="U3728" i="22"/>
  <c r="AT71" i="22"/>
  <c r="BF71" i="22"/>
  <c r="M3729" i="22"/>
  <c r="D3729" i="22"/>
  <c r="J3729" i="22"/>
  <c r="N3729" i="22" s="1"/>
  <c r="P3729" i="22"/>
  <c r="Q3729" i="22"/>
  <c r="R3729" i="22"/>
  <c r="L3730" i="22"/>
  <c r="C3730" i="22"/>
  <c r="E3730" i="22"/>
  <c r="G3730" i="22"/>
  <c r="I3730" i="22"/>
  <c r="B3731" i="22"/>
  <c r="U3674" i="22"/>
  <c r="AT70" i="22"/>
  <c r="BF70" i="22"/>
  <c r="M3675" i="22"/>
  <c r="D3675" i="22"/>
  <c r="J3675" i="22"/>
  <c r="N3675" i="22" s="1"/>
  <c r="P3675" i="22"/>
  <c r="Q3675" i="22"/>
  <c r="R3675" i="22"/>
  <c r="L3676" i="22"/>
  <c r="C3676" i="22"/>
  <c r="E3676" i="22"/>
  <c r="G3676" i="22"/>
  <c r="I3676" i="22"/>
  <c r="B3677" i="22"/>
  <c r="U3620" i="22"/>
  <c r="AT69" i="22"/>
  <c r="BF69" i="22"/>
  <c r="D3621" i="22"/>
  <c r="J3621" i="22"/>
  <c r="P3621" i="22"/>
  <c r="Q3621" i="22"/>
  <c r="R3621" i="22"/>
  <c r="L3622" i="22"/>
  <c r="C3622" i="22"/>
  <c r="E3622" i="22"/>
  <c r="G3622" i="22"/>
  <c r="I3622" i="22"/>
  <c r="B3623" i="22"/>
  <c r="P3567" i="22"/>
  <c r="Q3567" i="22"/>
  <c r="R3567" i="22"/>
  <c r="L3568" i="22"/>
  <c r="B3569" i="22"/>
  <c r="C3568" i="22"/>
  <c r="E3568" i="22"/>
  <c r="G3568" i="22"/>
  <c r="I3568" i="22"/>
  <c r="D3567" i="22"/>
  <c r="J3567" i="22"/>
  <c r="U3512" i="22"/>
  <c r="AT67" i="22"/>
  <c r="BF67" i="22"/>
  <c r="M3513" i="22"/>
  <c r="D3513" i="22"/>
  <c r="J3513" i="22"/>
  <c r="N3513" i="22" s="1"/>
  <c r="P3513" i="22"/>
  <c r="Q3513" i="22"/>
  <c r="R3513" i="22"/>
  <c r="L3514" i="22"/>
  <c r="C3514" i="22"/>
  <c r="E3514" i="22"/>
  <c r="G3514" i="22"/>
  <c r="I3514" i="22"/>
  <c r="B3515" i="22"/>
  <c r="U3458" i="22"/>
  <c r="AT66" i="22"/>
  <c r="BF66" i="22"/>
  <c r="M3459" i="22"/>
  <c r="D3459" i="22"/>
  <c r="J3459" i="22"/>
  <c r="N3459" i="22" s="1"/>
  <c r="BS66" i="22"/>
  <c r="P3459" i="22"/>
  <c r="Q3459" i="22"/>
  <c r="R3459" i="22"/>
  <c r="L3460" i="22"/>
  <c r="C3460" i="22"/>
  <c r="K3460" i="22" s="1"/>
  <c r="E3460" i="22"/>
  <c r="F3460" i="22"/>
  <c r="O3460" i="22" s="1"/>
  <c r="G3460" i="22"/>
  <c r="I3460" i="22"/>
  <c r="B3461" i="22"/>
  <c r="U3404" i="22"/>
  <c r="AT65" i="22"/>
  <c r="BF65" i="22"/>
  <c r="M3405" i="22"/>
  <c r="D3405" i="22"/>
  <c r="J3405" i="22"/>
  <c r="N3405" i="22" s="1"/>
  <c r="P3405" i="22"/>
  <c r="Q3405" i="22"/>
  <c r="R3405" i="22"/>
  <c r="L3406" i="22"/>
  <c r="C3406" i="22"/>
  <c r="K3406" i="22" s="1"/>
  <c r="E3406" i="22"/>
  <c r="F3406" i="22"/>
  <c r="O3406" i="22" s="1"/>
  <c r="G3406" i="22"/>
  <c r="I3406" i="22"/>
  <c r="B3407" i="22"/>
  <c r="U3350" i="22"/>
  <c r="AT64" i="22"/>
  <c r="BF64" i="22"/>
  <c r="D3351" i="22"/>
  <c r="J3351" i="22"/>
  <c r="P3351" i="22"/>
  <c r="Q3351" i="22"/>
  <c r="R3351" i="22"/>
  <c r="L3352" i="22"/>
  <c r="C3352" i="22"/>
  <c r="K3352" i="22" s="1"/>
  <c r="E3352" i="22"/>
  <c r="F3352" i="22"/>
  <c r="O3352" i="22" s="1"/>
  <c r="BT64" i="22" s="1"/>
  <c r="G3352" i="22"/>
  <c r="I3352" i="22"/>
  <c r="B3353" i="22"/>
  <c r="U3296" i="22"/>
  <c r="AT63" i="22"/>
  <c r="BF63" i="22"/>
  <c r="D3297" i="22"/>
  <c r="J3297" i="22"/>
  <c r="P3297" i="22"/>
  <c r="Q3297" i="22"/>
  <c r="R3297" i="22"/>
  <c r="L3298" i="22"/>
  <c r="C3298" i="22"/>
  <c r="K3298" i="22" s="1"/>
  <c r="E3298" i="22"/>
  <c r="F3298" i="22"/>
  <c r="O3298" i="22" s="1"/>
  <c r="BT63" i="22" s="1"/>
  <c r="G3298" i="22"/>
  <c r="I3298" i="22"/>
  <c r="B3299" i="22"/>
  <c r="J3243" i="22"/>
  <c r="D3243" i="22"/>
  <c r="P3243" i="22"/>
  <c r="Q3243" i="22"/>
  <c r="R3243" i="22"/>
  <c r="L3244" i="22"/>
  <c r="E3244" i="22"/>
  <c r="G3244" i="22"/>
  <c r="C3244" i="22"/>
  <c r="I3244" i="22"/>
  <c r="B3245" i="22"/>
  <c r="M3189" i="22"/>
  <c r="D3189" i="22"/>
  <c r="J3189" i="22"/>
  <c r="N3189" i="22" s="1"/>
  <c r="P3189" i="22"/>
  <c r="Q3189" i="22"/>
  <c r="R3189" i="22"/>
  <c r="L3190" i="22"/>
  <c r="C3190" i="22"/>
  <c r="E3190" i="22"/>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U3080" i="22"/>
  <c r="AT59" i="22"/>
  <c r="BF59" i="22"/>
  <c r="M3081" i="22"/>
  <c r="D3081" i="22"/>
  <c r="J3081" i="22"/>
  <c r="N3081" i="22" s="1"/>
  <c r="P3081" i="22"/>
  <c r="Q3081" i="22"/>
  <c r="R3081" i="22"/>
  <c r="L3082" i="22"/>
  <c r="C3082" i="22"/>
  <c r="K3082" i="22" s="1"/>
  <c r="E3082" i="22"/>
  <c r="F3082" i="22"/>
  <c r="O3082" i="22" s="1"/>
  <c r="BT59" i="22" s="1"/>
  <c r="G3082" i="22"/>
  <c r="I3082" i="22"/>
  <c r="B3083" i="22"/>
  <c r="U3026" i="22"/>
  <c r="AT58" i="22"/>
  <c r="BF58" i="22"/>
  <c r="M3027" i="22"/>
  <c r="D3027" i="22"/>
  <c r="J3027" i="22"/>
  <c r="N3027" i="22" s="1"/>
  <c r="P3027" i="22"/>
  <c r="Q3027" i="22"/>
  <c r="R3027" i="22"/>
  <c r="L3028" i="22"/>
  <c r="C3028" i="22"/>
  <c r="K3028" i="22" s="1"/>
  <c r="E3028" i="22"/>
  <c r="F3028" i="22"/>
  <c r="O3028" i="22" s="1"/>
  <c r="G3028" i="22"/>
  <c r="I3028" i="22"/>
  <c r="B3029" i="22"/>
  <c r="U2972" i="22"/>
  <c r="AT57" i="22"/>
  <c r="BF57" i="22"/>
  <c r="D2973" i="22"/>
  <c r="J2973" i="22"/>
  <c r="P2973" i="22"/>
  <c r="Q2973" i="22"/>
  <c r="R2973" i="22"/>
  <c r="L2974" i="22"/>
  <c r="C2974" i="22"/>
  <c r="E2974" i="22"/>
  <c r="G2974" i="22"/>
  <c r="I2974" i="22"/>
  <c r="B2975" i="22"/>
  <c r="U2918" i="22"/>
  <c r="AT56" i="22"/>
  <c r="BF56" i="22"/>
  <c r="D2919" i="22"/>
  <c r="J2919" i="22"/>
  <c r="P2919" i="22"/>
  <c r="Q2919" i="22"/>
  <c r="R2919" i="22"/>
  <c r="L2920" i="22"/>
  <c r="C2920" i="22"/>
  <c r="E2920" i="22"/>
  <c r="G2920" i="22"/>
  <c r="I2920" i="22"/>
  <c r="B2921" i="22"/>
  <c r="U2864" i="22"/>
  <c r="AT55" i="22"/>
  <c r="BF55" i="22"/>
  <c r="D2865" i="22"/>
  <c r="J2865" i="22"/>
  <c r="P2865" i="22"/>
  <c r="Q2865" i="22"/>
  <c r="R2865" i="22"/>
  <c r="L2866" i="22"/>
  <c r="C2866" i="22"/>
  <c r="E2866" i="22"/>
  <c r="G2866" i="22"/>
  <c r="I2866" i="22"/>
  <c r="B2867" i="22"/>
  <c r="AL1625" i="23"/>
  <c r="U2810" i="22"/>
  <c r="M2811" i="22"/>
  <c r="D2811" i="22"/>
  <c r="J2811" i="22"/>
  <c r="N2811" i="22" s="1"/>
  <c r="P2811" i="22"/>
  <c r="Q2811" i="22"/>
  <c r="R2811" i="22"/>
  <c r="T2811" i="22"/>
  <c r="L2812" i="22"/>
  <c r="C2812" i="22"/>
  <c r="K2812" i="22" s="1"/>
  <c r="E2812" i="22"/>
  <c r="F2812" i="22"/>
  <c r="O2812" i="22" s="1"/>
  <c r="G2812" i="22"/>
  <c r="I2812" i="22"/>
  <c r="B2813" i="22"/>
  <c r="M2757" i="22"/>
  <c r="D2757" i="22"/>
  <c r="J2757" i="22"/>
  <c r="N2757" i="22" s="1"/>
  <c r="P2757" i="22"/>
  <c r="Q2757" i="22"/>
  <c r="R2757" i="22"/>
  <c r="L2758" i="22"/>
  <c r="C2758" i="22"/>
  <c r="E2758" i="22"/>
  <c r="G2758" i="22"/>
  <c r="I2758" i="22"/>
  <c r="B2759" i="22"/>
  <c r="M2703" i="22"/>
  <c r="D2703" i="22"/>
  <c r="J2703" i="22"/>
  <c r="N2703" i="22" s="1"/>
  <c r="P2703" i="22"/>
  <c r="Q2703" i="22"/>
  <c r="R2703" i="22"/>
  <c r="L2704" i="22"/>
  <c r="C2704" i="22"/>
  <c r="K2704" i="22" s="1"/>
  <c r="E2704" i="22"/>
  <c r="F2704" i="22"/>
  <c r="O2704" i="22" s="1"/>
  <c r="BT52" i="22" s="1"/>
  <c r="G2704" i="22"/>
  <c r="I2704" i="22"/>
  <c r="B2705" i="22"/>
  <c r="U2648" i="22"/>
  <c r="AT51" i="22"/>
  <c r="BF51" i="22"/>
  <c r="P2649" i="22"/>
  <c r="Q2649" i="22"/>
  <c r="R2649" i="22"/>
  <c r="L2650" i="22"/>
  <c r="E2650" i="22"/>
  <c r="G2650" i="22"/>
  <c r="I2650" i="22"/>
  <c r="C2650" i="22"/>
  <c r="B2651" i="22"/>
  <c r="D2649" i="22"/>
  <c r="J2649" i="22"/>
  <c r="U2594" i="22"/>
  <c r="AT50" i="22"/>
  <c r="BF50" i="22"/>
  <c r="D2595" i="22"/>
  <c r="J2595" i="22"/>
  <c r="P2595" i="22"/>
  <c r="Q2595" i="22"/>
  <c r="R2595" i="22"/>
  <c r="L2596" i="22"/>
  <c r="C2596" i="22"/>
  <c r="K2596" i="22" s="1"/>
  <c r="E2596" i="22"/>
  <c r="F2596" i="22"/>
  <c r="O2596" i="22" s="1"/>
  <c r="BT50" i="22" s="1"/>
  <c r="G2596" i="22"/>
  <c r="I2596" i="22"/>
  <c r="B2597" i="22"/>
  <c r="U2540" i="22"/>
  <c r="AT49" i="22"/>
  <c r="BF49" i="22"/>
  <c r="D2541" i="22"/>
  <c r="J2541" i="22"/>
  <c r="P2541" i="22"/>
  <c r="Q2541" i="22"/>
  <c r="R2541" i="22"/>
  <c r="L2542" i="22"/>
  <c r="C2542" i="22"/>
  <c r="K2542" i="22" s="1"/>
  <c r="E2542" i="22"/>
  <c r="F2542" i="22"/>
  <c r="O2542" i="22" s="1"/>
  <c r="BT49" i="22" s="1"/>
  <c r="G2542" i="22"/>
  <c r="I2542" i="22"/>
  <c r="B2543" i="22"/>
  <c r="U2486" i="22"/>
  <c r="AT48" i="22"/>
  <c r="BF48" i="22"/>
  <c r="D2487" i="22"/>
  <c r="J2487" i="22"/>
  <c r="P2487" i="22"/>
  <c r="Q2487" i="22"/>
  <c r="R2487" i="22"/>
  <c r="L2488" i="22"/>
  <c r="C2488" i="22"/>
  <c r="K2488" i="22" s="1"/>
  <c r="E2488" i="22"/>
  <c r="F2488" i="22"/>
  <c r="O2488" i="22" s="1"/>
  <c r="BT48" i="22" s="1"/>
  <c r="G2488" i="22"/>
  <c r="I2488" i="22"/>
  <c r="B2489" i="22"/>
  <c r="U2432" i="22"/>
  <c r="AT47" i="22"/>
  <c r="BF47" i="22"/>
  <c r="M2433" i="22"/>
  <c r="D2433" i="22"/>
  <c r="J2433" i="22"/>
  <c r="N2433" i="22" s="1"/>
  <c r="P2433" i="22"/>
  <c r="Q2433" i="22"/>
  <c r="R2433" i="22"/>
  <c r="L2434" i="22"/>
  <c r="C2434" i="22"/>
  <c r="K2434" i="22" s="1"/>
  <c r="E2434" i="22"/>
  <c r="F2434" i="22"/>
  <c r="O2434" i="22" s="1"/>
  <c r="G2434" i="22"/>
  <c r="I2434" i="22"/>
  <c r="B2435" i="22"/>
  <c r="U2378" i="22"/>
  <c r="AT46" i="22"/>
  <c r="BF46" i="22"/>
  <c r="M2379" i="22"/>
  <c r="D2379" i="22"/>
  <c r="J2379" i="22"/>
  <c r="N2379" i="22" s="1"/>
  <c r="P2379" i="22"/>
  <c r="Q2379" i="22"/>
  <c r="R2379" i="22"/>
  <c r="L2380" i="22"/>
  <c r="C2380" i="22"/>
  <c r="E2380" i="22"/>
  <c r="G2380" i="22"/>
  <c r="I2380" i="22"/>
  <c r="B2381" i="22"/>
  <c r="U2324" i="22"/>
  <c r="AT45" i="22"/>
  <c r="BF45" i="22"/>
  <c r="M2325" i="22"/>
  <c r="D2325" i="22"/>
  <c r="J2325" i="22"/>
  <c r="N2325" i="22" s="1"/>
  <c r="BS45" i="22"/>
  <c r="P2325" i="22"/>
  <c r="Q2325" i="22"/>
  <c r="R2325" i="22"/>
  <c r="L2326" i="22"/>
  <c r="C2326" i="22"/>
  <c r="E2326" i="22"/>
  <c r="G2326" i="22"/>
  <c r="I2326" i="22"/>
  <c r="B2327" i="22"/>
  <c r="U2270" i="22"/>
  <c r="AT44" i="22"/>
  <c r="BF44" i="22"/>
  <c r="M2271" i="22"/>
  <c r="D2271" i="22"/>
  <c r="J2271" i="22"/>
  <c r="N2271" i="22" s="1"/>
  <c r="P2271" i="22"/>
  <c r="Q2271" i="22"/>
  <c r="R2271" i="22"/>
  <c r="L2272" i="22"/>
  <c r="C2272" i="22"/>
  <c r="K2272" i="22" s="1"/>
  <c r="E2272" i="22"/>
  <c r="F2272" i="22"/>
  <c r="O2272" i="22" s="1"/>
  <c r="BT44" i="22" s="1"/>
  <c r="G2272" i="22"/>
  <c r="I2272" i="22"/>
  <c r="B2273" i="22"/>
  <c r="U2216" i="22"/>
  <c r="AT43" i="22"/>
  <c r="BF43" i="22"/>
  <c r="D2217" i="22"/>
  <c r="J2217" i="22"/>
  <c r="P2217" i="22"/>
  <c r="Q2217" i="22"/>
  <c r="R2217" i="22"/>
  <c r="L2218" i="22"/>
  <c r="C2218" i="22"/>
  <c r="K2218" i="22" s="1"/>
  <c r="E2218" i="22"/>
  <c r="F2218" i="22"/>
  <c r="O2218" i="22" s="1"/>
  <c r="BT43" i="22" s="1"/>
  <c r="G2218" i="22"/>
  <c r="I2218" i="22"/>
  <c r="B2219" i="22"/>
  <c r="U2162" i="22"/>
  <c r="AT42" i="22"/>
  <c r="BF42" i="22"/>
  <c r="D2163" i="22"/>
  <c r="J2163" i="22"/>
  <c r="P2163" i="22"/>
  <c r="Q2163" i="22"/>
  <c r="R2163" i="22"/>
  <c r="L2164" i="22"/>
  <c r="C2164" i="22"/>
  <c r="K2164" i="22" s="1"/>
  <c r="E2164" i="22"/>
  <c r="F2164" i="22"/>
  <c r="O2164" i="22" s="1"/>
  <c r="BT42" i="22" s="1"/>
  <c r="G2164" i="22"/>
  <c r="I2164" i="22"/>
  <c r="B2165" i="22"/>
  <c r="U2108" i="22"/>
  <c r="AT41" i="22"/>
  <c r="BF41" i="22"/>
  <c r="D2109" i="22"/>
  <c r="J2109" i="22"/>
  <c r="P2109" i="22"/>
  <c r="Q2109" i="22"/>
  <c r="R2109" i="22"/>
  <c r="L2110" i="22"/>
  <c r="C2110" i="22"/>
  <c r="K2110" i="22" s="1"/>
  <c r="E2110" i="22"/>
  <c r="F2110" i="22"/>
  <c r="O2110" i="22" s="1"/>
  <c r="BT41" i="22" s="1"/>
  <c r="G2110" i="22"/>
  <c r="I2110" i="22"/>
  <c r="B2111" i="22"/>
  <c r="U2054" i="22"/>
  <c r="AT40" i="22"/>
  <c r="BF40" i="22"/>
  <c r="M2055" i="22"/>
  <c r="D2055" i="22"/>
  <c r="J2055" i="22"/>
  <c r="N2055" i="22" s="1"/>
  <c r="P2055" i="22"/>
  <c r="Q2055" i="22"/>
  <c r="R2055" i="22"/>
  <c r="L2056" i="22"/>
  <c r="C2056" i="22"/>
  <c r="E2056" i="22"/>
  <c r="G2056" i="22"/>
  <c r="I2056" i="22"/>
  <c r="B2057" i="22"/>
  <c r="M2001" i="22"/>
  <c r="D2001" i="22"/>
  <c r="J2001" i="22"/>
  <c r="N2001" i="22" s="1"/>
  <c r="P2001" i="22"/>
  <c r="Q2001" i="22"/>
  <c r="R2001" i="22"/>
  <c r="L2002" i="22"/>
  <c r="C2002" i="22"/>
  <c r="E2002" i="22"/>
  <c r="G2002" i="22"/>
  <c r="I2002" i="22"/>
  <c r="B2003" i="22"/>
  <c r="U1946" i="22"/>
  <c r="AT38" i="22"/>
  <c r="BF38" i="22"/>
  <c r="M1947" i="22"/>
  <c r="D1947" i="22"/>
  <c r="J1947" i="22"/>
  <c r="N1947" i="22" s="1"/>
  <c r="BS38" i="22"/>
  <c r="P1947" i="22"/>
  <c r="Q1947" i="22"/>
  <c r="R1947" i="22"/>
  <c r="L1948" i="22"/>
  <c r="C1948" i="22"/>
  <c r="K1948" i="22" s="1"/>
  <c r="E1948" i="22"/>
  <c r="F1948" i="22"/>
  <c r="O1948" i="22" s="1"/>
  <c r="G1948" i="22"/>
  <c r="I1948" i="22"/>
  <c r="B1949" i="22"/>
  <c r="U1892" i="22"/>
  <c r="AT37" i="22"/>
  <c r="BF37" i="22"/>
  <c r="M1893" i="22"/>
  <c r="D1893" i="22"/>
  <c r="J1893" i="22"/>
  <c r="N1893" i="22" s="1"/>
  <c r="P1893" i="22"/>
  <c r="Q1893" i="22"/>
  <c r="R1893" i="22"/>
  <c r="L1894" i="22"/>
  <c r="C1894" i="22"/>
  <c r="K1894" i="22" s="1"/>
  <c r="E1894" i="22"/>
  <c r="F1894" i="22"/>
  <c r="O1894" i="22" s="1"/>
  <c r="BT37" i="22" s="1"/>
  <c r="G1894" i="22"/>
  <c r="I1894" i="22"/>
  <c r="B1895" i="22"/>
  <c r="U1838" i="22"/>
  <c r="AT36" i="22"/>
  <c r="BF36" i="22"/>
  <c r="M1839" i="22"/>
  <c r="D1839" i="22"/>
  <c r="J1839" i="22"/>
  <c r="N1839" i="22" s="1"/>
  <c r="P1839" i="22"/>
  <c r="Q1839" i="22"/>
  <c r="R1839" i="22"/>
  <c r="L1840" i="22"/>
  <c r="C1840" i="22"/>
  <c r="K1840" i="22" s="1"/>
  <c r="E1840" i="22"/>
  <c r="F1840" i="22"/>
  <c r="O1840" i="22" s="1"/>
  <c r="BT36" i="22" s="1"/>
  <c r="G1840" i="22"/>
  <c r="I1840" i="22"/>
  <c r="B1841" i="22"/>
  <c r="U1784" i="22"/>
  <c r="AT35" i="22"/>
  <c r="BF35" i="22"/>
  <c r="M1785" i="22"/>
  <c r="D1785" i="22"/>
  <c r="J1785" i="22"/>
  <c r="N1785" i="22" s="1"/>
  <c r="P1785" i="22"/>
  <c r="Q1785" i="22"/>
  <c r="R1785" i="22"/>
  <c r="L1786" i="22"/>
  <c r="C1786" i="22"/>
  <c r="K1786" i="22" s="1"/>
  <c r="E1786" i="22"/>
  <c r="F1786" i="22"/>
  <c r="O1786" i="22" s="1"/>
  <c r="G1786" i="22"/>
  <c r="I1786" i="22"/>
  <c r="B1787" i="22"/>
  <c r="U1730" i="22"/>
  <c r="AT34" i="22"/>
  <c r="BF34" i="22"/>
  <c r="D1731" i="22"/>
  <c r="J1731" i="22"/>
  <c r="P1731" i="22"/>
  <c r="Q1731" i="22"/>
  <c r="R1731" i="22"/>
  <c r="L1732" i="22"/>
  <c r="C1732" i="22"/>
  <c r="K1732" i="22" s="1"/>
  <c r="E1732" i="22"/>
  <c r="F1732" i="22"/>
  <c r="O1732" i="22" s="1"/>
  <c r="BT34" i="22" s="1"/>
  <c r="G1732" i="22"/>
  <c r="I1732" i="22"/>
  <c r="B1733" i="22"/>
  <c r="U1676" i="22"/>
  <c r="AT33" i="22"/>
  <c r="BF33" i="22"/>
  <c r="M1677" i="22"/>
  <c r="D1677" i="22"/>
  <c r="J1677" i="22"/>
  <c r="N1677" i="22" s="1"/>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AT31" i="22"/>
  <c r="BF31" i="22"/>
  <c r="M1569" i="22"/>
  <c r="D1569" i="22"/>
  <c r="J1569" i="22"/>
  <c r="N1569" i="22" s="1"/>
  <c r="BS31" i="22"/>
  <c r="P1569" i="22"/>
  <c r="Q1569" i="22"/>
  <c r="R1569" i="22"/>
  <c r="L1570" i="22"/>
  <c r="C1570" i="22"/>
  <c r="E1570" i="22"/>
  <c r="G1570" i="22"/>
  <c r="I1570" i="22"/>
  <c r="B1571" i="22"/>
  <c r="U1514" i="22"/>
  <c r="AT30" i="22"/>
  <c r="BF30" i="22"/>
  <c r="M1515" i="22"/>
  <c r="D1515" i="22"/>
  <c r="J1515" i="22"/>
  <c r="N1515" i="22" s="1"/>
  <c r="P1515" i="22"/>
  <c r="Q1515" i="22"/>
  <c r="R1515" i="22"/>
  <c r="L1516" i="22"/>
  <c r="C1516" i="22"/>
  <c r="E1516" i="22"/>
  <c r="G1516" i="22"/>
  <c r="I1516" i="22"/>
  <c r="B1517" i="22"/>
  <c r="U1460" i="22"/>
  <c r="AT29" i="22"/>
  <c r="BF29" i="22"/>
  <c r="M1461" i="22"/>
  <c r="D1461" i="22"/>
  <c r="J1461" i="22"/>
  <c r="N1461" i="22" s="1"/>
  <c r="P1461" i="22"/>
  <c r="Q1461" i="22"/>
  <c r="R1461" i="22"/>
  <c r="L1462" i="22"/>
  <c r="C1462" i="22"/>
  <c r="K1462" i="22" s="1"/>
  <c r="E1462" i="22"/>
  <c r="F1462" i="22"/>
  <c r="O1462" i="22" s="1"/>
  <c r="BT29" i="22" s="1"/>
  <c r="G1462" i="22"/>
  <c r="I1462" i="22"/>
  <c r="B1463" i="22"/>
  <c r="J1407" i="22"/>
  <c r="D1407" i="22"/>
  <c r="P1407" i="22"/>
  <c r="Q1407" i="22"/>
  <c r="R1407" i="22"/>
  <c r="L1408" i="22"/>
  <c r="E1408" i="22"/>
  <c r="G1408" i="22"/>
  <c r="I1408" i="22"/>
  <c r="C1408" i="22"/>
  <c r="K1408" i="22" s="1"/>
  <c r="F1408" i="22"/>
  <c r="O1408" i="22" s="1"/>
  <c r="BT28" i="22" s="1"/>
  <c r="B1409" i="22"/>
  <c r="U1352" i="22"/>
  <c r="AT27" i="22"/>
  <c r="BF27" i="22"/>
  <c r="P1353" i="22"/>
  <c r="Q1353" i="22"/>
  <c r="R1353" i="22"/>
  <c r="J1353" i="22"/>
  <c r="D1353" i="22"/>
  <c r="L1354" i="22"/>
  <c r="I1354" i="22"/>
  <c r="B1355" i="22"/>
  <c r="C1354" i="22"/>
  <c r="E1354" i="22"/>
  <c r="G1354" i="22"/>
  <c r="D1299" i="22"/>
  <c r="J1299" i="22"/>
  <c r="P1299" i="22"/>
  <c r="Q1299" i="22"/>
  <c r="R1299" i="22"/>
  <c r="L1300" i="22"/>
  <c r="C1300" i="22"/>
  <c r="K1300" i="22" s="1"/>
  <c r="E1300" i="22"/>
  <c r="F1300" i="22"/>
  <c r="O1300" i="22" s="1"/>
  <c r="G1300" i="22"/>
  <c r="I1300" i="22"/>
  <c r="B1301" i="22"/>
  <c r="D1245" i="22"/>
  <c r="J1245" i="22"/>
  <c r="P1245" i="22"/>
  <c r="Q1245" i="22"/>
  <c r="R1245" i="22"/>
  <c r="L1246" i="22"/>
  <c r="C1246" i="22"/>
  <c r="K1246" i="22" s="1"/>
  <c r="E1246" i="22"/>
  <c r="F1246" i="22"/>
  <c r="O1246" i="22" s="1"/>
  <c r="BT25" i="22" s="1"/>
  <c r="G1246" i="22"/>
  <c r="I1246" i="22"/>
  <c r="B1247" i="22"/>
  <c r="I123" i="7"/>
  <c r="I61" i="7"/>
  <c r="U1190" i="22"/>
  <c r="AT24" i="22"/>
  <c r="BF24" i="22"/>
  <c r="M1191" i="22"/>
  <c r="D1191" i="22"/>
  <c r="J1191" i="22"/>
  <c r="N1191" i="22" s="1"/>
  <c r="J92" i="7"/>
  <c r="BS24" i="22"/>
  <c r="P1191" i="22"/>
  <c r="Q1191" i="22"/>
  <c r="R1191" i="22"/>
  <c r="L1192" i="22"/>
  <c r="C1192" i="22"/>
  <c r="E1192" i="22"/>
  <c r="G1192" i="22"/>
  <c r="I1192" i="22"/>
  <c r="B1193" i="22"/>
  <c r="I122" i="7"/>
  <c r="I60" i="7"/>
  <c r="U1136" i="22"/>
  <c r="AT23" i="22"/>
  <c r="BF23" i="22"/>
  <c r="M1137" i="22"/>
  <c r="D1137" i="22"/>
  <c r="J1137" i="22"/>
  <c r="N1137" i="22" s="1"/>
  <c r="J91" i="7"/>
  <c r="BS23" i="22"/>
  <c r="P1137" i="22"/>
  <c r="Q1137" i="22"/>
  <c r="R1137" i="22"/>
  <c r="L1138" i="22"/>
  <c r="C1138" i="22"/>
  <c r="E1138" i="22"/>
  <c r="G1138" i="22"/>
  <c r="I1138" i="22"/>
  <c r="B1139" i="22"/>
  <c r="I59" i="7"/>
  <c r="I121" i="7"/>
  <c r="U1082" i="22"/>
  <c r="AT22" i="22"/>
  <c r="BF22" i="22"/>
  <c r="M1083" i="22"/>
  <c r="D1083" i="22"/>
  <c r="J1083" i="22"/>
  <c r="N1083" i="22" s="1"/>
  <c r="J90" i="7"/>
  <c r="BS22" i="22"/>
  <c r="P1083" i="22"/>
  <c r="Q1083" i="22"/>
  <c r="R1083" i="22"/>
  <c r="L1084" i="22"/>
  <c r="C1084" i="22"/>
  <c r="E1084" i="22"/>
  <c r="G1084" i="22"/>
  <c r="I1084" i="22"/>
  <c r="B1085" i="22"/>
  <c r="I120" i="7"/>
  <c r="I58" i="7"/>
  <c r="U1028" i="22"/>
  <c r="AT21" i="22"/>
  <c r="BF21"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K976" i="22" s="1"/>
  <c r="E976" i="22"/>
  <c r="F976" i="22"/>
  <c r="O976" i="22" s="1"/>
  <c r="G976" i="22"/>
  <c r="I976" i="22"/>
  <c r="B977" i="22"/>
  <c r="I118" i="7"/>
  <c r="I56" i="7"/>
  <c r="U920" i="22"/>
  <c r="AT19" i="22"/>
  <c r="BF19" i="22"/>
  <c r="D921" i="22"/>
  <c r="J921" i="22"/>
  <c r="P921" i="22"/>
  <c r="Q921" i="22"/>
  <c r="R921" i="22"/>
  <c r="L922" i="22"/>
  <c r="C922" i="22"/>
  <c r="E922" i="22"/>
  <c r="G922" i="22"/>
  <c r="I922" i="22"/>
  <c r="B923"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M813" i="22"/>
  <c r="D813" i="22"/>
  <c r="J813" i="22"/>
  <c r="N813" i="22" s="1"/>
  <c r="J85" i="7"/>
  <c r="BS17" i="22"/>
  <c r="P813" i="22"/>
  <c r="Q813" i="22"/>
  <c r="R813" i="22"/>
  <c r="L814" i="22"/>
  <c r="C814" i="22"/>
  <c r="E814" i="22"/>
  <c r="G814" i="22"/>
  <c r="I814" i="22"/>
  <c r="B815" i="22"/>
  <c r="I115" i="7"/>
  <c r="I53" i="7"/>
  <c r="U758" i="22"/>
  <c r="AT16" i="22"/>
  <c r="BF16" i="22"/>
  <c r="M759" i="22"/>
  <c r="D759" i="22"/>
  <c r="J759" i="22"/>
  <c r="N759" i="22" s="1"/>
  <c r="J84" i="7"/>
  <c r="BS16" i="22"/>
  <c r="P759" i="22"/>
  <c r="Q759" i="22"/>
  <c r="R759" i="22"/>
  <c r="L760" i="22"/>
  <c r="C760" i="22"/>
  <c r="E760" i="22"/>
  <c r="G760" i="22"/>
  <c r="I760" i="22"/>
  <c r="B761" i="22"/>
  <c r="I114" i="7"/>
  <c r="I52" i="7"/>
  <c r="U704" i="22"/>
  <c r="AT15" i="22"/>
  <c r="BF15" i="22"/>
  <c r="M705" i="22"/>
  <c r="D705" i="22"/>
  <c r="J705" i="22"/>
  <c r="N705" i="22" s="1"/>
  <c r="J83" i="7"/>
  <c r="BS15" i="22"/>
  <c r="P705" i="22"/>
  <c r="Q705" i="22"/>
  <c r="R705" i="22"/>
  <c r="L706" i="22"/>
  <c r="C706" i="22"/>
  <c r="K706" i="22" s="1"/>
  <c r="E706" i="22"/>
  <c r="F706" i="22"/>
  <c r="O706" i="22" s="1"/>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D597" i="22"/>
  <c r="J597" i="22"/>
  <c r="P597" i="22"/>
  <c r="Q597" i="22"/>
  <c r="R597" i="22"/>
  <c r="L598" i="22"/>
  <c r="C598" i="22"/>
  <c r="K598" i="22" s="1"/>
  <c r="E598" i="22"/>
  <c r="F598" i="22"/>
  <c r="O598" i="22" s="1"/>
  <c r="G598" i="22"/>
  <c r="I598" i="22"/>
  <c r="B599" i="22"/>
  <c r="I111" i="7"/>
  <c r="I49" i="7"/>
  <c r="U542" i="22"/>
  <c r="AT12" i="22"/>
  <c r="BF12" i="22"/>
  <c r="D543" i="22"/>
  <c r="J543" i="22"/>
  <c r="P543" i="22"/>
  <c r="Q543" i="22"/>
  <c r="R543" i="22"/>
  <c r="L544" i="22"/>
  <c r="C544" i="22"/>
  <c r="K544" i="22" s="1"/>
  <c r="E544" i="22"/>
  <c r="F544" i="22"/>
  <c r="O544" i="22" s="1"/>
  <c r="G544" i="22"/>
  <c r="I544" i="22"/>
  <c r="B545" i="22"/>
  <c r="I110" i="7"/>
  <c r="I48" i="7"/>
  <c r="U488" i="22"/>
  <c r="AT11" i="22"/>
  <c r="BF11" i="22"/>
  <c r="M489" i="22"/>
  <c r="D489" i="22"/>
  <c r="J489" i="22"/>
  <c r="N489" i="22" s="1"/>
  <c r="J79" i="7"/>
  <c r="BS11" i="22"/>
  <c r="P489" i="22"/>
  <c r="Q489" i="22"/>
  <c r="R489" i="22"/>
  <c r="L490" i="22"/>
  <c r="C490" i="22"/>
  <c r="K490" i="22" s="1"/>
  <c r="E490" i="22"/>
  <c r="F490" i="22"/>
  <c r="O490" i="22" s="1"/>
  <c r="G490" i="22"/>
  <c r="I490" i="22"/>
  <c r="B491" i="22"/>
  <c r="I109" i="7"/>
  <c r="I47" i="7"/>
  <c r="AT10" i="22"/>
  <c r="BF10" i="22"/>
  <c r="U434" i="22"/>
  <c r="M435" i="22"/>
  <c r="D435" i="22"/>
  <c r="J435" i="22"/>
  <c r="N435" i="22" s="1"/>
  <c r="J78" i="7"/>
  <c r="BS10" i="22"/>
  <c r="P435" i="22"/>
  <c r="Q435" i="22"/>
  <c r="R435" i="22"/>
  <c r="L436" i="22"/>
  <c r="C436" i="22"/>
  <c r="K436" i="22" s="1"/>
  <c r="E436" i="22"/>
  <c r="F436" i="22"/>
  <c r="O436" i="22" s="1"/>
  <c r="G436" i="22"/>
  <c r="I436" i="22"/>
  <c r="B437" i="22"/>
  <c r="I108" i="7"/>
  <c r="I46" i="7"/>
  <c r="U380" i="22"/>
  <c r="AT9" i="22"/>
  <c r="BF9" i="22"/>
  <c r="M381" i="22"/>
  <c r="D381" i="22"/>
  <c r="J381" i="22"/>
  <c r="N381" i="22" s="1"/>
  <c r="J77" i="7"/>
  <c r="BS9" i="22"/>
  <c r="P381" i="22"/>
  <c r="Q381" i="22"/>
  <c r="R381" i="22"/>
  <c r="L382" i="22"/>
  <c r="C382" i="22"/>
  <c r="K382" i="22" s="1"/>
  <c r="E382" i="22"/>
  <c r="F382" i="22"/>
  <c r="O382" i="22" s="1"/>
  <c r="G382" i="22"/>
  <c r="I382" i="22"/>
  <c r="B383" i="22"/>
  <c r="I45" i="7"/>
  <c r="I107" i="7"/>
  <c r="U326" i="22"/>
  <c r="AT8" i="22"/>
  <c r="BF8" i="22"/>
  <c r="M327" i="22"/>
  <c r="D327" i="22"/>
  <c r="J327" i="22"/>
  <c r="N327" i="22" s="1"/>
  <c r="J76" i="7"/>
  <c r="BS8" i="22"/>
  <c r="P327" i="22"/>
  <c r="Q327" i="22"/>
  <c r="R327" i="22"/>
  <c r="L328" i="22"/>
  <c r="C328" i="22"/>
  <c r="K328" i="22" s="1"/>
  <c r="E328" i="22"/>
  <c r="F328" i="22"/>
  <c r="O328" i="22" s="1"/>
  <c r="G328" i="22"/>
  <c r="I328" i="22"/>
  <c r="B329" i="22"/>
  <c r="I106" i="7"/>
  <c r="I44" i="7"/>
  <c r="U272" i="22"/>
  <c r="AT7" i="22"/>
  <c r="BF7" i="22"/>
  <c r="M273" i="22"/>
  <c r="D273" i="22"/>
  <c r="J273" i="22"/>
  <c r="N273" i="22" s="1"/>
  <c r="P273" i="22"/>
  <c r="Q273" i="22"/>
  <c r="R273" i="22"/>
  <c r="L274" i="22"/>
  <c r="C274" i="22"/>
  <c r="K274" i="22" s="1"/>
  <c r="E274" i="22"/>
  <c r="F274" i="22"/>
  <c r="O274" i="22" s="1"/>
  <c r="G274" i="22"/>
  <c r="I274" i="22"/>
  <c r="B275" i="22"/>
  <c r="I105" i="7"/>
  <c r="I43" i="7"/>
  <c r="U218" i="22"/>
  <c r="AT6" i="22"/>
  <c r="BF6" i="22"/>
  <c r="D219" i="22"/>
  <c r="J219" i="22"/>
  <c r="P219" i="22"/>
  <c r="Q219" i="22"/>
  <c r="R219" i="22"/>
  <c r="L220" i="22"/>
  <c r="C220" i="22"/>
  <c r="K220" i="22" s="1"/>
  <c r="E220" i="22"/>
  <c r="F220" i="22"/>
  <c r="O220" i="22" s="1"/>
  <c r="G220" i="22"/>
  <c r="I220" i="22"/>
  <c r="B221" i="22"/>
  <c r="D165" i="22"/>
  <c r="J165" i="22"/>
  <c r="P165" i="22"/>
  <c r="Q165" i="22"/>
  <c r="R165" i="22"/>
  <c r="L166" i="22"/>
  <c r="B167" i="22"/>
  <c r="I166" i="22"/>
  <c r="C166" i="22"/>
  <c r="E166" i="22"/>
  <c r="G166" i="22"/>
  <c r="P111" i="22"/>
  <c r="Q111" i="22"/>
  <c r="R111" i="22"/>
  <c r="L112" i="22"/>
  <c r="C112" i="22"/>
  <c r="E112" i="22"/>
  <c r="G112" i="22"/>
  <c r="B113" i="22"/>
  <c r="I112" i="22"/>
  <c r="J111" i="22"/>
  <c r="D111" i="22"/>
  <c r="G98" i="12"/>
  <c r="F48" i="18"/>
  <c r="G48" i="18"/>
  <c r="H48" i="18"/>
  <c r="J49" i="17"/>
  <c r="D49" i="17"/>
  <c r="N101" i="12"/>
  <c r="O49" i="17"/>
  <c r="E101" i="12"/>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M49" i="17"/>
  <c r="N49" i="17"/>
  <c r="I50" i="17"/>
  <c r="L50" i="17"/>
  <c r="C50" i="17"/>
  <c r="F50" i="17" s="1"/>
  <c r="C50" i="18" s="1"/>
  <c r="E50" i="18" s="1"/>
  <c r="E50" i="17"/>
  <c r="G50" i="17"/>
  <c r="BC50" i="17" s="1"/>
  <c r="K50" i="17"/>
  <c r="B51" i="17"/>
  <c r="B50" i="18"/>
  <c r="U48" i="17"/>
  <c r="M100" i="12"/>
  <c r="Q100" i="12" s="1"/>
  <c r="O100" i="12"/>
  <c r="C99" i="12"/>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4" i="17"/>
  <c r="BC36" i="17"/>
  <c r="BC37" i="17"/>
  <c r="BC40" i="17"/>
  <c r="BC41" i="17"/>
  <c r="BC44" i="17"/>
  <c r="BC45" i="17"/>
  <c r="BC47" i="17"/>
  <c r="BC33" i="17"/>
  <c r="BC35" i="17"/>
  <c r="BC38" i="17"/>
  <c r="BC39" i="17"/>
  <c r="BC42" i="17"/>
  <c r="BC43" i="17"/>
  <c r="BC46" i="17"/>
  <c r="BC48" i="17"/>
  <c r="BC49" i="17"/>
  <c r="AH726" i="23"/>
  <c r="F49" i="8"/>
  <c r="AI1622" i="23"/>
  <c r="F104" i="8"/>
  <c r="C134" i="8"/>
  <c r="AD1343" i="23"/>
  <c r="AD895" i="23"/>
  <c r="AH1623" i="23"/>
  <c r="G103" i="8"/>
  <c r="B135" i="8"/>
  <c r="D135" i="8"/>
  <c r="X1512" i="23"/>
  <c r="W1512" i="23"/>
  <c r="X1456" i="23"/>
  <c r="W1456" i="23"/>
  <c r="X1400" i="23"/>
  <c r="W1400" i="23"/>
  <c r="X1176" i="23"/>
  <c r="W1176" i="23"/>
  <c r="X1064" i="23"/>
  <c r="W1064" i="23"/>
  <c r="X896" i="23"/>
  <c r="W896" i="23"/>
  <c r="AH727" i="23"/>
  <c r="G49" i="8"/>
  <c r="X560" i="23"/>
  <c r="W560" i="23"/>
  <c r="X280" i="23"/>
  <c r="W280" i="23"/>
  <c r="P99" i="12"/>
  <c r="Q99" i="12" s="1"/>
  <c r="U3565" i="22"/>
  <c r="AS68" i="22"/>
  <c r="BE68" i="22"/>
  <c r="U3349" i="22"/>
  <c r="AS64" i="22"/>
  <c r="BE64" i="22"/>
  <c r="U3295" i="22"/>
  <c r="AS63" i="22"/>
  <c r="BE63" i="22"/>
  <c r="U3079" i="22"/>
  <c r="AS59" i="22"/>
  <c r="BE59" i="22"/>
  <c r="U3025" i="22"/>
  <c r="AS58" i="22"/>
  <c r="BE58" i="22"/>
  <c r="U2647" i="22"/>
  <c r="AS51" i="22"/>
  <c r="BE51" i="22"/>
  <c r="U2593" i="22"/>
  <c r="AS50" i="22"/>
  <c r="BE50" i="22"/>
  <c r="U2539" i="22"/>
  <c r="AS49" i="22"/>
  <c r="BE49" i="22"/>
  <c r="U2269" i="22"/>
  <c r="AS44" i="22"/>
  <c r="BE44" i="22"/>
  <c r="U2215" i="22"/>
  <c r="AS43" i="22"/>
  <c r="BE43" i="22"/>
  <c r="U2161" i="22"/>
  <c r="AS42" i="22"/>
  <c r="BE42" i="22"/>
  <c r="U1891" i="22"/>
  <c r="AS37" i="22"/>
  <c r="BE37" i="22"/>
  <c r="U1837" i="22"/>
  <c r="AS36" i="22"/>
  <c r="BE36" i="22"/>
  <c r="U1729" i="22"/>
  <c r="AS34" i="22"/>
  <c r="BE34" i="22"/>
  <c r="U1405" i="22"/>
  <c r="AS28" i="22"/>
  <c r="BE28" i="22"/>
  <c r="U1351" i="22"/>
  <c r="AS27" i="22"/>
  <c r="BE27" i="22"/>
  <c r="U1297" i="22"/>
  <c r="AS26" i="22"/>
  <c r="BE26" i="22"/>
  <c r="H119" i="7"/>
  <c r="H57" i="7"/>
  <c r="U973" i="22"/>
  <c r="AS20" i="22"/>
  <c r="BE20" i="22"/>
  <c r="H112" i="7"/>
  <c r="H50" i="7"/>
  <c r="U595" i="22"/>
  <c r="AS13" i="22"/>
  <c r="BE13" i="22"/>
  <c r="H106" i="7"/>
  <c r="H44" i="7"/>
  <c r="U271" i="22"/>
  <c r="AS7" i="22"/>
  <c r="BE7" i="22"/>
  <c r="AD1624" i="23"/>
  <c r="AG1624" i="23"/>
  <c r="AB1513" i="23"/>
  <c r="AC1513" i="23" s="1"/>
  <c r="O1513" i="23"/>
  <c r="M1513" i="23"/>
  <c r="N1513" i="23"/>
  <c r="AB1457" i="23"/>
  <c r="AC1457" i="23"/>
  <c r="O1457" i="23"/>
  <c r="M1457" i="23"/>
  <c r="N1457" i="23"/>
  <c r="AD1344" i="23"/>
  <c r="M1345" i="23"/>
  <c r="N1345" i="23"/>
  <c r="AB1345" i="23"/>
  <c r="AC1345" i="23" s="1"/>
  <c r="O1345" i="23"/>
  <c r="Y1345" i="23" s="1"/>
  <c r="N1177" i="23"/>
  <c r="M1177" i="23"/>
  <c r="AB1177" i="23"/>
  <c r="O1177" i="23"/>
  <c r="Y1177" i="23" s="1"/>
  <c r="AC1177" i="23"/>
  <c r="AB1065" i="23"/>
  <c r="AC1065" i="23" s="1"/>
  <c r="O1065" i="23"/>
  <c r="Y1065" i="23" s="1"/>
  <c r="M1065" i="23"/>
  <c r="N1065" i="23"/>
  <c r="AB953" i="23"/>
  <c r="AC953" i="23" s="1"/>
  <c r="O953" i="23"/>
  <c r="Y953" i="23" s="1"/>
  <c r="M953" i="23"/>
  <c r="N953" i="23"/>
  <c r="AB897" i="23"/>
  <c r="AC897" i="23" s="1"/>
  <c r="O897" i="23"/>
  <c r="Y897" i="23" s="1"/>
  <c r="M897" i="23"/>
  <c r="N897" i="23"/>
  <c r="AD728" i="23"/>
  <c r="AG728" i="23"/>
  <c r="M729" i="23"/>
  <c r="N729" i="23"/>
  <c r="O729" i="23"/>
  <c r="Y729" i="23" s="1"/>
  <c r="AB729" i="23"/>
  <c r="AC729" i="23" s="1"/>
  <c r="AD448" i="23"/>
  <c r="M449" i="23"/>
  <c r="N449" i="23"/>
  <c r="AB449" i="23"/>
  <c r="AC449" i="23" s="1"/>
  <c r="O449" i="23"/>
  <c r="Y449" i="23" s="1"/>
  <c r="M4706" i="22"/>
  <c r="N4706" i="22"/>
  <c r="M3566" i="22"/>
  <c r="N3566" i="22"/>
  <c r="BR62" i="22"/>
  <c r="M3242" i="22"/>
  <c r="N3242" i="22"/>
  <c r="M3188" i="22"/>
  <c r="N3188" i="22"/>
  <c r="BR61" i="22"/>
  <c r="BR54" i="22"/>
  <c r="M2810" i="22"/>
  <c r="N2810" i="22"/>
  <c r="BR53" i="22"/>
  <c r="M2756" i="22"/>
  <c r="N2756" i="22"/>
  <c r="M2702" i="22"/>
  <c r="N2702" i="22"/>
  <c r="BR52" i="22"/>
  <c r="BR39" i="22"/>
  <c r="M2000" i="22"/>
  <c r="N2000" i="22"/>
  <c r="M1406" i="22"/>
  <c r="N1406" i="22"/>
  <c r="M1298" i="22"/>
  <c r="N1298" i="22"/>
  <c r="BR25" i="22"/>
  <c r="M1244" i="22"/>
  <c r="N1244" i="22"/>
  <c r="BR18" i="22"/>
  <c r="I86" i="7"/>
  <c r="M866" i="22"/>
  <c r="N866" i="22"/>
  <c r="BR5" i="22"/>
  <c r="I73" i="7"/>
  <c r="M164" i="22"/>
  <c r="N164" i="22"/>
  <c r="BR4" i="22"/>
  <c r="I72" i="7"/>
  <c r="N110" i="22"/>
  <c r="M110" i="22"/>
  <c r="AD1121" i="23"/>
  <c r="G127" i="7"/>
  <c r="G65" i="7"/>
  <c r="H96" i="7"/>
  <c r="X1625" i="23"/>
  <c r="W1625" i="23"/>
  <c r="X1569" i="23"/>
  <c r="W1569" i="23"/>
  <c r="K1514" i="23"/>
  <c r="F1514" i="23"/>
  <c r="K1458" i="23"/>
  <c r="F1458" i="23"/>
  <c r="K1402" i="23"/>
  <c r="F1402" i="23"/>
  <c r="W1401" i="23"/>
  <c r="X1401" i="23"/>
  <c r="K1346" i="23"/>
  <c r="F1346" i="23"/>
  <c r="X1289" i="23"/>
  <c r="W1289" i="23"/>
  <c r="W1233" i="23"/>
  <c r="X1233" i="23"/>
  <c r="F1066" i="23"/>
  <c r="K1066" i="23"/>
  <c r="X1009" i="23"/>
  <c r="W1009" i="23"/>
  <c r="F1010" i="23"/>
  <c r="K1010" i="23"/>
  <c r="K954" i="23"/>
  <c r="F954" i="23"/>
  <c r="X841" i="23"/>
  <c r="W841" i="23"/>
  <c r="X785" i="23"/>
  <c r="W785" i="23"/>
  <c r="K730" i="23"/>
  <c r="F730" i="23"/>
  <c r="AD673" i="23"/>
  <c r="X617" i="23"/>
  <c r="W617" i="23"/>
  <c r="X561" i="23"/>
  <c r="W561" i="23"/>
  <c r="F562" i="23"/>
  <c r="K562" i="23"/>
  <c r="W505" i="23"/>
  <c r="X505" i="23"/>
  <c r="K506" i="23"/>
  <c r="F506" i="23"/>
  <c r="K450" i="23"/>
  <c r="F450" i="23"/>
  <c r="X393" i="23"/>
  <c r="W393" i="23"/>
  <c r="X337" i="23"/>
  <c r="W337" i="23"/>
  <c r="X281" i="23"/>
  <c r="W281" i="23"/>
  <c r="F4707" i="22"/>
  <c r="K4707" i="22"/>
  <c r="F4245" i="22"/>
  <c r="O4245" i="22" s="1"/>
  <c r="K4245" i="22"/>
  <c r="F3783" i="22"/>
  <c r="O3783" i="22" s="1"/>
  <c r="K3783" i="22"/>
  <c r="BS71" i="22"/>
  <c r="BS70" i="22"/>
  <c r="K3621" i="22"/>
  <c r="F3621" i="22"/>
  <c r="O3621" i="22" s="1"/>
  <c r="K3567" i="22"/>
  <c r="F3567" i="22"/>
  <c r="O3567" i="22" s="1"/>
  <c r="BS67" i="22"/>
  <c r="F3351" i="22"/>
  <c r="O3351" i="22" s="1"/>
  <c r="K3351" i="22"/>
  <c r="F3297" i="22"/>
  <c r="O3297" i="22" s="1"/>
  <c r="K3297" i="22"/>
  <c r="K3243" i="22"/>
  <c r="F3243" i="22"/>
  <c r="O3243" i="22" s="1"/>
  <c r="BS60" i="22"/>
  <c r="BS59" i="22"/>
  <c r="BS58" i="22"/>
  <c r="F2973" i="22"/>
  <c r="O2973" i="22" s="1"/>
  <c r="K2973" i="22"/>
  <c r="K2919" i="22"/>
  <c r="F2919" i="22"/>
  <c r="O2919" i="22" s="1"/>
  <c r="F2865" i="22"/>
  <c r="O2865" i="22" s="1"/>
  <c r="K2865" i="22"/>
  <c r="F2649" i="22"/>
  <c r="O2649" i="22" s="1"/>
  <c r="K2649" i="22"/>
  <c r="F2595" i="22"/>
  <c r="O2595" i="22" s="1"/>
  <c r="K2595" i="22"/>
  <c r="F2541" i="22"/>
  <c r="O2541" i="22" s="1"/>
  <c r="K2541" i="22"/>
  <c r="K2487" i="22"/>
  <c r="F2487" i="22"/>
  <c r="O2487" i="22" s="1"/>
  <c r="BS44" i="22"/>
  <c r="F2217" i="22"/>
  <c r="O2217" i="22" s="1"/>
  <c r="K2217" i="22"/>
  <c r="K2163" i="22"/>
  <c r="F2163" i="22"/>
  <c r="O2163" i="22" s="1"/>
  <c r="K2109" i="22"/>
  <c r="F2109" i="22"/>
  <c r="O2109" i="22" s="1"/>
  <c r="BS37" i="22"/>
  <c r="BS36" i="22"/>
  <c r="BS35" i="22"/>
  <c r="K1731" i="22"/>
  <c r="F1731" i="22"/>
  <c r="O1731" i="22" s="1"/>
  <c r="BS33" i="22"/>
  <c r="BS32" i="22"/>
  <c r="BS30" i="22"/>
  <c r="BS29" i="22"/>
  <c r="K1407" i="22"/>
  <c r="F1407" i="22"/>
  <c r="O1407" i="22" s="1"/>
  <c r="BS28" i="22" s="1"/>
  <c r="K1353" i="22"/>
  <c r="F1353" i="22"/>
  <c r="O1353" i="22" s="1"/>
  <c r="K1299" i="22"/>
  <c r="F1299" i="22"/>
  <c r="O1299" i="22" s="1"/>
  <c r="BS26" i="22" s="1"/>
  <c r="K1245" i="22"/>
  <c r="F1245" i="22"/>
  <c r="O1245" i="22" s="1"/>
  <c r="F921" i="22"/>
  <c r="O921" i="22" s="1"/>
  <c r="K921" i="22"/>
  <c r="F597" i="22"/>
  <c r="O597" i="22" s="1"/>
  <c r="K597" i="22"/>
  <c r="F543" i="22"/>
  <c r="O543" i="22" s="1"/>
  <c r="K543" i="22"/>
  <c r="BS7" i="22"/>
  <c r="F219" i="22"/>
  <c r="O219" i="22" s="1"/>
  <c r="K219" i="22"/>
  <c r="K165" i="22"/>
  <c r="F165" i="22"/>
  <c r="O165" i="22" s="1"/>
  <c r="F111" i="22"/>
  <c r="O111" i="22" s="1"/>
  <c r="K111" i="22"/>
  <c r="BR28" i="22"/>
  <c r="BR26" i="22"/>
  <c r="H127" i="7" l="1"/>
  <c r="H65" i="7"/>
  <c r="I96" i="7"/>
  <c r="K1179" i="23"/>
  <c r="F1179" i="23"/>
  <c r="K1123" i="23"/>
  <c r="F1123" i="23"/>
  <c r="AC1123" i="23" s="1"/>
  <c r="K283" i="23"/>
  <c r="F283" i="23"/>
  <c r="K4762" i="22"/>
  <c r="F4762" i="22"/>
  <c r="K3730" i="22"/>
  <c r="F3730" i="22"/>
  <c r="O3730" i="22" s="1"/>
  <c r="BT71" i="22" s="1"/>
  <c r="K3676" i="22"/>
  <c r="F3676" i="22"/>
  <c r="O3676" i="22" s="1"/>
  <c r="BT70" i="22" s="1"/>
  <c r="K3622" i="22"/>
  <c r="F3622" i="22"/>
  <c r="O3622" i="22" s="1"/>
  <c r="BT69" i="22" s="1"/>
  <c r="K2974" i="22"/>
  <c r="F2974" i="22"/>
  <c r="O2974" i="22" s="1"/>
  <c r="BT57" i="22" s="1"/>
  <c r="K2920" i="22"/>
  <c r="F2920" i="22"/>
  <c r="O2920" i="22" s="1"/>
  <c r="BT56" i="22" s="1"/>
  <c r="K2650" i="22"/>
  <c r="F2650" i="22"/>
  <c r="O2650" i="22" s="1"/>
  <c r="BT51" i="22" s="1"/>
  <c r="K2056" i="22"/>
  <c r="F2056" i="22"/>
  <c r="O2056" i="22" s="1"/>
  <c r="K922" i="22"/>
  <c r="F922" i="22"/>
  <c r="O922"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E1572" i="23"/>
  <c r="G1572" i="23"/>
  <c r="B1573" i="23"/>
  <c r="J1515" i="23"/>
  <c r="D1515" i="23"/>
  <c r="P1515" i="23"/>
  <c r="Q1515" i="23"/>
  <c r="R1515" i="23"/>
  <c r="AF1515" i="23"/>
  <c r="L1516" i="23"/>
  <c r="I1516" i="23"/>
  <c r="C1516" i="23"/>
  <c r="E1516" i="23"/>
  <c r="G1516" i="23"/>
  <c r="B1517" i="23"/>
  <c r="P1459" i="23"/>
  <c r="Q1459" i="23"/>
  <c r="R1459" i="23"/>
  <c r="AF1459" i="23"/>
  <c r="J1459" i="23"/>
  <c r="D1459" i="23"/>
  <c r="L1460" i="23"/>
  <c r="I1460" i="23"/>
  <c r="B1461" i="23"/>
  <c r="C1460" i="23"/>
  <c r="E1460" i="23"/>
  <c r="G1460" i="23"/>
  <c r="J1403" i="23"/>
  <c r="D1403" i="23"/>
  <c r="P1403" i="23"/>
  <c r="Q1403" i="23"/>
  <c r="R1403" i="23"/>
  <c r="AF1403" i="23"/>
  <c r="L1404" i="23"/>
  <c r="I1404" i="23"/>
  <c r="C1404" i="23"/>
  <c r="E1404" i="23"/>
  <c r="G1404" i="23"/>
  <c r="B1405" i="23"/>
  <c r="L1348" i="23"/>
  <c r="I1348" i="23"/>
  <c r="B1349" i="23"/>
  <c r="C1348" i="23"/>
  <c r="E1348" i="23"/>
  <c r="G1348" i="23"/>
  <c r="J1347" i="23"/>
  <c r="D1347" i="23"/>
  <c r="P1347" i="23"/>
  <c r="Q1347" i="23"/>
  <c r="R1347" i="23"/>
  <c r="AF1347" i="23"/>
  <c r="M1291" i="23"/>
  <c r="J1291" i="23"/>
  <c r="N1291" i="23" s="1"/>
  <c r="D1291" i="23"/>
  <c r="O1291" i="23"/>
  <c r="Y1291" i="23" s="1"/>
  <c r="AB1291" i="23"/>
  <c r="AC1291" i="23" s="1"/>
  <c r="P1291" i="23"/>
  <c r="Q1291" i="23"/>
  <c r="R1291" i="23"/>
  <c r="AF1291" i="23"/>
  <c r="L1292" i="23"/>
  <c r="I1292" i="23"/>
  <c r="C1292" i="23"/>
  <c r="K1292" i="23" s="1"/>
  <c r="E1292" i="23"/>
  <c r="F1292" i="23"/>
  <c r="G1292" i="23"/>
  <c r="B1293" i="23"/>
  <c r="J1235" i="23"/>
  <c r="D1235" i="23"/>
  <c r="P1235" i="23"/>
  <c r="Q1235" i="23"/>
  <c r="R1235" i="23"/>
  <c r="AF1235" i="23"/>
  <c r="L1236" i="23"/>
  <c r="I1236" i="23"/>
  <c r="C1236" i="23"/>
  <c r="K1236" i="23" s="1"/>
  <c r="E1236" i="23"/>
  <c r="F1236" i="23"/>
  <c r="G1236" i="23"/>
  <c r="B1237" i="23"/>
  <c r="M1179" i="23"/>
  <c r="P1179" i="23"/>
  <c r="Q1179" i="23"/>
  <c r="R1179" i="23"/>
  <c r="AF1179" i="23"/>
  <c r="L1180" i="23"/>
  <c r="I1180" i="23"/>
  <c r="C1180" i="23"/>
  <c r="K1180" i="23" s="1"/>
  <c r="E1180" i="23"/>
  <c r="G1180" i="23"/>
  <c r="B1181" i="23"/>
  <c r="F1180" i="23"/>
  <c r="J1179" i="23"/>
  <c r="N1179" i="23" s="1"/>
  <c r="D1179" i="23"/>
  <c r="AB1179" i="23"/>
  <c r="O1179" i="23"/>
  <c r="Y1179" i="23" s="1"/>
  <c r="AC1179" i="23"/>
  <c r="M1123" i="23"/>
  <c r="J1123" i="23"/>
  <c r="N1123" i="23" s="1"/>
  <c r="D1123" i="23"/>
  <c r="AB1123" i="23"/>
  <c r="O1123" i="23"/>
  <c r="Y1123" i="23" s="1"/>
  <c r="P1123" i="23"/>
  <c r="Q1123" i="23"/>
  <c r="R1123" i="23"/>
  <c r="AF1123" i="23"/>
  <c r="L1124" i="23"/>
  <c r="I1124" i="23"/>
  <c r="E1124" i="23"/>
  <c r="G1124" i="23"/>
  <c r="B1125" i="23"/>
  <c r="C1124" i="23"/>
  <c r="J1067" i="23"/>
  <c r="D1067" i="23"/>
  <c r="P1067" i="23"/>
  <c r="Q1067" i="23"/>
  <c r="R1067" i="23"/>
  <c r="AF1067" i="23"/>
  <c r="L1068" i="23"/>
  <c r="I1068" i="23"/>
  <c r="E1068" i="23"/>
  <c r="C1068" i="23"/>
  <c r="G1068" i="23"/>
  <c r="B1069" i="23"/>
  <c r="M1011" i="23"/>
  <c r="J1011" i="23"/>
  <c r="N1011" i="23" s="1"/>
  <c r="D1011" i="23"/>
  <c r="O1011" i="23"/>
  <c r="Y1011" i="23" s="1"/>
  <c r="AB1011" i="23"/>
  <c r="AC1011" i="23"/>
  <c r="P1011" i="23"/>
  <c r="Q1011" i="23"/>
  <c r="R1011" i="23"/>
  <c r="AF1011" i="23"/>
  <c r="L1012" i="23"/>
  <c r="I1012" i="23"/>
  <c r="C1012" i="23"/>
  <c r="K1012" i="23" s="1"/>
  <c r="E1012" i="23"/>
  <c r="F1012" i="23"/>
  <c r="G1012" i="23"/>
  <c r="B1013" i="23"/>
  <c r="M955" i="23"/>
  <c r="J955" i="23"/>
  <c r="N955" i="23" s="1"/>
  <c r="D955" i="23"/>
  <c r="O955" i="23"/>
  <c r="Y955" i="23" s="1"/>
  <c r="AB955" i="23"/>
  <c r="AC955" i="23" s="1"/>
  <c r="P955" i="23"/>
  <c r="Q955" i="23"/>
  <c r="R955" i="23"/>
  <c r="AF955" i="23"/>
  <c r="L956" i="23"/>
  <c r="I956" i="23"/>
  <c r="C956" i="23"/>
  <c r="K956" i="23" s="1"/>
  <c r="E956" i="23"/>
  <c r="F956" i="23"/>
  <c r="G956" i="23"/>
  <c r="B957" i="23"/>
  <c r="J899" i="23"/>
  <c r="D899" i="23"/>
  <c r="P899" i="23"/>
  <c r="Q899" i="23"/>
  <c r="R899" i="23"/>
  <c r="AF899" i="23"/>
  <c r="L900" i="23"/>
  <c r="I900" i="23"/>
  <c r="C900" i="23"/>
  <c r="E900" i="23"/>
  <c r="G900" i="23"/>
  <c r="B901" i="23"/>
  <c r="J843" i="23"/>
  <c r="D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J731" i="23"/>
  <c r="D731" i="23"/>
  <c r="P731" i="23"/>
  <c r="Q731" i="23"/>
  <c r="R731" i="23"/>
  <c r="AF731" i="23"/>
  <c r="L732" i="23"/>
  <c r="I732" i="23"/>
  <c r="G732" i="23"/>
  <c r="E732" i="23"/>
  <c r="B733" i="23"/>
  <c r="C732" i="23"/>
  <c r="K732" i="23" s="1"/>
  <c r="F732" i="23"/>
  <c r="M675" i="23"/>
  <c r="J675" i="23"/>
  <c r="N675" i="23" s="1"/>
  <c r="D675" i="23"/>
  <c r="O675" i="23"/>
  <c r="Y675" i="23" s="1"/>
  <c r="AB675" i="23"/>
  <c r="AC675" i="23"/>
  <c r="P675" i="23"/>
  <c r="Q675" i="23"/>
  <c r="R675" i="23"/>
  <c r="W675" i="23"/>
  <c r="X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J563" i="23"/>
  <c r="D563" i="23"/>
  <c r="P563" i="23"/>
  <c r="Q563" i="23"/>
  <c r="R563" i="23"/>
  <c r="AF563" i="23"/>
  <c r="L564" i="23"/>
  <c r="I564" i="23"/>
  <c r="C564" i="23"/>
  <c r="K564" i="23" s="1"/>
  <c r="E564" i="23"/>
  <c r="F564" i="23"/>
  <c r="G564" i="23"/>
  <c r="B565" i="23"/>
  <c r="M507" i="23"/>
  <c r="J507" i="23"/>
  <c r="N507" i="23" s="1"/>
  <c r="D507" i="23"/>
  <c r="O507" i="23"/>
  <c r="Y507" i="23" s="1"/>
  <c r="AB507" i="23"/>
  <c r="AC507" i="23"/>
  <c r="P507" i="23"/>
  <c r="Q507" i="23"/>
  <c r="R507" i="23"/>
  <c r="AF507" i="23"/>
  <c r="L508" i="23"/>
  <c r="I508" i="23"/>
  <c r="C508" i="23"/>
  <c r="E508" i="23"/>
  <c r="G508" i="23"/>
  <c r="B509" i="23"/>
  <c r="J451" i="23"/>
  <c r="D451" i="23"/>
  <c r="P451" i="23"/>
  <c r="Q451" i="23"/>
  <c r="R451" i="23"/>
  <c r="AF451" i="23"/>
  <c r="L452" i="23"/>
  <c r="I452" i="23"/>
  <c r="C452" i="23"/>
  <c r="K452" i="23" s="1"/>
  <c r="E452" i="23"/>
  <c r="F452" i="23"/>
  <c r="G452" i="23"/>
  <c r="B453" i="23"/>
  <c r="J395" i="23"/>
  <c r="D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P4762" i="22"/>
  <c r="Q4762" i="22"/>
  <c r="R4762" i="22"/>
  <c r="M4762" i="22"/>
  <c r="L4763" i="22"/>
  <c r="B4764" i="22"/>
  <c r="C4763" i="22"/>
  <c r="F4763" i="22" s="1"/>
  <c r="E4763" i="22"/>
  <c r="G4763" i="22"/>
  <c r="I4763" i="22"/>
  <c r="K4763" i="22"/>
  <c r="D4762" i="22"/>
  <c r="J4762" i="22"/>
  <c r="N4762" i="22" s="1"/>
  <c r="T4706" i="22"/>
  <c r="D37" i="15" s="1"/>
  <c r="U4707" i="22"/>
  <c r="S4707" i="22"/>
  <c r="T4707" i="22" s="1"/>
  <c r="D38" i="15" s="1"/>
  <c r="D4708" i="22"/>
  <c r="J4708" i="22"/>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K4601" i="22" s="1"/>
  <c r="E4601" i="22"/>
  <c r="F4601" i="22"/>
  <c r="G4601" i="22"/>
  <c r="B4602" i="22"/>
  <c r="D4546" i="22"/>
  <c r="J4546" i="22"/>
  <c r="P4546" i="22"/>
  <c r="Q4546" i="22"/>
  <c r="R4546" i="22"/>
  <c r="L4547" i="22"/>
  <c r="C4547" i="22"/>
  <c r="K4547" i="22" s="1"/>
  <c r="E4547" i="22"/>
  <c r="F4547" i="22"/>
  <c r="G4547" i="22"/>
  <c r="I4547" i="22"/>
  <c r="B4548" i="22"/>
  <c r="D4246" i="22"/>
  <c r="J4246" i="22"/>
  <c r="N4246" i="22" s="1"/>
  <c r="U4246" i="22" s="1"/>
  <c r="P4246" i="22"/>
  <c r="Q4246" i="22"/>
  <c r="R4246" i="22"/>
  <c r="M4246" i="22"/>
  <c r="C4247" i="22"/>
  <c r="F4247" i="22" s="1"/>
  <c r="O4247" i="22" s="1"/>
  <c r="E4247" i="22"/>
  <c r="G4247" i="22"/>
  <c r="I4247" i="22"/>
  <c r="K4247" i="22"/>
  <c r="L4247" i="22"/>
  <c r="B4248" i="22"/>
  <c r="D4192" i="22"/>
  <c r="J4192" i="22"/>
  <c r="P4192" i="22"/>
  <c r="Q4192" i="22"/>
  <c r="R4192" i="22"/>
  <c r="L4193" i="22"/>
  <c r="C4193" i="22"/>
  <c r="E4193" i="22"/>
  <c r="G4193" i="22"/>
  <c r="I4193" i="22"/>
  <c r="B4194" i="22"/>
  <c r="D4138" i="22"/>
  <c r="J4138" i="22"/>
  <c r="N4138" i="22" s="1"/>
  <c r="U4138" i="22" s="1"/>
  <c r="P4138" i="22"/>
  <c r="Q4138" i="22"/>
  <c r="R4138" i="22"/>
  <c r="M4138" i="22"/>
  <c r="L4139" i="22"/>
  <c r="C4139" i="22"/>
  <c r="K4139" i="22" s="1"/>
  <c r="E4139" i="22"/>
  <c r="F4139" i="22"/>
  <c r="O4139" i="22" s="1"/>
  <c r="G4139" i="22"/>
  <c r="I4139" i="22"/>
  <c r="B4140" i="22"/>
  <c r="P4084" i="22"/>
  <c r="Q4084" i="22"/>
  <c r="R4084" i="22"/>
  <c r="G4085" i="22"/>
  <c r="I4085" i="22"/>
  <c r="C4085" i="22"/>
  <c r="E4085" i="22"/>
  <c r="L4085" i="22"/>
  <c r="B4086" i="22"/>
  <c r="J4084" i="22"/>
  <c r="D4084" i="22"/>
  <c r="M3784" i="22"/>
  <c r="D3784" i="22"/>
  <c r="J3784" i="22"/>
  <c r="N3784" i="22" s="1"/>
  <c r="P3784" i="22"/>
  <c r="Q3784" i="22"/>
  <c r="R3784" i="22"/>
  <c r="L3785" i="22"/>
  <c r="C3785" i="22"/>
  <c r="K3785" i="22" s="1"/>
  <c r="E3785" i="22"/>
  <c r="F3785" i="22"/>
  <c r="O3785" i="22" s="1"/>
  <c r="G3785" i="22"/>
  <c r="I3785" i="22"/>
  <c r="B3786" i="22"/>
  <c r="U3729" i="22"/>
  <c r="AU71" i="22"/>
  <c r="BG71" i="22"/>
  <c r="M3730" i="22"/>
  <c r="D3730" i="22"/>
  <c r="J3730" i="22"/>
  <c r="N3730" i="22" s="1"/>
  <c r="P3730" i="22"/>
  <c r="Q3730" i="22"/>
  <c r="R3730" i="22"/>
  <c r="L3731" i="22"/>
  <c r="C3731" i="22"/>
  <c r="E3731" i="22"/>
  <c r="G3731" i="22"/>
  <c r="I3731" i="22"/>
  <c r="B3732" i="22"/>
  <c r="U3675" i="22"/>
  <c r="AU70" i="22"/>
  <c r="BG70" i="22"/>
  <c r="M3676" i="22"/>
  <c r="D3676" i="22"/>
  <c r="J3676" i="22"/>
  <c r="N3676" i="22" s="1"/>
  <c r="P3676" i="22"/>
  <c r="Q3676" i="22"/>
  <c r="R3676" i="22"/>
  <c r="L3677" i="22"/>
  <c r="C3677" i="22"/>
  <c r="E3677" i="22"/>
  <c r="G3677" i="22"/>
  <c r="I3677" i="22"/>
  <c r="B3678" i="22"/>
  <c r="M3622" i="22"/>
  <c r="D3622" i="22"/>
  <c r="J3622" i="22"/>
  <c r="N3622" i="22" s="1"/>
  <c r="P3622" i="22"/>
  <c r="Q3622" i="22"/>
  <c r="R3622" i="22"/>
  <c r="L3623" i="22"/>
  <c r="C3623" i="22"/>
  <c r="E3623" i="22"/>
  <c r="G3623" i="22"/>
  <c r="I3623" i="22"/>
  <c r="B3624" i="22"/>
  <c r="L3569" i="22"/>
  <c r="I3569" i="22"/>
  <c r="B3570" i="22"/>
  <c r="C3569" i="22"/>
  <c r="E3569" i="22"/>
  <c r="G3569" i="22"/>
  <c r="D3568" i="22"/>
  <c r="J3568" i="22"/>
  <c r="P3568" i="22"/>
  <c r="Q3568" i="22"/>
  <c r="R3568" i="22"/>
  <c r="U3513" i="22"/>
  <c r="AU67" i="22"/>
  <c r="BG67" i="22"/>
  <c r="D3514" i="22"/>
  <c r="J3514" i="22"/>
  <c r="P3514" i="22"/>
  <c r="Q3514" i="22"/>
  <c r="R3514" i="22"/>
  <c r="L3515" i="22"/>
  <c r="C3515" i="22"/>
  <c r="K3515" i="22" s="1"/>
  <c r="E3515" i="22"/>
  <c r="F3515" i="22"/>
  <c r="O3515" i="22" s="1"/>
  <c r="BU67"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U3405" i="22"/>
  <c r="AU65" i="22"/>
  <c r="BG65" i="22"/>
  <c r="M3406" i="22"/>
  <c r="D3406" i="22"/>
  <c r="J3406" i="22"/>
  <c r="N3406" i="22" s="1"/>
  <c r="P3406" i="22"/>
  <c r="Q3406" i="22"/>
  <c r="R3406" i="22"/>
  <c r="L3407" i="22"/>
  <c r="C3407" i="22"/>
  <c r="K3407" i="22" s="1"/>
  <c r="E3407" i="22"/>
  <c r="F3407" i="22"/>
  <c r="O3407" i="22" s="1"/>
  <c r="G3407" i="22"/>
  <c r="I3407" i="22"/>
  <c r="B3408" i="22"/>
  <c r="M3352" i="22"/>
  <c r="D3352" i="22"/>
  <c r="J3352" i="22"/>
  <c r="N3352" i="22" s="1"/>
  <c r="P3352" i="22"/>
  <c r="Q3352" i="22"/>
  <c r="R3352" i="22"/>
  <c r="L3353" i="22"/>
  <c r="C3353" i="22"/>
  <c r="K3353" i="22" s="1"/>
  <c r="E3353" i="22"/>
  <c r="F3353" i="22"/>
  <c r="O3353" i="22" s="1"/>
  <c r="G3353" i="22"/>
  <c r="I3353" i="22"/>
  <c r="B3354" i="22"/>
  <c r="M3298" i="22"/>
  <c r="D3298" i="22"/>
  <c r="J3298" i="22"/>
  <c r="N3298" i="22" s="1"/>
  <c r="P3298" i="22"/>
  <c r="Q3298" i="22"/>
  <c r="R3298" i="22"/>
  <c r="L3299" i="22"/>
  <c r="C3299" i="22"/>
  <c r="E3299" i="22"/>
  <c r="G3299" i="22"/>
  <c r="I3299" i="22"/>
  <c r="B3300" i="22"/>
  <c r="P3244" i="22"/>
  <c r="Q3244" i="22"/>
  <c r="R3244" i="22"/>
  <c r="J3244" i="22"/>
  <c r="D3244" i="22"/>
  <c r="L3245" i="22"/>
  <c r="E3245" i="22"/>
  <c r="I3245" i="22"/>
  <c r="C3245" i="22"/>
  <c r="G3245" i="22"/>
  <c r="B3246" i="22"/>
  <c r="U3189" i="22"/>
  <c r="AU61" i="22"/>
  <c r="BG61" i="22"/>
  <c r="D3190" i="22"/>
  <c r="J3190" i="22"/>
  <c r="P3190" i="22"/>
  <c r="Q3190" i="22"/>
  <c r="R3190" i="22"/>
  <c r="L3191" i="22"/>
  <c r="C3191" i="22"/>
  <c r="E3191" i="22"/>
  <c r="G3191" i="22"/>
  <c r="I3191" i="22"/>
  <c r="B3192" i="22"/>
  <c r="U3135" i="22"/>
  <c r="AU60" i="22"/>
  <c r="BG60" i="22"/>
  <c r="M3136" i="22"/>
  <c r="D3136" i="22"/>
  <c r="J3136" i="22"/>
  <c r="N3136" i="22" s="1"/>
  <c r="P3136" i="22"/>
  <c r="Q3136" i="22"/>
  <c r="R3136" i="22"/>
  <c r="L3137" i="22"/>
  <c r="C3137" i="22"/>
  <c r="K3137" i="22" s="1"/>
  <c r="E3137" i="22"/>
  <c r="F3137" i="22"/>
  <c r="O3137" i="22" s="1"/>
  <c r="BU60" i="22" s="1"/>
  <c r="G3137" i="22"/>
  <c r="I3137" i="22"/>
  <c r="B3138" i="22"/>
  <c r="U3081" i="22"/>
  <c r="AU59" i="22"/>
  <c r="BG59" i="22"/>
  <c r="M3082" i="22"/>
  <c r="D3082" i="22"/>
  <c r="J3082" i="22"/>
  <c r="N3082" i="22" s="1"/>
  <c r="P3082" i="22"/>
  <c r="Q3082" i="22"/>
  <c r="R3082" i="22"/>
  <c r="L3083" i="22"/>
  <c r="C3083" i="22"/>
  <c r="K3083" i="22" s="1"/>
  <c r="E3083" i="22"/>
  <c r="F3083" i="22"/>
  <c r="O3083" i="22" s="1"/>
  <c r="G3083" i="22"/>
  <c r="I3083" i="22"/>
  <c r="B3084" i="22"/>
  <c r="U3027" i="22"/>
  <c r="AU58" i="22"/>
  <c r="BG58" i="22"/>
  <c r="M3028" i="22"/>
  <c r="D3028" i="22"/>
  <c r="J3028" i="22"/>
  <c r="N3028" i="22" s="1"/>
  <c r="P3028" i="22"/>
  <c r="Q3028" i="22"/>
  <c r="R3028" i="22"/>
  <c r="L3029" i="22"/>
  <c r="C3029" i="22"/>
  <c r="K3029" i="22" s="1"/>
  <c r="E3029" i="22"/>
  <c r="F3029" i="22"/>
  <c r="O3029" i="22" s="1"/>
  <c r="G3029" i="22"/>
  <c r="I3029" i="22"/>
  <c r="B3030" i="22"/>
  <c r="M2974" i="22"/>
  <c r="D2974" i="22"/>
  <c r="J2974" i="22"/>
  <c r="N2974" i="22" s="1"/>
  <c r="P2974" i="22"/>
  <c r="Q2974" i="22"/>
  <c r="R2974" i="22"/>
  <c r="L2975" i="22"/>
  <c r="C2975" i="22"/>
  <c r="K2975" i="22" s="1"/>
  <c r="E2975" i="22"/>
  <c r="F2975" i="22"/>
  <c r="O2975" i="22" s="1"/>
  <c r="G2975" i="22"/>
  <c r="I2975" i="22"/>
  <c r="B2976" i="22"/>
  <c r="M2920" i="22"/>
  <c r="D2920" i="22"/>
  <c r="J2920" i="22"/>
  <c r="N2920" i="22" s="1"/>
  <c r="P2920" i="22"/>
  <c r="Q2920" i="22"/>
  <c r="R2920" i="22"/>
  <c r="L2921" i="22"/>
  <c r="C2921" i="22"/>
  <c r="K2921" i="22" s="1"/>
  <c r="E2921" i="22"/>
  <c r="F2921" i="22"/>
  <c r="O2921" i="22" s="1"/>
  <c r="G2921" i="22"/>
  <c r="I2921" i="22"/>
  <c r="B2922" i="22"/>
  <c r="D2866" i="22"/>
  <c r="J2866" i="22"/>
  <c r="P2866" i="22"/>
  <c r="Q2866" i="22"/>
  <c r="R2866" i="22"/>
  <c r="L2867" i="22"/>
  <c r="C2867" i="22"/>
  <c r="E2867" i="22"/>
  <c r="G2867" i="22"/>
  <c r="I2867" i="22"/>
  <c r="B2868" i="22"/>
  <c r="S2811" i="22"/>
  <c r="AU54" i="22"/>
  <c r="BG54" i="22"/>
  <c r="AL1626" i="23"/>
  <c r="U2811" i="22"/>
  <c r="M2812" i="22"/>
  <c r="D2812" i="22"/>
  <c r="J2812" i="22"/>
  <c r="N2812" i="22" s="1"/>
  <c r="P2812" i="22"/>
  <c r="Q2812" i="22"/>
  <c r="R2812" i="22"/>
  <c r="T2812" i="22"/>
  <c r="L2813" i="22"/>
  <c r="C2813" i="22"/>
  <c r="E2813" i="22"/>
  <c r="G2813" i="22"/>
  <c r="I2813" i="22"/>
  <c r="B2814" i="22"/>
  <c r="U2757" i="22"/>
  <c r="AU53" i="22"/>
  <c r="BG53" i="22"/>
  <c r="D2758" i="22"/>
  <c r="J2758" i="22"/>
  <c r="P2758" i="22"/>
  <c r="Q2758" i="22"/>
  <c r="R2758" i="22"/>
  <c r="L2759" i="22"/>
  <c r="C2759" i="22"/>
  <c r="K2759" i="22" s="1"/>
  <c r="E2759" i="22"/>
  <c r="F2759" i="22"/>
  <c r="O2759" i="22" s="1"/>
  <c r="BU53" i="22" s="1"/>
  <c r="G2759" i="22"/>
  <c r="I2759" i="22"/>
  <c r="B2760" i="22"/>
  <c r="U2703" i="22"/>
  <c r="AU52" i="22"/>
  <c r="BG52" i="22"/>
  <c r="M2704" i="22"/>
  <c r="D2704" i="22"/>
  <c r="J2704" i="22"/>
  <c r="N2704" i="22" s="1"/>
  <c r="P2704" i="22"/>
  <c r="Q2704" i="22"/>
  <c r="R2704" i="22"/>
  <c r="L2705" i="22"/>
  <c r="C2705" i="22"/>
  <c r="E2705" i="22"/>
  <c r="G2705" i="22"/>
  <c r="I2705" i="22"/>
  <c r="B2706" i="22"/>
  <c r="M2650" i="22"/>
  <c r="P2650" i="22"/>
  <c r="Q2650" i="22"/>
  <c r="R2650" i="22"/>
  <c r="J2650" i="22"/>
  <c r="N2650" i="22" s="1"/>
  <c r="D2650" i="22"/>
  <c r="L2651" i="22"/>
  <c r="I2651" i="22"/>
  <c r="C2651" i="22"/>
  <c r="E2651" i="22"/>
  <c r="G2651" i="22"/>
  <c r="B2652" i="22"/>
  <c r="M2596" i="22"/>
  <c r="D2596" i="22"/>
  <c r="J2596" i="22"/>
  <c r="N2596" i="22" s="1"/>
  <c r="P2596" i="22"/>
  <c r="Q2596" i="22"/>
  <c r="R2596" i="22"/>
  <c r="L2597" i="22"/>
  <c r="C2597" i="22"/>
  <c r="K2597" i="22" s="1"/>
  <c r="E2597" i="22"/>
  <c r="F2597" i="22"/>
  <c r="O2597" i="22" s="1"/>
  <c r="G2597" i="22"/>
  <c r="I2597" i="22"/>
  <c r="B2598" i="22"/>
  <c r="M2542" i="22"/>
  <c r="D2542" i="22"/>
  <c r="J2542" i="22"/>
  <c r="N2542" i="22" s="1"/>
  <c r="P2542" i="22"/>
  <c r="Q2542" i="22"/>
  <c r="R2542" i="22"/>
  <c r="L2543" i="22"/>
  <c r="C2543" i="22"/>
  <c r="E2543" i="22"/>
  <c r="G2543" i="22"/>
  <c r="I2543" i="22"/>
  <c r="B2544" i="22"/>
  <c r="M2488" i="22"/>
  <c r="D2488" i="22"/>
  <c r="J2488" i="22"/>
  <c r="N2488" i="22" s="1"/>
  <c r="P2488" i="22"/>
  <c r="Q2488" i="22"/>
  <c r="R2488" i="22"/>
  <c r="L2489" i="22"/>
  <c r="C2489" i="22"/>
  <c r="K2489" i="22" s="1"/>
  <c r="E2489" i="22"/>
  <c r="F2489" i="22"/>
  <c r="O2489" i="22" s="1"/>
  <c r="G2489" i="22"/>
  <c r="I2489" i="22"/>
  <c r="B2490" i="22"/>
  <c r="U2433" i="22"/>
  <c r="AU47" i="22"/>
  <c r="BG47" i="22"/>
  <c r="M2434" i="22"/>
  <c r="D2434" i="22"/>
  <c r="J2434" i="22"/>
  <c r="N2434" i="22" s="1"/>
  <c r="BT47" i="22"/>
  <c r="P2434" i="22"/>
  <c r="Q2434" i="22"/>
  <c r="R2434" i="22"/>
  <c r="L2435" i="22"/>
  <c r="C2435" i="22"/>
  <c r="E2435" i="22"/>
  <c r="G2435" i="22"/>
  <c r="I2435" i="22"/>
  <c r="B2436" i="22"/>
  <c r="U2379" i="22"/>
  <c r="AU46" i="22"/>
  <c r="BG46" i="22"/>
  <c r="D2380" i="22"/>
  <c r="J2380" i="22"/>
  <c r="P2380" i="22"/>
  <c r="Q2380" i="22"/>
  <c r="R2380" i="22"/>
  <c r="L2381" i="22"/>
  <c r="C2381" i="22"/>
  <c r="K2381" i="22" s="1"/>
  <c r="E2381" i="22"/>
  <c r="F2381" i="22"/>
  <c r="O2381" i="22" s="1"/>
  <c r="BU46" i="22" s="1"/>
  <c r="G2381" i="22"/>
  <c r="I2381" i="22"/>
  <c r="B2382" i="22"/>
  <c r="U2325" i="22"/>
  <c r="AU45" i="22"/>
  <c r="BG45" i="22"/>
  <c r="D2326" i="22"/>
  <c r="J2326" i="22"/>
  <c r="P2326" i="22"/>
  <c r="Q2326" i="22"/>
  <c r="R2326" i="22"/>
  <c r="L2327" i="22"/>
  <c r="C2327" i="22"/>
  <c r="K2327" i="22" s="1"/>
  <c r="E2327" i="22"/>
  <c r="F2327" i="22"/>
  <c r="O2327" i="22" s="1"/>
  <c r="BU45" i="22" s="1"/>
  <c r="G2327" i="22"/>
  <c r="I2327" i="22"/>
  <c r="B2328" i="22"/>
  <c r="U2271" i="22"/>
  <c r="AU44" i="22"/>
  <c r="BG44" i="22"/>
  <c r="M2272" i="22"/>
  <c r="D2272" i="22"/>
  <c r="J2272" i="22"/>
  <c r="N2272" i="22" s="1"/>
  <c r="P2272" i="22"/>
  <c r="Q2272" i="22"/>
  <c r="R2272" i="22"/>
  <c r="L2273" i="22"/>
  <c r="C2273" i="22"/>
  <c r="K2273" i="22" s="1"/>
  <c r="F2273" i="22"/>
  <c r="O2273" i="22" s="1"/>
  <c r="I2273" i="22"/>
  <c r="G2273" i="22"/>
  <c r="B2274" i="22"/>
  <c r="E2273" i="22"/>
  <c r="M2218" i="22"/>
  <c r="D2218" i="22"/>
  <c r="J2218" i="22"/>
  <c r="N2218" i="22" s="1"/>
  <c r="P2218" i="22"/>
  <c r="Q2218" i="22"/>
  <c r="R2218" i="22"/>
  <c r="L2219" i="22"/>
  <c r="C2219" i="22"/>
  <c r="K2219" i="22" s="1"/>
  <c r="E2219" i="22"/>
  <c r="F2219" i="22"/>
  <c r="O2219" i="22" s="1"/>
  <c r="G2219" i="22"/>
  <c r="I2219" i="22"/>
  <c r="B2220" i="22"/>
  <c r="M2164" i="22"/>
  <c r="D2164" i="22"/>
  <c r="J2164" i="22"/>
  <c r="N2164" i="22" s="1"/>
  <c r="P2164" i="22"/>
  <c r="Q2164" i="22"/>
  <c r="R2164" i="22"/>
  <c r="L2165" i="22"/>
  <c r="C2165" i="22"/>
  <c r="K2165" i="22" s="1"/>
  <c r="E2165" i="22"/>
  <c r="F2165" i="22"/>
  <c r="O2165" i="22" s="1"/>
  <c r="G2165" i="22"/>
  <c r="I2165" i="22"/>
  <c r="B2166" i="22"/>
  <c r="M2110" i="22"/>
  <c r="D2110" i="22"/>
  <c r="J2110" i="22"/>
  <c r="N2110" i="22" s="1"/>
  <c r="P2110" i="22"/>
  <c r="Q2110" i="22"/>
  <c r="R2110" i="22"/>
  <c r="L2111" i="22"/>
  <c r="C2111" i="22"/>
  <c r="E2111" i="22"/>
  <c r="G2111" i="22"/>
  <c r="I2111" i="22"/>
  <c r="B2112" i="22"/>
  <c r="U2055" i="22"/>
  <c r="AU40" i="22"/>
  <c r="BG40" i="22"/>
  <c r="M2056" i="22"/>
  <c r="D2056" i="22"/>
  <c r="J2056" i="22"/>
  <c r="N2056" i="22" s="1"/>
  <c r="BT40" i="22"/>
  <c r="P2056" i="22"/>
  <c r="Q2056" i="22"/>
  <c r="R2056" i="22"/>
  <c r="L2057" i="22"/>
  <c r="C2057" i="22"/>
  <c r="E2057" i="22"/>
  <c r="G2057" i="22"/>
  <c r="I2057" i="22"/>
  <c r="B2058" i="22"/>
  <c r="U2001" i="22"/>
  <c r="AU39" i="22"/>
  <c r="BG39" i="22"/>
  <c r="D2002" i="22"/>
  <c r="J2002" i="22"/>
  <c r="P2002" i="22"/>
  <c r="Q2002" i="22"/>
  <c r="R2002" i="22"/>
  <c r="L2003" i="22"/>
  <c r="C2003" i="22"/>
  <c r="E2003" i="22"/>
  <c r="G2003" i="22"/>
  <c r="I2003" i="22"/>
  <c r="B2004" i="22"/>
  <c r="U1947" i="22"/>
  <c r="AU38" i="22"/>
  <c r="BG38" i="22"/>
  <c r="M1948" i="22"/>
  <c r="D1948" i="22"/>
  <c r="J1948" i="22"/>
  <c r="N1948" i="22" s="1"/>
  <c r="P1948" i="22"/>
  <c r="Q1948" i="22"/>
  <c r="R1948" i="22"/>
  <c r="L1949" i="22"/>
  <c r="C1949" i="22"/>
  <c r="K1949" i="22" s="1"/>
  <c r="E1949" i="22"/>
  <c r="F1949" i="22"/>
  <c r="O1949" i="22" s="1"/>
  <c r="BU38" i="22" s="1"/>
  <c r="G1949" i="22"/>
  <c r="I1949" i="22"/>
  <c r="B1950" i="22"/>
  <c r="U1893" i="22"/>
  <c r="AU37" i="22"/>
  <c r="BG37" i="22"/>
  <c r="M1894" i="22"/>
  <c r="D1894" i="22"/>
  <c r="J1894" i="22"/>
  <c r="N1894" i="22" s="1"/>
  <c r="P1894" i="22"/>
  <c r="Q1894" i="22"/>
  <c r="R1894" i="22"/>
  <c r="L1895" i="22"/>
  <c r="C1895" i="22"/>
  <c r="K1895" i="22" s="1"/>
  <c r="E1895" i="22"/>
  <c r="F1895" i="22"/>
  <c r="O1895" i="22" s="1"/>
  <c r="G1895" i="22"/>
  <c r="I1895" i="22"/>
  <c r="B1896" i="22"/>
  <c r="U1839" i="22"/>
  <c r="AU36" i="22"/>
  <c r="BG36" i="22"/>
  <c r="M1840" i="22"/>
  <c r="D1840" i="22"/>
  <c r="J1840" i="22"/>
  <c r="N1840" i="22" s="1"/>
  <c r="P1840" i="22"/>
  <c r="Q1840" i="22"/>
  <c r="R1840" i="22"/>
  <c r="L1841" i="22"/>
  <c r="C1841" i="22"/>
  <c r="K1841" i="22" s="1"/>
  <c r="E1841" i="22"/>
  <c r="F1841" i="22"/>
  <c r="O1841" i="22" s="1"/>
  <c r="G1841" i="22"/>
  <c r="I1841" i="22"/>
  <c r="B1842" i="22"/>
  <c r="U1785" i="22"/>
  <c r="AU35" i="22"/>
  <c r="BG35" i="22"/>
  <c r="M1786" i="22"/>
  <c r="D1786" i="22"/>
  <c r="J1786" i="22"/>
  <c r="N1786" i="22" s="1"/>
  <c r="P1786" i="22"/>
  <c r="Q1786" i="22"/>
  <c r="R1786" i="22"/>
  <c r="L1787" i="22"/>
  <c r="C1787" i="22"/>
  <c r="K1787" i="22" s="1"/>
  <c r="E1787" i="22"/>
  <c r="F1787" i="22"/>
  <c r="O1787" i="22" s="1"/>
  <c r="G1787" i="22"/>
  <c r="I1787" i="22"/>
  <c r="B1788" i="22"/>
  <c r="M1732" i="22"/>
  <c r="D1732" i="22"/>
  <c r="J1732" i="22"/>
  <c r="N1732" i="22" s="1"/>
  <c r="P1732" i="22"/>
  <c r="Q1732" i="22"/>
  <c r="R1732" i="22"/>
  <c r="L1733" i="22"/>
  <c r="C1733" i="22"/>
  <c r="K1733" i="22" s="1"/>
  <c r="E1733" i="22"/>
  <c r="F1733" i="22"/>
  <c r="O1733" i="22" s="1"/>
  <c r="G1733" i="22"/>
  <c r="I1733" i="22"/>
  <c r="B1734" i="22"/>
  <c r="U1677" i="22"/>
  <c r="AU33" i="22"/>
  <c r="BG33" i="22"/>
  <c r="D1678" i="22"/>
  <c r="M1678" i="22" s="1"/>
  <c r="J1678" i="22"/>
  <c r="P1678" i="22"/>
  <c r="Q1678" i="22"/>
  <c r="R1678" i="22"/>
  <c r="L1679" i="22"/>
  <c r="C1679" i="22"/>
  <c r="E1679" i="22"/>
  <c r="G1679" i="22"/>
  <c r="I1679" i="22"/>
  <c r="B1680" i="22"/>
  <c r="U1623" i="22"/>
  <c r="AU32" i="22"/>
  <c r="BG32" i="22"/>
  <c r="M1624" i="22"/>
  <c r="D1624" i="22"/>
  <c r="J1624" i="22"/>
  <c r="N1624" i="22" s="1"/>
  <c r="P1624" i="22"/>
  <c r="Q1624" i="22"/>
  <c r="R1624" i="22"/>
  <c r="L1625" i="22"/>
  <c r="C1625" i="22"/>
  <c r="E1625" i="22"/>
  <c r="G1625" i="22"/>
  <c r="I1625" i="22"/>
  <c r="B1626" i="22"/>
  <c r="U1569" i="22"/>
  <c r="AU31" i="22"/>
  <c r="BG31" i="22"/>
  <c r="D1570" i="22"/>
  <c r="J1570" i="22"/>
  <c r="P1570" i="22"/>
  <c r="Q1570" i="22"/>
  <c r="R1570" i="22"/>
  <c r="L1571" i="22"/>
  <c r="C1571" i="22"/>
  <c r="K1571" i="22" s="1"/>
  <c r="E1571" i="22"/>
  <c r="F1571" i="22"/>
  <c r="O1571" i="22" s="1"/>
  <c r="BU31" i="22" s="1"/>
  <c r="G1571" i="22"/>
  <c r="I1571" i="22"/>
  <c r="B1572" i="22"/>
  <c r="U1515" i="22"/>
  <c r="AU30" i="22"/>
  <c r="BG30" i="22"/>
  <c r="D1516" i="22"/>
  <c r="J1516" i="22"/>
  <c r="P1516" i="22"/>
  <c r="Q1516" i="22"/>
  <c r="R1516" i="22"/>
  <c r="L1517" i="22"/>
  <c r="C1517" i="22"/>
  <c r="E1517" i="22"/>
  <c r="G1517" i="22"/>
  <c r="I1517" i="22"/>
  <c r="B1518" i="22"/>
  <c r="U1461" i="22"/>
  <c r="AU29" i="22"/>
  <c r="BG29" i="22"/>
  <c r="M1462" i="22"/>
  <c r="D1462" i="22"/>
  <c r="J1462" i="22"/>
  <c r="N1462" i="22" s="1"/>
  <c r="P1462" i="22"/>
  <c r="Q1462" i="22"/>
  <c r="R1462" i="22"/>
  <c r="L1463" i="22"/>
  <c r="C1463" i="22"/>
  <c r="E1463" i="22"/>
  <c r="G1463" i="22"/>
  <c r="I1463" i="22"/>
  <c r="B1464" i="22"/>
  <c r="M1408" i="22"/>
  <c r="P1408" i="22"/>
  <c r="Q1408" i="22"/>
  <c r="R1408" i="22"/>
  <c r="D1408" i="22"/>
  <c r="J1408" i="22"/>
  <c r="N1408" i="22" s="1"/>
  <c r="L1409" i="22"/>
  <c r="G1409" i="22"/>
  <c r="I1409" i="22"/>
  <c r="B1410" i="22"/>
  <c r="C1409" i="22"/>
  <c r="E1409" i="22"/>
  <c r="L1355" i="22"/>
  <c r="E1355" i="22"/>
  <c r="G1355" i="22"/>
  <c r="B1356" i="22"/>
  <c r="C1355" i="22"/>
  <c r="I1355" i="22"/>
  <c r="J1354" i="22"/>
  <c r="D1354" i="22"/>
  <c r="P1354" i="22"/>
  <c r="Q1354" i="22"/>
  <c r="R1354" i="22"/>
  <c r="M1300" i="22"/>
  <c r="D1300" i="22"/>
  <c r="J1300" i="22"/>
  <c r="N1300" i="22" s="1"/>
  <c r="P1300" i="22"/>
  <c r="Q1300" i="22"/>
  <c r="R1300" i="22"/>
  <c r="L1301" i="22"/>
  <c r="C1301" i="22"/>
  <c r="E1301" i="22"/>
  <c r="G1301" i="22"/>
  <c r="I1301" i="22"/>
  <c r="B1302" i="22"/>
  <c r="M1246" i="22"/>
  <c r="D1246" i="22"/>
  <c r="J1246" i="22"/>
  <c r="N1246" i="22" s="1"/>
  <c r="P1246" i="22"/>
  <c r="Q1246" i="22"/>
  <c r="R1246" i="22"/>
  <c r="L1247" i="22"/>
  <c r="C1247" i="22"/>
  <c r="E1247" i="22"/>
  <c r="G1247" i="22"/>
  <c r="I1247" i="22"/>
  <c r="B1248" i="22"/>
  <c r="J123" i="7"/>
  <c r="J61" i="7"/>
  <c r="U1191" i="22"/>
  <c r="AU24" i="22"/>
  <c r="BG24" i="22"/>
  <c r="D1192" i="22"/>
  <c r="J1192" i="22"/>
  <c r="P1192" i="22"/>
  <c r="Q1192" i="22"/>
  <c r="R1192" i="22"/>
  <c r="L1193" i="22"/>
  <c r="C1193" i="22"/>
  <c r="E1193" i="22"/>
  <c r="G1193" i="22"/>
  <c r="I1193" i="22"/>
  <c r="B1194" i="22"/>
  <c r="J122" i="7"/>
  <c r="J60" i="7"/>
  <c r="U1137" i="22"/>
  <c r="AU23" i="22"/>
  <c r="BG23" i="22"/>
  <c r="D1138" i="22"/>
  <c r="J1138" i="22"/>
  <c r="P1138" i="22"/>
  <c r="Q1138" i="22"/>
  <c r="R1138" i="22"/>
  <c r="L1139" i="22"/>
  <c r="C1139" i="22"/>
  <c r="E1139" i="22"/>
  <c r="G1139" i="22"/>
  <c r="I1139" i="22"/>
  <c r="B1140" i="22"/>
  <c r="J59" i="7"/>
  <c r="J121" i="7"/>
  <c r="U1083" i="22"/>
  <c r="AU22" i="22"/>
  <c r="BG22" i="22"/>
  <c r="D1084" i="22"/>
  <c r="J1084" i="22"/>
  <c r="P1084" i="22"/>
  <c r="Q1084" i="22"/>
  <c r="R1084" i="22"/>
  <c r="L1085" i="22"/>
  <c r="C1085" i="22"/>
  <c r="K1085" i="22" s="1"/>
  <c r="E1085" i="22"/>
  <c r="F1085" i="22"/>
  <c r="O1085" i="22" s="1"/>
  <c r="G1085" i="22"/>
  <c r="I1085" i="22"/>
  <c r="B1086" i="22"/>
  <c r="J120" i="7"/>
  <c r="J58" i="7"/>
  <c r="U1029" i="22"/>
  <c r="AU21" i="22"/>
  <c r="BG21" i="22"/>
  <c r="M1030" i="22"/>
  <c r="D1030" i="22"/>
  <c r="J1030" i="22"/>
  <c r="N1030" i="22" s="1"/>
  <c r="K89" i="7"/>
  <c r="BT21" i="22"/>
  <c r="P1030" i="22"/>
  <c r="Q1030" i="22"/>
  <c r="R1030" i="22"/>
  <c r="L1031" i="22"/>
  <c r="C1031" i="22"/>
  <c r="K1031" i="22" s="1"/>
  <c r="E1031" i="22"/>
  <c r="F1031" i="22"/>
  <c r="O1031" i="22" s="1"/>
  <c r="G1031" i="22"/>
  <c r="I1031" i="22"/>
  <c r="B1032" i="22"/>
  <c r="J119" i="7"/>
  <c r="J57" i="7"/>
  <c r="U975" i="22"/>
  <c r="AU20" i="22"/>
  <c r="BG20" i="22"/>
  <c r="M976" i="22"/>
  <c r="D976" i="22"/>
  <c r="J976" i="22"/>
  <c r="N976" i="22" s="1"/>
  <c r="K88" i="7"/>
  <c r="BT20" i="22"/>
  <c r="P976" i="22"/>
  <c r="Q976" i="22"/>
  <c r="R976" i="22"/>
  <c r="L977" i="22"/>
  <c r="C977" i="22"/>
  <c r="K977" i="22" s="1"/>
  <c r="E977" i="22"/>
  <c r="F977" i="22"/>
  <c r="O977" i="22" s="1"/>
  <c r="G977" i="22"/>
  <c r="I977" i="22"/>
  <c r="B978" i="22"/>
  <c r="M922" i="22"/>
  <c r="D922" i="22"/>
  <c r="J922" i="22"/>
  <c r="N922" i="22" s="1"/>
  <c r="K87" i="7"/>
  <c r="BT19" i="22"/>
  <c r="P922" i="22"/>
  <c r="Q922" i="22"/>
  <c r="R922" i="22"/>
  <c r="L923" i="22"/>
  <c r="C923" i="22"/>
  <c r="K923" i="22" s="1"/>
  <c r="E923" i="22"/>
  <c r="F923" i="22"/>
  <c r="O923" i="22" s="1"/>
  <c r="G923" i="22"/>
  <c r="I923" i="22"/>
  <c r="B924" i="22"/>
  <c r="J117" i="7"/>
  <c r="J55" i="7"/>
  <c r="U867" i="22"/>
  <c r="AU18" i="22"/>
  <c r="BG18" i="22"/>
  <c r="M868" i="22"/>
  <c r="D868" i="22"/>
  <c r="J868" i="22"/>
  <c r="N868" i="22" s="1"/>
  <c r="K86" i="7"/>
  <c r="BT18" i="22"/>
  <c r="P868" i="22"/>
  <c r="Q868" i="22"/>
  <c r="R868" i="22"/>
  <c r="L869" i="22"/>
  <c r="C869" i="22"/>
  <c r="E869" i="22"/>
  <c r="G869" i="22"/>
  <c r="I869" i="22"/>
  <c r="B870" i="22"/>
  <c r="J54" i="7"/>
  <c r="J116" i="7"/>
  <c r="U813" i="22"/>
  <c r="AU17" i="22"/>
  <c r="BG17" i="22"/>
  <c r="D814" i="22"/>
  <c r="J814" i="22"/>
  <c r="P814" i="22"/>
  <c r="Q814" i="22"/>
  <c r="R814" i="22"/>
  <c r="L815" i="22"/>
  <c r="C815" i="22"/>
  <c r="E815" i="22"/>
  <c r="G815" i="22"/>
  <c r="I815" i="22"/>
  <c r="B816" i="22"/>
  <c r="J115" i="7"/>
  <c r="J53" i="7"/>
  <c r="U759" i="22"/>
  <c r="AU16" i="22"/>
  <c r="BG16" i="22"/>
  <c r="D760" i="22"/>
  <c r="J760" i="22"/>
  <c r="P760" i="22"/>
  <c r="Q760" i="22"/>
  <c r="R760" i="22"/>
  <c r="L761" i="22"/>
  <c r="C761" i="22"/>
  <c r="K761" i="22" s="1"/>
  <c r="E761" i="22"/>
  <c r="F761" i="22"/>
  <c r="O761" i="22" s="1"/>
  <c r="G761" i="22"/>
  <c r="I761" i="22"/>
  <c r="B762" i="22"/>
  <c r="J114" i="7"/>
  <c r="J52" i="7"/>
  <c r="U705" i="22"/>
  <c r="AU15" i="22"/>
  <c r="BG15" i="22"/>
  <c r="M706" i="22"/>
  <c r="D706" i="22"/>
  <c r="J706" i="22"/>
  <c r="N706" i="22" s="1"/>
  <c r="K83" i="7"/>
  <c r="BT15" i="22"/>
  <c r="P706" i="22"/>
  <c r="Q706" i="22"/>
  <c r="R706" i="22"/>
  <c r="L707" i="22"/>
  <c r="C707" i="22"/>
  <c r="K707" i="22" s="1"/>
  <c r="E707" i="22"/>
  <c r="F707" i="22"/>
  <c r="O707" i="22" s="1"/>
  <c r="G707" i="22"/>
  <c r="I707" i="22"/>
  <c r="B708" i="22"/>
  <c r="J113" i="7"/>
  <c r="J51" i="7"/>
  <c r="U651" i="22"/>
  <c r="AU14" i="22"/>
  <c r="BG14" i="22"/>
  <c r="M652" i="22"/>
  <c r="D652" i="22"/>
  <c r="J652" i="22"/>
  <c r="N652" i="22" s="1"/>
  <c r="K82" i="7"/>
  <c r="BT14" i="22"/>
  <c r="P652" i="22"/>
  <c r="Q652" i="22"/>
  <c r="R652" i="22"/>
  <c r="L653" i="22"/>
  <c r="C653" i="22"/>
  <c r="K653" i="22" s="1"/>
  <c r="E653" i="22"/>
  <c r="F653" i="22"/>
  <c r="O653" i="22" s="1"/>
  <c r="G653" i="22"/>
  <c r="I653" i="22"/>
  <c r="B654" i="22"/>
  <c r="D598" i="22"/>
  <c r="M598" i="22" s="1"/>
  <c r="J598" i="22"/>
  <c r="K81" i="7"/>
  <c r="BT13" i="22"/>
  <c r="P598" i="22"/>
  <c r="Q598" i="22"/>
  <c r="R598" i="22"/>
  <c r="L599" i="22"/>
  <c r="C599" i="22"/>
  <c r="K599" i="22" s="1"/>
  <c r="E599" i="22"/>
  <c r="F599" i="22"/>
  <c r="O599" i="22" s="1"/>
  <c r="G599" i="22"/>
  <c r="I599" i="22"/>
  <c r="B600" i="22"/>
  <c r="M544" i="22"/>
  <c r="D544" i="22"/>
  <c r="J544" i="22"/>
  <c r="N544" i="22" s="1"/>
  <c r="K80" i="7"/>
  <c r="BT12" i="22"/>
  <c r="P544" i="22"/>
  <c r="Q544" i="22"/>
  <c r="R544" i="22"/>
  <c r="L545" i="22"/>
  <c r="C545" i="22"/>
  <c r="K545" i="22" s="1"/>
  <c r="E545" i="22"/>
  <c r="F545" i="22"/>
  <c r="O545" i="22" s="1"/>
  <c r="G545" i="22"/>
  <c r="I545" i="22"/>
  <c r="B546" i="22"/>
  <c r="J110" i="7"/>
  <c r="J48" i="7"/>
  <c r="U489" i="22"/>
  <c r="AU11" i="22"/>
  <c r="BG11" i="22"/>
  <c r="M490" i="22"/>
  <c r="D490" i="22"/>
  <c r="J490" i="22"/>
  <c r="N490" i="22" s="1"/>
  <c r="K79" i="7"/>
  <c r="BT11" i="22"/>
  <c r="P490" i="22"/>
  <c r="Q490" i="22"/>
  <c r="R490" i="22"/>
  <c r="L491" i="22"/>
  <c r="C491" i="22"/>
  <c r="K491" i="22" s="1"/>
  <c r="E491" i="22"/>
  <c r="F491" i="22"/>
  <c r="O491" i="22" s="1"/>
  <c r="G491" i="22"/>
  <c r="B492" i="22"/>
  <c r="I491" i="22"/>
  <c r="J109" i="7"/>
  <c r="J47" i="7"/>
  <c r="U435" i="22"/>
  <c r="AU10" i="22"/>
  <c r="BG10" i="22"/>
  <c r="M436" i="22"/>
  <c r="D436" i="22"/>
  <c r="J436" i="22"/>
  <c r="N436" i="22" s="1"/>
  <c r="K78" i="7"/>
  <c r="BT10" i="22"/>
  <c r="P436" i="22"/>
  <c r="Q436" i="22"/>
  <c r="R436" i="22"/>
  <c r="L437" i="22"/>
  <c r="C437" i="22"/>
  <c r="E437" i="22"/>
  <c r="G437" i="22"/>
  <c r="I437" i="22"/>
  <c r="B438" i="22"/>
  <c r="J108" i="7"/>
  <c r="J46" i="7"/>
  <c r="U381" i="22"/>
  <c r="AU9" i="22"/>
  <c r="BG9" i="22"/>
  <c r="M382" i="22"/>
  <c r="D382" i="22"/>
  <c r="J382" i="22"/>
  <c r="N382" i="22" s="1"/>
  <c r="K77" i="7"/>
  <c r="BT9" i="22"/>
  <c r="P382" i="22"/>
  <c r="Q382" i="22"/>
  <c r="R382" i="22"/>
  <c r="L383" i="22"/>
  <c r="C383" i="22"/>
  <c r="K383" i="22" s="1"/>
  <c r="E383" i="22"/>
  <c r="F383" i="22"/>
  <c r="O383" i="22" s="1"/>
  <c r="G383" i="22"/>
  <c r="I383" i="22"/>
  <c r="B384" i="22"/>
  <c r="J45" i="7"/>
  <c r="J107" i="7"/>
  <c r="U327" i="22"/>
  <c r="AU8" i="22"/>
  <c r="BG8" i="22"/>
  <c r="M328" i="22"/>
  <c r="D328" i="22"/>
  <c r="J328" i="22"/>
  <c r="N328" i="22" s="1"/>
  <c r="K76" i="7"/>
  <c r="BT8" i="22"/>
  <c r="P328" i="22"/>
  <c r="Q328" i="22"/>
  <c r="R328" i="22"/>
  <c r="L329" i="22"/>
  <c r="C329" i="22"/>
  <c r="K329" i="22" s="1"/>
  <c r="E329" i="22"/>
  <c r="F329" i="22"/>
  <c r="O329" i="22" s="1"/>
  <c r="G329" i="22"/>
  <c r="I329" i="22"/>
  <c r="B330" i="22"/>
  <c r="J106" i="7"/>
  <c r="J44" i="7"/>
  <c r="U273" i="22"/>
  <c r="AU7" i="22"/>
  <c r="BG7" i="22"/>
  <c r="M274" i="22"/>
  <c r="D274" i="22"/>
  <c r="J274" i="22"/>
  <c r="N274" i="22" s="1"/>
  <c r="P274" i="22"/>
  <c r="Q274" i="22"/>
  <c r="R274" i="22"/>
  <c r="L275" i="22"/>
  <c r="C275" i="22"/>
  <c r="K275" i="22" s="1"/>
  <c r="E275" i="22"/>
  <c r="F275" i="22"/>
  <c r="O275" i="22" s="1"/>
  <c r="G275" i="22"/>
  <c r="I275" i="22"/>
  <c r="B276" i="22"/>
  <c r="M220" i="22"/>
  <c r="D220" i="22"/>
  <c r="J220" i="22"/>
  <c r="N220" i="22" s="1"/>
  <c r="K74" i="7"/>
  <c r="BT6" i="22"/>
  <c r="P220" i="22"/>
  <c r="Q220" i="22"/>
  <c r="R220" i="22"/>
  <c r="L221" i="22"/>
  <c r="C221" i="22"/>
  <c r="K221" i="22" s="1"/>
  <c r="E221" i="22"/>
  <c r="F221" i="22"/>
  <c r="O221" i="22" s="1"/>
  <c r="G221" i="22"/>
  <c r="I221" i="22"/>
  <c r="B222" i="22"/>
  <c r="L167" i="22"/>
  <c r="B168" i="22"/>
  <c r="I167" i="22"/>
  <c r="C167" i="22"/>
  <c r="E167" i="22"/>
  <c r="G167" i="22"/>
  <c r="D166" i="22"/>
  <c r="J166" i="22"/>
  <c r="P166" i="22"/>
  <c r="Q166" i="22"/>
  <c r="R166" i="22"/>
  <c r="J112" i="22"/>
  <c r="D112" i="22"/>
  <c r="P112" i="22"/>
  <c r="Q112" i="22"/>
  <c r="R112" i="22"/>
  <c r="L113" i="22"/>
  <c r="G113" i="22"/>
  <c r="C113" i="22"/>
  <c r="E113" i="22"/>
  <c r="B114" i="22"/>
  <c r="I113" i="22"/>
  <c r="U49" i="17"/>
  <c r="F51" i="12"/>
  <c r="M101" i="12"/>
  <c r="Q101" i="12" s="1"/>
  <c r="O101" i="12"/>
  <c r="N102" i="12"/>
  <c r="E102" i="12"/>
  <c r="O50" i="17"/>
  <c r="J50" i="17"/>
  <c r="D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F50" i="18" s="1"/>
  <c r="Q50" i="17"/>
  <c r="G50" i="18" s="1"/>
  <c r="R50" i="17"/>
  <c r="H50" i="18" s="1"/>
  <c r="V50" i="17"/>
  <c r="M50" i="17"/>
  <c r="N50" i="17"/>
  <c r="G51" i="17"/>
  <c r="I51" i="17"/>
  <c r="B52" i="17"/>
  <c r="B51" i="18"/>
  <c r="C51" i="17"/>
  <c r="E51" i="17"/>
  <c r="L51" i="17"/>
  <c r="C100" i="12"/>
  <c r="G99" i="12"/>
  <c r="BE15" i="17"/>
  <c r="BD17" i="17"/>
  <c r="BD18" i="17"/>
  <c r="BD19" i="17"/>
  <c r="BD20" i="17"/>
  <c r="BD21" i="17"/>
  <c r="BD22" i="17"/>
  <c r="BD23" i="17"/>
  <c r="BD24" i="17"/>
  <c r="BD25" i="17"/>
  <c r="BD26" i="17"/>
  <c r="BD27" i="17"/>
  <c r="BD28" i="17"/>
  <c r="BD29" i="17"/>
  <c r="BD30" i="17"/>
  <c r="BD31" i="17"/>
  <c r="BD35" i="17"/>
  <c r="BD36" i="17"/>
  <c r="BD39" i="17"/>
  <c r="BD46" i="17"/>
  <c r="BD49" i="17"/>
  <c r="BD50" i="17"/>
  <c r="BD32" i="17"/>
  <c r="BD33" i="17"/>
  <c r="BD34" i="17"/>
  <c r="BD37" i="17"/>
  <c r="BD38" i="17"/>
  <c r="BD40" i="17"/>
  <c r="BD41" i="17"/>
  <c r="BD42" i="17"/>
  <c r="BD43" i="17"/>
  <c r="BD44" i="17"/>
  <c r="BD45" i="17"/>
  <c r="BD47" i="17"/>
  <c r="BD48" i="17"/>
  <c r="BD51" i="17"/>
  <c r="AI726" i="23"/>
  <c r="F79" i="8"/>
  <c r="F105" i="8"/>
  <c r="F107" i="8"/>
  <c r="AI1623" i="23"/>
  <c r="G104" i="8"/>
  <c r="C135" i="8"/>
  <c r="AD896" i="23"/>
  <c r="AI727" i="23"/>
  <c r="G79" i="8"/>
  <c r="AH1624" i="23"/>
  <c r="H103" i="8"/>
  <c r="B136" i="8"/>
  <c r="D136" i="8"/>
  <c r="X1513" i="23"/>
  <c r="W1513" i="23"/>
  <c r="X1457" i="23"/>
  <c r="W1457" i="23"/>
  <c r="W1345" i="23"/>
  <c r="X1345" i="23"/>
  <c r="X1177" i="23"/>
  <c r="W1177" i="23"/>
  <c r="X1065" i="23"/>
  <c r="W1065" i="23"/>
  <c r="X953" i="23"/>
  <c r="W953" i="23"/>
  <c r="X897" i="23"/>
  <c r="W897" i="23"/>
  <c r="AH728" i="23"/>
  <c r="H49" i="8"/>
  <c r="W729" i="23"/>
  <c r="X729" i="23"/>
  <c r="W449" i="23"/>
  <c r="X449" i="23"/>
  <c r="U3566" i="22"/>
  <c r="AT68" i="22"/>
  <c r="BF68" i="22"/>
  <c r="U3242" i="22"/>
  <c r="AT62" i="22"/>
  <c r="BF62" i="22"/>
  <c r="U3188" i="22"/>
  <c r="AT61" i="22"/>
  <c r="BF61" i="22"/>
  <c r="S2810" i="22"/>
  <c r="AT54" i="22"/>
  <c r="BF54" i="22"/>
  <c r="U2756" i="22"/>
  <c r="AT53" i="22"/>
  <c r="BF53" i="22"/>
  <c r="U2702" i="22"/>
  <c r="AT52" i="22"/>
  <c r="BF52" i="22"/>
  <c r="U2000" i="22"/>
  <c r="AT39" i="22"/>
  <c r="BF39" i="22"/>
  <c r="U1406" i="22"/>
  <c r="AT28" i="22"/>
  <c r="BF28" i="22"/>
  <c r="U1298" i="22"/>
  <c r="AT26" i="22"/>
  <c r="BF26" i="22"/>
  <c r="U1244" i="22"/>
  <c r="AT25" i="22"/>
  <c r="BF25" i="22"/>
  <c r="I117" i="7"/>
  <c r="I55" i="7"/>
  <c r="U866" i="22"/>
  <c r="AT18" i="22"/>
  <c r="BF18" i="22"/>
  <c r="I42" i="7"/>
  <c r="I104" i="7"/>
  <c r="U164" i="22"/>
  <c r="AT5" i="22"/>
  <c r="BF5" i="22"/>
  <c r="I41" i="7"/>
  <c r="I103" i="7"/>
  <c r="U110" i="22"/>
  <c r="AT4" i="22"/>
  <c r="I127" i="7" s="1"/>
  <c r="BF4" i="22"/>
  <c r="I65" i="7" s="1"/>
  <c r="AD1625" i="23"/>
  <c r="AG1625" i="23"/>
  <c r="M1514" i="23"/>
  <c r="N1514" i="23"/>
  <c r="AB1514" i="23"/>
  <c r="AC1514" i="23" s="1"/>
  <c r="O1514" i="23"/>
  <c r="M1458" i="23"/>
  <c r="N1458" i="23"/>
  <c r="AB1458" i="23"/>
  <c r="AC1458" i="23"/>
  <c r="O1458" i="23"/>
  <c r="M1402" i="23"/>
  <c r="N1402" i="23"/>
  <c r="AB1402" i="23"/>
  <c r="AC1402" i="23" s="1"/>
  <c r="O1402" i="23"/>
  <c r="Y1402" i="23" s="1"/>
  <c r="M1346" i="23"/>
  <c r="N1346" i="23"/>
  <c r="O1346" i="23"/>
  <c r="Y1346" i="23" s="1"/>
  <c r="AB1346" i="23"/>
  <c r="AC1346" i="23" s="1"/>
  <c r="AB1066" i="23"/>
  <c r="AC1066" i="23" s="1"/>
  <c r="O1066" i="23"/>
  <c r="Y1066" i="23" s="1"/>
  <c r="M1066" i="23"/>
  <c r="N1066" i="23"/>
  <c r="AB1010" i="23"/>
  <c r="AC1010" i="23" s="1"/>
  <c r="O1010" i="23"/>
  <c r="Y1010" i="23" s="1"/>
  <c r="M1010" i="23"/>
  <c r="N1010" i="23"/>
  <c r="M954" i="23"/>
  <c r="N954" i="23"/>
  <c r="AB954" i="23"/>
  <c r="AC954" i="23" s="1"/>
  <c r="O954" i="23"/>
  <c r="Y954" i="23" s="1"/>
  <c r="N730" i="23"/>
  <c r="M730" i="23"/>
  <c r="AB730" i="23"/>
  <c r="AC730" i="23"/>
  <c r="O730" i="23"/>
  <c r="Y730" i="23" s="1"/>
  <c r="AB562" i="23"/>
  <c r="AC562" i="23" s="1"/>
  <c r="O562" i="23"/>
  <c r="Y562" i="23" s="1"/>
  <c r="M562" i="23"/>
  <c r="N562" i="23"/>
  <c r="M506" i="23"/>
  <c r="N506" i="23"/>
  <c r="AB506" i="23"/>
  <c r="AC506" i="23" s="1"/>
  <c r="O506" i="23"/>
  <c r="Y506" i="23" s="1"/>
  <c r="M450" i="23"/>
  <c r="N450" i="23"/>
  <c r="AB450" i="23"/>
  <c r="AC450" i="23" s="1"/>
  <c r="O450" i="23"/>
  <c r="Y450" i="23" s="1"/>
  <c r="M4707" i="22"/>
  <c r="N4707" i="22"/>
  <c r="N4245" i="22"/>
  <c r="U4245" i="22" s="1"/>
  <c r="M4245" i="22"/>
  <c r="BS72" i="22"/>
  <c r="M3783" i="22"/>
  <c r="N3783" i="22"/>
  <c r="M3621" i="22"/>
  <c r="N3621" i="22"/>
  <c r="BS69" i="22"/>
  <c r="M3567" i="22"/>
  <c r="N3567" i="22"/>
  <c r="BS68" i="22"/>
  <c r="BS64" i="22"/>
  <c r="M3351" i="22"/>
  <c r="N3351" i="22"/>
  <c r="BS63" i="22"/>
  <c r="M3297" i="22"/>
  <c r="N3297" i="22"/>
  <c r="N3243" i="22"/>
  <c r="M3243" i="22"/>
  <c r="BS57" i="22"/>
  <c r="M2973" i="22"/>
  <c r="N2973" i="22"/>
  <c r="M2919" i="22"/>
  <c r="N2919" i="22"/>
  <c r="BS56" i="22"/>
  <c r="BS55" i="22"/>
  <c r="M2865" i="22"/>
  <c r="N2865" i="22"/>
  <c r="BS51" i="22"/>
  <c r="M2649" i="22"/>
  <c r="N2649" i="22"/>
  <c r="BS50" i="22"/>
  <c r="M2595" i="22"/>
  <c r="N2595" i="22"/>
  <c r="BS49" i="22"/>
  <c r="M2541" i="22"/>
  <c r="N2541" i="22"/>
  <c r="M2487" i="22"/>
  <c r="N2487" i="22"/>
  <c r="BS48" i="22"/>
  <c r="BS43" i="22"/>
  <c r="M2217" i="22"/>
  <c r="N2217" i="22"/>
  <c r="M2163" i="22"/>
  <c r="N2163" i="22"/>
  <c r="BS42" i="22"/>
  <c r="M2109" i="22"/>
  <c r="N2109" i="22"/>
  <c r="BS41" i="22"/>
  <c r="M1731" i="22"/>
  <c r="N1731" i="22"/>
  <c r="BS34" i="22"/>
  <c r="M1407" i="22"/>
  <c r="N1407" i="22"/>
  <c r="M1353" i="22"/>
  <c r="N1353" i="22"/>
  <c r="BS27" i="22"/>
  <c r="M1299" i="22"/>
  <c r="N1299" i="22"/>
  <c r="M1245" i="22"/>
  <c r="N1245" i="22"/>
  <c r="BS19" i="22"/>
  <c r="J87" i="7"/>
  <c r="M921" i="22"/>
  <c r="N921" i="22"/>
  <c r="BS13" i="22"/>
  <c r="J81" i="7"/>
  <c r="M597" i="22"/>
  <c r="N597" i="22"/>
  <c r="BS12" i="22"/>
  <c r="J80" i="7"/>
  <c r="M543" i="22"/>
  <c r="N543" i="22"/>
  <c r="BS6" i="22"/>
  <c r="J74" i="7"/>
  <c r="M219" i="22"/>
  <c r="N219" i="22"/>
  <c r="M165" i="22"/>
  <c r="N165" i="22"/>
  <c r="BS5" i="22"/>
  <c r="J73" i="7"/>
  <c r="BS4" i="22"/>
  <c r="J72" i="7"/>
  <c r="N111" i="22"/>
  <c r="M111" i="22"/>
  <c r="X1626" i="23"/>
  <c r="W1626" i="23"/>
  <c r="X1570" i="23"/>
  <c r="W1570" i="23"/>
  <c r="K1515" i="23"/>
  <c r="F1515" i="23"/>
  <c r="F1459" i="23"/>
  <c r="K1459" i="23"/>
  <c r="K1403" i="23"/>
  <c r="F1403" i="23"/>
  <c r="F1347" i="23"/>
  <c r="K1347" i="23"/>
  <c r="X1290" i="23"/>
  <c r="W1290" i="23"/>
  <c r="X1234" i="23"/>
  <c r="W1234" i="23"/>
  <c r="F1235" i="23"/>
  <c r="K1235" i="23"/>
  <c r="X1178" i="23"/>
  <c r="W1178" i="23"/>
  <c r="X1122" i="23"/>
  <c r="W1122" i="23"/>
  <c r="K1067" i="23"/>
  <c r="F1067" i="23"/>
  <c r="W898" i="23"/>
  <c r="X898" i="23"/>
  <c r="K899" i="23"/>
  <c r="F899" i="23"/>
  <c r="X842" i="23"/>
  <c r="W842" i="23"/>
  <c r="K843" i="23"/>
  <c r="F843" i="23"/>
  <c r="W786" i="23"/>
  <c r="X786" i="23"/>
  <c r="K731" i="23"/>
  <c r="F731" i="23"/>
  <c r="AD674" i="23"/>
  <c r="X618" i="23"/>
  <c r="W618" i="23"/>
  <c r="K563" i="23"/>
  <c r="F563" i="23"/>
  <c r="K451" i="23"/>
  <c r="F451" i="23"/>
  <c r="X394" i="23"/>
  <c r="W394" i="23"/>
  <c r="K395" i="23"/>
  <c r="F395" i="23"/>
  <c r="X338" i="23"/>
  <c r="W338" i="23"/>
  <c r="X282" i="23"/>
  <c r="W282" i="23"/>
  <c r="K4708" i="22"/>
  <c r="F4708" i="22"/>
  <c r="D4654" i="22"/>
  <c r="F4654" i="22"/>
  <c r="O4654" i="22" s="1"/>
  <c r="F4546" i="22"/>
  <c r="K4546" i="22"/>
  <c r="F4192" i="22"/>
  <c r="O4192" i="22" s="1"/>
  <c r="K4192" i="22"/>
  <c r="K4084" i="22"/>
  <c r="F4084" i="22"/>
  <c r="O4084" i="22" s="1"/>
  <c r="F3568" i="22"/>
  <c r="O3568" i="22" s="1"/>
  <c r="K3568" i="22"/>
  <c r="F3514" i="22"/>
  <c r="O3514" i="22" s="1"/>
  <c r="K3514" i="22"/>
  <c r="BT66" i="22"/>
  <c r="BT65" i="22"/>
  <c r="K3244" i="22"/>
  <c r="F3244" i="22"/>
  <c r="O3244" i="22" s="1"/>
  <c r="BT62" i="22" s="1"/>
  <c r="K3190" i="22"/>
  <c r="F3190" i="22"/>
  <c r="O3190" i="22" s="1"/>
  <c r="BT60" i="22"/>
  <c r="BT58" i="22"/>
  <c r="F2866" i="22"/>
  <c r="O2866" i="22" s="1"/>
  <c r="BT55" i="22" s="1"/>
  <c r="K2866" i="22"/>
  <c r="BT54" i="22"/>
  <c r="F2758" i="22"/>
  <c r="O2758" i="22" s="1"/>
  <c r="K2758" i="22"/>
  <c r="K2380" i="22"/>
  <c r="F2380" i="22"/>
  <c r="O2380" i="22" s="1"/>
  <c r="F2326" i="22"/>
  <c r="O2326" i="22" s="1"/>
  <c r="K2326" i="22"/>
  <c r="K2002" i="22"/>
  <c r="F2002" i="22"/>
  <c r="O2002" i="22" s="1"/>
  <c r="BT38" i="22"/>
  <c r="BT35" i="22"/>
  <c r="BT33" i="22"/>
  <c r="BT32" i="22"/>
  <c r="K1570" i="22"/>
  <c r="F1570" i="22"/>
  <c r="O1570" i="22" s="1"/>
  <c r="K1516" i="22"/>
  <c r="F1516" i="22"/>
  <c r="O1516" i="22" s="1"/>
  <c r="K1354" i="22"/>
  <c r="F1354" i="22"/>
  <c r="O1354" i="22" s="1"/>
  <c r="BT26" i="22"/>
  <c r="K1192" i="22"/>
  <c r="F1192" i="22"/>
  <c r="O1192" i="22" s="1"/>
  <c r="K1138" i="22"/>
  <c r="F1138" i="22"/>
  <c r="O1138" i="22" s="1"/>
  <c r="K1084" i="22"/>
  <c r="F1084" i="22"/>
  <c r="O1084" i="22" s="1"/>
  <c r="F814" i="22"/>
  <c r="O814" i="22" s="1"/>
  <c r="K814" i="22"/>
  <c r="K760" i="22"/>
  <c r="F760" i="22"/>
  <c r="O760" i="22" s="1"/>
  <c r="BT7" i="22"/>
  <c r="F166" i="22"/>
  <c r="O166" i="22" s="1"/>
  <c r="K166" i="22"/>
  <c r="F112" i="22"/>
  <c r="O112" i="22" s="1"/>
  <c r="K112" i="22"/>
  <c r="F49" i="18"/>
  <c r="G49" i="18"/>
  <c r="H49" i="18"/>
  <c r="BS62" i="22"/>
  <c r="BS25" i="22"/>
  <c r="N1678" i="22" l="1"/>
  <c r="N598" i="22"/>
  <c r="J96" i="7"/>
  <c r="K1572" i="23"/>
  <c r="F1572" i="23"/>
  <c r="K4193" i="22"/>
  <c r="F4193" i="22"/>
  <c r="O4193" i="22" s="1"/>
  <c r="K3677" i="22"/>
  <c r="F3677" i="22"/>
  <c r="O3677" i="22" s="1"/>
  <c r="K3299" i="22"/>
  <c r="F3299" i="22"/>
  <c r="O3299" i="22" s="1"/>
  <c r="BU63" i="22" s="1"/>
  <c r="K2705" i="22"/>
  <c r="F2705" i="22"/>
  <c r="O2705" i="22" s="1"/>
  <c r="K2543" i="22"/>
  <c r="F2543" i="22"/>
  <c r="O2543" i="22" s="1"/>
  <c r="BU49" i="22" s="1"/>
  <c r="K1517" i="22"/>
  <c r="F1517" i="22"/>
  <c r="O1517" i="22" s="1"/>
  <c r="BU30" i="22" s="1"/>
  <c r="K1463" i="22"/>
  <c r="F1463" i="22"/>
  <c r="O1463" i="22" s="1"/>
  <c r="K1139" i="22"/>
  <c r="F1139" i="22"/>
  <c r="O1139"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K1573" i="23" s="1"/>
  <c r="E1573" i="23"/>
  <c r="F1573" i="23"/>
  <c r="G1573" i="23"/>
  <c r="B1574" i="23"/>
  <c r="J1516" i="23"/>
  <c r="D1516" i="23"/>
  <c r="P1516" i="23"/>
  <c r="Q1516" i="23"/>
  <c r="R1516" i="23"/>
  <c r="AF1516" i="23"/>
  <c r="L1517" i="23"/>
  <c r="I1517" i="23"/>
  <c r="C1517" i="23"/>
  <c r="E1517" i="23"/>
  <c r="G1517" i="23"/>
  <c r="B1518" i="23"/>
  <c r="L1461" i="23"/>
  <c r="I1461" i="23"/>
  <c r="B1462" i="23"/>
  <c r="C1461" i="23"/>
  <c r="E1461" i="23"/>
  <c r="G1461" i="23"/>
  <c r="J1460" i="23"/>
  <c r="D1460" i="23"/>
  <c r="P1460" i="23"/>
  <c r="Q1460" i="23"/>
  <c r="R1460" i="23"/>
  <c r="AF1460" i="23"/>
  <c r="J1404" i="23"/>
  <c r="D1404" i="23"/>
  <c r="P1404" i="23"/>
  <c r="Q1404" i="23"/>
  <c r="R1404" i="23"/>
  <c r="AF1404" i="23"/>
  <c r="L1405" i="23"/>
  <c r="I1405" i="23"/>
  <c r="C1405" i="23"/>
  <c r="E1405" i="23"/>
  <c r="G1405" i="23"/>
  <c r="B1406" i="23"/>
  <c r="L1349" i="23"/>
  <c r="I1349" i="23"/>
  <c r="B1350" i="23"/>
  <c r="C1349" i="23"/>
  <c r="E1349" i="23"/>
  <c r="G1349" i="23"/>
  <c r="J1348" i="23"/>
  <c r="D1348" i="23"/>
  <c r="P1348" i="23"/>
  <c r="Q1348" i="23"/>
  <c r="R1348" i="23"/>
  <c r="AF1348"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P1180" i="23"/>
  <c r="Q1180" i="23"/>
  <c r="R1180" i="23"/>
  <c r="AF1180" i="23"/>
  <c r="L1181" i="23"/>
  <c r="I1181" i="23"/>
  <c r="C1181" i="23"/>
  <c r="E1181" i="23"/>
  <c r="G1181" i="23"/>
  <c r="B1182" i="23"/>
  <c r="O1180" i="23"/>
  <c r="Y1180" i="23" s="1"/>
  <c r="AB1180" i="23"/>
  <c r="AC1180" i="23" s="1"/>
  <c r="P1124" i="23"/>
  <c r="Q1124" i="23"/>
  <c r="R1124" i="23"/>
  <c r="AF1124" i="23"/>
  <c r="L1125" i="23"/>
  <c r="I1125" i="23"/>
  <c r="C1125" i="23"/>
  <c r="E1125" i="23"/>
  <c r="G1125" i="23"/>
  <c r="B1126" i="23"/>
  <c r="J1124" i="23"/>
  <c r="D1124" i="23"/>
  <c r="J1068" i="23"/>
  <c r="D1068" i="23"/>
  <c r="P1068" i="23"/>
  <c r="Q1068" i="23"/>
  <c r="R1068" i="23"/>
  <c r="AF1068" i="23"/>
  <c r="L1069" i="23"/>
  <c r="I1069" i="23"/>
  <c r="B1070" i="23"/>
  <c r="C1069" i="23"/>
  <c r="E1069" i="23"/>
  <c r="G1069" i="23"/>
  <c r="M1012" i="23"/>
  <c r="J1012" i="23"/>
  <c r="N1012" i="23" s="1"/>
  <c r="D1012" i="23"/>
  <c r="O1012" i="23"/>
  <c r="Y1012" i="23" s="1"/>
  <c r="AB1012" i="23"/>
  <c r="AC1012" i="23"/>
  <c r="P1012" i="23"/>
  <c r="Q1012" i="23"/>
  <c r="R1012" i="23"/>
  <c r="AF1012" i="23"/>
  <c r="L1013" i="23"/>
  <c r="I1013" i="23"/>
  <c r="C1013" i="23"/>
  <c r="E1013" i="23"/>
  <c r="G1013" i="23"/>
  <c r="B1014" i="23"/>
  <c r="M956" i="23"/>
  <c r="J956" i="23"/>
  <c r="N956" i="23" s="1"/>
  <c r="D956" i="23"/>
  <c r="O956" i="23"/>
  <c r="Y956" i="23" s="1"/>
  <c r="AB956" i="23"/>
  <c r="AC956" i="23"/>
  <c r="P956" i="23"/>
  <c r="Q956" i="23"/>
  <c r="R956" i="23"/>
  <c r="AF956" i="23"/>
  <c r="L957" i="23"/>
  <c r="I957" i="23"/>
  <c r="C957" i="23"/>
  <c r="E957" i="23"/>
  <c r="G957" i="23"/>
  <c r="B958" i="23"/>
  <c r="J900" i="23"/>
  <c r="D900" i="23"/>
  <c r="P900" i="23"/>
  <c r="Q900" i="23"/>
  <c r="R900" i="23"/>
  <c r="AF900" i="23"/>
  <c r="L901" i="23"/>
  <c r="I901" i="23"/>
  <c r="C901" i="23"/>
  <c r="E901" i="23"/>
  <c r="G901" i="23"/>
  <c r="B902" i="23"/>
  <c r="M844" i="23"/>
  <c r="J844" i="23"/>
  <c r="N844" i="23" s="1"/>
  <c r="D844" i="23"/>
  <c r="O844" i="23"/>
  <c r="Y844" i="23" s="1"/>
  <c r="AB844" i="23"/>
  <c r="AC844" i="23" s="1"/>
  <c r="P844" i="23"/>
  <c r="Q844" i="23"/>
  <c r="R844" i="23"/>
  <c r="AF844" i="23"/>
  <c r="L845" i="23"/>
  <c r="I845" i="23"/>
  <c r="C845" i="23"/>
  <c r="E845" i="23"/>
  <c r="G845" i="23"/>
  <c r="B846" i="23"/>
  <c r="M788" i="23"/>
  <c r="J788" i="23"/>
  <c r="N788" i="23" s="1"/>
  <c r="D788" i="23"/>
  <c r="O788" i="23"/>
  <c r="Y788" i="23" s="1"/>
  <c r="AB788" i="23"/>
  <c r="AC788" i="23"/>
  <c r="P788" i="23"/>
  <c r="Q788" i="23"/>
  <c r="R788" i="23"/>
  <c r="AF788" i="23"/>
  <c r="L789" i="23"/>
  <c r="I789" i="23"/>
  <c r="C789" i="23"/>
  <c r="E789" i="23"/>
  <c r="G789" i="23"/>
  <c r="B790" i="23"/>
  <c r="M732" i="23"/>
  <c r="P732" i="23"/>
  <c r="Q732" i="23"/>
  <c r="R732" i="23"/>
  <c r="AF732" i="23"/>
  <c r="L733" i="23"/>
  <c r="I733" i="23"/>
  <c r="C733" i="23"/>
  <c r="E733" i="23"/>
  <c r="G733" i="23"/>
  <c r="B734" i="23"/>
  <c r="J732" i="23"/>
  <c r="N732" i="23" s="1"/>
  <c r="D732" i="23"/>
  <c r="AB732" i="23"/>
  <c r="O732" i="23"/>
  <c r="Y732" i="23" s="1"/>
  <c r="AC732" i="23"/>
  <c r="M676" i="23"/>
  <c r="J676" i="23"/>
  <c r="N676" i="23" s="1"/>
  <c r="D676" i="23"/>
  <c r="O676" i="23"/>
  <c r="Y676" i="23" s="1"/>
  <c r="AB676" i="23"/>
  <c r="AC676" i="23"/>
  <c r="P676" i="23"/>
  <c r="Q676" i="23"/>
  <c r="R676" i="23"/>
  <c r="AF676" i="23"/>
  <c r="L677" i="23"/>
  <c r="I677" i="23"/>
  <c r="C677" i="23"/>
  <c r="K677" i="23" s="1"/>
  <c r="E677" i="23"/>
  <c r="F677" i="23"/>
  <c r="G677" i="23"/>
  <c r="B678" i="23"/>
  <c r="J620" i="23"/>
  <c r="D620" i="23"/>
  <c r="P620" i="23"/>
  <c r="Q620" i="23"/>
  <c r="R620" i="23"/>
  <c r="AF620" i="23"/>
  <c r="L621" i="23"/>
  <c r="I621" i="23"/>
  <c r="C621" i="23"/>
  <c r="E621" i="23"/>
  <c r="G621" i="23"/>
  <c r="B622" i="23"/>
  <c r="M564" i="23"/>
  <c r="J564" i="23"/>
  <c r="N564" i="23" s="1"/>
  <c r="D564" i="23"/>
  <c r="O564" i="23"/>
  <c r="Y564" i="23" s="1"/>
  <c r="AB564" i="23"/>
  <c r="AC564" i="23"/>
  <c r="P564" i="23"/>
  <c r="Q564" i="23"/>
  <c r="R564" i="23"/>
  <c r="AF564" i="23"/>
  <c r="L565" i="23"/>
  <c r="I565" i="23"/>
  <c r="C565" i="23"/>
  <c r="K565" i="23" s="1"/>
  <c r="E565" i="23"/>
  <c r="F565" i="23"/>
  <c r="G565" i="23"/>
  <c r="B566" i="23"/>
  <c r="J508" i="23"/>
  <c r="D508" i="23"/>
  <c r="P508" i="23"/>
  <c r="Q508" i="23"/>
  <c r="R508" i="23"/>
  <c r="AF508" i="23"/>
  <c r="L509" i="23"/>
  <c r="I509" i="23"/>
  <c r="C509" i="23"/>
  <c r="E509" i="23"/>
  <c r="G509" i="23"/>
  <c r="B510" i="23"/>
  <c r="M452" i="23"/>
  <c r="J452" i="23"/>
  <c r="N452" i="23" s="1"/>
  <c r="D452" i="23"/>
  <c r="O452" i="23"/>
  <c r="Y452" i="23" s="1"/>
  <c r="AB452" i="23"/>
  <c r="AC452" i="23"/>
  <c r="P452" i="23"/>
  <c r="Q452" i="23"/>
  <c r="R452" i="23"/>
  <c r="AF452" i="23"/>
  <c r="L453" i="23"/>
  <c r="I453" i="23"/>
  <c r="C453" i="23"/>
  <c r="E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C4764" i="22"/>
  <c r="F4764" i="22"/>
  <c r="I4764" i="22"/>
  <c r="K4764" i="22"/>
  <c r="E4764" i="22"/>
  <c r="G4764" i="22"/>
  <c r="L4764" i="22"/>
  <c r="B4765" i="22"/>
  <c r="D4763" i="22"/>
  <c r="J4763" i="22"/>
  <c r="P4763" i="22"/>
  <c r="Q4763" i="22"/>
  <c r="R4763" i="22"/>
  <c r="M4763" i="22"/>
  <c r="N4763" i="22"/>
  <c r="U4708" i="22"/>
  <c r="S4708" i="22"/>
  <c r="M4709" i="22"/>
  <c r="D4709" i="22"/>
  <c r="J4709" i="22"/>
  <c r="N4709" i="22" s="1"/>
  <c r="P4709" i="22"/>
  <c r="Q4709" i="22"/>
  <c r="R4709" i="22"/>
  <c r="L4710" i="22"/>
  <c r="C4710" i="22"/>
  <c r="E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K4548" i="22" s="1"/>
  <c r="E4548" i="22"/>
  <c r="F4548" i="22"/>
  <c r="G4548" i="22"/>
  <c r="I4548" i="22"/>
  <c r="B4549" i="22"/>
  <c r="D4247" i="22"/>
  <c r="J4247" i="22"/>
  <c r="N4247" i="22" s="1"/>
  <c r="U4247" i="22" s="1"/>
  <c r="P4247" i="22"/>
  <c r="Q4247" i="22"/>
  <c r="R4247" i="22"/>
  <c r="M4247" i="22"/>
  <c r="C4248" i="22"/>
  <c r="E4248" i="22"/>
  <c r="F4248" i="22"/>
  <c r="O4248" i="22" s="1"/>
  <c r="G4248" i="22"/>
  <c r="I4248" i="22"/>
  <c r="K4248" i="22"/>
  <c r="L4248" i="22"/>
  <c r="B4249" i="22"/>
  <c r="M4193" i="22"/>
  <c r="D4193" i="22"/>
  <c r="J4193" i="22"/>
  <c r="N4193" i="22" s="1"/>
  <c r="U4193" i="22" s="1"/>
  <c r="P4193" i="22"/>
  <c r="Q4193" i="22"/>
  <c r="R4193" i="22"/>
  <c r="L4194" i="22"/>
  <c r="C4194" i="22"/>
  <c r="E4194" i="22"/>
  <c r="G4194" i="22"/>
  <c r="I4194" i="22"/>
  <c r="B4195" i="22"/>
  <c r="M4139" i="22"/>
  <c r="D4139" i="22"/>
  <c r="J4139" i="22"/>
  <c r="N4139" i="22" s="1"/>
  <c r="U4139" i="22" s="1"/>
  <c r="P4139" i="22"/>
  <c r="Q4139" i="22"/>
  <c r="R4139" i="22"/>
  <c r="L4140" i="22"/>
  <c r="C4140" i="22"/>
  <c r="E4140" i="22"/>
  <c r="G4140" i="22"/>
  <c r="I4140" i="22"/>
  <c r="B4141" i="22"/>
  <c r="P4085" i="22"/>
  <c r="Q4085" i="22"/>
  <c r="R4085" i="22"/>
  <c r="J4085" i="22"/>
  <c r="D4085" i="22"/>
  <c r="I4086" i="22"/>
  <c r="B4087" i="22"/>
  <c r="C4086" i="22"/>
  <c r="E4086" i="22"/>
  <c r="G4086" i="22"/>
  <c r="L4086" i="22"/>
  <c r="U3784" i="22"/>
  <c r="AV72" i="22"/>
  <c r="BH72" i="22"/>
  <c r="M3785" i="22"/>
  <c r="D3785" i="22"/>
  <c r="J3785" i="22"/>
  <c r="N3785" i="22" s="1"/>
  <c r="P3785" i="22"/>
  <c r="Q3785" i="22"/>
  <c r="R3785" i="22"/>
  <c r="L3786" i="22"/>
  <c r="C3786" i="22"/>
  <c r="E3786" i="22"/>
  <c r="G3786" i="22"/>
  <c r="I3786" i="22"/>
  <c r="B3787" i="22"/>
  <c r="U3730" i="22"/>
  <c r="AV71" i="22"/>
  <c r="BH71" i="22"/>
  <c r="D3731" i="22"/>
  <c r="J3731" i="22"/>
  <c r="P3731" i="22"/>
  <c r="Q3731" i="22"/>
  <c r="R3731" i="22"/>
  <c r="L3732" i="22"/>
  <c r="C3732" i="22"/>
  <c r="K3732" i="22" s="1"/>
  <c r="E3732" i="22"/>
  <c r="F3732" i="22"/>
  <c r="O3732" i="22" s="1"/>
  <c r="BV71" i="22" s="1"/>
  <c r="G3732" i="22"/>
  <c r="I3732" i="22"/>
  <c r="B3733" i="22"/>
  <c r="U3676" i="22"/>
  <c r="AV70" i="22"/>
  <c r="BH70" i="22"/>
  <c r="M3677" i="22"/>
  <c r="D3677" i="22"/>
  <c r="J3677" i="22"/>
  <c r="N3677" i="22" s="1"/>
  <c r="P3677" i="22"/>
  <c r="Q3677" i="22"/>
  <c r="R3677" i="22"/>
  <c r="L3678" i="22"/>
  <c r="C3678" i="22"/>
  <c r="E3678" i="22"/>
  <c r="G3678" i="22"/>
  <c r="I3678" i="22"/>
  <c r="B3679" i="22"/>
  <c r="U3622" i="22"/>
  <c r="AV69" i="22"/>
  <c r="BH69" i="22"/>
  <c r="D3623" i="22"/>
  <c r="J3623" i="22"/>
  <c r="P3623" i="22"/>
  <c r="Q3623" i="22"/>
  <c r="R3623" i="22"/>
  <c r="L3624" i="22"/>
  <c r="C3624" i="22"/>
  <c r="E3624" i="22"/>
  <c r="G3624" i="22"/>
  <c r="I3624" i="22"/>
  <c r="B3625" i="22"/>
  <c r="L3570" i="22"/>
  <c r="C3570" i="22"/>
  <c r="E3570" i="22"/>
  <c r="G3570" i="22"/>
  <c r="I3570" i="22"/>
  <c r="B3571" i="22"/>
  <c r="J3569" i="22"/>
  <c r="D3569" i="22"/>
  <c r="P3569" i="22"/>
  <c r="Q3569" i="22"/>
  <c r="R3569" i="22"/>
  <c r="M3515" i="22"/>
  <c r="D3515" i="22"/>
  <c r="J3515" i="22"/>
  <c r="N3515" i="22" s="1"/>
  <c r="P3515" i="22"/>
  <c r="Q3515" i="22"/>
  <c r="R3515" i="22"/>
  <c r="L3516" i="22"/>
  <c r="C3516" i="22"/>
  <c r="E3516" i="22"/>
  <c r="G3516" i="22"/>
  <c r="B3517" i="22"/>
  <c r="I3516" i="22"/>
  <c r="U3460" i="22"/>
  <c r="AV66" i="22"/>
  <c r="BH66" i="22"/>
  <c r="M3461" i="22"/>
  <c r="D3461" i="22"/>
  <c r="J3461" i="22"/>
  <c r="N3461" i="22" s="1"/>
  <c r="P3461" i="22"/>
  <c r="Q3461" i="22"/>
  <c r="R3461" i="22"/>
  <c r="L3462" i="22"/>
  <c r="C3462" i="22"/>
  <c r="E3462" i="22"/>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K3354" i="22" s="1"/>
  <c r="E3354" i="22"/>
  <c r="F3354" i="22"/>
  <c r="O3354" i="22" s="1"/>
  <c r="G3354" i="22"/>
  <c r="I3354" i="22"/>
  <c r="B3355" i="22"/>
  <c r="U3298" i="22"/>
  <c r="AV63" i="22"/>
  <c r="BH63" i="22"/>
  <c r="M3299" i="22"/>
  <c r="D3299" i="22"/>
  <c r="J3299" i="22"/>
  <c r="N3299" i="22" s="1"/>
  <c r="P3299" i="22"/>
  <c r="Q3299" i="22"/>
  <c r="R3299" i="22"/>
  <c r="L3300" i="22"/>
  <c r="C3300" i="22"/>
  <c r="K3300" i="22" s="1"/>
  <c r="E3300" i="22"/>
  <c r="F3300" i="22"/>
  <c r="O3300" i="22" s="1"/>
  <c r="G3300" i="22"/>
  <c r="I3300" i="22"/>
  <c r="B3301" i="22"/>
  <c r="J3245" i="22"/>
  <c r="D3245" i="22"/>
  <c r="P3245" i="22"/>
  <c r="Q3245" i="22"/>
  <c r="R3245" i="22"/>
  <c r="L3246" i="22"/>
  <c r="B3247" i="22"/>
  <c r="E3246" i="22"/>
  <c r="C3246" i="22"/>
  <c r="G3246" i="22"/>
  <c r="I3246" i="22"/>
  <c r="D3191" i="22"/>
  <c r="J3191" i="22"/>
  <c r="P3191" i="22"/>
  <c r="Q3191" i="22"/>
  <c r="R3191" i="22"/>
  <c r="L3192" i="22"/>
  <c r="C3192" i="22"/>
  <c r="E3192" i="22"/>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BU59" i="22"/>
  <c r="P3083" i="22"/>
  <c r="Q3083" i="22"/>
  <c r="R3083" i="22"/>
  <c r="L3084" i="22"/>
  <c r="C3084" i="22"/>
  <c r="K3084" i="22" s="1"/>
  <c r="E3084" i="22"/>
  <c r="F3084" i="22"/>
  <c r="O3084" i="22" s="1"/>
  <c r="G3084" i="22"/>
  <c r="I3084" i="22"/>
  <c r="B3085" i="22"/>
  <c r="U3028" i="22"/>
  <c r="AV58" i="22"/>
  <c r="BH58" i="22"/>
  <c r="M3029" i="22"/>
  <c r="D3029" i="22"/>
  <c r="J3029" i="22"/>
  <c r="N3029" i="22" s="1"/>
  <c r="P3029" i="22"/>
  <c r="Q3029" i="22"/>
  <c r="R3029" i="22"/>
  <c r="L3030" i="22"/>
  <c r="C3030" i="22"/>
  <c r="K3030" i="22" s="1"/>
  <c r="E3030" i="22"/>
  <c r="F3030" i="22"/>
  <c r="O3030" i="22" s="1"/>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U2920" i="22"/>
  <c r="AV56" i="22"/>
  <c r="BH56" i="22"/>
  <c r="M2921" i="22"/>
  <c r="D2921" i="22"/>
  <c r="J2921" i="22"/>
  <c r="N2921" i="22" s="1"/>
  <c r="P2921" i="22"/>
  <c r="Q2921" i="22"/>
  <c r="R2921" i="22"/>
  <c r="L2922" i="22"/>
  <c r="C2922" i="22"/>
  <c r="E2922" i="22"/>
  <c r="G2922" i="22"/>
  <c r="I2922" i="22"/>
  <c r="B2923" i="22"/>
  <c r="D2867" i="22"/>
  <c r="J2867" i="22"/>
  <c r="P2867" i="22"/>
  <c r="Q2867" i="22"/>
  <c r="R2867" i="22"/>
  <c r="L2868" i="22"/>
  <c r="C2868" i="22"/>
  <c r="E2868" i="22"/>
  <c r="G2868" i="22"/>
  <c r="I2868" i="22"/>
  <c r="B2869" i="22"/>
  <c r="S2812" i="22"/>
  <c r="AV54" i="22"/>
  <c r="BH54" i="22"/>
  <c r="AL1627" i="23"/>
  <c r="U2812" i="22"/>
  <c r="D2813" i="22"/>
  <c r="J2813" i="22"/>
  <c r="P2813" i="22"/>
  <c r="Q2813" i="22"/>
  <c r="R2813" i="22"/>
  <c r="T2813" i="22"/>
  <c r="L2814" i="22"/>
  <c r="C2814" i="22"/>
  <c r="E2814" i="22"/>
  <c r="G2814" i="22"/>
  <c r="I2814" i="22"/>
  <c r="B2815" i="22"/>
  <c r="M2759" i="22"/>
  <c r="D2759" i="22"/>
  <c r="J2759" i="22"/>
  <c r="N2759" i="22" s="1"/>
  <c r="P2759" i="22"/>
  <c r="Q2759" i="22"/>
  <c r="R2759" i="22"/>
  <c r="L2760" i="22"/>
  <c r="C2760" i="22"/>
  <c r="K2760" i="22" s="1"/>
  <c r="E2760" i="22"/>
  <c r="F2760" i="22"/>
  <c r="O2760" i="22" s="1"/>
  <c r="G2760" i="22"/>
  <c r="I2760" i="22"/>
  <c r="B2761" i="22"/>
  <c r="U2704" i="22"/>
  <c r="AV52" i="22"/>
  <c r="BH52" i="22"/>
  <c r="M2705" i="22"/>
  <c r="D2705" i="22"/>
  <c r="J2705" i="22"/>
  <c r="N2705" i="22" s="1"/>
  <c r="BU52" i="22"/>
  <c r="P2705" i="22"/>
  <c r="Q2705" i="22"/>
  <c r="R2705" i="22"/>
  <c r="L2706" i="22"/>
  <c r="C2706" i="22"/>
  <c r="E2706" i="22"/>
  <c r="G2706" i="22"/>
  <c r="I2706" i="22"/>
  <c r="B2707" i="22"/>
  <c r="U2650" i="22"/>
  <c r="AV51" i="22"/>
  <c r="BH51" i="22"/>
  <c r="J2651" i="22"/>
  <c r="D2651" i="22"/>
  <c r="P2651" i="22"/>
  <c r="Q2651" i="22"/>
  <c r="R2651" i="22"/>
  <c r="L2652" i="22"/>
  <c r="G2652" i="22"/>
  <c r="B2653" i="22"/>
  <c r="C2652" i="22"/>
  <c r="E2652" i="22"/>
  <c r="I2652" i="22"/>
  <c r="U2596" i="22"/>
  <c r="AV50" i="22"/>
  <c r="BH50" i="22"/>
  <c r="M2597" i="22"/>
  <c r="D2597" i="22"/>
  <c r="J2597" i="22"/>
  <c r="N2597" i="22" s="1"/>
  <c r="P2597" i="22"/>
  <c r="Q2597" i="22"/>
  <c r="R2597" i="22"/>
  <c r="L2598" i="22"/>
  <c r="E2598" i="22"/>
  <c r="G2598" i="22"/>
  <c r="I2598" i="22"/>
  <c r="C2598" i="22"/>
  <c r="K2598" i="22" s="1"/>
  <c r="F2598" i="22"/>
  <c r="O2598" i="22" s="1"/>
  <c r="B2599" i="22"/>
  <c r="U2542" i="22"/>
  <c r="AV49" i="22"/>
  <c r="BH49" i="22"/>
  <c r="M2543" i="22"/>
  <c r="D2543" i="22"/>
  <c r="J2543" i="22"/>
  <c r="N2543" i="22" s="1"/>
  <c r="P2543" i="22"/>
  <c r="Q2543" i="22"/>
  <c r="R2543" i="22"/>
  <c r="L2544" i="22"/>
  <c r="C2544" i="22"/>
  <c r="E2544" i="22"/>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U2434" i="22"/>
  <c r="AV47" i="22"/>
  <c r="BH47" i="22"/>
  <c r="D2435" i="22"/>
  <c r="J2435" i="22"/>
  <c r="P2435" i="22"/>
  <c r="Q2435" i="22"/>
  <c r="R2435" i="22"/>
  <c r="L2436" i="22"/>
  <c r="C2436" i="22"/>
  <c r="K2436" i="22" s="1"/>
  <c r="E2436" i="22"/>
  <c r="F2436" i="22"/>
  <c r="O2436" i="22" s="1"/>
  <c r="BV47" i="22" s="1"/>
  <c r="G2436" i="22"/>
  <c r="I2436" i="22"/>
  <c r="B2437" i="22"/>
  <c r="M2381" i="22"/>
  <c r="D2381" i="22"/>
  <c r="J2381" i="22"/>
  <c r="N2381" i="22" s="1"/>
  <c r="P2381" i="22"/>
  <c r="Q2381" i="22"/>
  <c r="R2381" i="22"/>
  <c r="L2382" i="22"/>
  <c r="C2382" i="22"/>
  <c r="E2382" i="22"/>
  <c r="G2382" i="22"/>
  <c r="I2382" i="22"/>
  <c r="B2383" i="22"/>
  <c r="M2327" i="22"/>
  <c r="D2327" i="22"/>
  <c r="J2327" i="22"/>
  <c r="N2327" i="22" s="1"/>
  <c r="P2327" i="22"/>
  <c r="Q2327" i="22"/>
  <c r="R2327" i="22"/>
  <c r="L2328" i="22"/>
  <c r="C2328" i="22"/>
  <c r="E2328" i="22"/>
  <c r="G2328" i="22"/>
  <c r="I2328" i="22"/>
  <c r="B2329" i="22"/>
  <c r="U2272" i="22"/>
  <c r="AV44" i="22"/>
  <c r="BH44" i="22"/>
  <c r="M2273" i="22"/>
  <c r="D2273" i="22"/>
  <c r="J2273" i="22"/>
  <c r="N2273" i="22" s="1"/>
  <c r="BU44" i="22"/>
  <c r="P2273" i="22"/>
  <c r="Q2273" i="22"/>
  <c r="R2273" i="22"/>
  <c r="L2274" i="22"/>
  <c r="G2274" i="22"/>
  <c r="B2275" i="22"/>
  <c r="E2274" i="22"/>
  <c r="C2274" i="22"/>
  <c r="I2274" i="22"/>
  <c r="U2218" i="22"/>
  <c r="AV43" i="22"/>
  <c r="BH43" i="22"/>
  <c r="M2219" i="22"/>
  <c r="D2219" i="22"/>
  <c r="J2219" i="22"/>
  <c r="N2219" i="22" s="1"/>
  <c r="P2219" i="22"/>
  <c r="Q2219" i="22"/>
  <c r="R2219" i="22"/>
  <c r="L2220" i="22"/>
  <c r="C2220" i="22"/>
  <c r="E2220" i="22"/>
  <c r="G2220" i="22"/>
  <c r="I2220" i="22"/>
  <c r="B2221" i="22"/>
  <c r="U2164" i="22"/>
  <c r="AV42" i="22"/>
  <c r="BH42" i="22"/>
  <c r="M2165" i="22"/>
  <c r="D2165" i="22"/>
  <c r="J2165" i="22"/>
  <c r="N2165" i="22" s="1"/>
  <c r="P2165" i="22"/>
  <c r="Q2165" i="22"/>
  <c r="R2165" i="22"/>
  <c r="L2166" i="22"/>
  <c r="C2166" i="22"/>
  <c r="E2166" i="22"/>
  <c r="G2166" i="22"/>
  <c r="I2166" i="22"/>
  <c r="B2167" i="22"/>
  <c r="U2110" i="22"/>
  <c r="AV41" i="22"/>
  <c r="BH41" i="22"/>
  <c r="D2111" i="22"/>
  <c r="J2111" i="22"/>
  <c r="P2111" i="22"/>
  <c r="Q2111" i="22"/>
  <c r="R2111" i="22"/>
  <c r="L2112" i="22"/>
  <c r="C2112" i="22"/>
  <c r="E2112" i="22"/>
  <c r="G2112" i="22"/>
  <c r="I2112" i="22"/>
  <c r="B2113" i="22"/>
  <c r="U2056" i="22"/>
  <c r="AV40" i="22"/>
  <c r="BH40" i="22"/>
  <c r="D2057" i="22"/>
  <c r="J2057" i="22"/>
  <c r="P2057" i="22"/>
  <c r="Q2057" i="22"/>
  <c r="R2057" i="22"/>
  <c r="L2058" i="22"/>
  <c r="C2058" i="22"/>
  <c r="K2058" i="22" s="1"/>
  <c r="E2058" i="22"/>
  <c r="F2058" i="22"/>
  <c r="O2058" i="22" s="1"/>
  <c r="BV40" i="22" s="1"/>
  <c r="G2058" i="22"/>
  <c r="I2058" i="22"/>
  <c r="B2059" i="22"/>
  <c r="D2003" i="22"/>
  <c r="J2003" i="22"/>
  <c r="P2003" i="22"/>
  <c r="Q2003" i="22"/>
  <c r="R2003" i="22"/>
  <c r="L2004" i="22"/>
  <c r="C2004" i="22"/>
  <c r="E2004" i="22"/>
  <c r="G2004" i="22"/>
  <c r="I2004" i="22"/>
  <c r="B2005" i="22"/>
  <c r="U1948" i="22"/>
  <c r="AV38" i="22"/>
  <c r="BH38" i="22"/>
  <c r="M1949" i="22"/>
  <c r="D1949" i="22"/>
  <c r="J1949" i="22"/>
  <c r="N1949" i="22" s="1"/>
  <c r="P1949" i="22"/>
  <c r="Q1949" i="22"/>
  <c r="R1949" i="22"/>
  <c r="L1950" i="22"/>
  <c r="C1950" i="22"/>
  <c r="E1950" i="22"/>
  <c r="G1950" i="22"/>
  <c r="I1950" i="22"/>
  <c r="B1951" i="22"/>
  <c r="U1894" i="22"/>
  <c r="AV37" i="22"/>
  <c r="BH37" i="22"/>
  <c r="M1895" i="22"/>
  <c r="D1895" i="22"/>
  <c r="J1895" i="22"/>
  <c r="N1895" i="22" s="1"/>
  <c r="BU37" i="22"/>
  <c r="P1895" i="22"/>
  <c r="Q1895" i="22"/>
  <c r="R1895" i="22"/>
  <c r="L1896" i="22"/>
  <c r="C1896" i="22"/>
  <c r="E1896" i="22"/>
  <c r="G1896" i="22"/>
  <c r="I1896" i="22"/>
  <c r="B1897" i="22"/>
  <c r="U1840" i="22"/>
  <c r="AV36" i="22"/>
  <c r="BH36" i="22"/>
  <c r="M1841" i="22"/>
  <c r="D1841" i="22"/>
  <c r="J1841" i="22"/>
  <c r="N1841" i="22" s="1"/>
  <c r="BU36" i="22"/>
  <c r="P1841" i="22"/>
  <c r="Q1841" i="22"/>
  <c r="R1841" i="22"/>
  <c r="L1842" i="22"/>
  <c r="C1842" i="22"/>
  <c r="K1842" i="22" s="1"/>
  <c r="E1842" i="22"/>
  <c r="F1842" i="22"/>
  <c r="O1842" i="22" s="1"/>
  <c r="G1842" i="22"/>
  <c r="I1842" i="22"/>
  <c r="B1843" i="22"/>
  <c r="U1786" i="22"/>
  <c r="AV35" i="22"/>
  <c r="BH35" i="22"/>
  <c r="M1787" i="22"/>
  <c r="D1787" i="22"/>
  <c r="J1787" i="22"/>
  <c r="N1787" i="22" s="1"/>
  <c r="P1787" i="22"/>
  <c r="Q1787" i="22"/>
  <c r="R1787" i="22"/>
  <c r="L1788" i="22"/>
  <c r="C1788" i="22"/>
  <c r="K1788" i="22" s="1"/>
  <c r="E1788" i="22"/>
  <c r="F1788" i="22"/>
  <c r="O1788"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U1678" i="22"/>
  <c r="AV33" i="22"/>
  <c r="BH33" i="22"/>
  <c r="D1679" i="22"/>
  <c r="J1679" i="22"/>
  <c r="P1679" i="22"/>
  <c r="Q1679" i="22"/>
  <c r="R1679" i="22"/>
  <c r="L1680" i="22"/>
  <c r="C1680" i="22"/>
  <c r="E1680" i="22"/>
  <c r="G1680" i="22"/>
  <c r="I1680" i="22"/>
  <c r="B1681" i="22"/>
  <c r="U1624" i="22"/>
  <c r="AV32" i="22"/>
  <c r="BH32" i="22"/>
  <c r="D1625" i="22"/>
  <c r="J1625" i="22"/>
  <c r="P1625" i="22"/>
  <c r="Q1625" i="22"/>
  <c r="R1625" i="22"/>
  <c r="L1626" i="22"/>
  <c r="C1626" i="22"/>
  <c r="E1626" i="22"/>
  <c r="G1626" i="22"/>
  <c r="I1626" i="22"/>
  <c r="B1627" i="22"/>
  <c r="M1571" i="22"/>
  <c r="D1571" i="22"/>
  <c r="J1571" i="22"/>
  <c r="N1571" i="22" s="1"/>
  <c r="P1571" i="22"/>
  <c r="Q1571" i="22"/>
  <c r="R1571" i="22"/>
  <c r="L1572" i="22"/>
  <c r="C1572" i="22"/>
  <c r="E1572" i="22"/>
  <c r="G1572" i="22"/>
  <c r="I1572" i="22"/>
  <c r="B1573" i="22"/>
  <c r="M1517" i="22"/>
  <c r="D1517" i="22"/>
  <c r="J1517" i="22"/>
  <c r="N1517" i="22" s="1"/>
  <c r="P1517" i="22"/>
  <c r="Q1517" i="22"/>
  <c r="R1517" i="22"/>
  <c r="L1518" i="22"/>
  <c r="C1518" i="22"/>
  <c r="E1518" i="22"/>
  <c r="G1518" i="22"/>
  <c r="I1518" i="22"/>
  <c r="B1519" i="22"/>
  <c r="U1462" i="22"/>
  <c r="AV29" i="22"/>
  <c r="BH29" i="22"/>
  <c r="M1463" i="22"/>
  <c r="D1463" i="22"/>
  <c r="J1463" i="22"/>
  <c r="N1463" i="22" s="1"/>
  <c r="BU29" i="22"/>
  <c r="P1463" i="22"/>
  <c r="Q1463" i="22"/>
  <c r="R1463" i="22"/>
  <c r="L1464" i="22"/>
  <c r="C1464" i="22"/>
  <c r="K1464" i="22" s="1"/>
  <c r="E1464" i="22"/>
  <c r="F1464" i="22"/>
  <c r="O1464" i="22" s="1"/>
  <c r="G1464" i="22"/>
  <c r="I1464" i="22"/>
  <c r="B1465" i="22"/>
  <c r="U1408" i="22"/>
  <c r="AV28" i="22"/>
  <c r="BH28" i="22"/>
  <c r="P1409" i="22"/>
  <c r="Q1409" i="22"/>
  <c r="R1409" i="22"/>
  <c r="L1410" i="22"/>
  <c r="G1410" i="22"/>
  <c r="I1410" i="22"/>
  <c r="B1411" i="22"/>
  <c r="C1410" i="22"/>
  <c r="K1410" i="22" s="1"/>
  <c r="E1410" i="22"/>
  <c r="F1410" i="22"/>
  <c r="O1410" i="22" s="1"/>
  <c r="BV28" i="22" s="1"/>
  <c r="J1409" i="22"/>
  <c r="D1409" i="22"/>
  <c r="P1355" i="22"/>
  <c r="Q1355" i="22"/>
  <c r="R1355" i="22"/>
  <c r="L1356" i="22"/>
  <c r="C1356" i="22"/>
  <c r="E1356" i="22"/>
  <c r="G1356" i="22"/>
  <c r="I1356" i="22"/>
  <c r="B1357" i="22"/>
  <c r="D1355" i="22"/>
  <c r="J1355" i="22"/>
  <c r="U1300" i="22"/>
  <c r="AV26" i="22"/>
  <c r="BH26" i="22"/>
  <c r="D1301" i="22"/>
  <c r="J1301" i="22"/>
  <c r="P1301" i="22"/>
  <c r="Q1301" i="22"/>
  <c r="R1301" i="22"/>
  <c r="L1302" i="22"/>
  <c r="C1302" i="22"/>
  <c r="E1302" i="22"/>
  <c r="G1302" i="22"/>
  <c r="I1302" i="22"/>
  <c r="B1303" i="22"/>
  <c r="U1246" i="22"/>
  <c r="AV25" i="22"/>
  <c r="BH25" i="22"/>
  <c r="D1247" i="22"/>
  <c r="J1247" i="22"/>
  <c r="P1247" i="22"/>
  <c r="Q1247" i="22"/>
  <c r="R1247" i="22"/>
  <c r="L1248" i="22"/>
  <c r="C1248" i="22"/>
  <c r="K1248" i="22" s="1"/>
  <c r="E1248" i="22"/>
  <c r="F1248" i="22"/>
  <c r="O1248" i="22" s="1"/>
  <c r="BV25" i="22" s="1"/>
  <c r="G1248" i="22"/>
  <c r="I1248" i="22"/>
  <c r="B1249" i="22"/>
  <c r="D1193" i="22"/>
  <c r="J1193" i="22"/>
  <c r="P1193" i="22"/>
  <c r="Q1193" i="22"/>
  <c r="R1193" i="22"/>
  <c r="L1194" i="22"/>
  <c r="C1194" i="22"/>
  <c r="E1194" i="22"/>
  <c r="G1194" i="22"/>
  <c r="I1194" i="22"/>
  <c r="B1195" i="22"/>
  <c r="M1139" i="22"/>
  <c r="D1139" i="22"/>
  <c r="J1139" i="22"/>
  <c r="N1139" i="22" s="1"/>
  <c r="L91" i="7"/>
  <c r="BU23" i="22"/>
  <c r="P1139" i="22"/>
  <c r="Q1139" i="22"/>
  <c r="R1139" i="22"/>
  <c r="L1140" i="22"/>
  <c r="C1140" i="22"/>
  <c r="K1140" i="22" s="1"/>
  <c r="E1140" i="22"/>
  <c r="F1140" i="22"/>
  <c r="O1140" i="22" s="1"/>
  <c r="I1153" i="22" s="1"/>
  <c r="G1140" i="22"/>
  <c r="I1140" i="22"/>
  <c r="B1141" i="22"/>
  <c r="M1085" i="22"/>
  <c r="D1085" i="22"/>
  <c r="J1085" i="22"/>
  <c r="N1085" i="22" s="1"/>
  <c r="L90" i="7"/>
  <c r="BU22" i="22"/>
  <c r="P1085" i="22"/>
  <c r="Q1085" i="22"/>
  <c r="R1085" i="22"/>
  <c r="L1086" i="22"/>
  <c r="C1086" i="22"/>
  <c r="E1086" i="22"/>
  <c r="G1086" i="22"/>
  <c r="I1086" i="22"/>
  <c r="B1087" i="22"/>
  <c r="K120" i="7"/>
  <c r="K58" i="7"/>
  <c r="U1030" i="22"/>
  <c r="AV21" i="22"/>
  <c r="BH21" i="22"/>
  <c r="M1031" i="22"/>
  <c r="D1031" i="22"/>
  <c r="J1031" i="22"/>
  <c r="N1031" i="22" s="1"/>
  <c r="L89" i="7"/>
  <c r="BU21" i="22"/>
  <c r="P1031" i="22"/>
  <c r="Q1031" i="22"/>
  <c r="R1031" i="22"/>
  <c r="L1032" i="22"/>
  <c r="C1032" i="22"/>
  <c r="E1032" i="22"/>
  <c r="G1032" i="22"/>
  <c r="I1032" i="22"/>
  <c r="B1033" i="22"/>
  <c r="K119" i="7"/>
  <c r="K57" i="7"/>
  <c r="U976" i="22"/>
  <c r="AV20" i="22"/>
  <c r="BH20" i="22"/>
  <c r="M977" i="22"/>
  <c r="D977" i="22"/>
  <c r="J977" i="22"/>
  <c r="N977" i="22" s="1"/>
  <c r="L88" i="7"/>
  <c r="BU20" i="22"/>
  <c r="P977" i="22"/>
  <c r="Q977" i="22"/>
  <c r="R977" i="22"/>
  <c r="L978" i="22"/>
  <c r="C978" i="22"/>
  <c r="K978" i="22" s="1"/>
  <c r="E978" i="22"/>
  <c r="F978" i="22"/>
  <c r="O978" i="22" s="1"/>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G924" i="22"/>
  <c r="I924" i="22"/>
  <c r="B925" i="22"/>
  <c r="K117" i="7"/>
  <c r="K55" i="7"/>
  <c r="U868" i="22"/>
  <c r="AV18" i="22"/>
  <c r="BH18" i="22"/>
  <c r="D869" i="22"/>
  <c r="J869" i="22"/>
  <c r="P869" i="22"/>
  <c r="Q869" i="22"/>
  <c r="R869" i="22"/>
  <c r="L870" i="22"/>
  <c r="C870" i="22"/>
  <c r="K870" i="22" s="1"/>
  <c r="E870" i="22"/>
  <c r="F870" i="22"/>
  <c r="O870" i="22" s="1"/>
  <c r="G870" i="22"/>
  <c r="I870" i="22"/>
  <c r="B871" i="22"/>
  <c r="D815" i="22"/>
  <c r="J815" i="22"/>
  <c r="P815" i="22"/>
  <c r="Q815" i="22"/>
  <c r="R815" i="22"/>
  <c r="L816" i="22"/>
  <c r="C816" i="22"/>
  <c r="K816" i="22" s="1"/>
  <c r="E816" i="22"/>
  <c r="F816" i="22"/>
  <c r="O816" i="22" s="1"/>
  <c r="I829" i="22" s="1"/>
  <c r="G816" i="22"/>
  <c r="I816" i="22"/>
  <c r="B817" i="22"/>
  <c r="M761" i="22"/>
  <c r="D761" i="22"/>
  <c r="J761" i="22"/>
  <c r="N761" i="22" s="1"/>
  <c r="L84" i="7"/>
  <c r="BU16" i="22"/>
  <c r="P761" i="22"/>
  <c r="Q761" i="22"/>
  <c r="R761" i="22"/>
  <c r="L762" i="22"/>
  <c r="C762" i="22"/>
  <c r="K762" i="22" s="1"/>
  <c r="E762" i="22"/>
  <c r="F762" i="22"/>
  <c r="O762" i="22" s="1"/>
  <c r="I775" i="22" s="1"/>
  <c r="G762" i="22"/>
  <c r="I762" i="22"/>
  <c r="B763" i="22"/>
  <c r="K114" i="7"/>
  <c r="K52" i="7"/>
  <c r="U706" i="22"/>
  <c r="AV15" i="22"/>
  <c r="BH15" i="22"/>
  <c r="M707" i="22"/>
  <c r="D707" i="22"/>
  <c r="J707" i="22"/>
  <c r="N707" i="22" s="1"/>
  <c r="L83" i="7"/>
  <c r="BU15" i="22"/>
  <c r="P707" i="22"/>
  <c r="Q707" i="22"/>
  <c r="R707" i="22"/>
  <c r="L708" i="22"/>
  <c r="C708" i="22"/>
  <c r="E708" i="22"/>
  <c r="G708" i="22"/>
  <c r="I708" i="22"/>
  <c r="B709" i="22"/>
  <c r="K113" i="7"/>
  <c r="K51" i="7"/>
  <c r="U652" i="22"/>
  <c r="AV14" i="22"/>
  <c r="BH14" i="22"/>
  <c r="M653" i="22"/>
  <c r="D653" i="22"/>
  <c r="J653" i="22"/>
  <c r="N653" i="22" s="1"/>
  <c r="L82" i="7"/>
  <c r="BU14" i="22"/>
  <c r="P653" i="22"/>
  <c r="Q653" i="22"/>
  <c r="R653" i="22"/>
  <c r="L654" i="22"/>
  <c r="C654" i="22"/>
  <c r="K654" i="22" s="1"/>
  <c r="E654" i="22"/>
  <c r="F654" i="22"/>
  <c r="O654" i="22" s="1"/>
  <c r="G654" i="22"/>
  <c r="I654" i="22"/>
  <c r="B655" i="22"/>
  <c r="K112" i="7"/>
  <c r="K50" i="7"/>
  <c r="U598" i="22"/>
  <c r="AV13" i="22"/>
  <c r="BH13" i="22"/>
  <c r="M599" i="22"/>
  <c r="D599" i="22"/>
  <c r="J599" i="22"/>
  <c r="N599" i="22" s="1"/>
  <c r="L81" i="7"/>
  <c r="BU13" i="22"/>
  <c r="P599" i="22"/>
  <c r="Q599" i="22"/>
  <c r="R599" i="22"/>
  <c r="L600" i="22"/>
  <c r="C600" i="22"/>
  <c r="K600" i="22" s="1"/>
  <c r="E600" i="22"/>
  <c r="F600" i="22"/>
  <c r="O600" i="22" s="1"/>
  <c r="G600" i="22"/>
  <c r="I600" i="22"/>
  <c r="B601" i="22"/>
  <c r="K111" i="7"/>
  <c r="K49" i="7"/>
  <c r="U544" i="22"/>
  <c r="AV12" i="22"/>
  <c r="BH12" i="22"/>
  <c r="M545" i="22"/>
  <c r="D545" i="22"/>
  <c r="J545" i="22"/>
  <c r="N545" i="22" s="1"/>
  <c r="L80" i="7"/>
  <c r="BU12" i="22"/>
  <c r="P545" i="22"/>
  <c r="Q545" i="22"/>
  <c r="R545" i="22"/>
  <c r="L546" i="22"/>
  <c r="C546" i="22"/>
  <c r="K546" i="22" s="1"/>
  <c r="E546" i="22"/>
  <c r="F546" i="22"/>
  <c r="O546" i="22" s="1"/>
  <c r="G546" i="22"/>
  <c r="I546" i="22"/>
  <c r="B547" i="22"/>
  <c r="K110" i="7"/>
  <c r="K48" i="7"/>
  <c r="U490" i="22"/>
  <c r="AV11" i="22"/>
  <c r="BH11" i="22"/>
  <c r="M491" i="22"/>
  <c r="D491" i="22"/>
  <c r="J491" i="22"/>
  <c r="N491" i="22" s="1"/>
  <c r="L79" i="7"/>
  <c r="BU11" i="22"/>
  <c r="P491" i="22"/>
  <c r="Q491" i="22"/>
  <c r="R491" i="22"/>
  <c r="L492" i="22"/>
  <c r="C492" i="22"/>
  <c r="E492" i="22"/>
  <c r="G492" i="22"/>
  <c r="B493" i="22"/>
  <c r="I492" i="22"/>
  <c r="K109" i="7"/>
  <c r="K47" i="7"/>
  <c r="U436" i="22"/>
  <c r="AV10" i="22"/>
  <c r="BH10" i="22"/>
  <c r="D437" i="22"/>
  <c r="J437" i="22"/>
  <c r="P437" i="22"/>
  <c r="Q437" i="22"/>
  <c r="R437" i="22"/>
  <c r="L438" i="22"/>
  <c r="C438" i="22"/>
  <c r="K438" i="22" s="1"/>
  <c r="E438" i="22"/>
  <c r="F438" i="22"/>
  <c r="O438" i="22" s="1"/>
  <c r="G438" i="22"/>
  <c r="B439" i="22"/>
  <c r="I438" i="22"/>
  <c r="K108" i="7"/>
  <c r="K46" i="7"/>
  <c r="U382" i="22"/>
  <c r="AV9" i="22"/>
  <c r="BH9" i="22"/>
  <c r="M383" i="22"/>
  <c r="D383" i="22"/>
  <c r="J383" i="22"/>
  <c r="N383" i="22" s="1"/>
  <c r="L77" i="7"/>
  <c r="BU9" i="22"/>
  <c r="P383" i="22"/>
  <c r="Q383" i="22"/>
  <c r="R383" i="22"/>
  <c r="L384" i="22"/>
  <c r="C384" i="22"/>
  <c r="E384" i="22"/>
  <c r="G384" i="22"/>
  <c r="I384" i="22"/>
  <c r="B385" i="22"/>
  <c r="K45" i="7"/>
  <c r="K107" i="7"/>
  <c r="U328" i="22"/>
  <c r="AV8" i="22"/>
  <c r="BH8" i="22"/>
  <c r="M329" i="22"/>
  <c r="D329" i="22"/>
  <c r="J329" i="22"/>
  <c r="N329" i="22" s="1"/>
  <c r="L76" i="7"/>
  <c r="BU8" i="22"/>
  <c r="P329" i="22"/>
  <c r="Q329" i="22"/>
  <c r="R329" i="22"/>
  <c r="L330" i="22"/>
  <c r="C330" i="22"/>
  <c r="K330" i="22" s="1"/>
  <c r="E330" i="22"/>
  <c r="F330" i="22"/>
  <c r="O330" i="22" s="1"/>
  <c r="G330" i="22"/>
  <c r="I330" i="22"/>
  <c r="B331" i="22"/>
  <c r="K106" i="7"/>
  <c r="K44" i="7"/>
  <c r="U274" i="22"/>
  <c r="AV7" i="22"/>
  <c r="BH7" i="22"/>
  <c r="M275" i="22"/>
  <c r="D275" i="22"/>
  <c r="J275" i="22"/>
  <c r="N275" i="22" s="1"/>
  <c r="P275" i="22"/>
  <c r="Q275" i="22"/>
  <c r="R275" i="22"/>
  <c r="L276" i="22"/>
  <c r="C276" i="22"/>
  <c r="K276" i="22" s="1"/>
  <c r="E276" i="22"/>
  <c r="F276" i="22"/>
  <c r="O276" i="22" s="1"/>
  <c r="G276" i="22"/>
  <c r="I276" i="22"/>
  <c r="B277" i="22"/>
  <c r="K105" i="7"/>
  <c r="K43" i="7"/>
  <c r="U220" i="22"/>
  <c r="AV6" i="22"/>
  <c r="BH6" i="22"/>
  <c r="M221" i="22"/>
  <c r="D221" i="22"/>
  <c r="J221" i="22"/>
  <c r="N221" i="22" s="1"/>
  <c r="L74" i="7"/>
  <c r="BU6" i="22"/>
  <c r="P221" i="22"/>
  <c r="Q221" i="22"/>
  <c r="R221" i="22"/>
  <c r="L222" i="22"/>
  <c r="C222" i="22"/>
  <c r="K222" i="22" s="1"/>
  <c r="E222" i="22"/>
  <c r="F222" i="22"/>
  <c r="O222" i="22" s="1"/>
  <c r="G222" i="22"/>
  <c r="I222" i="22"/>
  <c r="B223" i="22"/>
  <c r="L168" i="22"/>
  <c r="I168" i="22"/>
  <c r="C168" i="22"/>
  <c r="E168" i="22"/>
  <c r="G168" i="22"/>
  <c r="B169" i="22"/>
  <c r="D167" i="22"/>
  <c r="J167" i="22"/>
  <c r="P167" i="22"/>
  <c r="Q167" i="22"/>
  <c r="R167" i="22"/>
  <c r="P113" i="22"/>
  <c r="Q113" i="22"/>
  <c r="R113" i="22"/>
  <c r="J113" i="22"/>
  <c r="D113" i="22"/>
  <c r="L114" i="22"/>
  <c r="C114" i="22"/>
  <c r="K114" i="22" s="1"/>
  <c r="E114" i="22"/>
  <c r="F114" i="22"/>
  <c r="O114" i="22" s="1"/>
  <c r="G114" i="22"/>
  <c r="B115" i="22"/>
  <c r="I114" i="22"/>
  <c r="C101" i="12"/>
  <c r="U50" i="17"/>
  <c r="M102" i="12"/>
  <c r="O102" i="12"/>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BF51" i="17" s="1"/>
  <c r="I52" i="17"/>
  <c r="B53" i="17"/>
  <c r="B52" i="18"/>
  <c r="C52" i="17"/>
  <c r="E52" i="17"/>
  <c r="G52" i="17"/>
  <c r="BE52" i="17" s="1"/>
  <c r="L52" i="17"/>
  <c r="J51" i="17"/>
  <c r="D51" i="17"/>
  <c r="G100" i="12"/>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4" i="17"/>
  <c r="BF34" i="17" s="1"/>
  <c r="BE36" i="17"/>
  <c r="BF36" i="17" s="1"/>
  <c r="BE37" i="17"/>
  <c r="BF37" i="17" s="1"/>
  <c r="BE38" i="17"/>
  <c r="BF38" i="17" s="1"/>
  <c r="BE41" i="17"/>
  <c r="BF41" i="17" s="1"/>
  <c r="BE42" i="17"/>
  <c r="BF42" i="17" s="1"/>
  <c r="BE43" i="17"/>
  <c r="BF43" i="17" s="1"/>
  <c r="BE45" i="17"/>
  <c r="BF45" i="17" s="1"/>
  <c r="BE47" i="17"/>
  <c r="BF47" i="17" s="1"/>
  <c r="BE48" i="17"/>
  <c r="BF48" i="17" s="1"/>
  <c r="BE50" i="17"/>
  <c r="BF50" i="17" s="1"/>
  <c r="BE33" i="17"/>
  <c r="BF33" i="17" s="1"/>
  <c r="BE35" i="17"/>
  <c r="BF35" i="17" s="1"/>
  <c r="BE39" i="17"/>
  <c r="BF39" i="17" s="1"/>
  <c r="BE40" i="17"/>
  <c r="BF40" i="17" s="1"/>
  <c r="BE44" i="17"/>
  <c r="BF44" i="17" s="1"/>
  <c r="BE46" i="17"/>
  <c r="BF46" i="17" s="1"/>
  <c r="BE49" i="17"/>
  <c r="BF49" i="17" s="1"/>
  <c r="BE51" i="17"/>
  <c r="G105" i="8"/>
  <c r="G107" i="8"/>
  <c r="AI1624" i="23"/>
  <c r="H104" i="8"/>
  <c r="C136" i="8"/>
  <c r="AD1345" i="23"/>
  <c r="AD897" i="23"/>
  <c r="AI728" i="23"/>
  <c r="H79" i="8"/>
  <c r="AD729" i="23"/>
  <c r="AG729" i="23"/>
  <c r="AD449" i="23"/>
  <c r="AH1625" i="23"/>
  <c r="I103" i="8"/>
  <c r="B137" i="8"/>
  <c r="D137" i="8"/>
  <c r="X1514" i="23"/>
  <c r="W1514" i="23"/>
  <c r="W1458" i="23"/>
  <c r="X1458" i="23"/>
  <c r="W1402" i="23"/>
  <c r="X1402" i="23"/>
  <c r="X1346" i="23"/>
  <c r="W1346" i="23"/>
  <c r="W1066" i="23"/>
  <c r="X1066" i="23"/>
  <c r="X1010" i="23"/>
  <c r="W1010" i="23"/>
  <c r="W954" i="23"/>
  <c r="X954" i="23"/>
  <c r="W730" i="23"/>
  <c r="X730" i="23"/>
  <c r="X562" i="23"/>
  <c r="W562" i="23"/>
  <c r="X506" i="23"/>
  <c r="W506" i="23"/>
  <c r="X450" i="23"/>
  <c r="W450" i="23"/>
  <c r="U3783" i="22"/>
  <c r="AU72" i="22"/>
  <c r="BG72" i="22"/>
  <c r="U3621" i="22"/>
  <c r="AU69" i="22"/>
  <c r="BG69" i="22"/>
  <c r="U3567" i="22"/>
  <c r="AU68" i="22"/>
  <c r="BG68" i="22"/>
  <c r="U3351" i="22"/>
  <c r="AU64" i="22"/>
  <c r="BG64" i="22"/>
  <c r="U3297" i="22"/>
  <c r="AU63" i="22"/>
  <c r="BG63" i="22"/>
  <c r="U3243" i="22"/>
  <c r="AU62" i="22"/>
  <c r="BG62" i="22"/>
  <c r="U2973" i="22"/>
  <c r="AU57" i="22"/>
  <c r="BG57" i="22"/>
  <c r="U2919" i="22"/>
  <c r="AU56" i="22"/>
  <c r="BG56" i="22"/>
  <c r="U2865" i="22"/>
  <c r="AU55" i="22"/>
  <c r="BG55" i="22"/>
  <c r="U2649" i="22"/>
  <c r="AU51" i="22"/>
  <c r="BG51" i="22"/>
  <c r="U2595" i="22"/>
  <c r="AU50" i="22"/>
  <c r="BG50" i="22"/>
  <c r="U2541" i="22"/>
  <c r="AU49" i="22"/>
  <c r="BG49" i="22"/>
  <c r="U2487" i="22"/>
  <c r="AU48" i="22"/>
  <c r="BG48" i="22"/>
  <c r="U2217" i="22"/>
  <c r="AU43" i="22"/>
  <c r="BG43" i="22"/>
  <c r="U2163" i="22"/>
  <c r="AU42" i="22"/>
  <c r="BG42" i="22"/>
  <c r="U2109" i="22"/>
  <c r="AU41" i="22"/>
  <c r="BG41" i="22"/>
  <c r="U1731" i="22"/>
  <c r="AU34" i="22"/>
  <c r="BG34" i="22"/>
  <c r="U1407" i="22"/>
  <c r="AU28" i="22"/>
  <c r="BG28" i="22"/>
  <c r="U1353" i="22"/>
  <c r="AU27" i="22"/>
  <c r="BG27" i="22"/>
  <c r="U1299" i="22"/>
  <c r="AU26" i="22"/>
  <c r="BG26" i="22"/>
  <c r="U1245" i="22"/>
  <c r="AU25" i="22"/>
  <c r="BG25" i="22"/>
  <c r="J118" i="7"/>
  <c r="J56" i="7"/>
  <c r="U921" i="22"/>
  <c r="AU19" i="22"/>
  <c r="BG19" i="22"/>
  <c r="J112" i="7"/>
  <c r="J50" i="7"/>
  <c r="U597" i="22"/>
  <c r="AU13" i="22"/>
  <c r="BG13" i="22"/>
  <c r="J111" i="7"/>
  <c r="J49" i="7"/>
  <c r="U543" i="22"/>
  <c r="AU12" i="22"/>
  <c r="BG12" i="22"/>
  <c r="J105" i="7"/>
  <c r="J43" i="7"/>
  <c r="U219" i="22"/>
  <c r="AU6" i="22"/>
  <c r="BG6" i="22"/>
  <c r="J104" i="7"/>
  <c r="J42" i="7"/>
  <c r="U165" i="22"/>
  <c r="AU5" i="22"/>
  <c r="BG5" i="22"/>
  <c r="J103" i="7"/>
  <c r="J41" i="7"/>
  <c r="AU4" i="22"/>
  <c r="BG4" i="22"/>
  <c r="U111" i="22"/>
  <c r="AD1626" i="23"/>
  <c r="AG1626" i="23"/>
  <c r="M1515" i="23"/>
  <c r="N1515" i="23"/>
  <c r="AB1515" i="23"/>
  <c r="AC1515" i="23" s="1"/>
  <c r="O1515" i="23"/>
  <c r="O1459" i="23"/>
  <c r="AB1459" i="23"/>
  <c r="AC1459" i="23" s="1"/>
  <c r="N1459" i="23"/>
  <c r="M1459" i="23"/>
  <c r="M1403" i="23"/>
  <c r="N1403" i="23"/>
  <c r="AB1403" i="23"/>
  <c r="O1403" i="23"/>
  <c r="Y1403" i="23" s="1"/>
  <c r="AC1403" i="23"/>
  <c r="O1347" i="23"/>
  <c r="Y1347" i="23" s="1"/>
  <c r="AB1347" i="23"/>
  <c r="AC1347" i="23" s="1"/>
  <c r="M1347" i="23"/>
  <c r="N1347" i="23"/>
  <c r="AB1235" i="23"/>
  <c r="AC1235" i="23" s="1"/>
  <c r="O1235" i="23"/>
  <c r="Y1235" i="23" s="1"/>
  <c r="M1235" i="23"/>
  <c r="N1235" i="23"/>
  <c r="AD1122" i="23"/>
  <c r="M1067" i="23"/>
  <c r="N1067" i="23"/>
  <c r="O1067" i="23"/>
  <c r="Y1067" i="23" s="1"/>
  <c r="AB1067" i="23"/>
  <c r="AC1067" i="23" s="1"/>
  <c r="AD898" i="23"/>
  <c r="M899" i="23"/>
  <c r="N899" i="23"/>
  <c r="AB899" i="23"/>
  <c r="AC899" i="23" s="1"/>
  <c r="O899" i="23"/>
  <c r="Y899" i="23" s="1"/>
  <c r="M843" i="23"/>
  <c r="N843" i="23"/>
  <c r="AB843" i="23"/>
  <c r="AC843" i="23" s="1"/>
  <c r="O843" i="23"/>
  <c r="Y843" i="23" s="1"/>
  <c r="M731" i="23"/>
  <c r="N731" i="23"/>
  <c r="AB731" i="23"/>
  <c r="AC731" i="23" s="1"/>
  <c r="O731" i="23"/>
  <c r="Y731" i="23" s="1"/>
  <c r="M563" i="23"/>
  <c r="N563" i="23"/>
  <c r="AB563" i="23"/>
  <c r="AC563" i="23" s="1"/>
  <c r="O563" i="23"/>
  <c r="Y563" i="23" s="1"/>
  <c r="M451" i="23"/>
  <c r="N451" i="23"/>
  <c r="AB451" i="23"/>
  <c r="AC451" i="23" s="1"/>
  <c r="O451" i="23"/>
  <c r="Y451" i="23" s="1"/>
  <c r="M395" i="23"/>
  <c r="N395" i="23"/>
  <c r="AB395" i="23"/>
  <c r="AC395" i="23" s="1"/>
  <c r="O395" i="23"/>
  <c r="Y395" i="23" s="1"/>
  <c r="M4708" i="22"/>
  <c r="N4708" i="22"/>
  <c r="M4546" i="22"/>
  <c r="N4546" i="22"/>
  <c r="M4192" i="22"/>
  <c r="N4192" i="22"/>
  <c r="U4192" i="22" s="1"/>
  <c r="N4084" i="22"/>
  <c r="U4084" i="22" s="1"/>
  <c r="M4084" i="22"/>
  <c r="M3568" i="22"/>
  <c r="N3568" i="22"/>
  <c r="BT67" i="22"/>
  <c r="M3514" i="22"/>
  <c r="N3514" i="22"/>
  <c r="M3244" i="22"/>
  <c r="N3244" i="22"/>
  <c r="M3190" i="22"/>
  <c r="N3190" i="22"/>
  <c r="BT61" i="22"/>
  <c r="M2866" i="22"/>
  <c r="N2866" i="22"/>
  <c r="BT53" i="22"/>
  <c r="M2758" i="22"/>
  <c r="N2758" i="22"/>
  <c r="M2380" i="22"/>
  <c r="N2380" i="22"/>
  <c r="BT46" i="22"/>
  <c r="BT45" i="22"/>
  <c r="M2326" i="22"/>
  <c r="N2326" i="22"/>
  <c r="M2002" i="22"/>
  <c r="N2002" i="22"/>
  <c r="BT39" i="22"/>
  <c r="M1570" i="22"/>
  <c r="N1570" i="22"/>
  <c r="BT31" i="22"/>
  <c r="M1516" i="22"/>
  <c r="N1516" i="22"/>
  <c r="BT30" i="22"/>
  <c r="M1354" i="22"/>
  <c r="N1354" i="22"/>
  <c r="M1192" i="22"/>
  <c r="N1192" i="22"/>
  <c r="BT24" i="22"/>
  <c r="K92" i="7"/>
  <c r="M1138" i="22"/>
  <c r="N1138" i="22"/>
  <c r="BT23" i="22"/>
  <c r="K91" i="7"/>
  <c r="M1084" i="22"/>
  <c r="N1084" i="22"/>
  <c r="BT22" i="22"/>
  <c r="K90" i="7"/>
  <c r="BT17" i="22"/>
  <c r="K85" i="7"/>
  <c r="M814" i="22"/>
  <c r="N814" i="22"/>
  <c r="M760" i="22"/>
  <c r="N760" i="22"/>
  <c r="BT16" i="22"/>
  <c r="K84" i="7"/>
  <c r="BT5" i="22"/>
  <c r="K73" i="7"/>
  <c r="M166" i="22"/>
  <c r="N166" i="22"/>
  <c r="BT4" i="22"/>
  <c r="K72" i="7"/>
  <c r="M112" i="22"/>
  <c r="N112" i="22"/>
  <c r="AD675" i="23"/>
  <c r="X1627" i="23"/>
  <c r="W1627" i="23"/>
  <c r="X1571" i="23"/>
  <c r="W1571" i="23"/>
  <c r="K1516" i="23"/>
  <c r="F1516" i="23"/>
  <c r="K1460" i="23"/>
  <c r="F1460" i="23"/>
  <c r="K1404" i="23"/>
  <c r="F1404" i="23"/>
  <c r="F1348" i="23"/>
  <c r="K1348" i="23"/>
  <c r="X1291" i="23"/>
  <c r="W1291" i="23"/>
  <c r="X1179" i="23"/>
  <c r="W1179" i="23"/>
  <c r="W1123" i="23"/>
  <c r="X1123" i="23"/>
  <c r="K1124" i="23"/>
  <c r="F1124" i="23"/>
  <c r="F1068" i="23"/>
  <c r="K1068" i="23"/>
  <c r="W1011" i="23"/>
  <c r="X1011" i="23"/>
  <c r="X955" i="23"/>
  <c r="W955" i="23"/>
  <c r="F900" i="23"/>
  <c r="K900" i="23"/>
  <c r="X787" i="23"/>
  <c r="W787" i="23"/>
  <c r="X619" i="23"/>
  <c r="W619" i="23"/>
  <c r="K620" i="23"/>
  <c r="F620" i="23"/>
  <c r="W507" i="23"/>
  <c r="X507" i="23"/>
  <c r="K508" i="23"/>
  <c r="F508" i="23"/>
  <c r="X339" i="23"/>
  <c r="W339" i="23"/>
  <c r="X283" i="23"/>
  <c r="W283" i="23"/>
  <c r="P102" i="12"/>
  <c r="F4085" i="22"/>
  <c r="O4085" i="22" s="1"/>
  <c r="K4085" i="22"/>
  <c r="BU72" i="22"/>
  <c r="F3731" i="22"/>
  <c r="O3731" i="22" s="1"/>
  <c r="K3731" i="22"/>
  <c r="BU70" i="22"/>
  <c r="F3623" i="22"/>
  <c r="O3623" i="22" s="1"/>
  <c r="K3623" i="22"/>
  <c r="K3569" i="22"/>
  <c r="F3569" i="22"/>
  <c r="O3569" i="22" s="1"/>
  <c r="BU68" i="22" s="1"/>
  <c r="BU66" i="22"/>
  <c r="BU65" i="22"/>
  <c r="BU64" i="22"/>
  <c r="K3245" i="22"/>
  <c r="F3245" i="22"/>
  <c r="O3245" i="22" s="1"/>
  <c r="K3191" i="22"/>
  <c r="F3191" i="22"/>
  <c r="O3191" i="22" s="1"/>
  <c r="BU58" i="22"/>
  <c r="BU57" i="22"/>
  <c r="BU56" i="22"/>
  <c r="F2867" i="22"/>
  <c r="O2867" i="22" s="1"/>
  <c r="K2867" i="22"/>
  <c r="K2813" i="22"/>
  <c r="F2813" i="22"/>
  <c r="O2813" i="22" s="1"/>
  <c r="F2651" i="22"/>
  <c r="O2651" i="22" s="1"/>
  <c r="K2651" i="22"/>
  <c r="BU50" i="22"/>
  <c r="BU48" i="22"/>
  <c r="K2435" i="22"/>
  <c r="F2435" i="22"/>
  <c r="O2435" i="22" s="1"/>
  <c r="BU43" i="22"/>
  <c r="BU42" i="22"/>
  <c r="K2111" i="22"/>
  <c r="F2111" i="22"/>
  <c r="O2111" i="22" s="1"/>
  <c r="F2057" i="22"/>
  <c r="O2057" i="22" s="1"/>
  <c r="K2057" i="22"/>
  <c r="F2003" i="22"/>
  <c r="O2003" i="22" s="1"/>
  <c r="K2003" i="22"/>
  <c r="BU35" i="22"/>
  <c r="BU34" i="22"/>
  <c r="F1679" i="22"/>
  <c r="O1679" i="22" s="1"/>
  <c r="K1679" i="22"/>
  <c r="F1625" i="22"/>
  <c r="O1625" i="22" s="1"/>
  <c r="K1625" i="22"/>
  <c r="F1409" i="22"/>
  <c r="O1409" i="22" s="1"/>
  <c r="K1409" i="22"/>
  <c r="F1355" i="22"/>
  <c r="O1355" i="22" s="1"/>
  <c r="BU27" i="22" s="1"/>
  <c r="K1355" i="22"/>
  <c r="K1301" i="22"/>
  <c r="F1301" i="22"/>
  <c r="O1301" i="22" s="1"/>
  <c r="K1247" i="22"/>
  <c r="F1247" i="22"/>
  <c r="O1247" i="22" s="1"/>
  <c r="F1193" i="22"/>
  <c r="O1193" i="22" s="1"/>
  <c r="K1193" i="22"/>
  <c r="K869" i="22"/>
  <c r="F869" i="22"/>
  <c r="O869" i="22" s="1"/>
  <c r="F815" i="22"/>
  <c r="O815" i="22" s="1"/>
  <c r="K815" i="22"/>
  <c r="K437" i="22"/>
  <c r="F437" i="22"/>
  <c r="O437" i="22" s="1"/>
  <c r="BU7" i="22"/>
  <c r="K167" i="22"/>
  <c r="F167" i="22"/>
  <c r="O167" i="22" s="1"/>
  <c r="K113" i="22"/>
  <c r="F113" i="22"/>
  <c r="O113" i="22" s="1"/>
  <c r="F51" i="17"/>
  <c r="C51" i="18" s="1"/>
  <c r="E51" i="18" s="1"/>
  <c r="K51" i="17"/>
  <c r="BT68" i="22"/>
  <c r="BT27" i="22"/>
  <c r="K96" i="7" l="1"/>
  <c r="I127" i="22"/>
  <c r="K509" i="23"/>
  <c r="F509" i="23"/>
  <c r="K4086" i="22"/>
  <c r="F4086" i="22"/>
  <c r="O4086" i="22" s="1"/>
  <c r="K3786" i="22"/>
  <c r="F3786" i="22"/>
  <c r="O3786" i="22" s="1"/>
  <c r="K3462" i="22"/>
  <c r="F3462" i="22"/>
  <c r="O3462" i="22" s="1"/>
  <c r="BV59" i="22"/>
  <c r="I3097" i="22"/>
  <c r="CK59" i="22" s="1"/>
  <c r="BV58" i="22"/>
  <c r="I3043" i="22"/>
  <c r="CK58" i="22" s="1"/>
  <c r="K2922" i="22"/>
  <c r="F2922" i="22"/>
  <c r="O2922" i="22" s="1"/>
  <c r="K2868" i="22"/>
  <c r="F2868" i="22"/>
  <c r="O2868" i="22" s="1"/>
  <c r="BV55" i="22" s="1"/>
  <c r="K2544" i="22"/>
  <c r="F2544" i="22"/>
  <c r="O2544" i="22" s="1"/>
  <c r="F2274" i="22"/>
  <c r="O2274" i="22" s="1"/>
  <c r="K2274" i="22"/>
  <c r="K2220" i="22"/>
  <c r="F2220" i="22"/>
  <c r="O2220" i="22" s="1"/>
  <c r="K2166" i="22"/>
  <c r="F2166" i="22"/>
  <c r="O2166" i="22" s="1"/>
  <c r="K2112" i="22"/>
  <c r="F2112" i="22"/>
  <c r="O2112" i="22" s="1"/>
  <c r="BV41" i="22" s="1"/>
  <c r="K1680" i="22"/>
  <c r="F1680" i="22"/>
  <c r="O1680" i="22" s="1"/>
  <c r="BV33" i="22" s="1"/>
  <c r="K1302" i="22"/>
  <c r="F1302" i="22"/>
  <c r="O1302" i="22" s="1"/>
  <c r="BV26" i="22" s="1"/>
  <c r="K1032" i="22"/>
  <c r="F1032" i="22"/>
  <c r="O1032" i="22" s="1"/>
  <c r="K492" i="22"/>
  <c r="F492" i="22"/>
  <c r="O492" i="22" s="1"/>
  <c r="I505" i="22" s="1"/>
  <c r="BV7" i="22"/>
  <c r="I289" i="22"/>
  <c r="CK7"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E1574" i="23"/>
  <c r="G1574" i="23"/>
  <c r="B1575" i="23"/>
  <c r="J1517" i="23"/>
  <c r="D1517" i="23"/>
  <c r="P1517" i="23"/>
  <c r="Q1517" i="23"/>
  <c r="R1517" i="23"/>
  <c r="AF1517" i="23"/>
  <c r="L1518" i="23"/>
  <c r="I1518" i="23"/>
  <c r="C1518" i="23"/>
  <c r="K1518" i="23" s="1"/>
  <c r="E1518" i="23"/>
  <c r="F1518" i="23"/>
  <c r="O1518" i="23" s="1"/>
  <c r="G1518" i="23"/>
  <c r="B1519" i="23"/>
  <c r="L1462" i="23"/>
  <c r="I1462" i="23"/>
  <c r="G1462" i="23"/>
  <c r="B1463" i="23"/>
  <c r="C1462" i="23"/>
  <c r="E1462" i="23"/>
  <c r="J1461" i="23"/>
  <c r="D1461" i="23"/>
  <c r="P1461" i="23"/>
  <c r="Q1461" i="23"/>
  <c r="R1461" i="23"/>
  <c r="AF1461" i="23"/>
  <c r="J1405" i="23"/>
  <c r="D1405" i="23"/>
  <c r="P1405" i="23"/>
  <c r="Q1405" i="23"/>
  <c r="R1405" i="23"/>
  <c r="AF1405" i="23"/>
  <c r="L1406" i="23"/>
  <c r="I1406" i="23"/>
  <c r="G1406" i="23"/>
  <c r="C1406" i="23"/>
  <c r="E1406" i="23"/>
  <c r="B1407" i="23"/>
  <c r="L1350" i="23"/>
  <c r="I1350" i="23"/>
  <c r="E1350" i="23"/>
  <c r="B1351" i="23"/>
  <c r="C1350" i="23"/>
  <c r="G1350" i="23"/>
  <c r="J1349" i="23"/>
  <c r="D1349" i="23"/>
  <c r="P1349" i="23"/>
  <c r="Q1349" i="23"/>
  <c r="R1349" i="23"/>
  <c r="AF1349" i="23"/>
  <c r="L1362" i="23" s="1"/>
  <c r="M1293" i="23"/>
  <c r="J1293" i="23"/>
  <c r="N1293" i="23" s="1"/>
  <c r="D1293" i="23"/>
  <c r="O1293" i="23"/>
  <c r="Y1293" i="23" s="1"/>
  <c r="AB1293" i="23"/>
  <c r="AC1293" i="23" s="1"/>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J1181" i="23"/>
  <c r="D1181" i="23"/>
  <c r="P1181" i="23"/>
  <c r="Q1181" i="23"/>
  <c r="R1181" i="23"/>
  <c r="AF1181" i="23"/>
  <c r="L1182" i="23"/>
  <c r="I1182" i="23"/>
  <c r="G1182" i="23"/>
  <c r="B1183" i="23"/>
  <c r="C1182" i="23"/>
  <c r="E1182" i="23"/>
  <c r="J1125" i="23"/>
  <c r="D1125" i="23"/>
  <c r="P1125" i="23"/>
  <c r="Q1125" i="23"/>
  <c r="R1125" i="23"/>
  <c r="AF1125" i="23"/>
  <c r="L1138" i="23" s="1"/>
  <c r="L1126" i="23"/>
  <c r="I1126" i="23"/>
  <c r="C1126" i="23"/>
  <c r="E1126" i="23"/>
  <c r="G1126" i="23"/>
  <c r="B1127" i="23"/>
  <c r="L1070" i="23"/>
  <c r="I1070" i="23"/>
  <c r="E1070" i="23"/>
  <c r="G1070" i="23"/>
  <c r="C1070" i="23"/>
  <c r="B1071" i="23"/>
  <c r="J1069" i="23"/>
  <c r="D1069" i="23"/>
  <c r="P1069" i="23"/>
  <c r="Q1069" i="23"/>
  <c r="R1069" i="23"/>
  <c r="AF1069" i="23"/>
  <c r="J1013" i="23"/>
  <c r="D1013" i="23"/>
  <c r="P1013" i="23"/>
  <c r="Q1013" i="23"/>
  <c r="R1013" i="23"/>
  <c r="AF1013" i="23"/>
  <c r="L1014" i="23"/>
  <c r="I1014" i="23"/>
  <c r="C1014" i="23"/>
  <c r="K1014" i="23" s="1"/>
  <c r="E1014" i="23"/>
  <c r="F1014" i="23"/>
  <c r="O1014" i="23" s="1"/>
  <c r="G1014" i="23"/>
  <c r="B1015" i="23"/>
  <c r="J957" i="23"/>
  <c r="D957" i="23"/>
  <c r="P957" i="23"/>
  <c r="Q957" i="23"/>
  <c r="R957" i="23"/>
  <c r="AF957" i="23"/>
  <c r="L958" i="23"/>
  <c r="I958" i="23"/>
  <c r="C958" i="23"/>
  <c r="K958" i="23" s="1"/>
  <c r="E958" i="23"/>
  <c r="F958" i="23"/>
  <c r="O958" i="23" s="1"/>
  <c r="G958" i="23"/>
  <c r="B959" i="23"/>
  <c r="J901" i="23"/>
  <c r="D901" i="23"/>
  <c r="P901" i="23"/>
  <c r="Q901" i="23"/>
  <c r="R901" i="23"/>
  <c r="AF901" i="23"/>
  <c r="L914" i="23" s="1"/>
  <c r="L902" i="23"/>
  <c r="I902" i="23"/>
  <c r="C902" i="23"/>
  <c r="K902" i="23" s="1"/>
  <c r="E902" i="23"/>
  <c r="F902" i="23"/>
  <c r="O902" i="23" s="1"/>
  <c r="G902" i="23"/>
  <c r="B903" i="23"/>
  <c r="J845" i="23"/>
  <c r="D845" i="23"/>
  <c r="P845" i="23"/>
  <c r="Q845" i="23"/>
  <c r="R845" i="23"/>
  <c r="AF845" i="23"/>
  <c r="L846" i="23"/>
  <c r="I846" i="23"/>
  <c r="C846" i="23"/>
  <c r="E846" i="23"/>
  <c r="G846" i="23"/>
  <c r="B847" i="23"/>
  <c r="J789" i="23"/>
  <c r="D789" i="23"/>
  <c r="P789" i="23"/>
  <c r="Q789" i="23"/>
  <c r="R789" i="23"/>
  <c r="AF789" i="23"/>
  <c r="L790" i="23"/>
  <c r="I790" i="23"/>
  <c r="C790" i="23"/>
  <c r="K790" i="23" s="1"/>
  <c r="E790" i="23"/>
  <c r="F790" i="23"/>
  <c r="O790" i="23" s="1"/>
  <c r="G790" i="23"/>
  <c r="B791" i="23"/>
  <c r="J733" i="23"/>
  <c r="D733" i="23"/>
  <c r="P733" i="23"/>
  <c r="Q733" i="23"/>
  <c r="R733" i="23"/>
  <c r="AF733" i="23"/>
  <c r="L746" i="23" s="1"/>
  <c r="O17" i="8" s="1"/>
  <c r="L734" i="23"/>
  <c r="I734" i="23"/>
  <c r="E734" i="23"/>
  <c r="G734" i="23"/>
  <c r="B735" i="23"/>
  <c r="C734" i="23"/>
  <c r="K734" i="23" s="1"/>
  <c r="F734" i="23"/>
  <c r="O734" i="23" s="1"/>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J621" i="23"/>
  <c r="D621" i="23"/>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E566" i="23"/>
  <c r="G566" i="23"/>
  <c r="B567" i="23"/>
  <c r="M509" i="23"/>
  <c r="J509" i="23"/>
  <c r="N509" i="23" s="1"/>
  <c r="D509" i="23"/>
  <c r="O509" i="23"/>
  <c r="Y509" i="23" s="1"/>
  <c r="AB509" i="23"/>
  <c r="AC509" i="23" s="1"/>
  <c r="P509" i="23"/>
  <c r="Q509" i="23"/>
  <c r="R509" i="23"/>
  <c r="AF509" i="23"/>
  <c r="L510" i="23"/>
  <c r="I510" i="23"/>
  <c r="C510" i="23"/>
  <c r="K510" i="23" s="1"/>
  <c r="E510" i="23"/>
  <c r="F510" i="23"/>
  <c r="O510" i="23" s="1"/>
  <c r="G510" i="23"/>
  <c r="B511" i="23"/>
  <c r="J453" i="23"/>
  <c r="D453" i="23"/>
  <c r="P453" i="23"/>
  <c r="Q453" i="23"/>
  <c r="R453" i="23"/>
  <c r="AF453" i="23"/>
  <c r="L466" i="23" s="1"/>
  <c r="L454" i="23"/>
  <c r="I454" i="23"/>
  <c r="C454" i="23"/>
  <c r="E454" i="23"/>
  <c r="G454" i="23"/>
  <c r="B455" i="23"/>
  <c r="M397" i="23"/>
  <c r="J397" i="23"/>
  <c r="N397" i="23" s="1"/>
  <c r="D397" i="23"/>
  <c r="O397" i="23"/>
  <c r="Y397" i="23" s="1"/>
  <c r="AB397" i="23"/>
  <c r="AC397" i="23"/>
  <c r="P397" i="23"/>
  <c r="Q397" i="23"/>
  <c r="R397" i="23"/>
  <c r="AF397" i="23"/>
  <c r="L398" i="23"/>
  <c r="I398" i="23"/>
  <c r="C398" i="23"/>
  <c r="E398" i="23"/>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D4764" i="22"/>
  <c r="J4764" i="22"/>
  <c r="N4764" i="22" s="1"/>
  <c r="M4764" i="22"/>
  <c r="P4764" i="22"/>
  <c r="Q4764" i="22"/>
  <c r="R4764" i="22"/>
  <c r="B4766" i="22"/>
  <c r="C4765" i="22"/>
  <c r="K4765" i="22" s="1"/>
  <c r="E4765" i="22"/>
  <c r="F4765" i="22"/>
  <c r="G4765" i="22"/>
  <c r="I4765" i="22"/>
  <c r="L4765" i="22"/>
  <c r="T4708" i="22"/>
  <c r="D39" i="15" s="1"/>
  <c r="U4709" i="22"/>
  <c r="S4709" i="22"/>
  <c r="T4709" i="22" s="1"/>
  <c r="D40" i="15" s="1"/>
  <c r="D4710" i="22"/>
  <c r="J4710" i="22"/>
  <c r="P4710" i="22"/>
  <c r="Q4710" i="22"/>
  <c r="R4710" i="22"/>
  <c r="L4711" i="22"/>
  <c r="C4711" i="22"/>
  <c r="K4711" i="22" s="1"/>
  <c r="E4711" i="22"/>
  <c r="F4711" i="22"/>
  <c r="G4711" i="22"/>
  <c r="I4711" i="22"/>
  <c r="B4712" i="22"/>
  <c r="P4656" i="22"/>
  <c r="Q4656" i="22"/>
  <c r="R4656" i="22"/>
  <c r="C4657" i="22"/>
  <c r="E4657" i="22"/>
  <c r="G4657" i="22"/>
  <c r="B4658" i="22"/>
  <c r="M4602" i="22"/>
  <c r="J4602" i="22"/>
  <c r="N4602" i="22" s="1"/>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E4549" i="22"/>
  <c r="G4549" i="22"/>
  <c r="I4549" i="22"/>
  <c r="B4550" i="22"/>
  <c r="D4248" i="22"/>
  <c r="J4248" i="22"/>
  <c r="N4248" i="22" s="1"/>
  <c r="U4248" i="22" s="1"/>
  <c r="P4248" i="22"/>
  <c r="Q4248" i="22"/>
  <c r="R4248" i="22"/>
  <c r="M4248" i="22"/>
  <c r="C4249" i="22"/>
  <c r="F4249" i="22" s="1"/>
  <c r="O4249" i="22" s="1"/>
  <c r="E4249" i="22"/>
  <c r="G4249" i="22"/>
  <c r="I4249" i="22"/>
  <c r="K4249" i="22"/>
  <c r="L4249" i="22"/>
  <c r="B4250" i="22"/>
  <c r="D4194" i="22"/>
  <c r="J4194" i="22"/>
  <c r="P4194" i="22"/>
  <c r="Q4194" i="22"/>
  <c r="R4194" i="22"/>
  <c r="L4195" i="22"/>
  <c r="C4195" i="22"/>
  <c r="E4195" i="22"/>
  <c r="G4195" i="22"/>
  <c r="I4195" i="22"/>
  <c r="B4196" i="22"/>
  <c r="D4140" i="22"/>
  <c r="J4140" i="22"/>
  <c r="P4140" i="22"/>
  <c r="Q4140" i="22"/>
  <c r="R4140" i="22"/>
  <c r="L4141" i="22"/>
  <c r="C4141" i="22"/>
  <c r="E4141" i="22"/>
  <c r="G4141" i="22"/>
  <c r="I4141" i="22"/>
  <c r="B4142" i="22"/>
  <c r="M4086" i="22"/>
  <c r="G4087" i="22"/>
  <c r="L4087" i="22"/>
  <c r="B4088" i="22"/>
  <c r="C4087" i="22"/>
  <c r="F4087" i="22" s="1"/>
  <c r="O4087" i="22" s="1"/>
  <c r="E4087" i="22"/>
  <c r="I4087" i="22"/>
  <c r="K4087" i="22"/>
  <c r="D4086" i="22"/>
  <c r="J4086" i="22"/>
  <c r="N4086" i="22" s="1"/>
  <c r="U4086" i="22" s="1"/>
  <c r="P4086" i="22"/>
  <c r="Q4086" i="22"/>
  <c r="R4086" i="22"/>
  <c r="U3785" i="22"/>
  <c r="AW72" i="22"/>
  <c r="BI72" i="22"/>
  <c r="M3786" i="22"/>
  <c r="D3786" i="22"/>
  <c r="J3786" i="22"/>
  <c r="N3786" i="22" s="1"/>
  <c r="P3786" i="22"/>
  <c r="Q3786" i="22"/>
  <c r="R3786" i="22"/>
  <c r="L3787" i="22"/>
  <c r="C3787" i="22"/>
  <c r="K3787" i="22" s="1"/>
  <c r="E3787" i="22"/>
  <c r="F3787" i="22"/>
  <c r="O3787" i="22" s="1"/>
  <c r="G3787" i="22"/>
  <c r="I3787" i="22"/>
  <c r="B3788" i="22"/>
  <c r="M3732" i="22"/>
  <c r="D3732" i="22"/>
  <c r="J3732" i="22"/>
  <c r="N3732" i="22" s="1"/>
  <c r="P3732" i="22"/>
  <c r="Q3732" i="22"/>
  <c r="R3732" i="22"/>
  <c r="L3733" i="22"/>
  <c r="C3733" i="22"/>
  <c r="E3733" i="22"/>
  <c r="G3733" i="22"/>
  <c r="I3733" i="22"/>
  <c r="B3734" i="22"/>
  <c r="U3677" i="22"/>
  <c r="AW70" i="22"/>
  <c r="BI70" i="22"/>
  <c r="D3678" i="22"/>
  <c r="J3678" i="22"/>
  <c r="P3678" i="22"/>
  <c r="Q3678" i="22"/>
  <c r="R3678" i="22"/>
  <c r="L3679" i="22"/>
  <c r="C3679" i="22"/>
  <c r="K3679" i="22" s="1"/>
  <c r="E3679" i="22"/>
  <c r="F3679" i="22"/>
  <c r="O3679" i="22" s="1"/>
  <c r="G3679" i="22"/>
  <c r="I3679" i="22"/>
  <c r="B3680" i="22"/>
  <c r="D3624" i="22"/>
  <c r="J3624" i="22"/>
  <c r="P3624" i="22"/>
  <c r="Q3624" i="22"/>
  <c r="R3624" i="22"/>
  <c r="L3625" i="22"/>
  <c r="C3625" i="22"/>
  <c r="E3625" i="22"/>
  <c r="G3625" i="22"/>
  <c r="I3625" i="22"/>
  <c r="B3626" i="22"/>
  <c r="D3570" i="22"/>
  <c r="J3570" i="22"/>
  <c r="P3570" i="22"/>
  <c r="Q3570" i="22"/>
  <c r="R3570" i="22"/>
  <c r="L3571" i="22"/>
  <c r="I3571" i="22"/>
  <c r="B3572" i="22"/>
  <c r="C3571" i="22"/>
  <c r="K3571" i="22" s="1"/>
  <c r="E3571" i="22"/>
  <c r="F3571" i="22"/>
  <c r="O3571" i="22" s="1"/>
  <c r="G3571" i="22"/>
  <c r="U3515" i="22"/>
  <c r="AW67" i="22"/>
  <c r="BI67" i="22"/>
  <c r="J3516" i="22"/>
  <c r="D3516" i="22"/>
  <c r="P3516" i="22"/>
  <c r="Q3516" i="22"/>
  <c r="R3516" i="22"/>
  <c r="L3517" i="22"/>
  <c r="E3517" i="22"/>
  <c r="I3517" i="22"/>
  <c r="C3517" i="22"/>
  <c r="G3517" i="22"/>
  <c r="B3518" i="22"/>
  <c r="U3461" i="22"/>
  <c r="AW66" i="22"/>
  <c r="BI66" i="22"/>
  <c r="M3462" i="22"/>
  <c r="D3462" i="22"/>
  <c r="J3462" i="22"/>
  <c r="N3462" i="22" s="1"/>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K3409" i="22" s="1"/>
  <c r="E3409" i="22"/>
  <c r="F3409" i="22"/>
  <c r="O3409" i="22" s="1"/>
  <c r="G3409" i="22"/>
  <c r="I3409" i="22"/>
  <c r="B3410" i="22"/>
  <c r="U3353" i="22"/>
  <c r="AW64" i="22"/>
  <c r="BI64" i="22"/>
  <c r="M3354" i="22"/>
  <c r="D3354" i="22"/>
  <c r="J3354" i="22"/>
  <c r="N3354" i="22" s="1"/>
  <c r="P3354" i="22"/>
  <c r="Q3354" i="22"/>
  <c r="R3354" i="22"/>
  <c r="L3355" i="22"/>
  <c r="C3355" i="22"/>
  <c r="K3355" i="22" s="1"/>
  <c r="E3355" i="22"/>
  <c r="F3355" i="22"/>
  <c r="O3355" i="22" s="1"/>
  <c r="G3355" i="22"/>
  <c r="I3355" i="22"/>
  <c r="B3356" i="22"/>
  <c r="U3299" i="22"/>
  <c r="AW63" i="22"/>
  <c r="BI63" i="22"/>
  <c r="M3300" i="22"/>
  <c r="D3300" i="22"/>
  <c r="J3300" i="22"/>
  <c r="N3300" i="22" s="1"/>
  <c r="P3300" i="22"/>
  <c r="Q3300" i="22"/>
  <c r="R3300" i="22"/>
  <c r="L3301" i="22"/>
  <c r="C3301" i="22"/>
  <c r="E3301" i="22"/>
  <c r="G3301" i="22"/>
  <c r="I3301" i="22"/>
  <c r="B3302" i="22"/>
  <c r="L3247" i="22"/>
  <c r="I3247" i="22"/>
  <c r="E3247" i="22"/>
  <c r="G3247" i="22"/>
  <c r="B3248" i="22"/>
  <c r="C3247" i="22"/>
  <c r="D3246" i="22"/>
  <c r="J3246" i="22"/>
  <c r="P3246" i="22"/>
  <c r="Q3246" i="22"/>
  <c r="R3246" i="22"/>
  <c r="D3192" i="22"/>
  <c r="J3192" i="22"/>
  <c r="P3192" i="22"/>
  <c r="Q3192" i="22"/>
  <c r="R3192" i="22"/>
  <c r="L3193" i="22"/>
  <c r="C3193" i="22"/>
  <c r="E3193" i="22"/>
  <c r="G3193" i="22"/>
  <c r="I3193" i="22"/>
  <c r="B3194" i="22"/>
  <c r="U3137" i="22"/>
  <c r="AW60" i="22"/>
  <c r="BI60" i="22"/>
  <c r="M3138" i="22"/>
  <c r="D3138" i="22"/>
  <c r="J3138" i="22"/>
  <c r="N3138" i="22" s="1"/>
  <c r="I3151" i="22"/>
  <c r="CK60" i="22" s="1"/>
  <c r="BV60" i="22"/>
  <c r="P3138" i="22"/>
  <c r="Q3138" i="22"/>
  <c r="R3138" i="22"/>
  <c r="L3139" i="22"/>
  <c r="C3139" i="22"/>
  <c r="E3139" i="22"/>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K3031" i="22" s="1"/>
  <c r="E3031" i="22"/>
  <c r="F3031" i="22"/>
  <c r="O3031" i="22" s="1"/>
  <c r="G3031" i="22"/>
  <c r="I3031" i="22"/>
  <c r="B3032" i="22"/>
  <c r="U2975" i="22"/>
  <c r="AW57" i="22"/>
  <c r="BI57" i="22"/>
  <c r="M2976" i="22"/>
  <c r="D2976" i="22"/>
  <c r="J2976" i="22"/>
  <c r="N2976" i="22" s="1"/>
  <c r="P2976" i="22"/>
  <c r="Q2976" i="22"/>
  <c r="R2976" i="22"/>
  <c r="L2977" i="22"/>
  <c r="C2977" i="22"/>
  <c r="K2977" i="22" s="1"/>
  <c r="E2977" i="22"/>
  <c r="F2977" i="22"/>
  <c r="O2977" i="22" s="1"/>
  <c r="G2977" i="22"/>
  <c r="I2977" i="22"/>
  <c r="B2978" i="22"/>
  <c r="U2921" i="22"/>
  <c r="AW56" i="22"/>
  <c r="BI56" i="22"/>
  <c r="M2922" i="22"/>
  <c r="D2922" i="22"/>
  <c r="J2922" i="22"/>
  <c r="N2922" i="22" s="1"/>
  <c r="P2922" i="22"/>
  <c r="Q2922" i="22"/>
  <c r="R2922" i="22"/>
  <c r="L2923" i="22"/>
  <c r="C2923" i="22"/>
  <c r="E2923" i="22"/>
  <c r="G2923" i="22"/>
  <c r="I2923" i="22"/>
  <c r="B2924" i="22"/>
  <c r="M2868" i="22"/>
  <c r="D2868" i="22"/>
  <c r="J2868" i="22"/>
  <c r="N2868" i="22" s="1"/>
  <c r="P2868" i="22"/>
  <c r="Q2868" i="22"/>
  <c r="R2868" i="22"/>
  <c r="L2869" i="22"/>
  <c r="C2869" i="22"/>
  <c r="K2869" i="22" s="1"/>
  <c r="E2869" i="22"/>
  <c r="F2869" i="22"/>
  <c r="O2869" i="22" s="1"/>
  <c r="G2869" i="22"/>
  <c r="I2869" i="22"/>
  <c r="B2870" i="22"/>
  <c r="AL1628" i="23"/>
  <c r="U2813" i="22"/>
  <c r="D2814" i="22"/>
  <c r="J2814" i="22"/>
  <c r="P2814" i="22"/>
  <c r="Q2814" i="22"/>
  <c r="R2814" i="22"/>
  <c r="T2814" i="22"/>
  <c r="L2815" i="22"/>
  <c r="C2815" i="22"/>
  <c r="E2815" i="22"/>
  <c r="G2815" i="22"/>
  <c r="I2815" i="22"/>
  <c r="B2816" i="22"/>
  <c r="U2759" i="22"/>
  <c r="AW53" i="22"/>
  <c r="BI53" i="22"/>
  <c r="M2760" i="22"/>
  <c r="D2760" i="22"/>
  <c r="J2760" i="22"/>
  <c r="N2760" i="22" s="1"/>
  <c r="P2760" i="22"/>
  <c r="Q2760" i="22"/>
  <c r="R2760" i="22"/>
  <c r="L2761" i="22"/>
  <c r="C2761" i="22"/>
  <c r="E2761" i="22"/>
  <c r="G2761" i="22"/>
  <c r="I2761" i="22"/>
  <c r="B2762" i="22"/>
  <c r="U2705" i="22"/>
  <c r="AW52" i="22"/>
  <c r="BI52" i="22"/>
  <c r="D2706" i="22"/>
  <c r="J2706" i="22"/>
  <c r="P2706" i="22"/>
  <c r="Q2706" i="22"/>
  <c r="R2706" i="22"/>
  <c r="L2707" i="22"/>
  <c r="C2707" i="22"/>
  <c r="E2707" i="22"/>
  <c r="G2707" i="22"/>
  <c r="I2707" i="22"/>
  <c r="B2708" i="22"/>
  <c r="P2652" i="22"/>
  <c r="Q2652" i="22"/>
  <c r="R2652" i="22"/>
  <c r="L2653" i="22"/>
  <c r="E2653" i="22"/>
  <c r="G2653" i="22"/>
  <c r="C2653" i="22"/>
  <c r="I2653" i="22"/>
  <c r="B2654" i="22"/>
  <c r="D2652" i="22"/>
  <c r="J2652" i="22"/>
  <c r="U2597" i="22"/>
  <c r="AW50" i="22"/>
  <c r="BI50" i="22"/>
  <c r="M2598" i="22"/>
  <c r="P2598" i="22"/>
  <c r="Q2598" i="22"/>
  <c r="R2598" i="22"/>
  <c r="J2598" i="22"/>
  <c r="N2598" i="22" s="1"/>
  <c r="D2598" i="22"/>
  <c r="L2599" i="22"/>
  <c r="I2599" i="22"/>
  <c r="C2599" i="22"/>
  <c r="E2599" i="22"/>
  <c r="G2599" i="22"/>
  <c r="B2600" i="22"/>
  <c r="U2543" i="22"/>
  <c r="AW49" i="22"/>
  <c r="BI49" i="22"/>
  <c r="M2544" i="22"/>
  <c r="D2544" i="22"/>
  <c r="J2544" i="22"/>
  <c r="N2544" i="22" s="1"/>
  <c r="P2544" i="22"/>
  <c r="Q2544" i="22"/>
  <c r="R2544" i="22"/>
  <c r="L2545" i="22"/>
  <c r="C2545" i="22"/>
  <c r="K2545" i="22" s="1"/>
  <c r="E2545" i="22"/>
  <c r="F2545" i="22"/>
  <c r="O2545" i="22" s="1"/>
  <c r="G2545" i="22"/>
  <c r="I2545" i="22"/>
  <c r="B2546" i="22"/>
  <c r="U2489" i="22"/>
  <c r="AW48" i="22"/>
  <c r="BI48" i="22"/>
  <c r="M2490" i="22"/>
  <c r="D2490" i="22"/>
  <c r="J2490" i="22"/>
  <c r="N2490" i="22" s="1"/>
  <c r="P2490" i="22"/>
  <c r="Q2490" i="22"/>
  <c r="R2490" i="22"/>
  <c r="L2491" i="22"/>
  <c r="C2491" i="22"/>
  <c r="K2491" i="22" s="1"/>
  <c r="E2491" i="22"/>
  <c r="F2491" i="22"/>
  <c r="O2491" i="22" s="1"/>
  <c r="G2491" i="22"/>
  <c r="I2491" i="22"/>
  <c r="B2492" i="22"/>
  <c r="M2436" i="22"/>
  <c r="D2436" i="22"/>
  <c r="J2436" i="22"/>
  <c r="N2436" i="22" s="1"/>
  <c r="P2436" i="22"/>
  <c r="Q2436" i="22"/>
  <c r="R2436" i="22"/>
  <c r="L2437" i="22"/>
  <c r="C2437" i="22"/>
  <c r="E2437" i="22"/>
  <c r="G2437" i="22"/>
  <c r="I2437" i="22"/>
  <c r="B2438" i="22"/>
  <c r="U2381" i="22"/>
  <c r="AW46" i="22"/>
  <c r="BI46" i="22"/>
  <c r="D2382" i="22"/>
  <c r="J2382" i="22"/>
  <c r="P2382" i="22"/>
  <c r="Q2382" i="22"/>
  <c r="R2382" i="22"/>
  <c r="L2383" i="22"/>
  <c r="C2383" i="22"/>
  <c r="K2383" i="22" s="1"/>
  <c r="E2383" i="22"/>
  <c r="F2383" i="22"/>
  <c r="O2383" i="22" s="1"/>
  <c r="G2383" i="22"/>
  <c r="I2383" i="22"/>
  <c r="B2384" i="22"/>
  <c r="U2327" i="22"/>
  <c r="AW45" i="22"/>
  <c r="BI45" i="22"/>
  <c r="D2328" i="22"/>
  <c r="J2328" i="22"/>
  <c r="P2328" i="22"/>
  <c r="Q2328" i="22"/>
  <c r="R2328" i="22"/>
  <c r="L2329" i="22"/>
  <c r="C2329" i="22"/>
  <c r="E2329" i="22"/>
  <c r="G2329" i="22"/>
  <c r="I2329" i="22"/>
  <c r="B2330" i="22"/>
  <c r="AW44" i="22"/>
  <c r="BI44" i="22"/>
  <c r="U2273" i="22"/>
  <c r="N2274" i="22"/>
  <c r="M2274" i="22"/>
  <c r="P2274" i="22"/>
  <c r="Q2274" i="22"/>
  <c r="R2274" i="22"/>
  <c r="L2275" i="22"/>
  <c r="G2275" i="22"/>
  <c r="C2275" i="22"/>
  <c r="B2276" i="22"/>
  <c r="I2275" i="22"/>
  <c r="E2275" i="22"/>
  <c r="D2274" i="22"/>
  <c r="J2274"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M2112" i="22"/>
  <c r="D2112" i="22"/>
  <c r="J2112" i="22"/>
  <c r="N2112" i="22" s="1"/>
  <c r="P2112" i="22"/>
  <c r="Q2112" i="22"/>
  <c r="R2112" i="22"/>
  <c r="L2113" i="22"/>
  <c r="C2113" i="22"/>
  <c r="K2113" i="22" s="1"/>
  <c r="E2113" i="22"/>
  <c r="F2113" i="22"/>
  <c r="O2113" i="22" s="1"/>
  <c r="G2113" i="22"/>
  <c r="I2113" i="22"/>
  <c r="B2114" i="22"/>
  <c r="M2058" i="22"/>
  <c r="D2058" i="22"/>
  <c r="J2058" i="22"/>
  <c r="N2058" i="22" s="1"/>
  <c r="P2058" i="22"/>
  <c r="Q2058" i="22"/>
  <c r="R2058" i="22"/>
  <c r="L2059" i="22"/>
  <c r="C2059" i="22"/>
  <c r="K2059" i="22" s="1"/>
  <c r="E2059" i="22"/>
  <c r="F2059" i="22"/>
  <c r="O2059" i="22" s="1"/>
  <c r="G2059" i="22"/>
  <c r="I2059" i="22"/>
  <c r="B2060" i="22"/>
  <c r="D2004" i="22"/>
  <c r="J2004" i="22"/>
  <c r="P2004" i="22"/>
  <c r="Q2004" i="22"/>
  <c r="R2004" i="22"/>
  <c r="L2005" i="22"/>
  <c r="C2005" i="22"/>
  <c r="E2005" i="22"/>
  <c r="G2005" i="22"/>
  <c r="I2005" i="22"/>
  <c r="B2006" i="22"/>
  <c r="U1949" i="22"/>
  <c r="AW38" i="22"/>
  <c r="BI38" i="22"/>
  <c r="D1950" i="22"/>
  <c r="J1950" i="22"/>
  <c r="P1950" i="22"/>
  <c r="Q1950" i="22"/>
  <c r="R1950" i="22"/>
  <c r="L1951" i="22"/>
  <c r="C1951" i="22"/>
  <c r="K1951" i="22" s="1"/>
  <c r="E1951" i="22"/>
  <c r="F1951" i="22"/>
  <c r="O1951" i="22" s="1"/>
  <c r="G1951" i="22"/>
  <c r="I1951" i="22"/>
  <c r="B1952" i="22"/>
  <c r="U1895" i="22"/>
  <c r="AW37" i="22"/>
  <c r="BI37" i="22"/>
  <c r="D1896" i="22"/>
  <c r="J1896" i="22"/>
  <c r="P1896" i="22"/>
  <c r="Q1896" i="22"/>
  <c r="R1896" i="22"/>
  <c r="L1897" i="22"/>
  <c r="C1897" i="22"/>
  <c r="E1897" i="22"/>
  <c r="G1897" i="22"/>
  <c r="I1897" i="22"/>
  <c r="B1898" i="22"/>
  <c r="U1841" i="22"/>
  <c r="AW36" i="22"/>
  <c r="BI36" i="22"/>
  <c r="M1842" i="22"/>
  <c r="D1842" i="22"/>
  <c r="J1842" i="22"/>
  <c r="N1842" i="22" s="1"/>
  <c r="P1842" i="22"/>
  <c r="Q1842" i="22"/>
  <c r="R1842" i="22"/>
  <c r="L1843" i="22"/>
  <c r="C1843" i="22"/>
  <c r="K1843" i="22" s="1"/>
  <c r="E1843" i="22"/>
  <c r="F1843" i="22"/>
  <c r="O1843" i="22" s="1"/>
  <c r="G1843" i="22"/>
  <c r="I1843" i="22"/>
  <c r="B1844" i="22"/>
  <c r="U1787" i="22"/>
  <c r="AW35" i="22"/>
  <c r="BI35" i="22"/>
  <c r="M1788" i="22"/>
  <c r="D1788" i="22"/>
  <c r="J1788" i="22"/>
  <c r="N1788" i="22" s="1"/>
  <c r="P1788" i="22"/>
  <c r="Q1788" i="22"/>
  <c r="R1788" i="22"/>
  <c r="L1789" i="22"/>
  <c r="C1789" i="22"/>
  <c r="K1789" i="22" s="1"/>
  <c r="E1789" i="22"/>
  <c r="F1789" i="22"/>
  <c r="O1789" i="22" s="1"/>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M1680" i="22"/>
  <c r="D1680" i="22"/>
  <c r="J1680" i="22"/>
  <c r="N1680" i="22" s="1"/>
  <c r="P1680" i="22"/>
  <c r="Q1680" i="22"/>
  <c r="R1680" i="22"/>
  <c r="L1681" i="22"/>
  <c r="C1681" i="22"/>
  <c r="E1681" i="22"/>
  <c r="G1681" i="22"/>
  <c r="I1681" i="22"/>
  <c r="B1682" i="22"/>
  <c r="D1626" i="22"/>
  <c r="J1626" i="22"/>
  <c r="P1626" i="22"/>
  <c r="Q1626" i="22"/>
  <c r="R1626" i="22"/>
  <c r="L1627" i="22"/>
  <c r="C1627" i="22"/>
  <c r="E1627" i="22"/>
  <c r="G1627" i="22"/>
  <c r="I1627" i="22"/>
  <c r="B1628" i="22"/>
  <c r="U1571" i="22"/>
  <c r="AW31" i="22"/>
  <c r="BI31" i="22"/>
  <c r="D1572" i="22"/>
  <c r="J1572" i="22"/>
  <c r="P1572" i="22"/>
  <c r="Q1572" i="22"/>
  <c r="R1572" i="22"/>
  <c r="L1573" i="22"/>
  <c r="C1573" i="22"/>
  <c r="E1573" i="22"/>
  <c r="G1573" i="22"/>
  <c r="I1573" i="22"/>
  <c r="B1574" i="22"/>
  <c r="U1517" i="22"/>
  <c r="AW30" i="22"/>
  <c r="BI30" i="22"/>
  <c r="D1518" i="22"/>
  <c r="J1518" i="22"/>
  <c r="P1518" i="22"/>
  <c r="Q1518" i="22"/>
  <c r="R1518" i="22"/>
  <c r="L1519" i="22"/>
  <c r="C1519" i="22"/>
  <c r="E1519" i="22"/>
  <c r="G1519" i="22"/>
  <c r="I1519" i="22"/>
  <c r="B1520" i="22"/>
  <c r="U1463" i="22"/>
  <c r="AW29" i="22"/>
  <c r="BI29" i="22"/>
  <c r="M1464" i="22"/>
  <c r="D1464" i="22"/>
  <c r="J1464" i="22"/>
  <c r="N1464" i="22" s="1"/>
  <c r="P1464" i="22"/>
  <c r="Q1464" i="22"/>
  <c r="R1464" i="22"/>
  <c r="L1465" i="22"/>
  <c r="C1465" i="22"/>
  <c r="K1465" i="22" s="1"/>
  <c r="E1465" i="22"/>
  <c r="F1465" i="22"/>
  <c r="O1465" i="22" s="1"/>
  <c r="G1465" i="22"/>
  <c r="I1465" i="22"/>
  <c r="B1466" i="22"/>
  <c r="M1410" i="22"/>
  <c r="P1410" i="22"/>
  <c r="Q1410" i="22"/>
  <c r="R1410" i="22"/>
  <c r="L1411" i="22"/>
  <c r="G1411" i="22"/>
  <c r="C1411" i="22"/>
  <c r="K1411" i="22" s="1"/>
  <c r="E1411" i="22"/>
  <c r="F1411" i="22"/>
  <c r="O1411" i="22" s="1"/>
  <c r="I1411" i="22"/>
  <c r="B1412" i="22"/>
  <c r="J1410" i="22"/>
  <c r="N1410" i="22" s="1"/>
  <c r="D1410" i="22"/>
  <c r="D1356" i="22"/>
  <c r="J1356" i="22"/>
  <c r="P1356" i="22"/>
  <c r="Q1356" i="22"/>
  <c r="R1356" i="22"/>
  <c r="L1357" i="22"/>
  <c r="C1357" i="22"/>
  <c r="E1357" i="22"/>
  <c r="G1357" i="22"/>
  <c r="I1357" i="22"/>
  <c r="B1358" i="22"/>
  <c r="M1302" i="22"/>
  <c r="D1302" i="22"/>
  <c r="J1302" i="22"/>
  <c r="N1302" i="22" s="1"/>
  <c r="P1302" i="22"/>
  <c r="Q1302" i="22"/>
  <c r="R1302" i="22"/>
  <c r="L1303" i="22"/>
  <c r="C1303" i="22"/>
  <c r="K1303" i="22" s="1"/>
  <c r="E1303" i="22"/>
  <c r="F1303" i="22"/>
  <c r="O1303" i="22" s="1"/>
  <c r="G1303" i="22"/>
  <c r="I1303" i="22"/>
  <c r="B1304" i="22"/>
  <c r="M1248" i="22"/>
  <c r="D1248" i="22"/>
  <c r="J1248" i="22"/>
  <c r="N1248" i="22" s="1"/>
  <c r="P1248" i="22"/>
  <c r="Q1248" i="22"/>
  <c r="R1248" i="22"/>
  <c r="L1249" i="22"/>
  <c r="C1249" i="22"/>
  <c r="K1249" i="22" s="1"/>
  <c r="E1249" i="22"/>
  <c r="F1249" i="22"/>
  <c r="O1249" i="22" s="1"/>
  <c r="G1249" i="22"/>
  <c r="I1249" i="22"/>
  <c r="B1250" i="22"/>
  <c r="D1194" i="22"/>
  <c r="J1194" i="22"/>
  <c r="P1194" i="22"/>
  <c r="Q1194" i="22"/>
  <c r="R1194" i="22"/>
  <c r="L1195" i="22"/>
  <c r="C1195" i="22"/>
  <c r="E1195" i="22"/>
  <c r="G1195" i="22"/>
  <c r="I1195" i="22"/>
  <c r="B1196" i="22"/>
  <c r="L122" i="7"/>
  <c r="L60" i="7"/>
  <c r="U1139" i="22"/>
  <c r="AW23" i="22"/>
  <c r="BI23" i="22"/>
  <c r="M1140" i="22"/>
  <c r="D1140" i="22"/>
  <c r="J1140" i="22"/>
  <c r="N1140" i="22" s="1"/>
  <c r="M91" i="7"/>
  <c r="BV23" i="22"/>
  <c r="P1140" i="22"/>
  <c r="Q1140" i="22"/>
  <c r="R1140" i="22"/>
  <c r="L1141" i="22"/>
  <c r="C1141" i="22"/>
  <c r="K1141" i="22" s="1"/>
  <c r="E1141" i="22"/>
  <c r="F1141" i="22"/>
  <c r="O1141" i="22" s="1"/>
  <c r="G1141" i="22"/>
  <c r="I1141" i="22"/>
  <c r="B1142" i="22"/>
  <c r="L59" i="7"/>
  <c r="L121" i="7"/>
  <c r="U1085" i="22"/>
  <c r="AW22" i="22"/>
  <c r="BI22" i="22"/>
  <c r="D1086" i="22"/>
  <c r="J1086" i="22"/>
  <c r="P1086" i="22"/>
  <c r="Q1086" i="22"/>
  <c r="R1086" i="22"/>
  <c r="L1087" i="22"/>
  <c r="C1087" i="22"/>
  <c r="E1087" i="22"/>
  <c r="G1087" i="22"/>
  <c r="I1087" i="22"/>
  <c r="B1088" i="22"/>
  <c r="L120" i="7"/>
  <c r="L58" i="7"/>
  <c r="U1031" i="22"/>
  <c r="AW21" i="22"/>
  <c r="BI21" i="22"/>
  <c r="M1032" i="22"/>
  <c r="D1032" i="22"/>
  <c r="J1032" i="22"/>
  <c r="N1032" i="22" s="1"/>
  <c r="I1045" i="22"/>
  <c r="M89" i="7"/>
  <c r="BV21" i="22"/>
  <c r="P1032" i="22"/>
  <c r="Q1032" i="22"/>
  <c r="R1032" i="22"/>
  <c r="L1033" i="22"/>
  <c r="C1033" i="22"/>
  <c r="K1033" i="22" s="1"/>
  <c r="E1033" i="22"/>
  <c r="F1033" i="22"/>
  <c r="O1033" i="22" s="1"/>
  <c r="G1033" i="22"/>
  <c r="I1033" i="22"/>
  <c r="B1034" i="22"/>
  <c r="L119" i="7"/>
  <c r="L57" i="7"/>
  <c r="U977" i="22"/>
  <c r="AW20" i="22"/>
  <c r="BI20" i="22"/>
  <c r="M978" i="22"/>
  <c r="D978" i="22"/>
  <c r="J978" i="22"/>
  <c r="N978" i="22" s="1"/>
  <c r="I991" i="22"/>
  <c r="M88" i="7"/>
  <c r="BV20" i="22"/>
  <c r="P978" i="22"/>
  <c r="Q978" i="22"/>
  <c r="R978" i="22"/>
  <c r="L979" i="22"/>
  <c r="C979" i="22"/>
  <c r="K979" i="22" s="1"/>
  <c r="E979" i="22"/>
  <c r="F979" i="22"/>
  <c r="O979" i="22" s="1"/>
  <c r="G979" i="22"/>
  <c r="I979" i="22"/>
  <c r="B980" i="22"/>
  <c r="L118" i="7"/>
  <c r="L56" i="7"/>
  <c r="U923" i="22"/>
  <c r="AW19" i="22"/>
  <c r="BI19" i="22"/>
  <c r="M924" i="22"/>
  <c r="D924" i="22"/>
  <c r="J924" i="22"/>
  <c r="N924" i="22" s="1"/>
  <c r="I937" i="22"/>
  <c r="M87" i="7"/>
  <c r="BV19" i="22"/>
  <c r="P924" i="22"/>
  <c r="Q924" i="22"/>
  <c r="R924" i="22"/>
  <c r="L925" i="22"/>
  <c r="C925" i="22"/>
  <c r="K925" i="22" s="1"/>
  <c r="E925" i="22"/>
  <c r="F925" i="22"/>
  <c r="O925" i="22" s="1"/>
  <c r="G925" i="22"/>
  <c r="I925" i="22"/>
  <c r="B926" i="22"/>
  <c r="M870" i="22"/>
  <c r="D870" i="22"/>
  <c r="J870" i="22"/>
  <c r="N870" i="22" s="1"/>
  <c r="M86" i="7"/>
  <c r="BV18" i="22"/>
  <c r="P870" i="22"/>
  <c r="Q870" i="22"/>
  <c r="R870" i="22"/>
  <c r="L871" i="22"/>
  <c r="C871" i="22"/>
  <c r="K871" i="22" s="1"/>
  <c r="E871" i="22"/>
  <c r="F871" i="22"/>
  <c r="O871" i="22" s="1"/>
  <c r="G871" i="22"/>
  <c r="I871" i="22"/>
  <c r="B872" i="22"/>
  <c r="M816" i="22"/>
  <c r="D816" i="22"/>
  <c r="J816" i="22"/>
  <c r="N816" i="22" s="1"/>
  <c r="M85" i="7"/>
  <c r="BV17" i="22"/>
  <c r="P816" i="22"/>
  <c r="Q816" i="22"/>
  <c r="R816" i="22"/>
  <c r="L817" i="22"/>
  <c r="C817" i="22"/>
  <c r="K817" i="22" s="1"/>
  <c r="E817" i="22"/>
  <c r="F817" i="22"/>
  <c r="O817" i="22" s="1"/>
  <c r="G817" i="22"/>
  <c r="I817" i="22"/>
  <c r="B818" i="22"/>
  <c r="L115" i="7"/>
  <c r="L53" i="7"/>
  <c r="U761" i="22"/>
  <c r="AW16" i="22"/>
  <c r="BI16" i="22"/>
  <c r="M762" i="22"/>
  <c r="D762" i="22"/>
  <c r="J762" i="22"/>
  <c r="N762" i="22" s="1"/>
  <c r="M84" i="7"/>
  <c r="BV16" i="22"/>
  <c r="P762" i="22"/>
  <c r="Q762" i="22"/>
  <c r="R762" i="22"/>
  <c r="L763" i="22"/>
  <c r="C763" i="22"/>
  <c r="E763" i="22"/>
  <c r="G763" i="22"/>
  <c r="I763" i="22"/>
  <c r="B764" i="22"/>
  <c r="L114" i="7"/>
  <c r="L52" i="7"/>
  <c r="U707" i="22"/>
  <c r="AW15" i="22"/>
  <c r="BI15" i="22"/>
  <c r="D708" i="22"/>
  <c r="J708" i="22"/>
  <c r="P708" i="22"/>
  <c r="Q708" i="22"/>
  <c r="R708" i="22"/>
  <c r="L709" i="22"/>
  <c r="C709" i="22"/>
  <c r="K709" i="22" s="1"/>
  <c r="E709" i="22"/>
  <c r="F709" i="22"/>
  <c r="O709" i="22" s="1"/>
  <c r="G709" i="22"/>
  <c r="I709" i="22"/>
  <c r="B710" i="22"/>
  <c r="L113" i="7"/>
  <c r="L51" i="7"/>
  <c r="U653" i="22"/>
  <c r="AW14" i="22"/>
  <c r="BI14" i="22"/>
  <c r="M654" i="22"/>
  <c r="D654" i="22"/>
  <c r="J654" i="22"/>
  <c r="N654" i="22" s="1"/>
  <c r="I667" i="22"/>
  <c r="M82" i="7"/>
  <c r="BV14" i="22"/>
  <c r="P654" i="22"/>
  <c r="Q654" i="22"/>
  <c r="R654" i="22"/>
  <c r="L655" i="22"/>
  <c r="C655" i="22"/>
  <c r="K655" i="22" s="1"/>
  <c r="E655" i="22"/>
  <c r="F655" i="22"/>
  <c r="O655" i="22" s="1"/>
  <c r="G655" i="22"/>
  <c r="I655" i="22"/>
  <c r="B656" i="22"/>
  <c r="L112" i="7"/>
  <c r="L50" i="7"/>
  <c r="U599" i="22"/>
  <c r="AW13" i="22"/>
  <c r="BI13" i="22"/>
  <c r="M600" i="22"/>
  <c r="D600" i="22"/>
  <c r="J600" i="22"/>
  <c r="N600" i="22" s="1"/>
  <c r="I613" i="22"/>
  <c r="M81" i="7"/>
  <c r="BV13" i="22"/>
  <c r="P600" i="22"/>
  <c r="Q600" i="22"/>
  <c r="R600" i="22"/>
  <c r="L601" i="22"/>
  <c r="C601" i="22"/>
  <c r="K601" i="22" s="1"/>
  <c r="E601" i="22"/>
  <c r="F601" i="22"/>
  <c r="O601" i="22" s="1"/>
  <c r="G601" i="22"/>
  <c r="I601" i="22"/>
  <c r="B602" i="22"/>
  <c r="L111" i="7"/>
  <c r="L49" i="7"/>
  <c r="U545" i="22"/>
  <c r="AW12" i="22"/>
  <c r="BI12" i="22"/>
  <c r="M546" i="22"/>
  <c r="D546" i="22"/>
  <c r="J546" i="22"/>
  <c r="N546" i="22" s="1"/>
  <c r="I559" i="22"/>
  <c r="M80" i="7"/>
  <c r="BV12" i="22"/>
  <c r="P546" i="22"/>
  <c r="Q546" i="22"/>
  <c r="R546" i="22"/>
  <c r="L547" i="22"/>
  <c r="C547" i="22"/>
  <c r="K547" i="22" s="1"/>
  <c r="E547" i="22"/>
  <c r="F547" i="22"/>
  <c r="O547" i="22" s="1"/>
  <c r="G547" i="22"/>
  <c r="I547" i="22"/>
  <c r="B548" i="22"/>
  <c r="L110" i="7"/>
  <c r="L48" i="7"/>
  <c r="U491" i="22"/>
  <c r="AW11" i="22"/>
  <c r="BI11" i="22"/>
  <c r="CK11" i="22"/>
  <c r="E16" i="7"/>
  <c r="M492" i="22"/>
  <c r="D492" i="22"/>
  <c r="J492" i="22"/>
  <c r="N492" i="22" s="1"/>
  <c r="M79" i="7"/>
  <c r="BV11" i="22"/>
  <c r="P492" i="22"/>
  <c r="Q492" i="22"/>
  <c r="R492" i="22"/>
  <c r="L493" i="22"/>
  <c r="C493" i="22"/>
  <c r="E493" i="22"/>
  <c r="G493" i="22"/>
  <c r="B494" i="22"/>
  <c r="I493" i="22"/>
  <c r="M438" i="22"/>
  <c r="D438" i="22"/>
  <c r="J438" i="22"/>
  <c r="N438" i="22" s="1"/>
  <c r="M78" i="7"/>
  <c r="BV10" i="22"/>
  <c r="P438" i="22"/>
  <c r="Q438" i="22"/>
  <c r="R438" i="22"/>
  <c r="L439" i="22"/>
  <c r="C439" i="22"/>
  <c r="E439" i="22"/>
  <c r="G439" i="22"/>
  <c r="B440" i="22"/>
  <c r="I439" i="22"/>
  <c r="L108" i="7"/>
  <c r="L46" i="7"/>
  <c r="U383" i="22"/>
  <c r="AW9" i="22"/>
  <c r="BI9" i="22"/>
  <c r="D384" i="22"/>
  <c r="J384" i="22"/>
  <c r="P384" i="22"/>
  <c r="Q384" i="22"/>
  <c r="R384" i="22"/>
  <c r="L385" i="22"/>
  <c r="C385" i="22"/>
  <c r="K385" i="22" s="1"/>
  <c r="E385" i="22"/>
  <c r="F385" i="22"/>
  <c r="O385" i="22" s="1"/>
  <c r="G385" i="22"/>
  <c r="I385" i="22"/>
  <c r="B386" i="22"/>
  <c r="L45" i="7"/>
  <c r="L107" i="7"/>
  <c r="U329" i="22"/>
  <c r="AW8" i="22"/>
  <c r="BI8" i="22"/>
  <c r="M330" i="22"/>
  <c r="D330" i="22"/>
  <c r="J330" i="22"/>
  <c r="N330" i="22" s="1"/>
  <c r="I343" i="22"/>
  <c r="M76" i="7"/>
  <c r="BV8" i="22"/>
  <c r="P330" i="22"/>
  <c r="Q330" i="22"/>
  <c r="R330" i="22"/>
  <c r="L331" i="22"/>
  <c r="C331" i="22"/>
  <c r="K331" i="22" s="1"/>
  <c r="E331" i="22"/>
  <c r="F331" i="22"/>
  <c r="O331" i="22" s="1"/>
  <c r="G331" i="22"/>
  <c r="I331" i="22"/>
  <c r="B332" i="22"/>
  <c r="L106" i="7"/>
  <c r="L44" i="7"/>
  <c r="U275" i="22"/>
  <c r="AW7" i="22"/>
  <c r="BI7" i="22"/>
  <c r="M276" i="22"/>
  <c r="D276" i="22"/>
  <c r="J276" i="22"/>
  <c r="N276" i="22" s="1"/>
  <c r="P276" i="22"/>
  <c r="Q276" i="22"/>
  <c r="R276" i="22"/>
  <c r="L277" i="22"/>
  <c r="C277" i="22"/>
  <c r="K277" i="22" s="1"/>
  <c r="E277" i="22"/>
  <c r="F277" i="22"/>
  <c r="O277" i="22" s="1"/>
  <c r="G277" i="22"/>
  <c r="I277" i="22"/>
  <c r="B278" i="22"/>
  <c r="L105" i="7"/>
  <c r="L43" i="7"/>
  <c r="U221" i="22"/>
  <c r="AW6" i="22"/>
  <c r="BI6" i="22"/>
  <c r="M222" i="22"/>
  <c r="D222" i="22"/>
  <c r="J222" i="22"/>
  <c r="N222" i="22" s="1"/>
  <c r="I235" i="22"/>
  <c r="M74" i="7"/>
  <c r="BV6" i="22"/>
  <c r="P222" i="22"/>
  <c r="Q222" i="22"/>
  <c r="R222" i="22"/>
  <c r="L223" i="22"/>
  <c r="C223" i="22"/>
  <c r="K223" i="22" s="1"/>
  <c r="E223" i="22"/>
  <c r="F223" i="22"/>
  <c r="O223" i="22" s="1"/>
  <c r="G223" i="22"/>
  <c r="I223" i="22"/>
  <c r="B224" i="22"/>
  <c r="D168" i="22"/>
  <c r="J168" i="22"/>
  <c r="P168" i="22"/>
  <c r="Q168" i="22"/>
  <c r="R168" i="22"/>
  <c r="L169" i="22"/>
  <c r="G169" i="22"/>
  <c r="C169" i="22"/>
  <c r="E169" i="22"/>
  <c r="B170" i="22"/>
  <c r="I169" i="22"/>
  <c r="M114" i="22"/>
  <c r="D114" i="22"/>
  <c r="J114" i="22"/>
  <c r="N114" i="22" s="1"/>
  <c r="M72" i="7"/>
  <c r="BV4" i="22"/>
  <c r="P114" i="22"/>
  <c r="Q114" i="22"/>
  <c r="R114" i="22"/>
  <c r="L115" i="22"/>
  <c r="C115" i="22"/>
  <c r="E115" i="22"/>
  <c r="G115" i="22"/>
  <c r="B116" i="22"/>
  <c r="I115" i="22"/>
  <c r="G101" i="12"/>
  <c r="C102" i="12"/>
  <c r="F51" i="18"/>
  <c r="G51" i="18"/>
  <c r="H51" i="18"/>
  <c r="G53" i="17"/>
  <c r="L53" i="17"/>
  <c r="B53" i="18"/>
  <c r="C53" i="17"/>
  <c r="F53" i="17" s="1"/>
  <c r="C53" i="18" s="1"/>
  <c r="E53" i="18" s="1"/>
  <c r="E53" i="17"/>
  <c r="I53" i="17"/>
  <c r="K53" i="17"/>
  <c r="B54" i="17"/>
  <c r="J52" i="17"/>
  <c r="D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BF52" i="17" s="1"/>
  <c r="P52" i="17"/>
  <c r="Q52" i="17"/>
  <c r="R52" i="17"/>
  <c r="V52" i="17"/>
  <c r="H105" i="8"/>
  <c r="H107" i="8"/>
  <c r="AH729" i="23"/>
  <c r="I49" i="8"/>
  <c r="AI1625" i="23"/>
  <c r="I104" i="8"/>
  <c r="C137" i="8"/>
  <c r="AD1346" i="23"/>
  <c r="AD730" i="23"/>
  <c r="AG730" i="23"/>
  <c r="AD450" i="23"/>
  <c r="AH1626" i="23"/>
  <c r="J103" i="8"/>
  <c r="B138" i="8"/>
  <c r="D138" i="8"/>
  <c r="W1515" i="23"/>
  <c r="X1515" i="23"/>
  <c r="X1459" i="23"/>
  <c r="W1459" i="23"/>
  <c r="X1403" i="23"/>
  <c r="W1403" i="23"/>
  <c r="W1347" i="23"/>
  <c r="X1347" i="23"/>
  <c r="X1235" i="23"/>
  <c r="W1235" i="23"/>
  <c r="X1067" i="23"/>
  <c r="W1067" i="23"/>
  <c r="W899" i="23"/>
  <c r="X899" i="23"/>
  <c r="X843" i="23"/>
  <c r="W843" i="23"/>
  <c r="W731" i="23"/>
  <c r="X731" i="23"/>
  <c r="X563" i="23"/>
  <c r="W563" i="23"/>
  <c r="X451" i="23"/>
  <c r="W451" i="23"/>
  <c r="X395" i="23"/>
  <c r="W395" i="23"/>
  <c r="U3568" i="22"/>
  <c r="AV68" i="22"/>
  <c r="BH68" i="22"/>
  <c r="U3514" i="22"/>
  <c r="AV67" i="22"/>
  <c r="BH67" i="22"/>
  <c r="U3244" i="22"/>
  <c r="AV62" i="22"/>
  <c r="BH62" i="22"/>
  <c r="U3190" i="22"/>
  <c r="AV61" i="22"/>
  <c r="BH61" i="22"/>
  <c r="U2866" i="22"/>
  <c r="AV55" i="22"/>
  <c r="BH55" i="22"/>
  <c r="U2758" i="22"/>
  <c r="AV53" i="22"/>
  <c r="BH53" i="22"/>
  <c r="U2380" i="22"/>
  <c r="AV46" i="22"/>
  <c r="BH46" i="22"/>
  <c r="U2326" i="22"/>
  <c r="AV45" i="22"/>
  <c r="BH45" i="22"/>
  <c r="U2002" i="22"/>
  <c r="AV39" i="22"/>
  <c r="BH39" i="22"/>
  <c r="U1570" i="22"/>
  <c r="AV31" i="22"/>
  <c r="BH31" i="22"/>
  <c r="U1516" i="22"/>
  <c r="AV30" i="22"/>
  <c r="BH30" i="22"/>
  <c r="U1354" i="22"/>
  <c r="AV27" i="22"/>
  <c r="BH27" i="22"/>
  <c r="K123" i="7"/>
  <c r="K61" i="7"/>
  <c r="U1192" i="22"/>
  <c r="AV24" i="22"/>
  <c r="BH24" i="22"/>
  <c r="K122" i="7"/>
  <c r="K60" i="7"/>
  <c r="U1138" i="22"/>
  <c r="AV23" i="22"/>
  <c r="BH23" i="22"/>
  <c r="CK23" i="22"/>
  <c r="E28" i="7"/>
  <c r="K121" i="7"/>
  <c r="K59" i="7"/>
  <c r="U1084" i="22"/>
  <c r="AV22" i="22"/>
  <c r="BH22" i="22"/>
  <c r="CK17" i="22"/>
  <c r="E22" i="7"/>
  <c r="K116" i="7"/>
  <c r="K54" i="7"/>
  <c r="U814" i="22"/>
  <c r="AV17" i="22"/>
  <c r="BH17" i="22"/>
  <c r="K115" i="7"/>
  <c r="K53" i="7"/>
  <c r="U760" i="22"/>
  <c r="AV16" i="22"/>
  <c r="BH16" i="22"/>
  <c r="CK16" i="22"/>
  <c r="E21" i="7"/>
  <c r="K104" i="7"/>
  <c r="K42" i="7"/>
  <c r="U166" i="22"/>
  <c r="AV5" i="22"/>
  <c r="BH5" i="22"/>
  <c r="E9" i="7"/>
  <c r="CK4" i="22"/>
  <c r="K41" i="7"/>
  <c r="K103" i="7"/>
  <c r="U112" i="22"/>
  <c r="AV4" i="22"/>
  <c r="BH4" i="22"/>
  <c r="AD1627" i="23"/>
  <c r="AG1627" i="23"/>
  <c r="M1516" i="23"/>
  <c r="N1516" i="23"/>
  <c r="AB1516" i="23"/>
  <c r="AC1516" i="23" s="1"/>
  <c r="O1516" i="23"/>
  <c r="M1460" i="23"/>
  <c r="N1460" i="23"/>
  <c r="AB1460" i="23"/>
  <c r="AC1460" i="23" s="1"/>
  <c r="O1460" i="23"/>
  <c r="M1404" i="23"/>
  <c r="N1404" i="23"/>
  <c r="AB1404" i="23"/>
  <c r="AC1404" i="23" s="1"/>
  <c r="O1404" i="23"/>
  <c r="Y1404" i="23" s="1"/>
  <c r="AB1348" i="23"/>
  <c r="AC1348" i="23" s="1"/>
  <c r="O1348" i="23"/>
  <c r="Y1348" i="23" s="1"/>
  <c r="M1348" i="23"/>
  <c r="N1348" i="23"/>
  <c r="AD1123" i="23"/>
  <c r="M1124" i="23"/>
  <c r="N1124" i="23"/>
  <c r="O1124" i="23"/>
  <c r="Y1124" i="23" s="1"/>
  <c r="AB1124" i="23"/>
  <c r="AC1124" i="23" s="1"/>
  <c r="AB1068" i="23"/>
  <c r="AC1068" i="23"/>
  <c r="O1068" i="23"/>
  <c r="Y1068" i="23" s="1"/>
  <c r="M1068" i="23"/>
  <c r="N1068" i="23"/>
  <c r="AB900" i="23"/>
  <c r="AC900" i="23" s="1"/>
  <c r="O900" i="23"/>
  <c r="Y900" i="23" s="1"/>
  <c r="M900" i="23"/>
  <c r="N900" i="23"/>
  <c r="M620" i="23"/>
  <c r="N620" i="23"/>
  <c r="AB620" i="23"/>
  <c r="AC620" i="23" s="1"/>
  <c r="O620" i="23"/>
  <c r="Y620" i="23" s="1"/>
  <c r="M508" i="23"/>
  <c r="N508" i="23"/>
  <c r="AB508" i="23"/>
  <c r="AC508" i="23" s="1"/>
  <c r="O508" i="23"/>
  <c r="Y508" i="23" s="1"/>
  <c r="N4085" i="22"/>
  <c r="U4085" i="22" s="1"/>
  <c r="M4085" i="22"/>
  <c r="I3745" i="22"/>
  <c r="CK71" i="22" s="1"/>
  <c r="BU71" i="22"/>
  <c r="M3731" i="22"/>
  <c r="N3731" i="22"/>
  <c r="BU69" i="22"/>
  <c r="M3623" i="22"/>
  <c r="N3623" i="22"/>
  <c r="M3569" i="22"/>
  <c r="N3569" i="22"/>
  <c r="N3245" i="22"/>
  <c r="M3245" i="22"/>
  <c r="BU62" i="22"/>
  <c r="M3191" i="22"/>
  <c r="N3191" i="22"/>
  <c r="I2881" i="22"/>
  <c r="CK55" i="22" s="1"/>
  <c r="BU55" i="22"/>
  <c r="M2867" i="22"/>
  <c r="N2867" i="22"/>
  <c r="M2813" i="22"/>
  <c r="N2813" i="22"/>
  <c r="BU54" i="22"/>
  <c r="BU51" i="22"/>
  <c r="M2651" i="22"/>
  <c r="N2651" i="22"/>
  <c r="M2435" i="22"/>
  <c r="N2435" i="22"/>
  <c r="I2449" i="22"/>
  <c r="CK47" i="22" s="1"/>
  <c r="BU47" i="22"/>
  <c r="M2111" i="22"/>
  <c r="N2111" i="22"/>
  <c r="I2125" i="22"/>
  <c r="CK41" i="22" s="1"/>
  <c r="BU41" i="22"/>
  <c r="I2071" i="22"/>
  <c r="CK40" i="22" s="1"/>
  <c r="BU40" i="22"/>
  <c r="M2057" i="22"/>
  <c r="N2057" i="22"/>
  <c r="M2003" i="22"/>
  <c r="N2003" i="22"/>
  <c r="I1693" i="22"/>
  <c r="CK33" i="22" s="1"/>
  <c r="BU33" i="22"/>
  <c r="M1679" i="22"/>
  <c r="N1679" i="22"/>
  <c r="BU32" i="22"/>
  <c r="M1625" i="22"/>
  <c r="N1625" i="22"/>
  <c r="BU28" i="22"/>
  <c r="I1423" i="22"/>
  <c r="CK28" i="22" s="1"/>
  <c r="M1409" i="22"/>
  <c r="N1409" i="22"/>
  <c r="M1355" i="22"/>
  <c r="N1355" i="22"/>
  <c r="M1301" i="22"/>
  <c r="N1301" i="22"/>
  <c r="I1315" i="22"/>
  <c r="CK26" i="22" s="1"/>
  <c r="BU26" i="22"/>
  <c r="M1247" i="22"/>
  <c r="N1247" i="22"/>
  <c r="I1261" i="22"/>
  <c r="CK25" i="22" s="1"/>
  <c r="BU25" i="22"/>
  <c r="BU24" i="22"/>
  <c r="L92" i="7"/>
  <c r="M1193" i="22"/>
  <c r="N1193" i="22"/>
  <c r="M869" i="22"/>
  <c r="N869" i="22"/>
  <c r="BU18" i="22"/>
  <c r="L86" i="7"/>
  <c r="I883" i="22"/>
  <c r="BU17" i="22"/>
  <c r="L85" i="7"/>
  <c r="M815" i="22"/>
  <c r="N815" i="22"/>
  <c r="M437" i="22"/>
  <c r="N437" i="22"/>
  <c r="BU10" i="22"/>
  <c r="L78" i="7"/>
  <c r="I451" i="22"/>
  <c r="M167" i="22"/>
  <c r="N167" i="22"/>
  <c r="BU5" i="22"/>
  <c r="L73" i="7"/>
  <c r="M113" i="22"/>
  <c r="N113" i="22"/>
  <c r="BU4" i="22"/>
  <c r="L72" i="7"/>
  <c r="E103" i="12"/>
  <c r="O51" i="17"/>
  <c r="N103" i="12"/>
  <c r="N51" i="17"/>
  <c r="M51" i="17"/>
  <c r="Q102" i="12"/>
  <c r="J127" i="7"/>
  <c r="J65" i="7"/>
  <c r="X1628" i="23"/>
  <c r="W1628" i="23"/>
  <c r="X1572" i="23"/>
  <c r="W1572" i="23"/>
  <c r="K1517" i="23"/>
  <c r="F1517" i="23"/>
  <c r="K1461" i="23"/>
  <c r="F1461" i="23"/>
  <c r="F1405" i="23"/>
  <c r="K1405" i="23"/>
  <c r="F1349" i="23"/>
  <c r="K1349" i="23"/>
  <c r="X1292" i="23"/>
  <c r="W1292" i="23"/>
  <c r="X1236" i="23"/>
  <c r="W1236" i="23"/>
  <c r="W1180" i="23"/>
  <c r="X1180" i="23"/>
  <c r="K1181" i="23"/>
  <c r="F1181" i="23"/>
  <c r="K1125" i="23"/>
  <c r="F1125" i="23"/>
  <c r="K1069" i="23"/>
  <c r="F1069" i="23"/>
  <c r="X1012" i="23"/>
  <c r="W1012" i="23"/>
  <c r="F1013" i="23"/>
  <c r="K1013" i="23"/>
  <c r="W956" i="23"/>
  <c r="X956" i="23"/>
  <c r="F957" i="23"/>
  <c r="K957" i="23"/>
  <c r="K901" i="23"/>
  <c r="F901" i="23"/>
  <c r="X844" i="23"/>
  <c r="W844" i="23"/>
  <c r="F845" i="23"/>
  <c r="K845" i="23"/>
  <c r="X788" i="23"/>
  <c r="W788" i="23"/>
  <c r="K789" i="23"/>
  <c r="F789" i="23"/>
  <c r="K733" i="23"/>
  <c r="F733" i="23"/>
  <c r="X732" i="23"/>
  <c r="W732" i="23"/>
  <c r="X676" i="23"/>
  <c r="W676" i="23"/>
  <c r="K621" i="23"/>
  <c r="F621" i="23"/>
  <c r="X564" i="23"/>
  <c r="W564" i="23"/>
  <c r="X452" i="23"/>
  <c r="W452" i="23"/>
  <c r="K453" i="23"/>
  <c r="F453" i="23"/>
  <c r="W396" i="23"/>
  <c r="X396" i="23"/>
  <c r="X340" i="23"/>
  <c r="W340" i="23"/>
  <c r="X284" i="23"/>
  <c r="W284" i="23"/>
  <c r="P103" i="12"/>
  <c r="F4710" i="22"/>
  <c r="K4710" i="22"/>
  <c r="K4194" i="22"/>
  <c r="F4194" i="22"/>
  <c r="O4194" i="22" s="1"/>
  <c r="K4140" i="22"/>
  <c r="F4140" i="22"/>
  <c r="O4140" i="22" s="1"/>
  <c r="BV72" i="22"/>
  <c r="I3799" i="22"/>
  <c r="CK72" i="22" s="1"/>
  <c r="K3678" i="22"/>
  <c r="F3678" i="22"/>
  <c r="O3678" i="22" s="1"/>
  <c r="K3624" i="22"/>
  <c r="F3624" i="22"/>
  <c r="O3624" i="22" s="1"/>
  <c r="K3570" i="22"/>
  <c r="F3570" i="22"/>
  <c r="O3570" i="22" s="1"/>
  <c r="K3516" i="22"/>
  <c r="F3516" i="22"/>
  <c r="O3516" i="22" s="1"/>
  <c r="BV65" i="22"/>
  <c r="I3421" i="22"/>
  <c r="CK65" i="22" s="1"/>
  <c r="BV64" i="22"/>
  <c r="I3367" i="22"/>
  <c r="CK64" i="22" s="1"/>
  <c r="BV63" i="22"/>
  <c r="I3313" i="22"/>
  <c r="CK63" i="22" s="1"/>
  <c r="K3246" i="22"/>
  <c r="F3246" i="22"/>
  <c r="O3246" i="22" s="1"/>
  <c r="K3192" i="22"/>
  <c r="F3192" i="22"/>
  <c r="O3192" i="22" s="1"/>
  <c r="BV61" i="22" s="1"/>
  <c r="BV57" i="22"/>
  <c r="I2989" i="22"/>
  <c r="CK57" i="22" s="1"/>
  <c r="BV56" i="22"/>
  <c r="I2935" i="22"/>
  <c r="CK56" i="22" s="1"/>
  <c r="K2814" i="22"/>
  <c r="F2814" i="22"/>
  <c r="O2814" i="22" s="1"/>
  <c r="BV53" i="22"/>
  <c r="I2773" i="22"/>
  <c r="CK53" i="22" s="1"/>
  <c r="F2706" i="22"/>
  <c r="O2706" i="22" s="1"/>
  <c r="K2706" i="22"/>
  <c r="F2652" i="22"/>
  <c r="O2652" i="22" s="1"/>
  <c r="K2652" i="22"/>
  <c r="BV50" i="22"/>
  <c r="I2611" i="22"/>
  <c r="CK50" i="22" s="1"/>
  <c r="BV49" i="22"/>
  <c r="I2557" i="22"/>
  <c r="CK49" i="22" s="1"/>
  <c r="BV48" i="22"/>
  <c r="I2503" i="22"/>
  <c r="CK48" i="22" s="1"/>
  <c r="K2382" i="22"/>
  <c r="F2382" i="22"/>
  <c r="O2382" i="22" s="1"/>
  <c r="F2328" i="22"/>
  <c r="O2328" i="22" s="1"/>
  <c r="K2328" i="22"/>
  <c r="BV44" i="22"/>
  <c r="I2287" i="22"/>
  <c r="CK44" i="22" s="1"/>
  <c r="BV42" i="22"/>
  <c r="I2179" i="22"/>
  <c r="CK42" i="22" s="1"/>
  <c r="K2004" i="22"/>
  <c r="F2004" i="22"/>
  <c r="O2004" i="22" s="1"/>
  <c r="BV39" i="22" s="1"/>
  <c r="K1950" i="22"/>
  <c r="F1950" i="22"/>
  <c r="O1950" i="22" s="1"/>
  <c r="K1896" i="22"/>
  <c r="F1896" i="22"/>
  <c r="O1896" i="22" s="1"/>
  <c r="BV36" i="22"/>
  <c r="I1855" i="22"/>
  <c r="CK36" i="22" s="1"/>
  <c r="BV35" i="22"/>
  <c r="I1801" i="22"/>
  <c r="CK35" i="22" s="1"/>
  <c r="BV34" i="22"/>
  <c r="I1747" i="22"/>
  <c r="CK34" i="22" s="1"/>
  <c r="F1626" i="22"/>
  <c r="O1626" i="22" s="1"/>
  <c r="K1626" i="22"/>
  <c r="F1572" i="22"/>
  <c r="O1572" i="22" s="1"/>
  <c r="K1572" i="22"/>
  <c r="F1518" i="22"/>
  <c r="O1518" i="22" s="1"/>
  <c r="K1518" i="22"/>
  <c r="BV29" i="22"/>
  <c r="I1477" i="22"/>
  <c r="CK29" i="22" s="1"/>
  <c r="F1356" i="22"/>
  <c r="O1356" i="22" s="1"/>
  <c r="K1356" i="22"/>
  <c r="K1194" i="22"/>
  <c r="F1194" i="22"/>
  <c r="O1194" i="22" s="1"/>
  <c r="K1086" i="22"/>
  <c r="F1086" i="22"/>
  <c r="O1086" i="22" s="1"/>
  <c r="K708" i="22"/>
  <c r="F708" i="22"/>
  <c r="O708" i="22" s="1"/>
  <c r="K384" i="22"/>
  <c r="F384" i="22"/>
  <c r="O384" i="22" s="1"/>
  <c r="K168" i="22"/>
  <c r="F168" i="22"/>
  <c r="O168" i="22" s="1"/>
  <c r="F52" i="17"/>
  <c r="C52" i="18" s="1"/>
  <c r="E52" i="18" s="1"/>
  <c r="K52" i="17"/>
  <c r="BU61" i="22"/>
  <c r="I3205" i="22"/>
  <c r="CK61" i="22" s="1"/>
  <c r="BU39" i="22"/>
  <c r="I2017" i="22"/>
  <c r="CK39" i="22" s="1"/>
  <c r="I3475" i="22" l="1"/>
  <c r="CK66" i="22" s="1"/>
  <c r="BV66" i="22"/>
  <c r="I2233" i="22"/>
  <c r="CK43" i="22" s="1"/>
  <c r="BV43" i="22"/>
  <c r="K127" i="7"/>
  <c r="K65" i="7"/>
  <c r="K1574" i="23"/>
  <c r="F1574" i="23"/>
  <c r="O1574" i="23" s="1"/>
  <c r="K4195" i="22"/>
  <c r="F4195" i="22"/>
  <c r="O4195" i="22" s="1"/>
  <c r="K4141" i="22"/>
  <c r="F4141" i="22"/>
  <c r="O4141" i="22" s="1"/>
  <c r="K3301" i="22"/>
  <c r="F3301" i="22"/>
  <c r="O3301" i="22" s="1"/>
  <c r="K2923" i="22"/>
  <c r="F2923" i="22"/>
  <c r="O2923" i="22" s="1"/>
  <c r="K2653" i="22"/>
  <c r="F2653" i="22"/>
  <c r="O2653" i="22" s="1"/>
  <c r="K2005" i="22"/>
  <c r="F2005" i="22"/>
  <c r="O2005" i="22" s="1"/>
  <c r="K1681" i="22"/>
  <c r="F1681" i="22"/>
  <c r="O1681" i="22" s="1"/>
  <c r="K1627" i="22"/>
  <c r="F1627" i="22"/>
  <c r="O1627" i="22" s="1"/>
  <c r="BV69" i="22"/>
  <c r="I3637" i="22"/>
  <c r="CK69"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M1518" i="23"/>
  <c r="J1518" i="23"/>
  <c r="N1518" i="23" s="1"/>
  <c r="AE1518" i="23" s="1"/>
  <c r="D1518" i="23"/>
  <c r="P1518" i="23"/>
  <c r="Q1518" i="23"/>
  <c r="R1518" i="23"/>
  <c r="L1519" i="23"/>
  <c r="I1519" i="23"/>
  <c r="C1519" i="23"/>
  <c r="E1519" i="23"/>
  <c r="G1519" i="23"/>
  <c r="B1520" i="23"/>
  <c r="P1462" i="23"/>
  <c r="Q1462" i="23"/>
  <c r="R1462" i="23"/>
  <c r="L1463" i="23"/>
  <c r="I1463" i="23"/>
  <c r="E1463" i="23"/>
  <c r="C1463" i="23"/>
  <c r="G1463" i="23"/>
  <c r="B1464" i="23"/>
  <c r="J1462" i="23"/>
  <c r="D1462" i="23"/>
  <c r="P1406" i="23"/>
  <c r="Q1406" i="23"/>
  <c r="R1406" i="23"/>
  <c r="J1406" i="23"/>
  <c r="D1406" i="23"/>
  <c r="L1407" i="23"/>
  <c r="I1407" i="23"/>
  <c r="C1407" i="23"/>
  <c r="K1407" i="23" s="1"/>
  <c r="E1407" i="23"/>
  <c r="F1407" i="23"/>
  <c r="O1407" i="23" s="1"/>
  <c r="G1407" i="23"/>
  <c r="B1408" i="23"/>
  <c r="L1351" i="23"/>
  <c r="I1351" i="23"/>
  <c r="B1352" i="23"/>
  <c r="C1351" i="23"/>
  <c r="E1351" i="23"/>
  <c r="G1351" i="23"/>
  <c r="J1350" i="23"/>
  <c r="D1350" i="23"/>
  <c r="P1350" i="23"/>
  <c r="Q1350" i="23"/>
  <c r="R1350"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P1182" i="23"/>
  <c r="Q1182" i="23"/>
  <c r="R1182" i="23"/>
  <c r="L1183" i="23"/>
  <c r="I1183" i="23"/>
  <c r="C1183" i="23"/>
  <c r="K1183" i="23" s="1"/>
  <c r="E1183" i="23"/>
  <c r="F1183" i="23"/>
  <c r="O1183" i="23" s="1"/>
  <c r="G1183" i="23"/>
  <c r="B1184" i="23"/>
  <c r="J1182" i="23"/>
  <c r="D1182" i="23"/>
  <c r="J1126" i="23"/>
  <c r="D1126" i="23"/>
  <c r="P1126" i="23"/>
  <c r="Q1126" i="23"/>
  <c r="R1126" i="23"/>
  <c r="L1127" i="23"/>
  <c r="I1127" i="23"/>
  <c r="E1127" i="23"/>
  <c r="G1127" i="23"/>
  <c r="B1128" i="23"/>
  <c r="C1127" i="23"/>
  <c r="P1070" i="23"/>
  <c r="Q1070" i="23"/>
  <c r="R1070" i="23"/>
  <c r="J1070" i="23"/>
  <c r="D1070" i="23"/>
  <c r="L1071" i="23"/>
  <c r="I1071" i="23"/>
  <c r="G1071" i="23"/>
  <c r="C1071" i="23"/>
  <c r="E1071" i="23"/>
  <c r="B1072" i="23"/>
  <c r="M1014" i="23"/>
  <c r="J1014" i="23"/>
  <c r="N1014" i="23" s="1"/>
  <c r="AE1014" i="23" s="1"/>
  <c r="D1014" i="23"/>
  <c r="P1014" i="23"/>
  <c r="Q1014" i="23"/>
  <c r="R1014" i="23"/>
  <c r="L1015" i="23"/>
  <c r="I1015" i="23"/>
  <c r="C1015" i="23"/>
  <c r="E1015" i="23"/>
  <c r="G1015" i="23"/>
  <c r="B1016" i="23"/>
  <c r="M958" i="23"/>
  <c r="J958" i="23"/>
  <c r="N958" i="23" s="1"/>
  <c r="AE958" i="23" s="1"/>
  <c r="D958" i="23"/>
  <c r="P958" i="23"/>
  <c r="Q958" i="23"/>
  <c r="R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J846" i="23"/>
  <c r="D846" i="23"/>
  <c r="P846" i="23"/>
  <c r="Q846" i="23"/>
  <c r="R846" i="23"/>
  <c r="L847" i="23"/>
  <c r="I847" i="23"/>
  <c r="C847" i="23"/>
  <c r="E847" i="23"/>
  <c r="G847" i="23"/>
  <c r="B848" i="23"/>
  <c r="M790" i="23"/>
  <c r="J790" i="23"/>
  <c r="N790" i="23" s="1"/>
  <c r="AE790" i="23" s="1"/>
  <c r="D790" i="23"/>
  <c r="P790" i="23"/>
  <c r="Q790" i="23"/>
  <c r="R790" i="23"/>
  <c r="L791" i="23"/>
  <c r="I791" i="23"/>
  <c r="C791" i="23"/>
  <c r="K791" i="23" s="1"/>
  <c r="E791" i="23"/>
  <c r="F791" i="23"/>
  <c r="O791" i="23" s="1"/>
  <c r="G791" i="23"/>
  <c r="B792" i="23"/>
  <c r="M734" i="23"/>
  <c r="P734" i="23"/>
  <c r="Q734" i="23"/>
  <c r="R734" i="23"/>
  <c r="L735" i="23"/>
  <c r="I735" i="23"/>
  <c r="G735" i="23"/>
  <c r="C735" i="23"/>
  <c r="K735" i="23" s="1"/>
  <c r="E735" i="23"/>
  <c r="F735" i="23"/>
  <c r="O735" i="23" s="1"/>
  <c r="B736" i="23"/>
  <c r="J734" i="23"/>
  <c r="N734" i="23" s="1"/>
  <c r="AE734" i="23" s="1"/>
  <c r="D734"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E623" i="23"/>
  <c r="G623" i="23"/>
  <c r="B624" i="23"/>
  <c r="J566" i="23"/>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J454" i="23"/>
  <c r="D454" i="23"/>
  <c r="P454" i="23"/>
  <c r="Q454" i="23"/>
  <c r="R454" i="23"/>
  <c r="L455" i="23"/>
  <c r="I455" i="23"/>
  <c r="C455" i="23"/>
  <c r="E455" i="23"/>
  <c r="G455" i="23"/>
  <c r="B456" i="23"/>
  <c r="J398" i="23"/>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K287" i="23" s="1"/>
  <c r="E287" i="23"/>
  <c r="F287" i="23"/>
  <c r="O287" i="23" s="1"/>
  <c r="G287" i="23"/>
  <c r="B288" i="23"/>
  <c r="M4765" i="22"/>
  <c r="G4766" i="22"/>
  <c r="I4766" i="22"/>
  <c r="B4767" i="22"/>
  <c r="C4766" i="22"/>
  <c r="E4766" i="22"/>
  <c r="L4766" i="22"/>
  <c r="D4765" i="22"/>
  <c r="J4765" i="22"/>
  <c r="N4765" i="22" s="1"/>
  <c r="P4765" i="22"/>
  <c r="Q4765" i="22"/>
  <c r="R4765" i="22"/>
  <c r="U4710" i="22"/>
  <c r="S4710" i="22"/>
  <c r="M4711" i="22"/>
  <c r="D4711" i="22"/>
  <c r="J4711" i="22"/>
  <c r="N4711" i="22" s="1"/>
  <c r="P4711" i="22"/>
  <c r="Q4711" i="22"/>
  <c r="R4711" i="22"/>
  <c r="L4712" i="22"/>
  <c r="C4712" i="22"/>
  <c r="K4712" i="22" s="1"/>
  <c r="E4712" i="22"/>
  <c r="F4712" i="22"/>
  <c r="G4712" i="22"/>
  <c r="I4712" i="22"/>
  <c r="B4713" i="22"/>
  <c r="P4657" i="22"/>
  <c r="Q4657" i="22"/>
  <c r="R4657" i="22"/>
  <c r="C4658" i="22"/>
  <c r="E4658" i="22"/>
  <c r="G4658" i="22"/>
  <c r="B4659" i="22"/>
  <c r="M4603" i="22"/>
  <c r="J4603" i="22"/>
  <c r="N4603" i="22" s="1"/>
  <c r="D4603" i="22"/>
  <c r="P4603" i="22"/>
  <c r="Q4603" i="22"/>
  <c r="R4603" i="22"/>
  <c r="I4604" i="22"/>
  <c r="L4604" i="22"/>
  <c r="C4604" i="22"/>
  <c r="K4604" i="22" s="1"/>
  <c r="E4604" i="22"/>
  <c r="F4604" i="22"/>
  <c r="G4604" i="22"/>
  <c r="B4605" i="22"/>
  <c r="D4549" i="22"/>
  <c r="J4549" i="22"/>
  <c r="P4549" i="22"/>
  <c r="Q4549" i="22"/>
  <c r="R4549" i="22"/>
  <c r="L4550" i="22"/>
  <c r="C4550" i="22"/>
  <c r="E4550" i="22"/>
  <c r="G4550" i="22"/>
  <c r="I4550" i="22"/>
  <c r="B4551" i="22"/>
  <c r="D4249" i="22"/>
  <c r="J4249" i="22"/>
  <c r="N4249" i="22" s="1"/>
  <c r="U4249" i="22" s="1"/>
  <c r="P4249" i="22"/>
  <c r="Q4249" i="22"/>
  <c r="R4249" i="22"/>
  <c r="M4249" i="22"/>
  <c r="C4250" i="22"/>
  <c r="E4250" i="22"/>
  <c r="G4250" i="22"/>
  <c r="I4250" i="22"/>
  <c r="L4250" i="22"/>
  <c r="B4251" i="22"/>
  <c r="M4195" i="22"/>
  <c r="D4195" i="22"/>
  <c r="J4195" i="22"/>
  <c r="N4195" i="22" s="1"/>
  <c r="U4195" i="22" s="1"/>
  <c r="P4195" i="22"/>
  <c r="Q4195" i="22"/>
  <c r="R4195" i="22"/>
  <c r="L4196" i="22"/>
  <c r="C4196" i="22"/>
  <c r="E4196" i="22"/>
  <c r="G4196" i="22"/>
  <c r="I4196" i="22"/>
  <c r="B4197" i="22"/>
  <c r="M4141" i="22"/>
  <c r="D4141" i="22"/>
  <c r="J4141" i="22"/>
  <c r="N4141" i="22" s="1"/>
  <c r="U4141" i="22" s="1"/>
  <c r="P4141" i="22"/>
  <c r="Q4141" i="22"/>
  <c r="R4141" i="22"/>
  <c r="L4142" i="22"/>
  <c r="C4142" i="22"/>
  <c r="K4142" i="22" s="1"/>
  <c r="E4142" i="22"/>
  <c r="F4142" i="22"/>
  <c r="O4142" i="22" s="1"/>
  <c r="G4142" i="22"/>
  <c r="I4142" i="22"/>
  <c r="B4143" i="22"/>
  <c r="P4087" i="22"/>
  <c r="Q4087" i="22"/>
  <c r="R4087" i="22"/>
  <c r="E4088" i="22"/>
  <c r="G4088" i="22"/>
  <c r="I4088" i="22"/>
  <c r="L4088" i="22"/>
  <c r="C4088" i="22"/>
  <c r="F4088" i="22"/>
  <c r="O4088" i="22" s="1"/>
  <c r="K4088" i="22"/>
  <c r="B4089" i="22"/>
  <c r="D4087" i="22"/>
  <c r="J4087" i="22"/>
  <c r="M4087" i="22"/>
  <c r="N4087" i="22"/>
  <c r="U4087" i="22" s="1"/>
  <c r="H3799" i="22"/>
  <c r="U3786" i="22"/>
  <c r="AX72" i="22"/>
  <c r="BJ72" i="22"/>
  <c r="M3787" i="22"/>
  <c r="D3787" i="22"/>
  <c r="J3787" i="22"/>
  <c r="N3787" i="22" s="1"/>
  <c r="U3787" i="22" s="1"/>
  <c r="P3787" i="22"/>
  <c r="Q3787" i="22"/>
  <c r="R3787" i="22"/>
  <c r="L3788" i="22"/>
  <c r="C3788" i="22"/>
  <c r="K3788" i="22" s="1"/>
  <c r="E3788" i="22"/>
  <c r="F3788" i="22"/>
  <c r="O3788" i="22" s="1"/>
  <c r="G3788" i="22"/>
  <c r="I3788" i="22"/>
  <c r="B3789" i="22"/>
  <c r="U3732" i="22"/>
  <c r="AX71" i="22"/>
  <c r="BJ71" i="22"/>
  <c r="D3733" i="22"/>
  <c r="J3733" i="22"/>
  <c r="P3733" i="22"/>
  <c r="Q3733" i="22"/>
  <c r="R3733" i="22"/>
  <c r="L3734" i="22"/>
  <c r="C3734" i="22"/>
  <c r="K3734" i="22" s="1"/>
  <c r="E3734" i="22"/>
  <c r="F3734" i="22"/>
  <c r="O3734" i="22" s="1"/>
  <c r="G3734" i="22"/>
  <c r="I3734" i="22"/>
  <c r="B3735" i="22"/>
  <c r="M3679" i="22"/>
  <c r="D3679" i="22"/>
  <c r="J3679" i="22"/>
  <c r="N3679" i="22" s="1"/>
  <c r="U3679" i="22" s="1"/>
  <c r="P3679" i="22"/>
  <c r="Q3679" i="22"/>
  <c r="R3679" i="22"/>
  <c r="L3680" i="22"/>
  <c r="C3680" i="22"/>
  <c r="E3680" i="22"/>
  <c r="G3680" i="22"/>
  <c r="I3680" i="22"/>
  <c r="B3681" i="22"/>
  <c r="D3625" i="22"/>
  <c r="J3625" i="22"/>
  <c r="P3625" i="22"/>
  <c r="Q3625" i="22"/>
  <c r="R3625" i="22"/>
  <c r="L3626" i="22"/>
  <c r="C3626" i="22"/>
  <c r="E3626" i="22"/>
  <c r="G3626" i="22"/>
  <c r="I3626" i="22"/>
  <c r="B3627" i="22"/>
  <c r="M3571" i="22"/>
  <c r="L3572" i="22"/>
  <c r="E3572" i="22"/>
  <c r="C3572" i="22"/>
  <c r="G3572" i="22"/>
  <c r="I3572" i="22"/>
  <c r="B3573" i="22"/>
  <c r="D3571" i="22"/>
  <c r="J3571" i="22"/>
  <c r="N3571" i="22" s="1"/>
  <c r="U3571" i="22" s="1"/>
  <c r="P3571" i="22"/>
  <c r="Q3571" i="22"/>
  <c r="R3571" i="22"/>
  <c r="D3517" i="22"/>
  <c r="J3517" i="22"/>
  <c r="P3517" i="22"/>
  <c r="Q3517" i="22"/>
  <c r="R3517" i="22"/>
  <c r="L3518" i="22"/>
  <c r="C3518" i="22"/>
  <c r="I3518" i="22"/>
  <c r="E3518" i="22"/>
  <c r="G3518" i="22"/>
  <c r="B3519"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K3410" i="22" s="1"/>
  <c r="E3410" i="22"/>
  <c r="F3410" i="22"/>
  <c r="O3410" i="22" s="1"/>
  <c r="G3410" i="22"/>
  <c r="I3410" i="22"/>
  <c r="B3411" i="22"/>
  <c r="U3354" i="22"/>
  <c r="AX64" i="22"/>
  <c r="BJ64" i="22"/>
  <c r="M3355" i="22"/>
  <c r="D3355" i="22"/>
  <c r="J3355" i="22"/>
  <c r="N3355" i="22" s="1"/>
  <c r="U3355" i="22" s="1"/>
  <c r="P3355" i="22"/>
  <c r="Q3355" i="22"/>
  <c r="R3355" i="22"/>
  <c r="L3356" i="22"/>
  <c r="C3356" i="22"/>
  <c r="K3356" i="22" s="1"/>
  <c r="E3356" i="22"/>
  <c r="F3356" i="22"/>
  <c r="O3356" i="22" s="1"/>
  <c r="G3356" i="22"/>
  <c r="I3356" i="22"/>
  <c r="B3357" i="22"/>
  <c r="U3300" i="22"/>
  <c r="AX63" i="22"/>
  <c r="BJ63" i="22"/>
  <c r="M3301" i="22"/>
  <c r="D3301" i="22"/>
  <c r="J3301" i="22"/>
  <c r="N3301" i="22" s="1"/>
  <c r="U3301" i="22" s="1"/>
  <c r="P3301" i="22"/>
  <c r="Q3301" i="22"/>
  <c r="R3301" i="22"/>
  <c r="L3302" i="22"/>
  <c r="C3302" i="22"/>
  <c r="E3302" i="22"/>
  <c r="G3302" i="22"/>
  <c r="I3302" i="22"/>
  <c r="B3303" i="22"/>
  <c r="P3247" i="22"/>
  <c r="Q3247" i="22"/>
  <c r="R3247" i="22"/>
  <c r="L3248" i="22"/>
  <c r="I3248" i="22"/>
  <c r="B3249" i="22"/>
  <c r="C3248" i="22"/>
  <c r="E3248" i="22"/>
  <c r="G3248" i="22"/>
  <c r="D3247" i="22"/>
  <c r="J3247" i="22"/>
  <c r="D3193" i="22"/>
  <c r="J3193" i="22"/>
  <c r="P3193" i="22"/>
  <c r="Q3193" i="22"/>
  <c r="R3193" i="22"/>
  <c r="L3194" i="22"/>
  <c r="C3194" i="22"/>
  <c r="E3194" i="22"/>
  <c r="G3194" i="22"/>
  <c r="I3194" i="22"/>
  <c r="B3195" i="22"/>
  <c r="U3138" i="22"/>
  <c r="AX60" i="22"/>
  <c r="BJ60" i="22"/>
  <c r="D3139" i="22"/>
  <c r="J3139" i="22"/>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K3032" i="22" s="1"/>
  <c r="E3032" i="22"/>
  <c r="F3032" i="22"/>
  <c r="O3032" i="22" s="1"/>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K2870" i="22" s="1"/>
  <c r="E2870" i="22"/>
  <c r="F2870" i="22"/>
  <c r="O2870" i="22" s="1"/>
  <c r="G2870" i="22"/>
  <c r="I2870" i="22"/>
  <c r="B2871" i="22"/>
  <c r="AL1629" i="23"/>
  <c r="R1642" i="23" s="1"/>
  <c r="E54" i="19" s="1"/>
  <c r="G54" i="19" s="1"/>
  <c r="U2814" i="22"/>
  <c r="D2815" i="22"/>
  <c r="J2815" i="22"/>
  <c r="P2815" i="22"/>
  <c r="Q2815" i="22"/>
  <c r="R2815" i="22"/>
  <c r="T2815" i="22"/>
  <c r="U2815" i="22" s="1"/>
  <c r="L2816" i="22"/>
  <c r="C2816" i="22"/>
  <c r="K2816" i="22" s="1"/>
  <c r="E2816" i="22"/>
  <c r="F2816" i="22"/>
  <c r="O2816" i="22" s="1"/>
  <c r="G2816" i="22"/>
  <c r="I2816" i="22"/>
  <c r="B2817" i="22"/>
  <c r="U2760" i="22"/>
  <c r="AX53" i="22"/>
  <c r="BJ53" i="22"/>
  <c r="D2761" i="22"/>
  <c r="J2761" i="22"/>
  <c r="P2761" i="22"/>
  <c r="Q2761" i="22"/>
  <c r="R2761" i="22"/>
  <c r="L2762" i="22"/>
  <c r="C2762" i="22"/>
  <c r="K2762" i="22" s="1"/>
  <c r="E2762" i="22"/>
  <c r="F2762" i="22"/>
  <c r="O2762" i="22" s="1"/>
  <c r="G2762" i="22"/>
  <c r="I2762" i="22"/>
  <c r="B2763" i="22"/>
  <c r="D2707" i="22"/>
  <c r="J2707" i="22"/>
  <c r="P2707" i="22"/>
  <c r="Q2707" i="22"/>
  <c r="R2707" i="22"/>
  <c r="L2708" i="22"/>
  <c r="C2708" i="22"/>
  <c r="K2708" i="22" s="1"/>
  <c r="E2708" i="22"/>
  <c r="F2708" i="22"/>
  <c r="O2708" i="22" s="1"/>
  <c r="G2708" i="22"/>
  <c r="I2708" i="22"/>
  <c r="B2709" i="22"/>
  <c r="M2653" i="22"/>
  <c r="P2653" i="22"/>
  <c r="Q2653" i="22"/>
  <c r="R2653" i="22"/>
  <c r="D2653" i="22"/>
  <c r="J2653" i="22"/>
  <c r="N2653" i="22" s="1"/>
  <c r="U2653" i="22" s="1"/>
  <c r="L2654" i="22"/>
  <c r="E2654" i="22"/>
  <c r="C2654" i="22"/>
  <c r="K2654" i="22" s="1"/>
  <c r="F2654" i="22"/>
  <c r="O2654" i="22" s="1"/>
  <c r="G2654" i="22"/>
  <c r="I2654" i="22"/>
  <c r="B2655" i="22"/>
  <c r="U2598" i="22"/>
  <c r="AX50" i="22"/>
  <c r="BJ50" i="22"/>
  <c r="J2599" i="22"/>
  <c r="D2599" i="22"/>
  <c r="P2599" i="22"/>
  <c r="Q2599" i="22"/>
  <c r="R2599" i="22"/>
  <c r="L2600" i="22"/>
  <c r="G2600" i="22"/>
  <c r="C2600" i="22"/>
  <c r="E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U2490" i="22"/>
  <c r="AX48" i="22"/>
  <c r="BJ48" i="22"/>
  <c r="M2491" i="22"/>
  <c r="D2491" i="22"/>
  <c r="J2491" i="22"/>
  <c r="N2491" i="22" s="1"/>
  <c r="U2491" i="22" s="1"/>
  <c r="P2491" i="22"/>
  <c r="Q2491" i="22"/>
  <c r="R2491" i="22"/>
  <c r="L2492" i="22"/>
  <c r="C2492" i="22"/>
  <c r="E2492" i="22"/>
  <c r="G2492" i="22"/>
  <c r="I2492" i="22"/>
  <c r="B2493" i="22"/>
  <c r="U2436" i="22"/>
  <c r="AX47" i="22"/>
  <c r="BJ47" i="22"/>
  <c r="D2437" i="22"/>
  <c r="J2437" i="22"/>
  <c r="P2437" i="22"/>
  <c r="Q2437" i="22"/>
  <c r="R2437" i="22"/>
  <c r="L2438" i="22"/>
  <c r="C2438" i="22"/>
  <c r="K2438" i="22" s="1"/>
  <c r="E2438" i="22"/>
  <c r="F2438" i="22"/>
  <c r="O2438" i="22" s="1"/>
  <c r="G2438" i="22"/>
  <c r="I2438" i="22"/>
  <c r="B2439" i="22"/>
  <c r="M2383" i="22"/>
  <c r="D2383" i="22"/>
  <c r="J2383" i="22"/>
  <c r="N2383" i="22" s="1"/>
  <c r="U2383" i="22" s="1"/>
  <c r="P2383" i="22"/>
  <c r="Q2383" i="22"/>
  <c r="R2383" i="22"/>
  <c r="L2384" i="22"/>
  <c r="C2384" i="22"/>
  <c r="K2384" i="22" s="1"/>
  <c r="E2384" i="22"/>
  <c r="F2384" i="22"/>
  <c r="O2384" i="22" s="1"/>
  <c r="G2384" i="22"/>
  <c r="I2384" i="22"/>
  <c r="B2385" i="22"/>
  <c r="D2329" i="22"/>
  <c r="J2329" i="22"/>
  <c r="P2329" i="22"/>
  <c r="Q2329" i="22"/>
  <c r="R2329" i="22"/>
  <c r="L2330" i="22"/>
  <c r="C2330" i="22"/>
  <c r="K2330" i="22" s="1"/>
  <c r="E2330" i="22"/>
  <c r="F2330" i="22"/>
  <c r="O2330" i="22" s="1"/>
  <c r="G2330" i="22"/>
  <c r="I2330" i="22"/>
  <c r="B2331" i="22"/>
  <c r="U2274" i="22"/>
  <c r="AX44" i="22"/>
  <c r="BJ44" i="22"/>
  <c r="P2275" i="22"/>
  <c r="Q2275" i="22"/>
  <c r="R2275" i="22"/>
  <c r="D2275" i="22"/>
  <c r="J2275" i="22"/>
  <c r="L2276" i="22"/>
  <c r="B2277" i="22"/>
  <c r="C2276" i="22"/>
  <c r="K2276" i="22" s="1"/>
  <c r="G2276" i="22"/>
  <c r="I2276" i="22"/>
  <c r="E2276" i="22"/>
  <c r="F2276" i="22"/>
  <c r="O2276" i="22" s="1"/>
  <c r="U2220" i="22"/>
  <c r="AX43" i="22"/>
  <c r="BJ43" i="22"/>
  <c r="M2221" i="22"/>
  <c r="D2221" i="22"/>
  <c r="J2221" i="22"/>
  <c r="N2221" i="22" s="1"/>
  <c r="U2221" i="22" s="1"/>
  <c r="P2221" i="22"/>
  <c r="Q2221" i="22"/>
  <c r="R2221" i="22"/>
  <c r="L2222" i="22"/>
  <c r="C2222" i="22"/>
  <c r="E2222" i="22"/>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AX41" i="22"/>
  <c r="BJ41" i="22"/>
  <c r="M2113" i="22"/>
  <c r="D2113" i="22"/>
  <c r="J2113" i="22"/>
  <c r="N2113" i="22" s="1"/>
  <c r="U2113" i="22" s="1"/>
  <c r="P2113" i="22"/>
  <c r="Q2113" i="22"/>
  <c r="R2113" i="22"/>
  <c r="L2114" i="22"/>
  <c r="C2114" i="22"/>
  <c r="K2114" i="22" s="1"/>
  <c r="E2114" i="22"/>
  <c r="F2114" i="22"/>
  <c r="O2114" i="22" s="1"/>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I2060" i="22"/>
  <c r="B2061" i="22"/>
  <c r="M2005" i="22"/>
  <c r="D2005" i="22"/>
  <c r="J2005" i="22"/>
  <c r="N2005" i="22" s="1"/>
  <c r="U2005" i="22" s="1"/>
  <c r="P2005" i="22"/>
  <c r="Q2005" i="22"/>
  <c r="R2005" i="22"/>
  <c r="L2006" i="22"/>
  <c r="C2006" i="22"/>
  <c r="E2006" i="22"/>
  <c r="G2006" i="22"/>
  <c r="I2006" i="22"/>
  <c r="B2007" i="22"/>
  <c r="M1951" i="22"/>
  <c r="D1951" i="22"/>
  <c r="J1951" i="22"/>
  <c r="N1951" i="22" s="1"/>
  <c r="U1951" i="22" s="1"/>
  <c r="P1951" i="22"/>
  <c r="Q1951" i="22"/>
  <c r="R1951" i="22"/>
  <c r="L1952" i="22"/>
  <c r="C1952" i="22"/>
  <c r="K1952" i="22" s="1"/>
  <c r="E1952" i="22"/>
  <c r="F1952" i="22"/>
  <c r="O1952" i="22" s="1"/>
  <c r="G1952" i="22"/>
  <c r="I1952" i="22"/>
  <c r="B1953" i="22"/>
  <c r="D1897" i="22"/>
  <c r="J1897" i="22"/>
  <c r="P1897" i="22"/>
  <c r="Q1897" i="22"/>
  <c r="R1897" i="22"/>
  <c r="L1898" i="22"/>
  <c r="C1898" i="22"/>
  <c r="E1898" i="22"/>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C1736" i="22"/>
  <c r="K1736" i="22" s="1"/>
  <c r="E1736" i="22"/>
  <c r="F1736" i="22"/>
  <c r="O1736" i="22" s="1"/>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M1627" i="22"/>
  <c r="D1627" i="22"/>
  <c r="J1627" i="22"/>
  <c r="N1627" i="22" s="1"/>
  <c r="U1627" i="22" s="1"/>
  <c r="P1627" i="22"/>
  <c r="Q1627" i="22"/>
  <c r="R1627" i="22"/>
  <c r="L1628" i="22"/>
  <c r="C1628" i="22"/>
  <c r="E1628" i="22"/>
  <c r="G1628" i="22"/>
  <c r="I1628" i="22"/>
  <c r="B1629" i="22"/>
  <c r="D1573" i="22"/>
  <c r="J1573" i="22"/>
  <c r="P1573" i="22"/>
  <c r="Q1573" i="22"/>
  <c r="R1573" i="22"/>
  <c r="L1574" i="22"/>
  <c r="C1574" i="22"/>
  <c r="E1574" i="22"/>
  <c r="G1574" i="22"/>
  <c r="I1574" i="22"/>
  <c r="B1575" i="22"/>
  <c r="D1519" i="22"/>
  <c r="J1519" i="22"/>
  <c r="P1519" i="22"/>
  <c r="Q1519" i="22"/>
  <c r="R1519" i="22"/>
  <c r="L1520" i="22"/>
  <c r="C1520" i="22"/>
  <c r="K1520" i="22" s="1"/>
  <c r="E1520" i="22"/>
  <c r="F1520" i="22"/>
  <c r="O1520" i="22" s="1"/>
  <c r="G1520" i="22"/>
  <c r="I1520" i="22"/>
  <c r="B1521" i="22"/>
  <c r="U1464" i="22"/>
  <c r="AX29" i="22"/>
  <c r="BJ29" i="22"/>
  <c r="M1465" i="22"/>
  <c r="D1465" i="22"/>
  <c r="J1465" i="22"/>
  <c r="N1465" i="22" s="1"/>
  <c r="U1465" i="22" s="1"/>
  <c r="P1465" i="22"/>
  <c r="Q1465" i="22"/>
  <c r="R1465" i="22"/>
  <c r="L1466" i="22"/>
  <c r="C1466" i="22"/>
  <c r="K1466" i="22" s="1"/>
  <c r="E1466" i="22"/>
  <c r="F1466" i="22"/>
  <c r="O1466" i="22" s="1"/>
  <c r="G1466" i="22"/>
  <c r="I1466" i="22"/>
  <c r="B1467" i="22"/>
  <c r="U1410" i="22"/>
  <c r="AX28" i="22"/>
  <c r="BJ28" i="22"/>
  <c r="M1411" i="22"/>
  <c r="P1411" i="22"/>
  <c r="Q1411" i="22"/>
  <c r="R1411" i="22"/>
  <c r="D1411" i="22"/>
  <c r="J1411" i="22"/>
  <c r="N1411" i="22" s="1"/>
  <c r="U1411" i="22" s="1"/>
  <c r="L1412" i="22"/>
  <c r="G1412" i="22"/>
  <c r="B1413" i="22"/>
  <c r="C1412" i="22"/>
  <c r="E1412" i="22"/>
  <c r="I1412" i="22"/>
  <c r="D1357" i="22"/>
  <c r="J1357" i="22"/>
  <c r="P1357" i="22"/>
  <c r="Q1357" i="22"/>
  <c r="R1357" i="22"/>
  <c r="L1358" i="22"/>
  <c r="G1358" i="22"/>
  <c r="B1359" i="22"/>
  <c r="C1358" i="22"/>
  <c r="E1358" i="22"/>
  <c r="I1358"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E1250" i="22"/>
  <c r="G1250" i="22"/>
  <c r="I1250" i="22"/>
  <c r="B1251" i="22"/>
  <c r="D1195" i="22"/>
  <c r="J1195" i="22"/>
  <c r="P1195" i="22"/>
  <c r="Q1195" i="22"/>
  <c r="R1195" i="22"/>
  <c r="L1196" i="22"/>
  <c r="C1196" i="22"/>
  <c r="E1196" i="22"/>
  <c r="G1196" i="22"/>
  <c r="I1196" i="22"/>
  <c r="B1197" i="22"/>
  <c r="M122" i="7"/>
  <c r="M60" i="7"/>
  <c r="U1140" i="22"/>
  <c r="AX23" i="22"/>
  <c r="BJ23" i="22"/>
  <c r="M1141" i="22"/>
  <c r="D1141" i="22"/>
  <c r="J1141" i="22"/>
  <c r="N1141" i="22" s="1"/>
  <c r="U1141" i="22" s="1"/>
  <c r="P1141" i="22"/>
  <c r="Q1141" i="22"/>
  <c r="R1141" i="22"/>
  <c r="L1142" i="22"/>
  <c r="C1142" i="22"/>
  <c r="K1142" i="22" s="1"/>
  <c r="E1142" i="22"/>
  <c r="F1142" i="22"/>
  <c r="O1142" i="22" s="1"/>
  <c r="G1142" i="22"/>
  <c r="I1142" i="22"/>
  <c r="B1143" i="22"/>
  <c r="D1087" i="22"/>
  <c r="J1087" i="22"/>
  <c r="P1087" i="22"/>
  <c r="Q1087" i="22"/>
  <c r="R1087" i="22"/>
  <c r="L1088" i="22"/>
  <c r="C1088" i="22"/>
  <c r="K1088" i="22" s="1"/>
  <c r="E1088" i="22"/>
  <c r="F1088" i="22"/>
  <c r="O1088" i="22" s="1"/>
  <c r="G1088" i="22"/>
  <c r="I1088" i="22"/>
  <c r="B1089" i="22"/>
  <c r="M120" i="7"/>
  <c r="M58" i="7"/>
  <c r="U1032" i="22"/>
  <c r="AX21" i="22"/>
  <c r="BJ21" i="22"/>
  <c r="CK21" i="22"/>
  <c r="E26" i="7"/>
  <c r="M1033" i="22"/>
  <c r="D1033" i="22"/>
  <c r="J1033" i="22"/>
  <c r="N1033" i="22" s="1"/>
  <c r="U1033" i="22" s="1"/>
  <c r="P1033" i="22"/>
  <c r="Q1033" i="22"/>
  <c r="R1033" i="22"/>
  <c r="L1034" i="22"/>
  <c r="C1034" i="22"/>
  <c r="K1034" i="22" s="1"/>
  <c r="E1034" i="22"/>
  <c r="F1034" i="22"/>
  <c r="O1034" i="22" s="1"/>
  <c r="G1034" i="22"/>
  <c r="I1034" i="22"/>
  <c r="B1035" i="22"/>
  <c r="M119" i="7"/>
  <c r="M57" i="7"/>
  <c r="U978" i="22"/>
  <c r="AX20" i="22"/>
  <c r="BJ20" i="22"/>
  <c r="CK20" i="22"/>
  <c r="E25" i="7"/>
  <c r="M979" i="22"/>
  <c r="D979" i="22"/>
  <c r="J979" i="22"/>
  <c r="N979" i="22" s="1"/>
  <c r="U979" i="22" s="1"/>
  <c r="P979" i="22"/>
  <c r="Q979" i="22"/>
  <c r="R979" i="22"/>
  <c r="L980" i="22"/>
  <c r="C980" i="22"/>
  <c r="K980" i="22" s="1"/>
  <c r="E980" i="22"/>
  <c r="F980" i="22"/>
  <c r="O980" i="22" s="1"/>
  <c r="G980" i="22"/>
  <c r="I980" i="22"/>
  <c r="B981" i="22"/>
  <c r="M118" i="7"/>
  <c r="M56" i="7"/>
  <c r="U924" i="22"/>
  <c r="AX19" i="22"/>
  <c r="BJ19" i="22"/>
  <c r="CK19" i="22"/>
  <c r="E24" i="7"/>
  <c r="M925" i="22"/>
  <c r="D925" i="22"/>
  <c r="J925" i="22"/>
  <c r="N925" i="22" s="1"/>
  <c r="U925" i="22" s="1"/>
  <c r="P925" i="22"/>
  <c r="Q925" i="22"/>
  <c r="R925" i="22"/>
  <c r="L926" i="22"/>
  <c r="C926" i="22"/>
  <c r="K926" i="22" s="1"/>
  <c r="E926" i="22"/>
  <c r="F926" i="22"/>
  <c r="O926" i="22" s="1"/>
  <c r="G926" i="22"/>
  <c r="I926" i="22"/>
  <c r="B927" i="22"/>
  <c r="M117" i="7"/>
  <c r="M55" i="7"/>
  <c r="U870" i="22"/>
  <c r="AX18" i="22"/>
  <c r="BJ18" i="22"/>
  <c r="M871" i="22"/>
  <c r="D871" i="22"/>
  <c r="J871" i="22"/>
  <c r="N871" i="22" s="1"/>
  <c r="U871" i="22" s="1"/>
  <c r="P871" i="22"/>
  <c r="Q871" i="22"/>
  <c r="R871" i="22"/>
  <c r="L872" i="22"/>
  <c r="C872" i="22"/>
  <c r="E872" i="22"/>
  <c r="G872" i="22"/>
  <c r="I872" i="22"/>
  <c r="B873" i="22"/>
  <c r="M54" i="7"/>
  <c r="M116" i="7"/>
  <c r="U816" i="22"/>
  <c r="AX17" i="22"/>
  <c r="BJ17" i="22"/>
  <c r="M817" i="22"/>
  <c r="D817" i="22"/>
  <c r="J817" i="22"/>
  <c r="N817" i="22" s="1"/>
  <c r="U817" i="22" s="1"/>
  <c r="P817" i="22"/>
  <c r="Q817" i="22"/>
  <c r="R817" i="22"/>
  <c r="L818" i="22"/>
  <c r="C818" i="22"/>
  <c r="K818" i="22" s="1"/>
  <c r="E818" i="22"/>
  <c r="F818" i="22"/>
  <c r="O818" i="22" s="1"/>
  <c r="G818" i="22"/>
  <c r="I818" i="22"/>
  <c r="B819" i="22"/>
  <c r="M115" i="7"/>
  <c r="M53" i="7"/>
  <c r="U762" i="22"/>
  <c r="AX16" i="22"/>
  <c r="BJ16" i="22"/>
  <c r="D763" i="22"/>
  <c r="J763" i="22"/>
  <c r="P763" i="22"/>
  <c r="Q763" i="22"/>
  <c r="R763" i="22"/>
  <c r="L764" i="22"/>
  <c r="C764" i="22"/>
  <c r="K764" i="22" s="1"/>
  <c r="E764" i="22"/>
  <c r="F764" i="22"/>
  <c r="O764" i="22" s="1"/>
  <c r="G764" i="22"/>
  <c r="I764" i="22"/>
  <c r="B765" i="22"/>
  <c r="M709" i="22"/>
  <c r="D709" i="22"/>
  <c r="J709" i="22"/>
  <c r="N709" i="22" s="1"/>
  <c r="U709" i="22" s="1"/>
  <c r="P709" i="22"/>
  <c r="Q709" i="22"/>
  <c r="R709" i="22"/>
  <c r="L710" i="22"/>
  <c r="C710" i="22"/>
  <c r="E710" i="22"/>
  <c r="G710" i="22"/>
  <c r="I710" i="22"/>
  <c r="B711" i="22"/>
  <c r="M113" i="7"/>
  <c r="M51" i="7"/>
  <c r="U654" i="22"/>
  <c r="AX14" i="22"/>
  <c r="BJ14" i="22"/>
  <c r="CK14" i="22"/>
  <c r="E19" i="7"/>
  <c r="M655" i="22"/>
  <c r="D655" i="22"/>
  <c r="J655" i="22"/>
  <c r="N655" i="22" s="1"/>
  <c r="U655" i="22" s="1"/>
  <c r="P655" i="22"/>
  <c r="Q655" i="22"/>
  <c r="R655" i="22"/>
  <c r="L656" i="22"/>
  <c r="C656" i="22"/>
  <c r="K656" i="22" s="1"/>
  <c r="E656" i="22"/>
  <c r="F656" i="22"/>
  <c r="O656" i="22" s="1"/>
  <c r="G656" i="22"/>
  <c r="I656" i="22"/>
  <c r="B657" i="22"/>
  <c r="M112" i="7"/>
  <c r="M50" i="7"/>
  <c r="U600" i="22"/>
  <c r="AX13" i="22"/>
  <c r="BJ13" i="22"/>
  <c r="CK13" i="22"/>
  <c r="E18" i="7"/>
  <c r="M601" i="22"/>
  <c r="D601" i="22"/>
  <c r="J601" i="22"/>
  <c r="N601" i="22" s="1"/>
  <c r="U601" i="22" s="1"/>
  <c r="P601" i="22"/>
  <c r="Q601" i="22"/>
  <c r="R601" i="22"/>
  <c r="L602" i="22"/>
  <c r="C602" i="22"/>
  <c r="K602" i="22" s="1"/>
  <c r="E602" i="22"/>
  <c r="F602" i="22"/>
  <c r="O602" i="22" s="1"/>
  <c r="G602" i="22"/>
  <c r="I602" i="22"/>
  <c r="B603" i="22"/>
  <c r="M111" i="7"/>
  <c r="M49" i="7"/>
  <c r="U546" i="22"/>
  <c r="AX12" i="22"/>
  <c r="BJ12" i="22"/>
  <c r="CK12" i="22"/>
  <c r="E17" i="7"/>
  <c r="M547" i="22"/>
  <c r="D547" i="22"/>
  <c r="J547" i="22"/>
  <c r="N547" i="22" s="1"/>
  <c r="U547" i="22" s="1"/>
  <c r="P547" i="22"/>
  <c r="Q547" i="22"/>
  <c r="R547" i="22"/>
  <c r="L548" i="22"/>
  <c r="C548" i="22"/>
  <c r="E548" i="22"/>
  <c r="G548" i="22"/>
  <c r="I548" i="22"/>
  <c r="B549" i="22"/>
  <c r="M110" i="7"/>
  <c r="M48" i="7"/>
  <c r="U492" i="22"/>
  <c r="AX11" i="22"/>
  <c r="BJ11" i="22"/>
  <c r="D493" i="22"/>
  <c r="J493" i="22"/>
  <c r="P493" i="22"/>
  <c r="Q493" i="22"/>
  <c r="R493" i="22"/>
  <c r="L494" i="22"/>
  <c r="C494" i="22"/>
  <c r="K494" i="22" s="1"/>
  <c r="E494" i="22"/>
  <c r="F494" i="22"/>
  <c r="O494" i="22" s="1"/>
  <c r="G494" i="22"/>
  <c r="I494" i="22"/>
  <c r="B495" i="22"/>
  <c r="M109" i="7"/>
  <c r="M47" i="7"/>
  <c r="U438" i="22"/>
  <c r="AX10" i="22"/>
  <c r="BJ10" i="22"/>
  <c r="D439" i="22"/>
  <c r="J439" i="22"/>
  <c r="P439" i="22"/>
  <c r="Q439" i="22"/>
  <c r="R439" i="22"/>
  <c r="L440" i="22"/>
  <c r="C440" i="22"/>
  <c r="K440" i="22" s="1"/>
  <c r="E440" i="22"/>
  <c r="F440" i="22"/>
  <c r="O440" i="22" s="1"/>
  <c r="G440" i="22"/>
  <c r="B441" i="22"/>
  <c r="I440" i="22"/>
  <c r="M385" i="22"/>
  <c r="D385" i="22"/>
  <c r="J385" i="22"/>
  <c r="N385" i="22" s="1"/>
  <c r="U385" i="22" s="1"/>
  <c r="P385" i="22"/>
  <c r="Q385" i="22"/>
  <c r="R385" i="22"/>
  <c r="L386" i="22"/>
  <c r="C386" i="22"/>
  <c r="K386" i="22" s="1"/>
  <c r="E386" i="22"/>
  <c r="F386" i="22"/>
  <c r="O386" i="22" s="1"/>
  <c r="G386" i="22"/>
  <c r="I386" i="22"/>
  <c r="B387" i="22"/>
  <c r="M45" i="7"/>
  <c r="M107" i="7"/>
  <c r="U330" i="22"/>
  <c r="AX8" i="22"/>
  <c r="BJ8" i="22"/>
  <c r="CK8" i="22"/>
  <c r="E13" i="7"/>
  <c r="M331" i="22"/>
  <c r="D331" i="22"/>
  <c r="J331" i="22"/>
  <c r="N331" i="22" s="1"/>
  <c r="U331" i="22" s="1"/>
  <c r="P331" i="22"/>
  <c r="Q331" i="22"/>
  <c r="R331" i="22"/>
  <c r="L332" i="22"/>
  <c r="C332" i="22"/>
  <c r="K332" i="22" s="1"/>
  <c r="E332" i="22"/>
  <c r="F332" i="22"/>
  <c r="O332" i="22" s="1"/>
  <c r="G332" i="22"/>
  <c r="I332" i="22"/>
  <c r="B333" i="22"/>
  <c r="H289" i="22"/>
  <c r="M106" i="7"/>
  <c r="M44" i="7"/>
  <c r="U276" i="22"/>
  <c r="AX7" i="22"/>
  <c r="BJ7" i="22"/>
  <c r="M277" i="22"/>
  <c r="D277" i="22"/>
  <c r="J277" i="22"/>
  <c r="N277" i="22" s="1"/>
  <c r="U277" i="22" s="1"/>
  <c r="P277" i="22"/>
  <c r="Q277" i="22"/>
  <c r="R277" i="22"/>
  <c r="L278" i="22"/>
  <c r="C278" i="22"/>
  <c r="K278" i="22" s="1"/>
  <c r="E278" i="22"/>
  <c r="F278" i="22"/>
  <c r="O278" i="22" s="1"/>
  <c r="G278" i="22"/>
  <c r="I278" i="22"/>
  <c r="B279" i="22"/>
  <c r="M105" i="7"/>
  <c r="M43" i="7"/>
  <c r="U222" i="22"/>
  <c r="AX6" i="22"/>
  <c r="BJ6" i="22"/>
  <c r="CK6" i="22"/>
  <c r="E11" i="7"/>
  <c r="M223" i="22"/>
  <c r="D223" i="22"/>
  <c r="J223" i="22"/>
  <c r="N223" i="22" s="1"/>
  <c r="U223" i="22" s="1"/>
  <c r="P223" i="22"/>
  <c r="Q223" i="22"/>
  <c r="R223" i="22"/>
  <c r="L224" i="22"/>
  <c r="C224" i="22"/>
  <c r="E224" i="22"/>
  <c r="G224" i="22"/>
  <c r="I224" i="22"/>
  <c r="B225" i="22"/>
  <c r="P169" i="22"/>
  <c r="Q169" i="22"/>
  <c r="R169" i="22"/>
  <c r="J169" i="22"/>
  <c r="D169" i="22"/>
  <c r="L170" i="22"/>
  <c r="C170" i="22"/>
  <c r="K170" i="22" s="1"/>
  <c r="E170" i="22"/>
  <c r="F170" i="22"/>
  <c r="O170" i="22" s="1"/>
  <c r="G170" i="22"/>
  <c r="I170" i="22"/>
  <c r="B171" i="22"/>
  <c r="M41" i="7"/>
  <c r="M103" i="7"/>
  <c r="U114" i="22"/>
  <c r="AX4" i="22"/>
  <c r="BJ4" i="22"/>
  <c r="J115" i="22"/>
  <c r="D115" i="22"/>
  <c r="P115" i="22"/>
  <c r="Q115" i="22"/>
  <c r="R115" i="22"/>
  <c r="L116" i="22"/>
  <c r="E116" i="22"/>
  <c r="G116" i="22"/>
  <c r="C116" i="22"/>
  <c r="K116" i="22" s="1"/>
  <c r="F116" i="22"/>
  <c r="O116" i="22" s="1"/>
  <c r="B117" i="22"/>
  <c r="I116" i="22"/>
  <c r="G102" i="12"/>
  <c r="N105" i="12"/>
  <c r="O53" i="17"/>
  <c r="E105" i="12"/>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D53" i="17"/>
  <c r="J53" i="17"/>
  <c r="M53" i="17"/>
  <c r="N53" i="17"/>
  <c r="E54" i="17"/>
  <c r="G54" i="17"/>
  <c r="B55" i="17"/>
  <c r="C54" i="17"/>
  <c r="K54" i="17" s="1"/>
  <c r="F54" i="17"/>
  <c r="C54" i="18" s="1"/>
  <c r="E54" i="18" s="1"/>
  <c r="I54" i="17"/>
  <c r="L54" i="17"/>
  <c r="B54" i="18"/>
  <c r="AI729" i="23"/>
  <c r="I79" i="8"/>
  <c r="I105" i="8"/>
  <c r="I107" i="8"/>
  <c r="AH730" i="23"/>
  <c r="J49" i="8"/>
  <c r="AI1626" i="23"/>
  <c r="J104" i="8"/>
  <c r="C138" i="8"/>
  <c r="AD1347" i="23"/>
  <c r="AD899" i="23"/>
  <c r="AD731" i="23"/>
  <c r="AG731" i="23"/>
  <c r="AD451" i="23"/>
  <c r="AH1627" i="23"/>
  <c r="K103" i="8"/>
  <c r="B139" i="8"/>
  <c r="D139" i="8"/>
  <c r="X1516" i="23"/>
  <c r="W1516" i="23"/>
  <c r="W1460" i="23"/>
  <c r="X1460" i="23"/>
  <c r="W1404" i="23"/>
  <c r="X1404" i="23"/>
  <c r="X1348" i="23"/>
  <c r="W1348" i="23"/>
  <c r="X1124" i="23"/>
  <c r="W1124" i="23"/>
  <c r="W1068" i="23"/>
  <c r="X1068" i="23"/>
  <c r="X900" i="23"/>
  <c r="W900" i="23"/>
  <c r="X620" i="23"/>
  <c r="W620" i="23"/>
  <c r="X508" i="23"/>
  <c r="W508" i="23"/>
  <c r="H3745" i="22"/>
  <c r="U3731" i="22"/>
  <c r="AW71" i="22"/>
  <c r="BI71" i="22"/>
  <c r="H3637" i="22"/>
  <c r="U3623" i="22"/>
  <c r="AW69" i="22"/>
  <c r="BI69" i="22"/>
  <c r="H3583" i="22"/>
  <c r="U3569" i="22"/>
  <c r="AW68" i="22"/>
  <c r="BI68" i="22"/>
  <c r="H3259" i="22"/>
  <c r="CJ62" i="22" s="1"/>
  <c r="J3259" i="22"/>
  <c r="CL62" i="22" s="1"/>
  <c r="U3245" i="22"/>
  <c r="AW62" i="22"/>
  <c r="BI62" i="22"/>
  <c r="U3191" i="22"/>
  <c r="AW61" i="22"/>
  <c r="BI61" i="22"/>
  <c r="H2881" i="22"/>
  <c r="CJ55" i="22" s="1"/>
  <c r="J2881" i="22"/>
  <c r="CL55" i="22" s="1"/>
  <c r="U2867" i="22"/>
  <c r="AW55" i="22"/>
  <c r="BI55" i="22"/>
  <c r="J2827" i="22"/>
  <c r="CL54" i="22" s="1"/>
  <c r="CM54" i="22" s="1"/>
  <c r="E59" i="19" s="1"/>
  <c r="G59" i="19" s="1"/>
  <c r="H2827" i="22"/>
  <c r="CJ54" i="22" s="1"/>
  <c r="S2813" i="22"/>
  <c r="AW54" i="22"/>
  <c r="BI54" i="22"/>
  <c r="H2665" i="22"/>
  <c r="CJ51" i="22" s="1"/>
  <c r="J2665" i="22"/>
  <c r="CL51" i="22" s="1"/>
  <c r="U2651" i="22"/>
  <c r="AW51" i="22"/>
  <c r="BI51" i="22"/>
  <c r="H2449" i="22"/>
  <c r="CJ47" i="22" s="1"/>
  <c r="J2449" i="22"/>
  <c r="CL47" i="22" s="1"/>
  <c r="U2435" i="22"/>
  <c r="AW47" i="22"/>
  <c r="BI47" i="22"/>
  <c r="J2125" i="22"/>
  <c r="CL41" i="22" s="1"/>
  <c r="H2125" i="22"/>
  <c r="CJ41" i="22" s="1"/>
  <c r="U2111" i="22"/>
  <c r="AW41" i="22"/>
  <c r="BI41" i="22"/>
  <c r="J2071" i="22"/>
  <c r="CL40" i="22" s="1"/>
  <c r="H2071" i="22"/>
  <c r="CJ40" i="22" s="1"/>
  <c r="U2057" i="22"/>
  <c r="AW40" i="22"/>
  <c r="BI40" i="22"/>
  <c r="U2003" i="22"/>
  <c r="AW39" i="22"/>
  <c r="BI39" i="22"/>
  <c r="J1693" i="22"/>
  <c r="CL33" i="22" s="1"/>
  <c r="H1693" i="22"/>
  <c r="CJ33" i="22" s="1"/>
  <c r="U1679" i="22"/>
  <c r="AW33" i="22"/>
  <c r="BI33" i="22"/>
  <c r="U1625" i="22"/>
  <c r="AW32" i="22"/>
  <c r="BI32" i="22"/>
  <c r="H1423" i="22"/>
  <c r="CJ28" i="22" s="1"/>
  <c r="J1423" i="22"/>
  <c r="CL28" i="22" s="1"/>
  <c r="U1409" i="22"/>
  <c r="AW28" i="22"/>
  <c r="BI28" i="22"/>
  <c r="U1355" i="22"/>
  <c r="AW27" i="22"/>
  <c r="BI27" i="22"/>
  <c r="J1315" i="22"/>
  <c r="CL26" i="22" s="1"/>
  <c r="H1315" i="22"/>
  <c r="CJ26" i="22" s="1"/>
  <c r="U1301" i="22"/>
  <c r="AW26" i="22"/>
  <c r="BI26" i="22"/>
  <c r="J1261" i="22"/>
  <c r="CL25" i="22" s="1"/>
  <c r="H1261" i="22"/>
  <c r="CJ25" i="22" s="1"/>
  <c r="U1247" i="22"/>
  <c r="AW25" i="22"/>
  <c r="BI25" i="22"/>
  <c r="L123" i="7"/>
  <c r="L61" i="7"/>
  <c r="U1193" i="22"/>
  <c r="AW24" i="22"/>
  <c r="BI24" i="22"/>
  <c r="H883" i="22"/>
  <c r="J883" i="22"/>
  <c r="L117" i="7"/>
  <c r="L55" i="7"/>
  <c r="U869" i="22"/>
  <c r="AW18" i="22"/>
  <c r="BI18" i="22"/>
  <c r="E23" i="7"/>
  <c r="CK18" i="22"/>
  <c r="L54" i="7"/>
  <c r="L116" i="7"/>
  <c r="U815" i="22"/>
  <c r="AW17" i="22"/>
  <c r="BI17" i="22"/>
  <c r="J451" i="22"/>
  <c r="H451" i="22"/>
  <c r="L109" i="7"/>
  <c r="L47" i="7"/>
  <c r="U437" i="22"/>
  <c r="AW10" i="22"/>
  <c r="BI10" i="22"/>
  <c r="CK10" i="22"/>
  <c r="E15" i="7"/>
  <c r="L42" i="7"/>
  <c r="L104" i="7"/>
  <c r="U167" i="22"/>
  <c r="AW5" i="22"/>
  <c r="BI5" i="22"/>
  <c r="L103" i="7"/>
  <c r="L41" i="7"/>
  <c r="U113" i="22"/>
  <c r="AW4" i="22"/>
  <c r="BI4" i="22"/>
  <c r="U51" i="17"/>
  <c r="M103" i="12"/>
  <c r="Q103" i="12" s="1"/>
  <c r="O103" i="12"/>
  <c r="AD1628" i="23"/>
  <c r="AG1628" i="23"/>
  <c r="C1586" i="23"/>
  <c r="M1517" i="23"/>
  <c r="N1517" i="23"/>
  <c r="AB1517" i="23"/>
  <c r="AC1517" i="23" s="1"/>
  <c r="O1517" i="23"/>
  <c r="M1461" i="23"/>
  <c r="N1461" i="23"/>
  <c r="AB1461" i="23"/>
  <c r="AC1461" i="23"/>
  <c r="O1461" i="23"/>
  <c r="AB1405" i="23"/>
  <c r="AC1405" i="23" s="1"/>
  <c r="O1405" i="23"/>
  <c r="Y1405" i="23" s="1"/>
  <c r="N1405" i="23"/>
  <c r="M1405" i="23"/>
  <c r="AB1349" i="23"/>
  <c r="AC1349" i="23" s="1"/>
  <c r="O1349" i="23"/>
  <c r="Y1349" i="23" s="1"/>
  <c r="M1349" i="23"/>
  <c r="N1349" i="23"/>
  <c r="M1181" i="23"/>
  <c r="N1181" i="23"/>
  <c r="AB1181" i="23"/>
  <c r="AC1181" i="23" s="1"/>
  <c r="O1181" i="23"/>
  <c r="Y1181" i="23" s="1"/>
  <c r="N1125" i="23"/>
  <c r="M1125" i="23"/>
  <c r="AB1125" i="23"/>
  <c r="AC1125" i="23" s="1"/>
  <c r="O1125" i="23"/>
  <c r="Y1125" i="23" s="1"/>
  <c r="N1069" i="23"/>
  <c r="M1069" i="23"/>
  <c r="O1069" i="23"/>
  <c r="Y1069" i="23" s="1"/>
  <c r="AB1069" i="23"/>
  <c r="AC1069" i="23"/>
  <c r="AB1013" i="23"/>
  <c r="AC1013" i="23" s="1"/>
  <c r="O1013" i="23"/>
  <c r="Y1013" i="23" s="1"/>
  <c r="M1013" i="23"/>
  <c r="N1013" i="23"/>
  <c r="AB957" i="23"/>
  <c r="AC957" i="23" s="1"/>
  <c r="O957" i="23"/>
  <c r="Y957" i="23" s="1"/>
  <c r="M957" i="23"/>
  <c r="N957" i="23"/>
  <c r="M901" i="23"/>
  <c r="N901" i="23"/>
  <c r="AB901" i="23"/>
  <c r="AC901" i="23" s="1"/>
  <c r="O901" i="23"/>
  <c r="Y901" i="23" s="1"/>
  <c r="AB845" i="23"/>
  <c r="AC845" i="23" s="1"/>
  <c r="O845" i="23"/>
  <c r="Y845" i="23" s="1"/>
  <c r="M845" i="23"/>
  <c r="N845" i="23"/>
  <c r="M789" i="23"/>
  <c r="N789" i="23"/>
  <c r="AB789" i="23"/>
  <c r="AC789" i="23" s="1"/>
  <c r="O789" i="23"/>
  <c r="Y789" i="23" s="1"/>
  <c r="M733" i="23"/>
  <c r="N733" i="23"/>
  <c r="AB733" i="23"/>
  <c r="AC733" i="23" s="1"/>
  <c r="O733" i="23"/>
  <c r="Y733" i="23" s="1"/>
  <c r="AD732" i="23"/>
  <c r="AG732" i="23"/>
  <c r="AD676" i="23"/>
  <c r="M621" i="23"/>
  <c r="N621" i="23"/>
  <c r="AB621" i="23"/>
  <c r="AC621" i="23" s="1"/>
  <c r="O621" i="23"/>
  <c r="Y621" i="23" s="1"/>
  <c r="AD452" i="23"/>
  <c r="M453" i="23"/>
  <c r="N453" i="23"/>
  <c r="AB453" i="23"/>
  <c r="AC453" i="23" s="1"/>
  <c r="O453" i="23"/>
  <c r="Y453" i="23" s="1"/>
  <c r="M4710" i="22"/>
  <c r="N4710" i="22"/>
  <c r="M4194" i="22"/>
  <c r="N4194" i="22"/>
  <c r="U4194" i="22" s="1"/>
  <c r="M4140" i="22"/>
  <c r="N4140" i="22"/>
  <c r="U4140" i="22" s="1"/>
  <c r="M3678" i="22"/>
  <c r="N3678" i="22"/>
  <c r="I3691" i="22"/>
  <c r="CK70" i="22" s="1"/>
  <c r="BV70" i="22"/>
  <c r="M3624" i="22"/>
  <c r="N3624" i="22"/>
  <c r="M3570" i="22"/>
  <c r="N3570" i="22"/>
  <c r="I3583" i="22"/>
  <c r="CK68" i="22" s="1"/>
  <c r="BV68" i="22"/>
  <c r="M3516" i="22"/>
  <c r="N3516" i="22"/>
  <c r="I3529" i="22"/>
  <c r="CK67" i="22" s="1"/>
  <c r="BV67" i="22"/>
  <c r="M3246" i="22"/>
  <c r="N3246" i="22"/>
  <c r="M3192" i="22"/>
  <c r="N3192" i="22"/>
  <c r="M2814" i="22"/>
  <c r="N2814" i="22"/>
  <c r="I2719" i="22"/>
  <c r="CK52" i="22" s="1"/>
  <c r="BV52" i="22"/>
  <c r="M2706" i="22"/>
  <c r="N2706" i="22"/>
  <c r="M2652" i="22"/>
  <c r="N2652" i="22"/>
  <c r="M2382" i="22"/>
  <c r="N2382" i="22"/>
  <c r="I2395" i="22"/>
  <c r="CK46" i="22" s="1"/>
  <c r="BV46" i="22"/>
  <c r="I2341" i="22"/>
  <c r="CK45" i="22" s="1"/>
  <c r="BV45" i="22"/>
  <c r="M2328" i="22"/>
  <c r="N2328" i="22"/>
  <c r="M2004" i="22"/>
  <c r="N2004" i="22"/>
  <c r="M1950" i="22"/>
  <c r="N1950" i="22"/>
  <c r="BV38" i="22"/>
  <c r="I1963" i="22"/>
  <c r="CK38" i="22" s="1"/>
  <c r="M1896" i="22"/>
  <c r="N1896" i="22"/>
  <c r="I1909" i="22"/>
  <c r="CK37" i="22" s="1"/>
  <c r="BV37" i="22"/>
  <c r="M1626" i="22"/>
  <c r="N1626" i="22"/>
  <c r="I1585" i="22"/>
  <c r="CK31" i="22" s="1"/>
  <c r="BV31" i="22"/>
  <c r="M1572" i="22"/>
  <c r="N1572" i="22"/>
  <c r="I1531" i="22"/>
  <c r="CK30" i="22" s="1"/>
  <c r="BV30" i="22"/>
  <c r="M1518" i="22"/>
  <c r="N1518" i="22"/>
  <c r="I1369" i="22"/>
  <c r="CK27" i="22" s="1"/>
  <c r="BV27" i="22"/>
  <c r="N1356" i="22"/>
  <c r="M1356" i="22"/>
  <c r="M1194" i="22"/>
  <c r="N1194" i="22"/>
  <c r="BV24" i="22"/>
  <c r="M92" i="7"/>
  <c r="I1207" i="22"/>
  <c r="M1086" i="22"/>
  <c r="N1086" i="22"/>
  <c r="BV22" i="22"/>
  <c r="M90" i="7"/>
  <c r="I1099" i="22"/>
  <c r="M708" i="22"/>
  <c r="N708" i="22"/>
  <c r="BV15" i="22"/>
  <c r="M83" i="7"/>
  <c r="I721" i="22"/>
  <c r="M384" i="22"/>
  <c r="N384" i="22"/>
  <c r="BV9" i="22"/>
  <c r="M77" i="7"/>
  <c r="I397" i="22"/>
  <c r="M168" i="22"/>
  <c r="N168" i="22"/>
  <c r="BV5" i="22"/>
  <c r="M73" i="7"/>
  <c r="I181" i="22"/>
  <c r="O52" i="17"/>
  <c r="E104" i="12"/>
  <c r="N104" i="12"/>
  <c r="N52" i="17"/>
  <c r="M52" i="17"/>
  <c r="L96" i="7"/>
  <c r="X1629" i="23"/>
  <c r="W1629" i="23"/>
  <c r="X1573" i="23"/>
  <c r="D1586" i="23" s="1"/>
  <c r="E1586" i="23" s="1"/>
  <c r="W1573" i="23"/>
  <c r="K1462" i="23"/>
  <c r="F1462" i="23"/>
  <c r="O1462" i="23" s="1"/>
  <c r="K1406" i="23"/>
  <c r="F1406" i="23"/>
  <c r="O1406" i="23" s="1"/>
  <c r="F1350" i="23"/>
  <c r="O1350" i="23" s="1"/>
  <c r="K1350" i="23"/>
  <c r="X1293" i="23"/>
  <c r="D1306" i="23" s="1"/>
  <c r="E1306" i="23" s="1"/>
  <c r="W1293" i="23"/>
  <c r="X1237" i="23"/>
  <c r="D1250" i="23" s="1"/>
  <c r="E1250" i="23" s="1"/>
  <c r="W1237" i="23"/>
  <c r="C1250" i="23" s="1"/>
  <c r="K1182" i="23"/>
  <c r="F1182" i="23"/>
  <c r="O1182" i="23" s="1"/>
  <c r="F1126" i="23"/>
  <c r="O1126" i="23" s="1"/>
  <c r="K1126" i="23"/>
  <c r="F1070" i="23"/>
  <c r="O1070" i="23" s="1"/>
  <c r="K1070" i="23"/>
  <c r="F846" i="23"/>
  <c r="O846" i="23" s="1"/>
  <c r="K846" i="23"/>
  <c r="X677" i="23"/>
  <c r="D690" i="23" s="1"/>
  <c r="E690" i="23" s="1"/>
  <c r="P690" i="23" s="1"/>
  <c r="W677" i="23"/>
  <c r="X565" i="23"/>
  <c r="D578" i="23" s="1"/>
  <c r="E578" i="23" s="1"/>
  <c r="W565" i="23"/>
  <c r="K566" i="23"/>
  <c r="F566" i="23"/>
  <c r="O566" i="23" s="1"/>
  <c r="X509" i="23"/>
  <c r="W509" i="23"/>
  <c r="K454" i="23"/>
  <c r="F454" i="23"/>
  <c r="O454" i="23" s="1"/>
  <c r="X397" i="23"/>
  <c r="D410" i="23" s="1"/>
  <c r="E410" i="23" s="1"/>
  <c r="W397" i="23"/>
  <c r="C410" i="23" s="1"/>
  <c r="K398" i="23"/>
  <c r="F398" i="23"/>
  <c r="O398" i="23" s="1"/>
  <c r="X341" i="23"/>
  <c r="D354" i="23" s="1"/>
  <c r="E354" i="23" s="1"/>
  <c r="W341" i="23"/>
  <c r="C354" i="23" s="1"/>
  <c r="X285" i="23"/>
  <c r="D298" i="23" s="1"/>
  <c r="E298" i="23" s="1"/>
  <c r="W285" i="23"/>
  <c r="P104" i="12"/>
  <c r="D4657" i="22"/>
  <c r="F4657" i="22"/>
  <c r="O4657" i="22" s="1"/>
  <c r="K4549" i="22"/>
  <c r="F4549" i="22"/>
  <c r="F3733" i="22"/>
  <c r="O3733" i="22" s="1"/>
  <c r="K3733" i="22"/>
  <c r="K3625" i="22"/>
  <c r="F3625" i="22"/>
  <c r="O3625" i="22" s="1"/>
  <c r="F3517" i="22"/>
  <c r="O3517" i="22" s="1"/>
  <c r="K3517" i="22"/>
  <c r="H3475" i="22"/>
  <c r="CJ66" i="22" s="1"/>
  <c r="J3475" i="22"/>
  <c r="CL66" i="22" s="1"/>
  <c r="J3421" i="22"/>
  <c r="CL65" i="22" s="1"/>
  <c r="H3421" i="22"/>
  <c r="CJ65" i="22" s="1"/>
  <c r="H3367" i="22"/>
  <c r="CJ64" i="22" s="1"/>
  <c r="J3367" i="22"/>
  <c r="CL64" i="22" s="1"/>
  <c r="J3313" i="22"/>
  <c r="CL63" i="22" s="1"/>
  <c r="H3313" i="22"/>
  <c r="CJ63" i="22" s="1"/>
  <c r="F3247" i="22"/>
  <c r="O3247" i="22" s="1"/>
  <c r="K3247" i="22"/>
  <c r="F3193" i="22"/>
  <c r="O3193" i="22" s="1"/>
  <c r="K3193" i="22"/>
  <c r="J3151" i="22"/>
  <c r="CL60" i="22" s="1"/>
  <c r="H3151" i="22"/>
  <c r="CJ60" i="22" s="1"/>
  <c r="K3139" i="22"/>
  <c r="F3139" i="22"/>
  <c r="O3139" i="22" s="1"/>
  <c r="J3097" i="22"/>
  <c r="CL59" i="22" s="1"/>
  <c r="H3097" i="22"/>
  <c r="CJ59" i="22" s="1"/>
  <c r="J3043" i="22"/>
  <c r="CL58" i="22" s="1"/>
  <c r="H3043" i="22"/>
  <c r="CJ58" i="22" s="1"/>
  <c r="J2989" i="22"/>
  <c r="CL57" i="22" s="1"/>
  <c r="H2989" i="22"/>
  <c r="CJ57" i="22" s="1"/>
  <c r="J2935" i="22"/>
  <c r="CL56" i="22" s="1"/>
  <c r="H2935" i="22"/>
  <c r="CJ56" i="22" s="1"/>
  <c r="F2815" i="22"/>
  <c r="O2815" i="22" s="1"/>
  <c r="K2815" i="22"/>
  <c r="J2773" i="22"/>
  <c r="CL53" i="22" s="1"/>
  <c r="H2773" i="22"/>
  <c r="CJ53" i="22" s="1"/>
  <c r="F2761" i="22"/>
  <c r="O2761" i="22" s="1"/>
  <c r="K2761" i="22"/>
  <c r="K2707" i="22"/>
  <c r="F2707" i="22"/>
  <c r="O2707" i="22" s="1"/>
  <c r="J2611" i="22"/>
  <c r="CL50" i="22" s="1"/>
  <c r="H2611" i="22"/>
  <c r="CJ50" i="22" s="1"/>
  <c r="F2599" i="22"/>
  <c r="O2599" i="22" s="1"/>
  <c r="K2599" i="22"/>
  <c r="H2557" i="22"/>
  <c r="CJ49" i="22" s="1"/>
  <c r="J2557" i="22"/>
  <c r="CL49" i="22" s="1"/>
  <c r="H2503" i="22"/>
  <c r="CJ48" i="22" s="1"/>
  <c r="J2503" i="22"/>
  <c r="CL48" i="22" s="1"/>
  <c r="F2437" i="22"/>
  <c r="O2437" i="22" s="1"/>
  <c r="K2437" i="22"/>
  <c r="F2329" i="22"/>
  <c r="O2329" i="22" s="1"/>
  <c r="K2329" i="22"/>
  <c r="J2287" i="22"/>
  <c r="CL44" i="22" s="1"/>
  <c r="H2287" i="22"/>
  <c r="CJ44" i="22" s="1"/>
  <c r="F2275" i="22"/>
  <c r="O2275" i="22" s="1"/>
  <c r="K2275" i="22"/>
  <c r="H2233" i="22"/>
  <c r="CJ43" i="22" s="1"/>
  <c r="J2233" i="22"/>
  <c r="CL43" i="22" s="1"/>
  <c r="J2179" i="22"/>
  <c r="CL42" i="22" s="1"/>
  <c r="H2179" i="22"/>
  <c r="CJ42" i="22" s="1"/>
  <c r="F1897" i="22"/>
  <c r="O1897" i="22" s="1"/>
  <c r="K1897" i="22"/>
  <c r="J1855" i="22"/>
  <c r="CL36" i="22" s="1"/>
  <c r="H1855" i="22"/>
  <c r="CJ36" i="22" s="1"/>
  <c r="J1801" i="22"/>
  <c r="CL35" i="22" s="1"/>
  <c r="H1801" i="22"/>
  <c r="CJ35" i="22" s="1"/>
  <c r="J1747" i="22"/>
  <c r="CL34" i="22" s="1"/>
  <c r="H1747" i="22"/>
  <c r="CJ34" i="22" s="1"/>
  <c r="K1573" i="22"/>
  <c r="F1573" i="22"/>
  <c r="O1573" i="22" s="1"/>
  <c r="F1519" i="22"/>
  <c r="O1519" i="22" s="1"/>
  <c r="K1519" i="22"/>
  <c r="H1477" i="22"/>
  <c r="CJ29" i="22" s="1"/>
  <c r="J1477" i="22"/>
  <c r="CL29" i="22" s="1"/>
  <c r="F1357" i="22"/>
  <c r="O1357" i="22" s="1"/>
  <c r="K1357" i="22"/>
  <c r="F1195" i="22"/>
  <c r="O1195" i="22" s="1"/>
  <c r="K1195" i="22"/>
  <c r="J1153" i="22"/>
  <c r="H1153" i="22"/>
  <c r="F1087" i="22"/>
  <c r="O1087" i="22" s="1"/>
  <c r="K1087" i="22"/>
  <c r="J1045" i="22"/>
  <c r="H1045" i="22"/>
  <c r="J991" i="22"/>
  <c r="H991" i="22"/>
  <c r="J937" i="22"/>
  <c r="H937" i="22"/>
  <c r="H829" i="22"/>
  <c r="J829" i="22"/>
  <c r="H775" i="22"/>
  <c r="J775" i="22"/>
  <c r="K763" i="22"/>
  <c r="F763" i="22"/>
  <c r="O763" i="22" s="1"/>
  <c r="J667" i="22"/>
  <c r="H667" i="22"/>
  <c r="H613" i="22"/>
  <c r="J613" i="22"/>
  <c r="H559" i="22"/>
  <c r="J559" i="22"/>
  <c r="H505" i="22"/>
  <c r="J505" i="22"/>
  <c r="F493" i="22"/>
  <c r="O493" i="22" s="1"/>
  <c r="K493" i="22"/>
  <c r="F439" i="22"/>
  <c r="O439" i="22" s="1"/>
  <c r="K439" i="22"/>
  <c r="J343" i="22"/>
  <c r="H343" i="22"/>
  <c r="H235" i="22"/>
  <c r="J235" i="22"/>
  <c r="K169" i="22"/>
  <c r="F169" i="22"/>
  <c r="O169" i="22" s="1"/>
  <c r="H127" i="22"/>
  <c r="J127" i="22"/>
  <c r="K115" i="22"/>
  <c r="F115" i="22"/>
  <c r="O115" i="22" s="1"/>
  <c r="F52" i="18"/>
  <c r="G52" i="18"/>
  <c r="H52" i="18"/>
  <c r="J3205" i="22"/>
  <c r="CL61" i="22" s="1"/>
  <c r="H3205" i="22"/>
  <c r="CJ61" i="22" s="1"/>
  <c r="J2017" i="22"/>
  <c r="CL39" i="22" s="1"/>
  <c r="H2017" i="22"/>
  <c r="CJ39" i="22" s="1"/>
  <c r="BV62" i="22"/>
  <c r="I3259" i="22"/>
  <c r="CK62" i="22" s="1"/>
  <c r="BV54" i="22"/>
  <c r="I2827" i="22"/>
  <c r="CK54" i="22" s="1"/>
  <c r="BV51" i="22"/>
  <c r="I2665" i="22"/>
  <c r="CK51" i="22" s="1"/>
  <c r="BV32" i="22"/>
  <c r="I1639" i="22"/>
  <c r="CK32" i="22" s="1"/>
  <c r="L65" i="7" l="1"/>
  <c r="M96" i="7"/>
  <c r="D1642" i="23"/>
  <c r="K1575" i="23"/>
  <c r="F1575" i="23"/>
  <c r="O1575" i="23" s="1"/>
  <c r="K1071" i="23"/>
  <c r="F1071" i="23"/>
  <c r="O1071" i="23" s="1"/>
  <c r="K1015" i="23"/>
  <c r="F1015" i="23"/>
  <c r="O1015" i="23" s="1"/>
  <c r="K455" i="23"/>
  <c r="F455" i="23"/>
  <c r="O455" i="23" s="1"/>
  <c r="K343" i="23"/>
  <c r="F343" i="23"/>
  <c r="O343" i="23" s="1"/>
  <c r="K4196" i="22"/>
  <c r="F4196" i="22"/>
  <c r="O4196" i="22" s="1"/>
  <c r="K2222" i="22"/>
  <c r="F2222" i="22"/>
  <c r="O2222" i="22" s="1"/>
  <c r="K1898" i="22"/>
  <c r="F1898" i="22"/>
  <c r="O1898" i="22" s="1"/>
  <c r="K1250" i="22"/>
  <c r="F1250" i="22"/>
  <c r="O1250" i="22" s="1"/>
  <c r="K710" i="22"/>
  <c r="F710" i="22"/>
  <c r="O710" i="22" s="1"/>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K1576" i="23" s="1"/>
  <c r="E1576" i="23"/>
  <c r="F1576" i="23"/>
  <c r="O1576" i="23" s="1"/>
  <c r="G1576" i="23"/>
  <c r="B1577" i="23"/>
  <c r="J1519" i="23"/>
  <c r="D1519" i="23"/>
  <c r="P1519" i="23"/>
  <c r="Q1519" i="23"/>
  <c r="R1519" i="23"/>
  <c r="L1520" i="23"/>
  <c r="I1520" i="23"/>
  <c r="C1520" i="23"/>
  <c r="K1520" i="23" s="1"/>
  <c r="E1520" i="23"/>
  <c r="F1520" i="23"/>
  <c r="O1520" i="23" s="1"/>
  <c r="G1520" i="23"/>
  <c r="B1521" i="23"/>
  <c r="J1463" i="23"/>
  <c r="D1463" i="23"/>
  <c r="P1463" i="23"/>
  <c r="Q1463" i="23"/>
  <c r="R1463" i="23"/>
  <c r="L1464" i="23"/>
  <c r="I1464" i="23"/>
  <c r="G1464" i="23"/>
  <c r="B1465" i="23"/>
  <c r="C1464" i="23"/>
  <c r="E1464" i="23"/>
  <c r="M1407" i="23"/>
  <c r="J1407" i="23"/>
  <c r="N1407" i="23" s="1"/>
  <c r="AE1407" i="23" s="1"/>
  <c r="D1407" i="23"/>
  <c r="P1407" i="23"/>
  <c r="Q1407" i="23"/>
  <c r="R1407" i="23"/>
  <c r="L1408" i="23"/>
  <c r="I1408" i="23"/>
  <c r="B1409" i="23"/>
  <c r="C1408" i="23"/>
  <c r="E1408" i="23"/>
  <c r="G1408" i="23"/>
  <c r="L1352" i="23"/>
  <c r="I1352" i="23"/>
  <c r="E1352" i="23"/>
  <c r="G1352" i="23"/>
  <c r="C1352" i="23"/>
  <c r="B1353" i="23"/>
  <c r="J1351" i="23"/>
  <c r="D1351" i="23"/>
  <c r="P1351" i="23"/>
  <c r="Q1351" i="23"/>
  <c r="R1351" i="23"/>
  <c r="M1295" i="23"/>
  <c r="J1295" i="23"/>
  <c r="N1295" i="23" s="1"/>
  <c r="AE1295" i="23" s="1"/>
  <c r="D1295" i="23"/>
  <c r="P1295" i="23"/>
  <c r="Q1295" i="23"/>
  <c r="R1295" i="23"/>
  <c r="L1296" i="23"/>
  <c r="I1296" i="23"/>
  <c r="C1296" i="23"/>
  <c r="E1296" i="23"/>
  <c r="G1296" i="23"/>
  <c r="B1297" i="23"/>
  <c r="M1239" i="23"/>
  <c r="J1239" i="23"/>
  <c r="N1239" i="23" s="1"/>
  <c r="AE1239" i="23" s="1"/>
  <c r="D1239" i="23"/>
  <c r="P1239" i="23"/>
  <c r="Q1239" i="23"/>
  <c r="R1239" i="23"/>
  <c r="L1240" i="23"/>
  <c r="I1240" i="23"/>
  <c r="C1240" i="23"/>
  <c r="E1240" i="23"/>
  <c r="G1240" i="23"/>
  <c r="B1241" i="23"/>
  <c r="M1183" i="23"/>
  <c r="J1183" i="23"/>
  <c r="N1183" i="23" s="1"/>
  <c r="AE1183" i="23" s="1"/>
  <c r="D1183" i="23"/>
  <c r="P1183" i="23"/>
  <c r="Q1183" i="23"/>
  <c r="R1183" i="23"/>
  <c r="L1184" i="23"/>
  <c r="I1184" i="23"/>
  <c r="G1184" i="23"/>
  <c r="C1184" i="23"/>
  <c r="K1184" i="23" s="1"/>
  <c r="E1184" i="23"/>
  <c r="F1184" i="23"/>
  <c r="O1184" i="23" s="1"/>
  <c r="B1185" i="23"/>
  <c r="P1127" i="23"/>
  <c r="Q1127" i="23"/>
  <c r="R1127" i="23"/>
  <c r="L1128" i="23"/>
  <c r="I1128" i="23"/>
  <c r="G1128" i="23"/>
  <c r="B1129" i="23"/>
  <c r="C1128" i="23"/>
  <c r="E1128" i="23"/>
  <c r="J1127" i="23"/>
  <c r="D1127" i="23"/>
  <c r="M1071" i="23"/>
  <c r="P1071" i="23"/>
  <c r="Q1071" i="23"/>
  <c r="R1071" i="23"/>
  <c r="J1071" i="23"/>
  <c r="N1071" i="23" s="1"/>
  <c r="AE1071" i="23" s="1"/>
  <c r="D1071" i="23"/>
  <c r="L1072" i="23"/>
  <c r="I1072" i="23"/>
  <c r="E1072" i="23"/>
  <c r="B1073" i="23"/>
  <c r="C1072" i="23"/>
  <c r="G1072" i="23"/>
  <c r="M1015" i="23"/>
  <c r="J1015" i="23"/>
  <c r="N1015" i="23" s="1"/>
  <c r="AE1015" i="23" s="1"/>
  <c r="D1015" i="23"/>
  <c r="P1015" i="23"/>
  <c r="Q1015" i="23"/>
  <c r="R1015" i="23"/>
  <c r="L1016" i="23"/>
  <c r="I1016" i="23"/>
  <c r="C1016" i="23"/>
  <c r="E1016" i="23"/>
  <c r="G1016" i="23"/>
  <c r="B1017" i="23"/>
  <c r="J959" i="23"/>
  <c r="D959" i="23"/>
  <c r="P959" i="23"/>
  <c r="Q959" i="23"/>
  <c r="R959" i="23"/>
  <c r="L960" i="23"/>
  <c r="I960" i="23"/>
  <c r="C960" i="23"/>
  <c r="E960" i="23"/>
  <c r="G960" i="23"/>
  <c r="B961" i="23"/>
  <c r="M903" i="23"/>
  <c r="J903" i="23"/>
  <c r="N903" i="23" s="1"/>
  <c r="AE903" i="23" s="1"/>
  <c r="D903" i="23"/>
  <c r="P903" i="23"/>
  <c r="Q903" i="23"/>
  <c r="R903" i="23"/>
  <c r="L904" i="23"/>
  <c r="I904" i="23"/>
  <c r="C904" i="23"/>
  <c r="K904" i="23" s="1"/>
  <c r="E904" i="23"/>
  <c r="F904" i="23"/>
  <c r="O904" i="23" s="1"/>
  <c r="G904" i="23"/>
  <c r="B905" i="23"/>
  <c r="J847" i="23"/>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M735" i="23"/>
  <c r="P735" i="23"/>
  <c r="Q735" i="23"/>
  <c r="R735" i="23"/>
  <c r="J735" i="23"/>
  <c r="N735" i="23" s="1"/>
  <c r="AE735" i="23" s="1"/>
  <c r="D735" i="23"/>
  <c r="L736" i="23"/>
  <c r="I736" i="23"/>
  <c r="E736" i="23"/>
  <c r="C736" i="23"/>
  <c r="G736" i="23"/>
  <c r="B737" i="23"/>
  <c r="M679" i="23"/>
  <c r="J679" i="23"/>
  <c r="N679" i="23" s="1"/>
  <c r="AE679" i="23" s="1"/>
  <c r="D679" i="23"/>
  <c r="P679" i="23"/>
  <c r="Q679" i="23"/>
  <c r="R679" i="23"/>
  <c r="L680" i="23"/>
  <c r="I680" i="23"/>
  <c r="C680" i="23"/>
  <c r="K680" i="23" s="1"/>
  <c r="E680" i="23"/>
  <c r="F680" i="23"/>
  <c r="O680" i="23" s="1"/>
  <c r="G680" i="23"/>
  <c r="B681" i="23"/>
  <c r="J623" i="23"/>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E568" i="23"/>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P4766" i="22"/>
  <c r="Q4766" i="22"/>
  <c r="R4766" i="22"/>
  <c r="G4767" i="22"/>
  <c r="L4767" i="22"/>
  <c r="B4768" i="22"/>
  <c r="C4767" i="22"/>
  <c r="F4767" i="22" s="1"/>
  <c r="E4767" i="22"/>
  <c r="I4767" i="22"/>
  <c r="K4767" i="22"/>
  <c r="J4766" i="22"/>
  <c r="D4766" i="22"/>
  <c r="T4710" i="22"/>
  <c r="U4711" i="22"/>
  <c r="S4711" i="22"/>
  <c r="T4711" i="22" s="1"/>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D4550" i="22"/>
  <c r="J4550" i="22"/>
  <c r="P4550" i="22"/>
  <c r="Q4550" i="22"/>
  <c r="R4550" i="22"/>
  <c r="L4551" i="22"/>
  <c r="C4551" i="22"/>
  <c r="K4551" i="22" s="1"/>
  <c r="E4551" i="22"/>
  <c r="F4551" i="22"/>
  <c r="G4551" i="22"/>
  <c r="I4551" i="22"/>
  <c r="B4552" i="22"/>
  <c r="D4250" i="22"/>
  <c r="J4250" i="22"/>
  <c r="P4250" i="22"/>
  <c r="Q4250" i="22"/>
  <c r="R4250" i="22"/>
  <c r="C4251" i="22"/>
  <c r="E4251" i="22"/>
  <c r="F4251" i="22"/>
  <c r="O4251" i="22" s="1"/>
  <c r="G4251" i="22"/>
  <c r="I4251" i="22"/>
  <c r="K4251" i="22"/>
  <c r="L4251" i="22"/>
  <c r="B4252"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K4143" i="22" s="1"/>
  <c r="E4143" i="22"/>
  <c r="F4143" i="22"/>
  <c r="O4143" i="22" s="1"/>
  <c r="G4143" i="22"/>
  <c r="I4143" i="22"/>
  <c r="B4144" i="22"/>
  <c r="P4088" i="22"/>
  <c r="Q4088" i="22"/>
  <c r="R4088" i="22"/>
  <c r="J4088" i="22"/>
  <c r="N4088" i="22" s="1"/>
  <c r="U4088" i="22" s="1"/>
  <c r="D4088" i="22"/>
  <c r="M4088" i="22"/>
  <c r="G4089" i="22"/>
  <c r="L4089" i="22"/>
  <c r="B4090" i="22"/>
  <c r="C4089" i="22"/>
  <c r="F4089" i="22" s="1"/>
  <c r="O4089" i="22" s="1"/>
  <c r="E4089" i="22"/>
  <c r="I4089" i="22"/>
  <c r="K4089" i="22"/>
  <c r="J3799" i="22"/>
  <c r="CL72" i="22" s="1"/>
  <c r="CJ72"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D3680" i="22"/>
  <c r="J3680" i="22"/>
  <c r="P3680" i="22"/>
  <c r="Q3680" i="22"/>
  <c r="R3680" i="22"/>
  <c r="L3681" i="22"/>
  <c r="C3681" i="22"/>
  <c r="K3681" i="22" s="1"/>
  <c r="E3681" i="22"/>
  <c r="F3681" i="22"/>
  <c r="O3681" i="22" s="1"/>
  <c r="G3681" i="22"/>
  <c r="I3681" i="22"/>
  <c r="B3682" i="22"/>
  <c r="D3626" i="22"/>
  <c r="J3626" i="22"/>
  <c r="P3626" i="22"/>
  <c r="Q3626" i="22"/>
  <c r="R3626" i="22"/>
  <c r="L3627" i="22"/>
  <c r="C3627" i="22"/>
  <c r="K3627" i="22" s="1"/>
  <c r="E3627" i="22"/>
  <c r="F3627" i="22"/>
  <c r="O3627" i="22" s="1"/>
  <c r="G3627" i="22"/>
  <c r="I3627" i="22"/>
  <c r="B3628" i="22"/>
  <c r="D3572" i="22"/>
  <c r="J3572" i="22"/>
  <c r="P3572" i="22"/>
  <c r="Q3572" i="22"/>
  <c r="R3572" i="22"/>
  <c r="L3573" i="22"/>
  <c r="G3573" i="22"/>
  <c r="C3573" i="22"/>
  <c r="E3573" i="22"/>
  <c r="I3573" i="22"/>
  <c r="B3574" i="22"/>
  <c r="J3518" i="22"/>
  <c r="D3518" i="22"/>
  <c r="P3518" i="22"/>
  <c r="Q3518" i="22"/>
  <c r="R3518" i="22"/>
  <c r="L3519" i="22"/>
  <c r="E3519" i="22"/>
  <c r="G3519" i="22"/>
  <c r="B3520" i="22"/>
  <c r="I3519" i="22"/>
  <c r="C3519"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E3411" i="22"/>
  <c r="G3411" i="22"/>
  <c r="I3411" i="22"/>
  <c r="B3412" i="22"/>
  <c r="M3356" i="22"/>
  <c r="D3356" i="22"/>
  <c r="J3356" i="22"/>
  <c r="N3356" i="22" s="1"/>
  <c r="U3356" i="22" s="1"/>
  <c r="P3356" i="22"/>
  <c r="Q3356" i="22"/>
  <c r="R3356" i="22"/>
  <c r="L3357" i="22"/>
  <c r="C3357" i="22"/>
  <c r="E3357" i="22"/>
  <c r="G3357" i="22"/>
  <c r="I3357" i="22"/>
  <c r="B3358" i="22"/>
  <c r="D3302" i="22"/>
  <c r="J3302" i="22"/>
  <c r="P3302" i="22"/>
  <c r="Q3302" i="22"/>
  <c r="R3302" i="22"/>
  <c r="L3303" i="22"/>
  <c r="C3303" i="22"/>
  <c r="K3303" i="22" s="1"/>
  <c r="E3303" i="22"/>
  <c r="F3303" i="22"/>
  <c r="O3303" i="22" s="1"/>
  <c r="G3303" i="22"/>
  <c r="I3303" i="22"/>
  <c r="B3304" i="22"/>
  <c r="L3249" i="22"/>
  <c r="I3249" i="22"/>
  <c r="B3250" i="22"/>
  <c r="E3249" i="22"/>
  <c r="G3249" i="22"/>
  <c r="C3249" i="22"/>
  <c r="J3248" i="22"/>
  <c r="D3248" i="22"/>
  <c r="P3248" i="22"/>
  <c r="Q3248" i="22"/>
  <c r="R3248" i="22"/>
  <c r="D3194" i="22"/>
  <c r="J3194" i="22"/>
  <c r="P3194" i="22"/>
  <c r="Q3194" i="22"/>
  <c r="R3194" i="22"/>
  <c r="L3195" i="22"/>
  <c r="C3195" i="22"/>
  <c r="E3195" i="22"/>
  <c r="G3195" i="22"/>
  <c r="I3195" i="22"/>
  <c r="B3196" i="22"/>
  <c r="M3140" i="22"/>
  <c r="D3140" i="22"/>
  <c r="J3140" i="22"/>
  <c r="N3140" i="22" s="1"/>
  <c r="U3140" i="22" s="1"/>
  <c r="P3140" i="22"/>
  <c r="Q3140" i="22"/>
  <c r="R3140" i="22"/>
  <c r="L3141" i="22"/>
  <c r="C3141" i="22"/>
  <c r="E3141" i="22"/>
  <c r="G3141" i="22"/>
  <c r="I3141" i="22"/>
  <c r="B3142" i="22"/>
  <c r="M3086" i="22"/>
  <c r="D3086" i="22"/>
  <c r="J3086" i="22"/>
  <c r="N3086" i="22" s="1"/>
  <c r="U3086" i="22" s="1"/>
  <c r="P3086" i="22"/>
  <c r="Q3086" i="22"/>
  <c r="R3086" i="22"/>
  <c r="L3087" i="22"/>
  <c r="C3087" i="22"/>
  <c r="E3087" i="22"/>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K2925" i="22" s="1"/>
  <c r="E2925" i="22"/>
  <c r="F2925" i="22"/>
  <c r="O2925" i="22" s="1"/>
  <c r="G2925" i="22"/>
  <c r="I2925" i="22"/>
  <c r="B2926" i="22"/>
  <c r="M2870" i="22"/>
  <c r="D2870" i="22"/>
  <c r="J2870" i="22"/>
  <c r="N2870" i="22" s="1"/>
  <c r="U2870" i="22" s="1"/>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E2817" i="22"/>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I2655" i="22"/>
  <c r="C2655" i="22"/>
  <c r="E2655" i="22"/>
  <c r="G2655" i="22"/>
  <c r="B2656" i="22"/>
  <c r="P2600" i="22"/>
  <c r="Q2600" i="22"/>
  <c r="R2600" i="22"/>
  <c r="D2600" i="22"/>
  <c r="J2600" i="22"/>
  <c r="L2601" i="22"/>
  <c r="E2601" i="22"/>
  <c r="I2601" i="22"/>
  <c r="B2602" i="22"/>
  <c r="C2601" i="22"/>
  <c r="G2601" i="22"/>
  <c r="M2546" i="22"/>
  <c r="D2546" i="22"/>
  <c r="J2546" i="22"/>
  <c r="N2546" i="22" s="1"/>
  <c r="U2546" i="22" s="1"/>
  <c r="P2546" i="22"/>
  <c r="Q2546" i="22"/>
  <c r="R2546" i="22"/>
  <c r="L2547" i="22"/>
  <c r="C2547" i="22"/>
  <c r="E2547" i="22"/>
  <c r="G2547" i="22"/>
  <c r="I2547" i="22"/>
  <c r="B2548" i="22"/>
  <c r="D2492" i="22"/>
  <c r="J2492" i="22"/>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K2331" i="22" s="1"/>
  <c r="E2331" i="22"/>
  <c r="F2331" i="22"/>
  <c r="O2331" i="22" s="1"/>
  <c r="G2331" i="22"/>
  <c r="I2331" i="22"/>
  <c r="B2332" i="22"/>
  <c r="M2276" i="22"/>
  <c r="L2277" i="22"/>
  <c r="G2277" i="22"/>
  <c r="B2278" i="22"/>
  <c r="E2277" i="22"/>
  <c r="I2277" i="22"/>
  <c r="C2277" i="22"/>
  <c r="J2276" i="22"/>
  <c r="N2276" i="22" s="1"/>
  <c r="U2276" i="22" s="1"/>
  <c r="D2276" i="22"/>
  <c r="P2276" i="22"/>
  <c r="Q2276" i="22"/>
  <c r="R2276" i="22"/>
  <c r="M2222" i="22"/>
  <c r="D2222" i="22"/>
  <c r="J2222" i="22"/>
  <c r="N2222" i="22" s="1"/>
  <c r="U2222" i="22" s="1"/>
  <c r="P2222" i="22"/>
  <c r="Q2222" i="22"/>
  <c r="R2222" i="22"/>
  <c r="L2223" i="22"/>
  <c r="C2223" i="22"/>
  <c r="E2223" i="22"/>
  <c r="G2223" i="22"/>
  <c r="I2223" i="22"/>
  <c r="B2224" i="22"/>
  <c r="M2168" i="22"/>
  <c r="D2168" i="22"/>
  <c r="J2168" i="22"/>
  <c r="N2168" i="22" s="1"/>
  <c r="U2168" i="22" s="1"/>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E2061" i="22"/>
  <c r="G2061" i="22"/>
  <c r="I2061" i="22"/>
  <c r="B2062" i="22"/>
  <c r="D2006" i="22"/>
  <c r="J2006" i="22"/>
  <c r="P2006" i="22"/>
  <c r="Q2006" i="22"/>
  <c r="R2006" i="22"/>
  <c r="L2007" i="22"/>
  <c r="C2007" i="22"/>
  <c r="E2007" i="22"/>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D1628" i="22"/>
  <c r="J1628" i="22"/>
  <c r="P1628" i="22"/>
  <c r="Q1628" i="22"/>
  <c r="R1628" i="22"/>
  <c r="L1629" i="22"/>
  <c r="C1629" i="22"/>
  <c r="K1629" i="22" s="1"/>
  <c r="E1629" i="22"/>
  <c r="F1629" i="22"/>
  <c r="O1629" i="22" s="1"/>
  <c r="G1629" i="22"/>
  <c r="I1629" i="22"/>
  <c r="B1630" i="22"/>
  <c r="D1574" i="22"/>
  <c r="J1574" i="22"/>
  <c r="P1574" i="22"/>
  <c r="Q1574" i="22"/>
  <c r="R1574" i="22"/>
  <c r="L1575" i="22"/>
  <c r="C1575" i="22"/>
  <c r="E1575" i="22"/>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P1412" i="22"/>
  <c r="Q1412" i="22"/>
  <c r="R1412" i="22"/>
  <c r="L1413" i="22"/>
  <c r="I1413" i="22"/>
  <c r="B1414" i="22"/>
  <c r="C1413" i="22"/>
  <c r="E1413" i="22"/>
  <c r="G1413" i="22"/>
  <c r="D1412" i="22"/>
  <c r="J1412" i="22"/>
  <c r="P1358" i="22"/>
  <c r="Q1358" i="22"/>
  <c r="R1358" i="22"/>
  <c r="L1359" i="22"/>
  <c r="G1359" i="22"/>
  <c r="I1359" i="22"/>
  <c r="B1360" i="22"/>
  <c r="C1359" i="22"/>
  <c r="E1359" i="22"/>
  <c r="D1358" i="22"/>
  <c r="J1358" i="22"/>
  <c r="M1304" i="22"/>
  <c r="D1304" i="22"/>
  <c r="J1304" i="22"/>
  <c r="N1304" i="22" s="1"/>
  <c r="U1304" i="22" s="1"/>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K1251" i="22" s="1"/>
  <c r="E1251" i="22"/>
  <c r="F1251" i="22"/>
  <c r="O1251" i="22" s="1"/>
  <c r="G1251" i="22"/>
  <c r="I1251" i="22"/>
  <c r="B1252" i="22"/>
  <c r="D1196" i="22"/>
  <c r="J1196" i="22"/>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E1035" i="22"/>
  <c r="G1035" i="22"/>
  <c r="I1035" i="22"/>
  <c r="B1036" i="22"/>
  <c r="M980" i="22"/>
  <c r="D980" i="22"/>
  <c r="J980" i="22"/>
  <c r="N980" i="22" s="1"/>
  <c r="U980" i="22" s="1"/>
  <c r="P980" i="22"/>
  <c r="Q980" i="22"/>
  <c r="R980" i="22"/>
  <c r="L981" i="22"/>
  <c r="C981" i="22"/>
  <c r="E981" i="22"/>
  <c r="G981" i="22"/>
  <c r="I981" i="22"/>
  <c r="B982" i="22"/>
  <c r="M926" i="22"/>
  <c r="D926" i="22"/>
  <c r="J926" i="22"/>
  <c r="N926" i="22" s="1"/>
  <c r="U926" i="22" s="1"/>
  <c r="P926" i="22"/>
  <c r="Q926" i="22"/>
  <c r="R926" i="22"/>
  <c r="L927" i="22"/>
  <c r="C927" i="22"/>
  <c r="E927" i="22"/>
  <c r="G927" i="22"/>
  <c r="I927" i="22"/>
  <c r="B928" i="22"/>
  <c r="D872" i="22"/>
  <c r="J872" i="22"/>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E657" i="22"/>
  <c r="G657" i="22"/>
  <c r="I657" i="22"/>
  <c r="B658" i="22"/>
  <c r="M602" i="22"/>
  <c r="D602" i="22"/>
  <c r="J602" i="22"/>
  <c r="N602" i="22" s="1"/>
  <c r="U602" i="22" s="1"/>
  <c r="P602" i="22"/>
  <c r="Q602" i="22"/>
  <c r="R602" i="22"/>
  <c r="L603" i="22"/>
  <c r="C603" i="22"/>
  <c r="E603" i="22"/>
  <c r="G603" i="22"/>
  <c r="I603" i="22"/>
  <c r="B604" i="22"/>
  <c r="D548" i="22"/>
  <c r="J548" i="22"/>
  <c r="P548" i="22"/>
  <c r="Q548" i="22"/>
  <c r="R548" i="22"/>
  <c r="L549" i="22"/>
  <c r="C549" i="22"/>
  <c r="E549" i="22"/>
  <c r="G549" i="22"/>
  <c r="I549" i="22"/>
  <c r="B550" i="22"/>
  <c r="M494" i="22"/>
  <c r="D494" i="22"/>
  <c r="J494" i="22"/>
  <c r="N494" i="22" s="1"/>
  <c r="U494" i="22" s="1"/>
  <c r="P494" i="22"/>
  <c r="Q494" i="22"/>
  <c r="R494" i="22"/>
  <c r="L495" i="22"/>
  <c r="C495" i="22"/>
  <c r="E495" i="22"/>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J289" i="22"/>
  <c r="CJ7" i="22"/>
  <c r="D12" i="7"/>
  <c r="M278" i="22"/>
  <c r="D278" i="22"/>
  <c r="J278" i="22"/>
  <c r="N278" i="22" s="1"/>
  <c r="U278" i="22" s="1"/>
  <c r="P278" i="22"/>
  <c r="Q278" i="22"/>
  <c r="R278" i="22"/>
  <c r="L279" i="22"/>
  <c r="C279" i="22"/>
  <c r="E279" i="22"/>
  <c r="G279" i="22"/>
  <c r="I279" i="22"/>
  <c r="B280" i="22"/>
  <c r="D224" i="22"/>
  <c r="J224" i="22"/>
  <c r="P224" i="22"/>
  <c r="Q224" i="22"/>
  <c r="R224" i="22"/>
  <c r="L225" i="22"/>
  <c r="C225" i="22"/>
  <c r="E225" i="22"/>
  <c r="G225" i="22"/>
  <c r="I225" i="22"/>
  <c r="B226" i="22"/>
  <c r="M170" i="22"/>
  <c r="D170" i="22"/>
  <c r="J170" i="22"/>
  <c r="N170" i="22" s="1"/>
  <c r="U170" i="22" s="1"/>
  <c r="P170" i="22"/>
  <c r="Q170" i="22"/>
  <c r="R170" i="22"/>
  <c r="L171" i="22"/>
  <c r="C171" i="22"/>
  <c r="E171" i="22"/>
  <c r="G171" i="22"/>
  <c r="I171" i="22"/>
  <c r="B172" i="22"/>
  <c r="M116" i="22"/>
  <c r="P116" i="22"/>
  <c r="Q116" i="22"/>
  <c r="R116" i="22"/>
  <c r="J116" i="22"/>
  <c r="N116" i="22" s="1"/>
  <c r="U116" i="22" s="1"/>
  <c r="D116" i="22"/>
  <c r="L117" i="22"/>
  <c r="G117" i="22"/>
  <c r="C117" i="22"/>
  <c r="E117" i="22"/>
  <c r="B118" i="22"/>
  <c r="I117" i="22"/>
  <c r="U53" i="17"/>
  <c r="C105" i="12" s="1"/>
  <c r="M105" i="12"/>
  <c r="O105" i="1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V54" i="17"/>
  <c r="BF54" i="17"/>
  <c r="M54" i="17"/>
  <c r="C55" i="17"/>
  <c r="E55" i="17"/>
  <c r="G55" i="17"/>
  <c r="K55" i="17"/>
  <c r="F55" i="17"/>
  <c r="C55" i="18" s="1"/>
  <c r="E55" i="18" s="1"/>
  <c r="I55" i="17"/>
  <c r="L55" i="17"/>
  <c r="B56" i="17"/>
  <c r="B55" i="18"/>
  <c r="D54" i="17"/>
  <c r="J54" i="17"/>
  <c r="N54" i="17" s="1"/>
  <c r="N106" i="12"/>
  <c r="O54" i="17"/>
  <c r="E106" i="12"/>
  <c r="AI730" i="23"/>
  <c r="J79" i="8"/>
  <c r="J105" i="8"/>
  <c r="J107" i="8"/>
  <c r="AH731" i="23"/>
  <c r="K49" i="8"/>
  <c r="AI1627" i="23"/>
  <c r="K104" i="8"/>
  <c r="C139" i="8"/>
  <c r="AD1348" i="23"/>
  <c r="AD1124" i="23"/>
  <c r="AD900" i="23"/>
  <c r="C634" i="23"/>
  <c r="C522" i="23"/>
  <c r="J3745" i="22"/>
  <c r="CL71" i="22" s="1"/>
  <c r="CJ71" i="22"/>
  <c r="J3637" i="22"/>
  <c r="CL69" i="22" s="1"/>
  <c r="CJ69" i="22"/>
  <c r="CJ68" i="22"/>
  <c r="J3583" i="22"/>
  <c r="CL68" i="22" s="1"/>
  <c r="CJ18" i="22"/>
  <c r="D23" i="7"/>
  <c r="CL18" i="22"/>
  <c r="F23" i="7"/>
  <c r="CL10" i="22"/>
  <c r="F15" i="7"/>
  <c r="CJ10" i="22"/>
  <c r="D15" i="7"/>
  <c r="C103" i="12"/>
  <c r="AH1628" i="23"/>
  <c r="L103" i="8"/>
  <c r="B140" i="8"/>
  <c r="D140" i="8"/>
  <c r="X1517" i="23"/>
  <c r="D1530" i="23" s="1"/>
  <c r="E1530" i="23" s="1"/>
  <c r="W1517" i="23"/>
  <c r="C1530" i="23" s="1"/>
  <c r="X1461" i="23"/>
  <c r="D1474" i="23" s="1"/>
  <c r="E1474" i="23" s="1"/>
  <c r="W1461" i="23"/>
  <c r="C1474" i="23" s="1"/>
  <c r="X1405" i="23"/>
  <c r="D1418" i="23" s="1"/>
  <c r="E1418" i="23" s="1"/>
  <c r="W1405" i="23"/>
  <c r="C1418" i="23" s="1"/>
  <c r="X1349" i="23"/>
  <c r="D1362" i="23" s="1"/>
  <c r="E1362" i="23" s="1"/>
  <c r="P1362" i="23" s="1"/>
  <c r="W1349" i="23"/>
  <c r="X1181" i="23"/>
  <c r="D1194" i="23" s="1"/>
  <c r="E1194" i="23" s="1"/>
  <c r="W1181" i="23"/>
  <c r="X1125" i="23"/>
  <c r="D1138" i="23" s="1"/>
  <c r="E1138" i="23" s="1"/>
  <c r="P1138" i="23" s="1"/>
  <c r="W1125" i="23"/>
  <c r="X1069" i="23"/>
  <c r="D1082" i="23" s="1"/>
  <c r="E1082" i="23" s="1"/>
  <c r="W1069" i="23"/>
  <c r="C1082" i="23" s="1"/>
  <c r="X1013" i="23"/>
  <c r="D1026" i="23" s="1"/>
  <c r="E1026" i="23" s="1"/>
  <c r="W1013" i="23"/>
  <c r="X957" i="23"/>
  <c r="D970" i="23" s="1"/>
  <c r="E970" i="23" s="1"/>
  <c r="W957" i="23"/>
  <c r="X901" i="23"/>
  <c r="D914" i="23" s="1"/>
  <c r="E914" i="23" s="1"/>
  <c r="P914" i="23" s="1"/>
  <c r="W901" i="23"/>
  <c r="X845" i="23"/>
  <c r="D858" i="23" s="1"/>
  <c r="E858" i="23" s="1"/>
  <c r="W845" i="23"/>
  <c r="X789" i="23"/>
  <c r="D802" i="23" s="1"/>
  <c r="E802" i="23" s="1"/>
  <c r="W789" i="23"/>
  <c r="X733" i="23"/>
  <c r="D746" i="23" s="1"/>
  <c r="W733" i="23"/>
  <c r="AH732" i="23"/>
  <c r="L49" i="8"/>
  <c r="X621" i="23"/>
  <c r="D634" i="23" s="1"/>
  <c r="E634" i="23" s="1"/>
  <c r="W621" i="23"/>
  <c r="X453" i="23"/>
  <c r="D466" i="23" s="1"/>
  <c r="E466" i="23" s="1"/>
  <c r="P466" i="23" s="1"/>
  <c r="W453" i="23"/>
  <c r="H3691" i="22"/>
  <c r="U3678" i="22"/>
  <c r="AX70" i="22"/>
  <c r="BJ70" i="22"/>
  <c r="U3624" i="22"/>
  <c r="AX69" i="22"/>
  <c r="BJ69" i="22"/>
  <c r="U3570" i="22"/>
  <c r="AX68" i="22"/>
  <c r="BJ68" i="22"/>
  <c r="H3529" i="22"/>
  <c r="AX67" i="22"/>
  <c r="BJ67" i="22"/>
  <c r="U3516" i="22"/>
  <c r="U3246" i="22"/>
  <c r="AX62" i="22"/>
  <c r="BJ62" i="22"/>
  <c r="U3192" i="22"/>
  <c r="AX61" i="22"/>
  <c r="BJ61" i="22"/>
  <c r="S2814" i="22"/>
  <c r="AX54" i="22"/>
  <c r="BJ54" i="22"/>
  <c r="H2719" i="22"/>
  <c r="CJ52" i="22" s="1"/>
  <c r="J2719" i="22"/>
  <c r="CL52" i="22" s="1"/>
  <c r="U2706" i="22"/>
  <c r="AX52" i="22"/>
  <c r="BJ52" i="22"/>
  <c r="U2652" i="22"/>
  <c r="AX51" i="22"/>
  <c r="BJ51" i="22"/>
  <c r="H2395" i="22"/>
  <c r="CJ46" i="22" s="1"/>
  <c r="J2395" i="22"/>
  <c r="CL46" i="22" s="1"/>
  <c r="U2382" i="22"/>
  <c r="AX46" i="22"/>
  <c r="BJ46" i="22"/>
  <c r="H2341" i="22"/>
  <c r="CJ45" i="22" s="1"/>
  <c r="J2341" i="22"/>
  <c r="CL45" i="22" s="1"/>
  <c r="U2328" i="22"/>
  <c r="AX45" i="22"/>
  <c r="BJ45" i="22"/>
  <c r="U2004" i="22"/>
  <c r="AX39" i="22"/>
  <c r="BJ39" i="22"/>
  <c r="H1963" i="22"/>
  <c r="CJ38" i="22" s="1"/>
  <c r="J1963" i="22"/>
  <c r="CL38" i="22" s="1"/>
  <c r="U1950" i="22"/>
  <c r="AX38" i="22"/>
  <c r="BJ38" i="22"/>
  <c r="J1909" i="22"/>
  <c r="CL37" i="22" s="1"/>
  <c r="H1909" i="22"/>
  <c r="CJ37" i="22" s="1"/>
  <c r="U1896" i="22"/>
  <c r="AX37" i="22"/>
  <c r="BJ37" i="22"/>
  <c r="U1626" i="22"/>
  <c r="AX32" i="22"/>
  <c r="BJ32" i="22"/>
  <c r="H1585" i="22"/>
  <c r="CJ31" i="22" s="1"/>
  <c r="J1585" i="22"/>
  <c r="CL31" i="22" s="1"/>
  <c r="U1572" i="22"/>
  <c r="AX31" i="22"/>
  <c r="BJ31" i="22"/>
  <c r="H1531" i="22"/>
  <c r="CJ30" i="22" s="1"/>
  <c r="J1531" i="22"/>
  <c r="CL30" i="22" s="1"/>
  <c r="U1518" i="22"/>
  <c r="AX30" i="22"/>
  <c r="BJ30" i="22"/>
  <c r="J1369" i="22"/>
  <c r="CL27" i="22" s="1"/>
  <c r="H1369" i="22"/>
  <c r="CJ27" i="22" s="1"/>
  <c r="U1356" i="22"/>
  <c r="AX27" i="22"/>
  <c r="BJ27" i="22"/>
  <c r="J1207" i="22"/>
  <c r="H1207" i="22"/>
  <c r="M123" i="7"/>
  <c r="M61" i="7"/>
  <c r="U1194" i="22"/>
  <c r="AX24" i="22"/>
  <c r="BJ24" i="22"/>
  <c r="CK24" i="22"/>
  <c r="E29" i="7"/>
  <c r="H1099" i="22"/>
  <c r="J1099" i="22"/>
  <c r="M59" i="7"/>
  <c r="M121" i="7"/>
  <c r="U1086" i="22"/>
  <c r="AX22" i="22"/>
  <c r="BJ22" i="22"/>
  <c r="E27" i="7"/>
  <c r="CK22" i="22"/>
  <c r="J721" i="22"/>
  <c r="H721" i="22"/>
  <c r="M114" i="7"/>
  <c r="M52" i="7"/>
  <c r="U708" i="22"/>
  <c r="AX15" i="22"/>
  <c r="BJ15" i="22"/>
  <c r="E20" i="7"/>
  <c r="CK15" i="22"/>
  <c r="H397" i="22"/>
  <c r="J397" i="22"/>
  <c r="M108" i="7"/>
  <c r="M46" i="7"/>
  <c r="U384" i="22"/>
  <c r="AX9" i="22"/>
  <c r="BJ9" i="22"/>
  <c r="E14" i="7"/>
  <c r="CK9" i="22"/>
  <c r="J181" i="22"/>
  <c r="H181" i="22"/>
  <c r="M104" i="7"/>
  <c r="M42" i="7"/>
  <c r="U168" i="22"/>
  <c r="AX5" i="22"/>
  <c r="BJ5" i="22"/>
  <c r="CK5" i="22"/>
  <c r="E10" i="7"/>
  <c r="U52" i="17"/>
  <c r="F52" i="12"/>
  <c r="M104" i="12"/>
  <c r="Q104" i="12" s="1"/>
  <c r="O104" i="12"/>
  <c r="U79" i="12" s="1"/>
  <c r="E57" i="19" s="1"/>
  <c r="G57" i="19" s="1"/>
  <c r="P1250" i="23"/>
  <c r="F1250" i="23"/>
  <c r="AD1237" i="23" s="1"/>
  <c r="P858" i="23"/>
  <c r="F858" i="23"/>
  <c r="P578" i="23"/>
  <c r="F578" i="23"/>
  <c r="AD565" i="23" s="1"/>
  <c r="P410" i="23"/>
  <c r="F410" i="23"/>
  <c r="AD397" i="23" s="1"/>
  <c r="AD1629" i="23"/>
  <c r="H1642" i="23" s="1"/>
  <c r="AG1629" i="23"/>
  <c r="I1642" i="23"/>
  <c r="J1642" i="23" s="1"/>
  <c r="C1642" i="23"/>
  <c r="AE1629" i="23"/>
  <c r="F1586" i="23"/>
  <c r="P1586" i="23"/>
  <c r="AE1573" i="23"/>
  <c r="AD1573" i="23"/>
  <c r="M1462" i="23"/>
  <c r="N1462" i="23"/>
  <c r="AE1462" i="23" s="1"/>
  <c r="M1406" i="23"/>
  <c r="N1406" i="23"/>
  <c r="AE1406" i="23" s="1"/>
  <c r="M1350" i="23"/>
  <c r="N1350" i="23"/>
  <c r="AE1350" i="23" s="1"/>
  <c r="P1306" i="23"/>
  <c r="F1306" i="23"/>
  <c r="C1306" i="23"/>
  <c r="AD1293" i="23"/>
  <c r="M1182" i="23"/>
  <c r="N1182" i="23"/>
  <c r="AE1182" i="23" s="1"/>
  <c r="M1126" i="23"/>
  <c r="N1126" i="23"/>
  <c r="AE1126" i="23" s="1"/>
  <c r="N1070" i="23"/>
  <c r="AE1070" i="23" s="1"/>
  <c r="M1070" i="23"/>
  <c r="M846" i="23"/>
  <c r="N846" i="23"/>
  <c r="AE846" i="23" s="1"/>
  <c r="AD677" i="23"/>
  <c r="H690" i="23" s="1"/>
  <c r="AE677" i="23" s="1"/>
  <c r="C578" i="23"/>
  <c r="M566" i="23"/>
  <c r="N566" i="23"/>
  <c r="AE566" i="23" s="1"/>
  <c r="M454" i="23"/>
  <c r="N454" i="23"/>
  <c r="AE454" i="23" s="1"/>
  <c r="M398" i="23"/>
  <c r="N398" i="23"/>
  <c r="AE398" i="23" s="1"/>
  <c r="F354" i="23"/>
  <c r="P354" i="23"/>
  <c r="AD341" i="23"/>
  <c r="F298" i="23"/>
  <c r="P298" i="23"/>
  <c r="C298" i="23"/>
  <c r="M4549" i="22"/>
  <c r="N4549" i="22"/>
  <c r="M3733" i="22"/>
  <c r="N3733" i="22"/>
  <c r="U3733" i="22" s="1"/>
  <c r="M3625" i="22"/>
  <c r="N3625" i="22"/>
  <c r="U3625" i="22" s="1"/>
  <c r="N3517" i="22"/>
  <c r="U3517" i="22" s="1"/>
  <c r="M3517" i="22"/>
  <c r="N3247" i="22"/>
  <c r="U3247" i="22" s="1"/>
  <c r="M3247" i="22"/>
  <c r="M3193" i="22"/>
  <c r="N3193" i="22"/>
  <c r="U3193" i="22" s="1"/>
  <c r="M3139" i="22"/>
  <c r="N3139" i="22"/>
  <c r="U3139" i="22" s="1"/>
  <c r="M2815" i="22"/>
  <c r="N2815" i="22"/>
  <c r="S2815" i="22" s="1"/>
  <c r="M2761" i="22"/>
  <c r="N2761" i="22"/>
  <c r="U2761" i="22" s="1"/>
  <c r="M2707" i="22"/>
  <c r="N2707" i="22"/>
  <c r="U2707" i="22" s="1"/>
  <c r="N2599" i="22"/>
  <c r="U2599" i="22" s="1"/>
  <c r="M2599" i="22"/>
  <c r="M2437" i="22"/>
  <c r="N2437" i="22"/>
  <c r="U2437" i="22" s="1"/>
  <c r="M2329" i="22"/>
  <c r="N2329" i="22"/>
  <c r="U2329" i="22" s="1"/>
  <c r="M2275" i="22"/>
  <c r="N2275" i="22"/>
  <c r="U2275" i="22" s="1"/>
  <c r="M1897" i="22"/>
  <c r="N1897" i="22"/>
  <c r="U1897" i="22" s="1"/>
  <c r="M1573" i="22"/>
  <c r="N1573" i="22"/>
  <c r="U1573" i="22" s="1"/>
  <c r="M1519" i="22"/>
  <c r="N1519" i="22"/>
  <c r="U1519" i="22" s="1"/>
  <c r="M1357" i="22"/>
  <c r="N1357" i="22"/>
  <c r="U1357" i="22" s="1"/>
  <c r="M1195" i="22"/>
  <c r="N1195" i="22"/>
  <c r="U1195" i="22" s="1"/>
  <c r="CL23" i="22"/>
  <c r="F28" i="7"/>
  <c r="CJ23" i="22"/>
  <c r="D28" i="7"/>
  <c r="M1087" i="22"/>
  <c r="N1087" i="22"/>
  <c r="U1087" i="22" s="1"/>
  <c r="CL21" i="22"/>
  <c r="F26" i="7"/>
  <c r="CJ21" i="22"/>
  <c r="D26" i="7"/>
  <c r="F25" i="7"/>
  <c r="CL20" i="22"/>
  <c r="D25" i="7"/>
  <c r="CJ20" i="22"/>
  <c r="F24" i="7"/>
  <c r="CL19" i="22"/>
  <c r="D24" i="7"/>
  <c r="CJ19" i="22"/>
  <c r="CJ17" i="22"/>
  <c r="D22" i="7"/>
  <c r="CL17" i="22"/>
  <c r="F22" i="7"/>
  <c r="D21" i="7"/>
  <c r="CJ16" i="22"/>
  <c r="F21" i="7"/>
  <c r="CL16" i="22"/>
  <c r="M763" i="22"/>
  <c r="N763" i="22"/>
  <c r="U763" i="22" s="1"/>
  <c r="CL14" i="22"/>
  <c r="F19" i="7"/>
  <c r="CJ14" i="22"/>
  <c r="D19" i="7"/>
  <c r="D18" i="7"/>
  <c r="CJ13" i="22"/>
  <c r="F18" i="7"/>
  <c r="CL13" i="22"/>
  <c r="CJ12" i="22"/>
  <c r="D17" i="7"/>
  <c r="CL12" i="22"/>
  <c r="F17" i="7"/>
  <c r="CJ11" i="22"/>
  <c r="D16" i="7"/>
  <c r="CL11" i="22"/>
  <c r="F16" i="7"/>
  <c r="M493" i="22"/>
  <c r="N493" i="22"/>
  <c r="U493" i="22" s="1"/>
  <c r="N439" i="22"/>
  <c r="U439" i="22" s="1"/>
  <c r="M439" i="22"/>
  <c r="CL8" i="22"/>
  <c r="F13" i="7"/>
  <c r="CJ8" i="22"/>
  <c r="D13" i="7"/>
  <c r="CJ6" i="22"/>
  <c r="D11" i="7"/>
  <c r="CL6" i="22"/>
  <c r="F11" i="7"/>
  <c r="N169" i="22"/>
  <c r="U169" i="22" s="1"/>
  <c r="M169" i="22"/>
  <c r="CJ4" i="22"/>
  <c r="D9" i="7"/>
  <c r="CL4" i="22"/>
  <c r="F9" i="7"/>
  <c r="N115" i="22"/>
  <c r="U115" i="22" s="1"/>
  <c r="M115" i="22"/>
  <c r="D522" i="23"/>
  <c r="E522" i="23" s="1"/>
  <c r="L127" i="7"/>
  <c r="K1519" i="23"/>
  <c r="F1519" i="23"/>
  <c r="O1519" i="23" s="1"/>
  <c r="K1463" i="23"/>
  <c r="F1463" i="23"/>
  <c r="O1463" i="23" s="1"/>
  <c r="K1351" i="23"/>
  <c r="F1351" i="23"/>
  <c r="O1351" i="23" s="1"/>
  <c r="F1127" i="23"/>
  <c r="O1127" i="23" s="1"/>
  <c r="K1127" i="23"/>
  <c r="K959" i="23"/>
  <c r="F959" i="23"/>
  <c r="O959" i="23" s="1"/>
  <c r="K847" i="23"/>
  <c r="F847" i="23"/>
  <c r="O847" i="23" s="1"/>
  <c r="F623" i="23"/>
  <c r="O623" i="23" s="1"/>
  <c r="K623" i="23"/>
  <c r="F4766" i="22"/>
  <c r="K4766" i="22"/>
  <c r="P105" i="12"/>
  <c r="D4658" i="22"/>
  <c r="F4658" i="22"/>
  <c r="O4658" i="22" s="1"/>
  <c r="F4550" i="22"/>
  <c r="K4550" i="22"/>
  <c r="F4250" i="22"/>
  <c r="O4250" i="22" s="1"/>
  <c r="K4250" i="22"/>
  <c r="F3680" i="22"/>
  <c r="O3680" i="22" s="1"/>
  <c r="K3680" i="22"/>
  <c r="F3626" i="22"/>
  <c r="O3626" i="22" s="1"/>
  <c r="K3626" i="22"/>
  <c r="F3572" i="22"/>
  <c r="O3572" i="22" s="1"/>
  <c r="K3572" i="22"/>
  <c r="F3518" i="22"/>
  <c r="O3518" i="22" s="1"/>
  <c r="K3518" i="22"/>
  <c r="F3302" i="22"/>
  <c r="O3302" i="22" s="1"/>
  <c r="K3302" i="22"/>
  <c r="K3248" i="22"/>
  <c r="F3248" i="22"/>
  <c r="O3248" i="22" s="1"/>
  <c r="F3194" i="22"/>
  <c r="O3194" i="22" s="1"/>
  <c r="K3194" i="22"/>
  <c r="F2600" i="22"/>
  <c r="O2600" i="22" s="1"/>
  <c r="K2600" i="22"/>
  <c r="F2492" i="22"/>
  <c r="O2492" i="22" s="1"/>
  <c r="K2492" i="22"/>
  <c r="K2006" i="22"/>
  <c r="F2006" i="22"/>
  <c r="O2006" i="22" s="1"/>
  <c r="K1628" i="22"/>
  <c r="F1628" i="22"/>
  <c r="O1628" i="22" s="1"/>
  <c r="F1574" i="22"/>
  <c r="O1574" i="22" s="1"/>
  <c r="K1574" i="22"/>
  <c r="K1412" i="22"/>
  <c r="F1412" i="22"/>
  <c r="O1412" i="22" s="1"/>
  <c r="K1358" i="22"/>
  <c r="F1358" i="22"/>
  <c r="O1358" i="22" s="1"/>
  <c r="K1196" i="22"/>
  <c r="F1196" i="22"/>
  <c r="O1196" i="22" s="1"/>
  <c r="F872" i="22"/>
  <c r="O872" i="22" s="1"/>
  <c r="K872" i="22"/>
  <c r="K548" i="22"/>
  <c r="F548" i="22"/>
  <c r="O548" i="22" s="1"/>
  <c r="F224" i="22"/>
  <c r="O224" i="22" s="1"/>
  <c r="K224" i="22"/>
  <c r="F53" i="18"/>
  <c r="G53" i="18"/>
  <c r="H53" i="18"/>
  <c r="C914" i="23"/>
  <c r="K914" i="23" s="1"/>
  <c r="I914" i="23"/>
  <c r="J914" i="23" s="1"/>
  <c r="J1639" i="22"/>
  <c r="CL32" i="22" s="1"/>
  <c r="H1639" i="22"/>
  <c r="CJ32" i="22" s="1"/>
  <c r="I690" i="23"/>
  <c r="J690" i="23" s="1"/>
  <c r="C690" i="23"/>
  <c r="K690" i="23" s="1"/>
  <c r="K1632" i="23" l="1"/>
  <c r="F1632" i="23"/>
  <c r="O1632" i="23" s="1"/>
  <c r="K1240" i="23"/>
  <c r="F1240" i="23"/>
  <c r="O1240" i="23" s="1"/>
  <c r="K568" i="23"/>
  <c r="F568" i="23"/>
  <c r="O568" i="23" s="1"/>
  <c r="K3519" i="22"/>
  <c r="F3519" i="22"/>
  <c r="O3519" i="22" s="1"/>
  <c r="K3195" i="22"/>
  <c r="F3195" i="22"/>
  <c r="O3195" i="22" s="1"/>
  <c r="K3141" i="22"/>
  <c r="F3141" i="22"/>
  <c r="O3141" i="22" s="1"/>
  <c r="K2871" i="22"/>
  <c r="F2871" i="22"/>
  <c r="O2871" i="22" s="1"/>
  <c r="K2817" i="22"/>
  <c r="F2817" i="22"/>
  <c r="O2817" i="22" s="1"/>
  <c r="K2061" i="22"/>
  <c r="F2061" i="22"/>
  <c r="O2061" i="22" s="1"/>
  <c r="K2007" i="22"/>
  <c r="F2007" i="22"/>
  <c r="O2007" i="22" s="1"/>
  <c r="K1953" i="22"/>
  <c r="F1953" i="22"/>
  <c r="O1953" i="22" s="1"/>
  <c r="K1575" i="22"/>
  <c r="F1575" i="22"/>
  <c r="O1575" i="22" s="1"/>
  <c r="K279" i="22"/>
  <c r="F279" i="22"/>
  <c r="O279" i="22" s="1"/>
  <c r="C1138" i="23"/>
  <c r="K1138" i="23" s="1"/>
  <c r="I1138" i="23"/>
  <c r="J1138" i="23"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M1520" i="23"/>
  <c r="J1520" i="23"/>
  <c r="N1520" i="23" s="1"/>
  <c r="AE1520" i="23" s="1"/>
  <c r="D1520" i="23"/>
  <c r="P1520" i="23"/>
  <c r="Q1520" i="23"/>
  <c r="R1520" i="23"/>
  <c r="L1521" i="23"/>
  <c r="I1521" i="23"/>
  <c r="C1521" i="23"/>
  <c r="E1521" i="23"/>
  <c r="G1521" i="23"/>
  <c r="B1522" i="23"/>
  <c r="P1464" i="23"/>
  <c r="Q1464" i="23"/>
  <c r="R1464" i="23"/>
  <c r="L1465" i="23"/>
  <c r="I1465" i="23"/>
  <c r="C1465" i="23"/>
  <c r="E1465" i="23"/>
  <c r="G1465" i="23"/>
  <c r="B1466" i="23"/>
  <c r="J1464" i="23"/>
  <c r="D1464" i="23"/>
  <c r="L1409" i="23"/>
  <c r="I1409" i="23"/>
  <c r="G1409" i="23"/>
  <c r="B1410" i="23"/>
  <c r="C1409" i="23"/>
  <c r="E1409" i="23"/>
  <c r="J1408" i="23"/>
  <c r="D1408" i="23"/>
  <c r="P1408" i="23"/>
  <c r="Q1408" i="23"/>
  <c r="R1408" i="23"/>
  <c r="P1352" i="23"/>
  <c r="Q1352" i="23"/>
  <c r="R1352" i="23"/>
  <c r="J1352" i="23"/>
  <c r="D1352" i="23"/>
  <c r="L1353" i="23"/>
  <c r="I1353" i="23"/>
  <c r="G1353" i="23"/>
  <c r="C1353" i="23"/>
  <c r="E1353" i="23"/>
  <c r="B1354" i="23"/>
  <c r="J1296" i="23"/>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P1184" i="23"/>
  <c r="Q1184" i="23"/>
  <c r="R1184" i="23"/>
  <c r="J1184" i="23"/>
  <c r="N1184" i="23" s="1"/>
  <c r="AE1184" i="23" s="1"/>
  <c r="D1184" i="23"/>
  <c r="L1185" i="23"/>
  <c r="I1185" i="23"/>
  <c r="B1186" i="23"/>
  <c r="C1185" i="23"/>
  <c r="E1185" i="23"/>
  <c r="G1185" i="23"/>
  <c r="P1128" i="23"/>
  <c r="Q1128" i="23"/>
  <c r="R1128" i="23"/>
  <c r="L1129" i="23"/>
  <c r="I1129" i="23"/>
  <c r="G1129" i="23"/>
  <c r="C1129" i="23"/>
  <c r="E1129" i="23"/>
  <c r="B1130" i="23"/>
  <c r="J1128" i="23"/>
  <c r="D1128" i="23"/>
  <c r="L1073" i="23"/>
  <c r="I1073" i="23"/>
  <c r="B1074" i="23"/>
  <c r="C1073" i="23"/>
  <c r="E1073" i="23"/>
  <c r="G1073" i="23"/>
  <c r="J1072" i="23"/>
  <c r="D1072" i="23"/>
  <c r="P1072" i="23"/>
  <c r="Q1072" i="23"/>
  <c r="R1072" i="23"/>
  <c r="J1016" i="23"/>
  <c r="D1016" i="23"/>
  <c r="P1016" i="23"/>
  <c r="Q1016" i="23"/>
  <c r="R1016" i="23"/>
  <c r="L1017" i="23"/>
  <c r="I1017" i="23"/>
  <c r="C1017" i="23"/>
  <c r="E1017" i="23"/>
  <c r="G1017" i="23"/>
  <c r="B1018" i="23"/>
  <c r="J960" i="23"/>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J736" i="23"/>
  <c r="D736" i="23"/>
  <c r="P736" i="23"/>
  <c r="Q736" i="23"/>
  <c r="R736" i="23"/>
  <c r="L737" i="23"/>
  <c r="I737" i="23"/>
  <c r="C737" i="23"/>
  <c r="E737" i="23"/>
  <c r="G737" i="23"/>
  <c r="B738" i="23"/>
  <c r="M680" i="23"/>
  <c r="J680" i="23"/>
  <c r="N680" i="23" s="1"/>
  <c r="AE680" i="23" s="1"/>
  <c r="D680" i="23"/>
  <c r="P680" i="23"/>
  <c r="Q680" i="23"/>
  <c r="R680" i="23"/>
  <c r="L681" i="23"/>
  <c r="I681" i="23"/>
  <c r="C681" i="23"/>
  <c r="E681" i="23"/>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E457" i="23"/>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K289" i="23" s="1"/>
  <c r="E289" i="23"/>
  <c r="F289" i="23"/>
  <c r="O289" i="23" s="1"/>
  <c r="G289" i="23"/>
  <c r="B290" i="23"/>
  <c r="P4767" i="22"/>
  <c r="Q4767" i="22"/>
  <c r="R4767" i="22"/>
  <c r="C4768" i="22"/>
  <c r="E4768" i="22"/>
  <c r="G4768" i="22"/>
  <c r="I4768" i="22"/>
  <c r="K4768" i="22"/>
  <c r="B4769" i="22"/>
  <c r="F4768" i="22"/>
  <c r="L4768" i="22"/>
  <c r="D4767" i="22"/>
  <c r="J4767" i="22"/>
  <c r="N4767" i="22" s="1"/>
  <c r="P107" i="12" s="1"/>
  <c r="M4767" i="22"/>
  <c r="U4712" i="22"/>
  <c r="S4712" i="22"/>
  <c r="M4713" i="22"/>
  <c r="D4713" i="22"/>
  <c r="J4713" i="22"/>
  <c r="N4713" i="22" s="1"/>
  <c r="P4713" i="22"/>
  <c r="Q4713" i="22"/>
  <c r="R4713" i="22"/>
  <c r="L4714" i="22"/>
  <c r="C4714" i="22"/>
  <c r="E4714" i="22"/>
  <c r="G4714" i="22"/>
  <c r="I4714" i="22"/>
  <c r="B4715" i="22"/>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D4251" i="22"/>
  <c r="J4251" i="22"/>
  <c r="P4251" i="22"/>
  <c r="Q4251" i="22"/>
  <c r="R4251" i="22"/>
  <c r="M4251" i="22"/>
  <c r="N4251" i="22"/>
  <c r="U4251" i="22" s="1"/>
  <c r="C4252" i="22"/>
  <c r="E4252" i="22"/>
  <c r="F4252" i="22"/>
  <c r="O4252" i="22" s="1"/>
  <c r="G4252" i="22"/>
  <c r="I4252" i="22"/>
  <c r="K4252" i="22"/>
  <c r="L4252" i="22"/>
  <c r="B4253"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E4144" i="22"/>
  <c r="G4144" i="22"/>
  <c r="I4144" i="22"/>
  <c r="B4145" i="22"/>
  <c r="P4089" i="22"/>
  <c r="Q4089" i="22"/>
  <c r="R4089" i="22"/>
  <c r="C4090" i="22"/>
  <c r="F4090" i="22" s="1"/>
  <c r="O4090" i="22" s="1"/>
  <c r="E4090" i="22"/>
  <c r="G4090" i="22"/>
  <c r="K4090" i="22"/>
  <c r="B4091" i="22"/>
  <c r="I4090" i="22"/>
  <c r="L4090" i="22"/>
  <c r="D4089" i="22"/>
  <c r="J4089" i="22"/>
  <c r="N4089" i="22" s="1"/>
  <c r="U4089" i="22" s="1"/>
  <c r="M4089" i="22"/>
  <c r="M3789" i="22"/>
  <c r="D3789" i="22"/>
  <c r="J3789" i="22"/>
  <c r="N3789" i="22" s="1"/>
  <c r="U3789" i="22" s="1"/>
  <c r="P3789" i="22"/>
  <c r="Q3789" i="22"/>
  <c r="R3789" i="22"/>
  <c r="L3790" i="22"/>
  <c r="C3790" i="22"/>
  <c r="E3790" i="22"/>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P3573" i="22"/>
  <c r="Q3573" i="22"/>
  <c r="R3573" i="22"/>
  <c r="D3573" i="22"/>
  <c r="J3573" i="22"/>
  <c r="L3574" i="22"/>
  <c r="C3574" i="22"/>
  <c r="E3574" i="22"/>
  <c r="G3574" i="22"/>
  <c r="I3574" i="22"/>
  <c r="B3575" i="22"/>
  <c r="M3519" i="22"/>
  <c r="P3519" i="22"/>
  <c r="Q3519" i="22"/>
  <c r="R3519" i="22"/>
  <c r="L3520" i="22"/>
  <c r="E3520" i="22"/>
  <c r="G3520" i="22"/>
  <c r="C3520" i="22"/>
  <c r="K3520" i="22" s="1"/>
  <c r="F3520" i="22"/>
  <c r="O3520" i="22" s="1"/>
  <c r="B3521" i="22"/>
  <c r="I3520" i="22"/>
  <c r="D3519" i="22"/>
  <c r="J3519" i="22"/>
  <c r="N3519" i="22" s="1"/>
  <c r="U3519" i="22" s="1"/>
  <c r="M3465" i="22"/>
  <c r="D3465" i="22"/>
  <c r="J3465" i="22"/>
  <c r="N3465" i="22" s="1"/>
  <c r="U3465" i="22" s="1"/>
  <c r="P3465" i="22"/>
  <c r="Q3465" i="22"/>
  <c r="R3465" i="22"/>
  <c r="L3466" i="22"/>
  <c r="C3466" i="22"/>
  <c r="E3466" i="22"/>
  <c r="G3466" i="22"/>
  <c r="I3466" i="22"/>
  <c r="B3467" i="22"/>
  <c r="D3411" i="22"/>
  <c r="J3411" i="22"/>
  <c r="P3411" i="22"/>
  <c r="Q3411" i="22"/>
  <c r="R3411" i="22"/>
  <c r="L3412" i="22"/>
  <c r="C3412" i="22"/>
  <c r="E3412" i="22"/>
  <c r="G3412" i="22"/>
  <c r="I3412" i="22"/>
  <c r="B3413" i="22"/>
  <c r="D3357" i="22"/>
  <c r="J3357" i="22"/>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K3304" i="22" s="1"/>
  <c r="E3304" i="22"/>
  <c r="F3304" i="22"/>
  <c r="O3304" i="22" s="1"/>
  <c r="G3304" i="22"/>
  <c r="I3304" i="22"/>
  <c r="B3305" i="22"/>
  <c r="L3250" i="22"/>
  <c r="G3250" i="22"/>
  <c r="I3250" i="22"/>
  <c r="B3251" i="22"/>
  <c r="C3250" i="22"/>
  <c r="K3250" i="22" s="1"/>
  <c r="E3250" i="22"/>
  <c r="F3250" i="22"/>
  <c r="O3250" i="22" s="1"/>
  <c r="P3249" i="22"/>
  <c r="Q3249" i="22"/>
  <c r="R3249" i="22"/>
  <c r="D3249" i="22"/>
  <c r="J3249"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K3142" i="22" s="1"/>
  <c r="E3142" i="22"/>
  <c r="F3142" i="22"/>
  <c r="O3142" i="22" s="1"/>
  <c r="G3142" i="22"/>
  <c r="I3142" i="22"/>
  <c r="B3143" i="22"/>
  <c r="D3087" i="22"/>
  <c r="J3087" i="22"/>
  <c r="P3087" i="22"/>
  <c r="Q3087" i="22"/>
  <c r="R3087" i="22"/>
  <c r="L3088" i="22"/>
  <c r="C3088" i="22"/>
  <c r="E3088" i="22"/>
  <c r="G3088" i="22"/>
  <c r="I3088" i="22"/>
  <c r="B3089" i="22"/>
  <c r="M3033" i="22"/>
  <c r="D3033" i="22"/>
  <c r="J3033" i="22"/>
  <c r="N3033" i="22" s="1"/>
  <c r="U3033" i="22" s="1"/>
  <c r="P3033" i="22"/>
  <c r="Q3033" i="22"/>
  <c r="R3033" i="22"/>
  <c r="L3034" i="22"/>
  <c r="C3034" i="22"/>
  <c r="K3034" i="22" s="1"/>
  <c r="E3034" i="22"/>
  <c r="F3034" i="22"/>
  <c r="O3034" i="22" s="1"/>
  <c r="G3034" i="22"/>
  <c r="I3034" i="22"/>
  <c r="B3035" i="22"/>
  <c r="D2979" i="22"/>
  <c r="J2979" i="22"/>
  <c r="P2979" i="22"/>
  <c r="Q2979" i="22"/>
  <c r="R2979" i="22"/>
  <c r="L2980" i="22"/>
  <c r="C2980" i="22"/>
  <c r="E2980" i="22"/>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J2655" i="22"/>
  <c r="D2655" i="22"/>
  <c r="P2655" i="22"/>
  <c r="Q2655" i="22"/>
  <c r="R2655" i="22"/>
  <c r="L2656" i="22"/>
  <c r="E2656" i="22"/>
  <c r="B2657" i="22"/>
  <c r="C2656" i="22"/>
  <c r="G2656" i="22"/>
  <c r="I2656" i="22"/>
  <c r="L2602" i="22"/>
  <c r="G2602" i="22"/>
  <c r="I2602" i="22"/>
  <c r="B2603" i="22"/>
  <c r="C2602" i="22"/>
  <c r="K2602" i="22" s="1"/>
  <c r="E2602" i="22"/>
  <c r="F2602" i="22"/>
  <c r="O2602" i="22" s="1"/>
  <c r="J2601" i="22"/>
  <c r="D2601" i="22"/>
  <c r="P2601" i="22"/>
  <c r="Q2601" i="22"/>
  <c r="R2601" i="22"/>
  <c r="D2547" i="22"/>
  <c r="J2547" i="22"/>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E2332" i="22"/>
  <c r="G2332" i="22"/>
  <c r="I2332" i="22"/>
  <c r="B2333" i="22"/>
  <c r="P2277" i="22"/>
  <c r="Q2277" i="22"/>
  <c r="R2277" i="22"/>
  <c r="L2278" i="22"/>
  <c r="B2279" i="22"/>
  <c r="E2278" i="22"/>
  <c r="C2278" i="22"/>
  <c r="G2278" i="22"/>
  <c r="I2278" i="22"/>
  <c r="D2277" i="22"/>
  <c r="J2277" i="22"/>
  <c r="D2223" i="22"/>
  <c r="J2223" i="22"/>
  <c r="P2223" i="22"/>
  <c r="Q2223" i="22"/>
  <c r="R2223" i="22"/>
  <c r="L2224" i="22"/>
  <c r="C2224" i="22"/>
  <c r="E2224" i="22"/>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E2008" i="22"/>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E1522" i="22"/>
  <c r="G1522" i="22"/>
  <c r="I1522" i="22"/>
  <c r="B1523" i="22"/>
  <c r="M1467" i="22"/>
  <c r="D1467" i="22"/>
  <c r="J1467" i="22"/>
  <c r="N1467" i="22" s="1"/>
  <c r="U1467" i="22" s="1"/>
  <c r="P1467" i="22"/>
  <c r="Q1467" i="22"/>
  <c r="R1467" i="22"/>
  <c r="L1468" i="22"/>
  <c r="C1468" i="22"/>
  <c r="E1468" i="22"/>
  <c r="G1468" i="22"/>
  <c r="I1468" i="22"/>
  <c r="B1469" i="22"/>
  <c r="L1414" i="22"/>
  <c r="B1415" i="22"/>
  <c r="C1414" i="22"/>
  <c r="E1414" i="22"/>
  <c r="G1414" i="22"/>
  <c r="I1414" i="22"/>
  <c r="J1413" i="22"/>
  <c r="D1413" i="22"/>
  <c r="P1413" i="22"/>
  <c r="Q1413" i="22"/>
  <c r="R1413" i="22"/>
  <c r="P1359" i="22"/>
  <c r="Q1359" i="22"/>
  <c r="R1359" i="22"/>
  <c r="L1360" i="22"/>
  <c r="E1360" i="22"/>
  <c r="G1360" i="22"/>
  <c r="C1360" i="22"/>
  <c r="I1360" i="22"/>
  <c r="B1361" i="22"/>
  <c r="J1359" i="22"/>
  <c r="D1359"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E1144" i="22"/>
  <c r="G1144" i="22"/>
  <c r="I1144" i="22"/>
  <c r="B1145" i="22"/>
  <c r="M1089" i="22"/>
  <c r="D1089" i="22"/>
  <c r="J1089" i="22"/>
  <c r="N1089" i="22" s="1"/>
  <c r="U1089" i="22" s="1"/>
  <c r="P1089" i="22"/>
  <c r="Q1089" i="22"/>
  <c r="R1089" i="22"/>
  <c r="L1090" i="22"/>
  <c r="C1090" i="22"/>
  <c r="E1090" i="22"/>
  <c r="G1090" i="22"/>
  <c r="I1090" i="22"/>
  <c r="B1091" i="22"/>
  <c r="D1035" i="22"/>
  <c r="J1035" i="22"/>
  <c r="P1035" i="22"/>
  <c r="Q1035" i="22"/>
  <c r="R1035" i="22"/>
  <c r="L1036" i="22"/>
  <c r="C1036" i="22"/>
  <c r="E1036" i="22"/>
  <c r="G1036" i="22"/>
  <c r="I1036" i="22"/>
  <c r="B1037" i="22"/>
  <c r="D981" i="22"/>
  <c r="J981" i="22"/>
  <c r="P981" i="22"/>
  <c r="Q981" i="22"/>
  <c r="R981" i="22"/>
  <c r="L982" i="22"/>
  <c r="C982" i="22"/>
  <c r="K982" i="22" s="1"/>
  <c r="E982" i="22"/>
  <c r="F982" i="22"/>
  <c r="O982" i="22" s="1"/>
  <c r="G982" i="22"/>
  <c r="I982" i="22"/>
  <c r="B983" i="22"/>
  <c r="D927" i="22"/>
  <c r="J927" i="22"/>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E820" i="22"/>
  <c r="G820" i="22"/>
  <c r="I820" i="22"/>
  <c r="B821" i="22"/>
  <c r="M765" i="22"/>
  <c r="D765" i="22"/>
  <c r="J765" i="22"/>
  <c r="N765" i="22" s="1"/>
  <c r="U765" i="22" s="1"/>
  <c r="P765" i="22"/>
  <c r="Q765" i="22"/>
  <c r="R765" i="22"/>
  <c r="L766" i="22"/>
  <c r="C766" i="22"/>
  <c r="E766" i="22"/>
  <c r="G766" i="22"/>
  <c r="I766" i="22"/>
  <c r="B767" i="22"/>
  <c r="D711" i="22"/>
  <c r="J711" i="22"/>
  <c r="P711" i="22"/>
  <c r="Q711" i="22"/>
  <c r="R711" i="22"/>
  <c r="L712" i="22"/>
  <c r="C712" i="22"/>
  <c r="E712" i="22"/>
  <c r="G712" i="22"/>
  <c r="I712" i="22"/>
  <c r="B713" i="22"/>
  <c r="D657" i="22"/>
  <c r="J657" i="22"/>
  <c r="P657" i="22"/>
  <c r="Q657" i="22"/>
  <c r="R657" i="22"/>
  <c r="L658" i="22"/>
  <c r="C658" i="22"/>
  <c r="E658" i="22"/>
  <c r="G658" i="22"/>
  <c r="I658" i="22"/>
  <c r="B659" i="22"/>
  <c r="D603" i="22"/>
  <c r="J603" i="22"/>
  <c r="P603" i="22"/>
  <c r="Q603" i="22"/>
  <c r="R603" i="22"/>
  <c r="L604" i="22"/>
  <c r="C604" i="22"/>
  <c r="E604" i="22"/>
  <c r="G604" i="22"/>
  <c r="I604" i="22"/>
  <c r="B605" i="22"/>
  <c r="D549" i="22"/>
  <c r="J549" i="22"/>
  <c r="P549" i="22"/>
  <c r="Q549" i="22"/>
  <c r="R549" i="22"/>
  <c r="L550" i="22"/>
  <c r="C550" i="22"/>
  <c r="K550" i="22" s="1"/>
  <c r="E550" i="22"/>
  <c r="F550" i="22"/>
  <c r="O550" i="22" s="1"/>
  <c r="G550" i="22"/>
  <c r="I550" i="22"/>
  <c r="B551" i="22"/>
  <c r="D495" i="22"/>
  <c r="J495" i="22"/>
  <c r="P495" i="22"/>
  <c r="Q495" i="22"/>
  <c r="R495" i="22"/>
  <c r="L496" i="22"/>
  <c r="C496" i="22"/>
  <c r="E496" i="22"/>
  <c r="G496" i="22"/>
  <c r="I496" i="22"/>
  <c r="B497"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F12" i="7"/>
  <c r="CL7" i="22"/>
  <c r="M279" i="22"/>
  <c r="D279" i="22"/>
  <c r="J279" i="22"/>
  <c r="N279" i="22" s="1"/>
  <c r="U279" i="22" s="1"/>
  <c r="P279" i="22"/>
  <c r="Q279" i="22"/>
  <c r="R279" i="22"/>
  <c r="L280" i="22"/>
  <c r="C280" i="22"/>
  <c r="E280" i="22"/>
  <c r="G280" i="22"/>
  <c r="I280" i="22"/>
  <c r="B281" i="22"/>
  <c r="D225" i="22"/>
  <c r="J225" i="22"/>
  <c r="P225" i="22"/>
  <c r="Q225" i="22"/>
  <c r="R225" i="22"/>
  <c r="L226" i="22"/>
  <c r="C226" i="22"/>
  <c r="E226" i="22"/>
  <c r="G226" i="22"/>
  <c r="I226" i="22"/>
  <c r="B227" i="22"/>
  <c r="D171" i="22"/>
  <c r="J171" i="22"/>
  <c r="P171" i="22"/>
  <c r="Q171" i="22"/>
  <c r="R171" i="22"/>
  <c r="L172" i="22"/>
  <c r="C172" i="22"/>
  <c r="K172" i="22" s="1"/>
  <c r="E172" i="22"/>
  <c r="F172" i="22"/>
  <c r="O172" i="22" s="1"/>
  <c r="G172" i="22"/>
  <c r="I172" i="22"/>
  <c r="B173" i="22"/>
  <c r="P117" i="22"/>
  <c r="Q117" i="22"/>
  <c r="R117" i="22"/>
  <c r="J117" i="22"/>
  <c r="D117" i="22"/>
  <c r="L118" i="22"/>
  <c r="G118" i="22"/>
  <c r="B119" i="22"/>
  <c r="C118" i="22"/>
  <c r="E118" i="22"/>
  <c r="I118" i="22"/>
  <c r="G105" i="12"/>
  <c r="U54" i="17"/>
  <c r="M106" i="12"/>
  <c r="O106" i="12"/>
  <c r="J55" i="17"/>
  <c r="N55" i="17" s="1"/>
  <c r="D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M55" i="17"/>
  <c r="N107" i="12"/>
  <c r="E107" i="12"/>
  <c r="O55" i="17"/>
  <c r="E56" i="17"/>
  <c r="B56" i="18"/>
  <c r="C56" i="17"/>
  <c r="K56" i="17" s="1"/>
  <c r="F56" i="17"/>
  <c r="C56" i="18" s="1"/>
  <c r="E56" i="18" s="1"/>
  <c r="G56" i="17"/>
  <c r="I56" i="17"/>
  <c r="L56" i="17"/>
  <c r="B57" i="17"/>
  <c r="AI731" i="23"/>
  <c r="K79" i="8"/>
  <c r="K105" i="8"/>
  <c r="K107" i="8"/>
  <c r="G103" i="12"/>
  <c r="AI1628" i="23"/>
  <c r="L104" i="8"/>
  <c r="C140" i="8"/>
  <c r="F1530" i="23"/>
  <c r="P1530" i="23"/>
  <c r="AE1517" i="23"/>
  <c r="AD1517" i="23"/>
  <c r="F1474" i="23"/>
  <c r="P1474" i="23"/>
  <c r="AE1461" i="23"/>
  <c r="AD1461" i="23"/>
  <c r="F1418" i="23"/>
  <c r="P1418" i="23"/>
  <c r="AD1405" i="23"/>
  <c r="C1362" i="23"/>
  <c r="K1362" i="23" s="1"/>
  <c r="I1362" i="23"/>
  <c r="J1362" i="23" s="1"/>
  <c r="AD1349" i="23"/>
  <c r="H1362" i="23" s="1"/>
  <c r="AE1349" i="23" s="1"/>
  <c r="P1194" i="23"/>
  <c r="F1194" i="23"/>
  <c r="C1194" i="23"/>
  <c r="AD1181" i="23"/>
  <c r="AD1125" i="23"/>
  <c r="H1138" i="23" s="1"/>
  <c r="AE1125" i="23" s="1"/>
  <c r="P1082" i="23"/>
  <c r="F1082" i="23"/>
  <c r="AD1069" i="23"/>
  <c r="F1026" i="23"/>
  <c r="P1026" i="23"/>
  <c r="C1026" i="23"/>
  <c r="AD1013" i="23"/>
  <c r="P970" i="23"/>
  <c r="F970" i="23"/>
  <c r="C970" i="23"/>
  <c r="AD957" i="23"/>
  <c r="AD901" i="23"/>
  <c r="H914" i="23" s="1"/>
  <c r="AE901" i="23" s="1"/>
  <c r="C858" i="23"/>
  <c r="AD845" i="23"/>
  <c r="F802" i="23"/>
  <c r="P802" i="23"/>
  <c r="C802" i="23"/>
  <c r="AD789" i="23"/>
  <c r="AD733" i="23"/>
  <c r="H746" i="23" s="1"/>
  <c r="AG733" i="23"/>
  <c r="AE733" i="23"/>
  <c r="C746" i="23"/>
  <c r="I746" i="23"/>
  <c r="L79" i="8"/>
  <c r="AI732" i="23"/>
  <c r="P634" i="23"/>
  <c r="F634" i="23"/>
  <c r="AD621" i="23"/>
  <c r="C466" i="23"/>
  <c r="K466" i="23" s="1"/>
  <c r="I466" i="23"/>
  <c r="J466" i="23" s="1"/>
  <c r="AD453" i="23"/>
  <c r="H466" i="23" s="1"/>
  <c r="J3691" i="22"/>
  <c r="CL70" i="22" s="1"/>
  <c r="CJ70" i="22"/>
  <c r="CJ67" i="22"/>
  <c r="J3529" i="22"/>
  <c r="CL67" i="22" s="1"/>
  <c r="CL24" i="22"/>
  <c r="F29" i="7"/>
  <c r="CJ24" i="22"/>
  <c r="D29" i="7"/>
  <c r="CJ22" i="22"/>
  <c r="D27" i="7"/>
  <c r="CL22" i="22"/>
  <c r="F27" i="7"/>
  <c r="F20" i="7"/>
  <c r="CL15" i="22"/>
  <c r="D20" i="7"/>
  <c r="CJ15" i="22"/>
  <c r="CJ9" i="22"/>
  <c r="D14" i="7"/>
  <c r="CL9" i="22"/>
  <c r="F14" i="7"/>
  <c r="CL5" i="22"/>
  <c r="F10" i="7"/>
  <c r="CJ5" i="22"/>
  <c r="D10" i="7"/>
  <c r="C104" i="12"/>
  <c r="AD1236" i="23"/>
  <c r="AD1235" i="23"/>
  <c r="AD1234" i="23"/>
  <c r="AD1233" i="23"/>
  <c r="AD1232" i="23"/>
  <c r="AD1231" i="23"/>
  <c r="AD1230" i="23"/>
  <c r="AD1229" i="23"/>
  <c r="AD1228" i="23"/>
  <c r="AD1227" i="23"/>
  <c r="AD1226" i="23"/>
  <c r="N1250" i="23"/>
  <c r="L1250" i="23"/>
  <c r="K1250" i="23"/>
  <c r="I1250" i="23"/>
  <c r="J1250" i="23" s="1"/>
  <c r="G1250" i="23"/>
  <c r="AD844" i="23"/>
  <c r="AD843" i="23"/>
  <c r="AD842" i="23"/>
  <c r="AD841" i="23"/>
  <c r="AD840" i="23"/>
  <c r="AD839" i="23"/>
  <c r="AD838" i="23"/>
  <c r="AD837" i="23"/>
  <c r="AD836" i="23"/>
  <c r="AD835" i="23"/>
  <c r="AD834" i="23"/>
  <c r="N858" i="23"/>
  <c r="L858" i="23"/>
  <c r="K858" i="23"/>
  <c r="I858" i="23"/>
  <c r="J858" i="23" s="1"/>
  <c r="G858" i="23"/>
  <c r="AD564" i="23"/>
  <c r="AD563" i="23"/>
  <c r="AD562" i="23"/>
  <c r="G578" i="23"/>
  <c r="I578" i="23"/>
  <c r="J578" i="23" s="1"/>
  <c r="K578" i="23"/>
  <c r="L578" i="23"/>
  <c r="N578" i="23"/>
  <c r="AD554" i="23"/>
  <c r="AD555" i="23"/>
  <c r="AD556" i="23"/>
  <c r="AD557" i="23"/>
  <c r="AD558" i="23"/>
  <c r="AD559" i="23"/>
  <c r="AD560" i="23"/>
  <c r="AD561" i="23"/>
  <c r="AD396" i="23"/>
  <c r="AD395" i="23"/>
  <c r="AD394" i="23"/>
  <c r="AD393" i="23"/>
  <c r="AD392" i="23"/>
  <c r="AD391" i="23"/>
  <c r="AD390" i="23"/>
  <c r="AD389" i="23"/>
  <c r="AD388" i="23"/>
  <c r="AD387" i="23"/>
  <c r="AD386" i="23"/>
  <c r="N410" i="23"/>
  <c r="L410" i="23"/>
  <c r="K410" i="23"/>
  <c r="I410" i="23"/>
  <c r="J410" i="23" s="1"/>
  <c r="H410" i="23"/>
  <c r="G410" i="23"/>
  <c r="AE1627" i="23"/>
  <c r="AE1625" i="23"/>
  <c r="AE1623" i="23"/>
  <c r="AE1619" i="23"/>
  <c r="M1642" i="23"/>
  <c r="C109" i="8"/>
  <c r="AE1618" i="23"/>
  <c r="AE1620" i="23"/>
  <c r="AE1621" i="23"/>
  <c r="AE1622" i="23"/>
  <c r="AE1624" i="23"/>
  <c r="AE1626" i="23"/>
  <c r="AE1628" i="23"/>
  <c r="AH1629" i="23"/>
  <c r="M103" i="8"/>
  <c r="B141" i="8"/>
  <c r="D141" i="8"/>
  <c r="E1642" i="23"/>
  <c r="P1642" i="23" s="1"/>
  <c r="K1642" i="23"/>
  <c r="AD1572" i="23"/>
  <c r="AE1572" i="23"/>
  <c r="AD1571" i="23"/>
  <c r="AE1571" i="23"/>
  <c r="AD1570" i="23"/>
  <c r="AE1570" i="23"/>
  <c r="AD1569" i="23"/>
  <c r="AE1569" i="23"/>
  <c r="AD1568" i="23"/>
  <c r="AE1568" i="23"/>
  <c r="AD1567" i="23"/>
  <c r="AE1567" i="23"/>
  <c r="AE1566" i="23"/>
  <c r="AD1566" i="23"/>
  <c r="AD1565" i="23"/>
  <c r="AD1564" i="23"/>
  <c r="H1586" i="23" s="1"/>
  <c r="AE1564" i="23"/>
  <c r="AE1565" i="23"/>
  <c r="AD1563" i="23"/>
  <c r="AE1563" i="23"/>
  <c r="AD1562" i="23"/>
  <c r="AE1562" i="23"/>
  <c r="N1586" i="23"/>
  <c r="L1586" i="23"/>
  <c r="K1586" i="23"/>
  <c r="I1586" i="23"/>
  <c r="J1586" i="23" s="1"/>
  <c r="G1586" i="23"/>
  <c r="AD1292" i="23"/>
  <c r="AD1291" i="23"/>
  <c r="AD1290" i="23"/>
  <c r="AD1289" i="23"/>
  <c r="AD1288" i="23"/>
  <c r="AD1287" i="23"/>
  <c r="AD1286" i="23"/>
  <c r="AD1285" i="23"/>
  <c r="AD1284" i="23"/>
  <c r="G1306" i="23"/>
  <c r="I1306" i="23"/>
  <c r="J1306" i="23" s="1"/>
  <c r="K1306" i="23"/>
  <c r="L1306" i="23"/>
  <c r="N1306" i="23"/>
  <c r="AD1282" i="23"/>
  <c r="AD1283" i="23"/>
  <c r="AE673" i="23"/>
  <c r="AE671" i="23"/>
  <c r="AE669" i="23"/>
  <c r="AE667" i="23"/>
  <c r="AE668" i="23"/>
  <c r="AE666" i="23"/>
  <c r="AE670" i="23"/>
  <c r="AE672" i="23"/>
  <c r="AE674" i="23"/>
  <c r="AE675" i="23"/>
  <c r="AE676"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AD278" i="23"/>
  <c r="AD277" i="23"/>
  <c r="G298" i="23"/>
  <c r="I298" i="23"/>
  <c r="J298" i="23" s="1"/>
  <c r="K298" i="23"/>
  <c r="L298" i="23"/>
  <c r="N298" i="23"/>
  <c r="AD274" i="23"/>
  <c r="AD275" i="23"/>
  <c r="AD276" i="23"/>
  <c r="P522" i="23"/>
  <c r="F522" i="23"/>
  <c r="M1519" i="23"/>
  <c r="N1519" i="23"/>
  <c r="AE1519" i="23" s="1"/>
  <c r="M1463" i="23"/>
  <c r="N1463" i="23"/>
  <c r="AE1463" i="23" s="1"/>
  <c r="M1351" i="23"/>
  <c r="N1351" i="23"/>
  <c r="AE1351" i="23" s="1"/>
  <c r="M1127" i="23"/>
  <c r="N1127" i="23"/>
  <c r="AE1127" i="23" s="1"/>
  <c r="M959" i="23"/>
  <c r="N959" i="23"/>
  <c r="AE959" i="23" s="1"/>
  <c r="M847" i="23"/>
  <c r="N847" i="23"/>
  <c r="AE847" i="23" s="1"/>
  <c r="M623" i="23"/>
  <c r="N623" i="23"/>
  <c r="AE623" i="23" s="1"/>
  <c r="N4766" i="22"/>
  <c r="M4766" i="22"/>
  <c r="M4550" i="22"/>
  <c r="N4550" i="22"/>
  <c r="N4250" i="22"/>
  <c r="U4250" i="22" s="1"/>
  <c r="M4250" i="22"/>
  <c r="M3680" i="22"/>
  <c r="N3680" i="22"/>
  <c r="U3680" i="22" s="1"/>
  <c r="M3626" i="22"/>
  <c r="N3626" i="22"/>
  <c r="U3626" i="22" s="1"/>
  <c r="N3572" i="22"/>
  <c r="U3572" i="22" s="1"/>
  <c r="M3572" i="22"/>
  <c r="M3518" i="22"/>
  <c r="N3518" i="22"/>
  <c r="U3518" i="22" s="1"/>
  <c r="M3302" i="22"/>
  <c r="N3302" i="22"/>
  <c r="U3302" i="22" s="1"/>
  <c r="M3248" i="22"/>
  <c r="N3248" i="22"/>
  <c r="U3248" i="22" s="1"/>
  <c r="M3194" i="22"/>
  <c r="N3194" i="22"/>
  <c r="U3194" i="22" s="1"/>
  <c r="M2600" i="22"/>
  <c r="N2600" i="22"/>
  <c r="U2600" i="22" s="1"/>
  <c r="M2492" i="22"/>
  <c r="N2492" i="22"/>
  <c r="U2492" i="22" s="1"/>
  <c r="M2006" i="22"/>
  <c r="N2006" i="22"/>
  <c r="U2006" i="22" s="1"/>
  <c r="M1628" i="22"/>
  <c r="N1628" i="22"/>
  <c r="U1628" i="22" s="1"/>
  <c r="M1574" i="22"/>
  <c r="N1574" i="22"/>
  <c r="U1574" i="22" s="1"/>
  <c r="M1412" i="22"/>
  <c r="N1412" i="22"/>
  <c r="U1412" i="22" s="1"/>
  <c r="M1358" i="22"/>
  <c r="N1358" i="22"/>
  <c r="U1358" i="22" s="1"/>
  <c r="M1196" i="22"/>
  <c r="N1196" i="22"/>
  <c r="U1196" i="22" s="1"/>
  <c r="M872" i="22"/>
  <c r="N872" i="22"/>
  <c r="U872" i="22" s="1"/>
  <c r="M548" i="22"/>
  <c r="N548" i="22"/>
  <c r="U548" i="22" s="1"/>
  <c r="M224" i="22"/>
  <c r="N224" i="22"/>
  <c r="U224" i="22" s="1"/>
  <c r="Q105" i="12"/>
  <c r="M127" i="7"/>
  <c r="M65" i="7"/>
  <c r="K1464" i="23"/>
  <c r="F1464" i="23"/>
  <c r="O1464" i="23" s="1"/>
  <c r="F1408" i="23"/>
  <c r="O1408" i="23" s="1"/>
  <c r="K1408" i="23"/>
  <c r="F1352" i="23"/>
  <c r="O1352" i="23" s="1"/>
  <c r="K1352" i="23"/>
  <c r="K1296" i="23"/>
  <c r="F1296" i="23"/>
  <c r="O1296" i="23" s="1"/>
  <c r="K1128" i="23"/>
  <c r="F1128" i="23"/>
  <c r="O1128" i="23" s="1"/>
  <c r="F1072" i="23"/>
  <c r="O1072" i="23" s="1"/>
  <c r="K1072" i="23"/>
  <c r="F1016" i="23"/>
  <c r="O1016" i="23" s="1"/>
  <c r="K1016" i="23"/>
  <c r="K960" i="23"/>
  <c r="F960" i="23"/>
  <c r="O960" i="23" s="1"/>
  <c r="F736" i="23"/>
  <c r="O736" i="23" s="1"/>
  <c r="K736" i="23"/>
  <c r="K3573" i="22"/>
  <c r="F3573" i="22"/>
  <c r="O3573" i="22" s="1"/>
  <c r="K3411" i="22"/>
  <c r="F3411" i="22"/>
  <c r="O3411" i="22" s="1"/>
  <c r="K3357" i="22"/>
  <c r="F3357" i="22"/>
  <c r="O3357" i="22" s="1"/>
  <c r="K3249" i="22"/>
  <c r="F3249" i="22"/>
  <c r="O3249" i="22" s="1"/>
  <c r="F3087" i="22"/>
  <c r="O3087" i="22" s="1"/>
  <c r="K3087" i="22"/>
  <c r="F2979" i="22"/>
  <c r="O2979" i="22" s="1"/>
  <c r="K2979" i="22"/>
  <c r="K2655" i="22"/>
  <c r="F2655" i="22"/>
  <c r="O2655" i="22" s="1"/>
  <c r="K2601" i="22"/>
  <c r="F2601" i="22"/>
  <c r="O2601" i="22" s="1"/>
  <c r="F2547" i="22"/>
  <c r="O2547" i="22" s="1"/>
  <c r="K2547" i="22"/>
  <c r="K2277" i="22"/>
  <c r="F2277" i="22"/>
  <c r="O2277" i="22" s="1"/>
  <c r="K2223" i="22"/>
  <c r="F2223" i="22"/>
  <c r="O2223" i="22" s="1"/>
  <c r="K1413" i="22"/>
  <c r="F1413" i="22"/>
  <c r="O1413" i="22" s="1"/>
  <c r="F1359" i="22"/>
  <c r="O1359" i="22" s="1"/>
  <c r="K1359" i="22"/>
  <c r="K1035" i="22"/>
  <c r="F1035" i="22"/>
  <c r="O1035" i="22" s="1"/>
  <c r="K981" i="22"/>
  <c r="F981" i="22"/>
  <c r="O981" i="22" s="1"/>
  <c r="K927" i="22"/>
  <c r="F927" i="22"/>
  <c r="O927" i="22" s="1"/>
  <c r="K711" i="22"/>
  <c r="F711" i="22"/>
  <c r="O711" i="22" s="1"/>
  <c r="F657" i="22"/>
  <c r="O657" i="22" s="1"/>
  <c r="K657" i="22"/>
  <c r="K603" i="22"/>
  <c r="F603" i="22"/>
  <c r="O603" i="22" s="1"/>
  <c r="K549" i="22"/>
  <c r="F549" i="22"/>
  <c r="O549" i="22" s="1"/>
  <c r="F495" i="22"/>
  <c r="O495" i="22" s="1"/>
  <c r="K495" i="22"/>
  <c r="F225" i="22"/>
  <c r="O225" i="22" s="1"/>
  <c r="K225" i="22"/>
  <c r="F171" i="22"/>
  <c r="O171" i="22" s="1"/>
  <c r="K171" i="22"/>
  <c r="F117" i="22"/>
  <c r="O117" i="22" s="1"/>
  <c r="K117" i="22"/>
  <c r="AD285" i="23"/>
  <c r="H858" i="23" l="1"/>
  <c r="H1250" i="23"/>
  <c r="H578" i="23"/>
  <c r="H1306" i="23"/>
  <c r="H298" i="23"/>
  <c r="D4660" i="22"/>
  <c r="F4660" i="22"/>
  <c r="O4660" i="22" s="1"/>
  <c r="K2332" i="22"/>
  <c r="F2332" i="22"/>
  <c r="O2332" i="22" s="1"/>
  <c r="K2008" i="22"/>
  <c r="F2008" i="22"/>
  <c r="O2008" i="22" s="1"/>
  <c r="K1738" i="22"/>
  <c r="F1738" i="22"/>
  <c r="O1738" i="22" s="1"/>
  <c r="K1468" i="22"/>
  <c r="F1468" i="22"/>
  <c r="O1468" i="22" s="1"/>
  <c r="K1144" i="22"/>
  <c r="F1144" i="22"/>
  <c r="O1144" i="22" s="1"/>
  <c r="K820" i="22"/>
  <c r="F820" i="22"/>
  <c r="O820" i="22" s="1"/>
  <c r="K496" i="22"/>
  <c r="F496" i="22"/>
  <c r="O496"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E1578" i="23"/>
  <c r="G1578" i="23"/>
  <c r="B1579" i="23"/>
  <c r="J1521" i="23"/>
  <c r="D1521" i="23"/>
  <c r="P1521" i="23"/>
  <c r="Q1521" i="23"/>
  <c r="R1521" i="23"/>
  <c r="L1522" i="23"/>
  <c r="I1522" i="23"/>
  <c r="C1522" i="23"/>
  <c r="E1522" i="23"/>
  <c r="G1522" i="23"/>
  <c r="B1523" i="23"/>
  <c r="J1465" i="23"/>
  <c r="D1465" i="23"/>
  <c r="P1465" i="23"/>
  <c r="Q1465" i="23"/>
  <c r="R1465" i="23"/>
  <c r="L1466" i="23"/>
  <c r="I1466" i="23"/>
  <c r="B1467" i="23"/>
  <c r="C1466" i="23"/>
  <c r="E1466" i="23"/>
  <c r="G1466" i="23"/>
  <c r="P1409" i="23"/>
  <c r="Q1409" i="23"/>
  <c r="R1409" i="23"/>
  <c r="L1410" i="23"/>
  <c r="I1410" i="23"/>
  <c r="G1410" i="23"/>
  <c r="B1411" i="23"/>
  <c r="C1410" i="23"/>
  <c r="E1410" i="23"/>
  <c r="J1409" i="23"/>
  <c r="D1409" i="23"/>
  <c r="P1353" i="23"/>
  <c r="Q1353" i="23"/>
  <c r="R1353" i="23"/>
  <c r="J1353" i="23"/>
  <c r="D1353" i="23"/>
  <c r="L1354" i="23"/>
  <c r="I1354" i="23"/>
  <c r="B1355" i="23"/>
  <c r="C1354" i="23"/>
  <c r="E1354" i="23"/>
  <c r="G1354"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E1242" i="23"/>
  <c r="G1242" i="23"/>
  <c r="B1243" i="23"/>
  <c r="L1186" i="23"/>
  <c r="I1186" i="23"/>
  <c r="C1186" i="23"/>
  <c r="K1186" i="23" s="1"/>
  <c r="E1186" i="23"/>
  <c r="F1186" i="23"/>
  <c r="O1186" i="23" s="1"/>
  <c r="G1186" i="23"/>
  <c r="B1187" i="23"/>
  <c r="J1185" i="23"/>
  <c r="D1185" i="23"/>
  <c r="P1185" i="23"/>
  <c r="Q1185" i="23"/>
  <c r="R1185" i="23"/>
  <c r="P1129" i="23"/>
  <c r="Q1129" i="23"/>
  <c r="R1129" i="23"/>
  <c r="J1129" i="23"/>
  <c r="D1129" i="23"/>
  <c r="L1130" i="23"/>
  <c r="I1130" i="23"/>
  <c r="B1131" i="23"/>
  <c r="C1130" i="23"/>
  <c r="E1130" i="23"/>
  <c r="G1130" i="23"/>
  <c r="L1074" i="23"/>
  <c r="I1074" i="23"/>
  <c r="G1074" i="23"/>
  <c r="B1075" i="23"/>
  <c r="C1074" i="23"/>
  <c r="E1074" i="23"/>
  <c r="J1073" i="23"/>
  <c r="D1073" i="23"/>
  <c r="P1073" i="23"/>
  <c r="Q1073" i="23"/>
  <c r="R1073" i="23"/>
  <c r="J1017" i="23"/>
  <c r="D1017" i="23"/>
  <c r="P1017" i="23"/>
  <c r="Q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E962" i="23"/>
  <c r="G962" i="23"/>
  <c r="B963" i="23"/>
  <c r="M905" i="23"/>
  <c r="J905" i="23"/>
  <c r="N905" i="23" s="1"/>
  <c r="AE905" i="23" s="1"/>
  <c r="D905" i="23"/>
  <c r="P905" i="23"/>
  <c r="Q905" i="23"/>
  <c r="R905" i="23"/>
  <c r="L906" i="23"/>
  <c r="I906" i="23"/>
  <c r="C906" i="23"/>
  <c r="E906" i="23"/>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E794" i="23"/>
  <c r="G794" i="23"/>
  <c r="B795" i="23"/>
  <c r="J737" i="23"/>
  <c r="D737" i="23"/>
  <c r="Q737" i="23"/>
  <c r="P737" i="23"/>
  <c r="R737" i="23"/>
  <c r="L738" i="23"/>
  <c r="I738" i="23"/>
  <c r="C738" i="23"/>
  <c r="K738" i="23" s="1"/>
  <c r="E738" i="23"/>
  <c r="F738" i="23"/>
  <c r="O738" i="23" s="1"/>
  <c r="G738" i="23"/>
  <c r="B739" i="23"/>
  <c r="J681" i="23"/>
  <c r="D681" i="23"/>
  <c r="P681" i="23"/>
  <c r="Q681" i="23"/>
  <c r="R681" i="23"/>
  <c r="L682" i="23"/>
  <c r="I682" i="23"/>
  <c r="C682" i="23"/>
  <c r="E682" i="23"/>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E514" i="23"/>
  <c r="G514" i="23"/>
  <c r="B515" i="23"/>
  <c r="J457" i="23"/>
  <c r="D457" i="23"/>
  <c r="P457" i="23"/>
  <c r="Q457" i="23"/>
  <c r="R457" i="23"/>
  <c r="L458" i="23"/>
  <c r="I458" i="23"/>
  <c r="C458" i="23"/>
  <c r="E458" i="23"/>
  <c r="G458" i="23"/>
  <c r="B459" i="23"/>
  <c r="M401" i="23"/>
  <c r="J401" i="23"/>
  <c r="N401" i="23" s="1"/>
  <c r="AE401" i="23" s="1"/>
  <c r="D401" i="23"/>
  <c r="P401" i="23"/>
  <c r="Q401" i="23"/>
  <c r="R401" i="23"/>
  <c r="L402" i="23"/>
  <c r="I402" i="23"/>
  <c r="C402" i="23"/>
  <c r="K402" i="23" s="1"/>
  <c r="E402" i="23"/>
  <c r="F402" i="23"/>
  <c r="O402" i="23" s="1"/>
  <c r="G402" i="23"/>
  <c r="B403" i="23"/>
  <c r="J345" i="23"/>
  <c r="D345" i="23"/>
  <c r="P345" i="23"/>
  <c r="Q345" i="23"/>
  <c r="R345" i="23"/>
  <c r="L346" i="23"/>
  <c r="I346" i="23"/>
  <c r="C346" i="23"/>
  <c r="E346" i="23"/>
  <c r="G346" i="23"/>
  <c r="B347" i="23"/>
  <c r="M289" i="23"/>
  <c r="J289" i="23"/>
  <c r="N289" i="23" s="1"/>
  <c r="AE289" i="23" s="1"/>
  <c r="D289" i="23"/>
  <c r="P289" i="23"/>
  <c r="Q289" i="23"/>
  <c r="R289" i="23"/>
  <c r="L290" i="23"/>
  <c r="I290" i="23"/>
  <c r="C290" i="23"/>
  <c r="K290" i="23" s="1"/>
  <c r="E290" i="23"/>
  <c r="F290" i="23"/>
  <c r="O290" i="23" s="1"/>
  <c r="G290" i="23"/>
  <c r="B291" i="23"/>
  <c r="D4768" i="22"/>
  <c r="J4768" i="22"/>
  <c r="N4768" i="22" s="1"/>
  <c r="P4768" i="22"/>
  <c r="Q4768" i="22"/>
  <c r="R4768" i="22"/>
  <c r="M4768" i="22"/>
  <c r="G4769" i="22"/>
  <c r="I4769" i="22"/>
  <c r="L4769" i="22"/>
  <c r="B4770" i="22"/>
  <c r="C4769" i="22"/>
  <c r="F4769" i="22" s="1"/>
  <c r="E4769" i="22"/>
  <c r="K4769" i="22"/>
  <c r="T4712" i="22"/>
  <c r="U4713" i="22"/>
  <c r="S4713" i="22"/>
  <c r="T4713" i="22" s="1"/>
  <c r="D4714" i="22"/>
  <c r="J4714" i="22"/>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E4553" i="22"/>
  <c r="G4553" i="22"/>
  <c r="I4553" i="22"/>
  <c r="B4554" i="22"/>
  <c r="D4252" i="22"/>
  <c r="J4252" i="22"/>
  <c r="P4252" i="22"/>
  <c r="R4252" i="22"/>
  <c r="Q4252" i="22"/>
  <c r="M4252" i="22"/>
  <c r="N4252" i="22"/>
  <c r="U4252" i="22" s="1"/>
  <c r="C4253" i="22"/>
  <c r="E4253" i="22"/>
  <c r="F4253" i="22"/>
  <c r="O4253" i="22" s="1"/>
  <c r="G4253" i="22"/>
  <c r="I4253" i="22"/>
  <c r="K4253" i="22"/>
  <c r="L4253" i="22"/>
  <c r="B4254" i="22"/>
  <c r="D4198" i="22"/>
  <c r="J4198" i="22"/>
  <c r="P4198" i="22"/>
  <c r="Q4198" i="22"/>
  <c r="R4198" i="22"/>
  <c r="L4199" i="22"/>
  <c r="C4199" i="22"/>
  <c r="K4199" i="22" s="1"/>
  <c r="E4199" i="22"/>
  <c r="F4199" i="22"/>
  <c r="O4199" i="22" s="1"/>
  <c r="G4199" i="22"/>
  <c r="I4199" i="22"/>
  <c r="B4200" i="22"/>
  <c r="D4144" i="22"/>
  <c r="J4144" i="22"/>
  <c r="P4144" i="22"/>
  <c r="Q4144" i="22"/>
  <c r="R4144" i="22"/>
  <c r="L4145" i="22"/>
  <c r="C4145" i="22"/>
  <c r="K4145" i="22" s="1"/>
  <c r="E4145" i="22"/>
  <c r="F4145" i="22"/>
  <c r="O4145" i="22" s="1"/>
  <c r="G4145" i="22"/>
  <c r="I4145" i="22"/>
  <c r="B4146" i="22"/>
  <c r="D4090" i="22"/>
  <c r="J4090" i="22"/>
  <c r="N4090" i="22" s="1"/>
  <c r="U4090" i="22" s="1"/>
  <c r="P4090" i="22"/>
  <c r="R4090" i="22"/>
  <c r="Q4090" i="22"/>
  <c r="M4090" i="22"/>
  <c r="G4091" i="22"/>
  <c r="I4091" i="22"/>
  <c r="C4091" i="22"/>
  <c r="E4091" i="22"/>
  <c r="L4091" i="22"/>
  <c r="B4092" i="22"/>
  <c r="D3790" i="22"/>
  <c r="J3790" i="22"/>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D3574" i="22"/>
  <c r="J3574" i="22"/>
  <c r="P3574" i="22"/>
  <c r="Q3574" i="22"/>
  <c r="R3574" i="22"/>
  <c r="L3575" i="22"/>
  <c r="E3575" i="22"/>
  <c r="I3575" i="22"/>
  <c r="B3576" i="22"/>
  <c r="C3575" i="22"/>
  <c r="K3575" i="22" s="1"/>
  <c r="F3575" i="22"/>
  <c r="O3575" i="22" s="1"/>
  <c r="G3575" i="22"/>
  <c r="M3520" i="22"/>
  <c r="P3520" i="22"/>
  <c r="Q3520" i="22"/>
  <c r="R3520" i="22"/>
  <c r="D3520" i="22"/>
  <c r="J3520" i="22"/>
  <c r="N3520" i="22" s="1"/>
  <c r="U3520" i="22" s="1"/>
  <c r="L3521" i="22"/>
  <c r="E3521" i="22"/>
  <c r="B3522" i="22"/>
  <c r="C3521" i="22"/>
  <c r="G3521" i="22"/>
  <c r="I3521" i="22"/>
  <c r="D3466" i="22"/>
  <c r="J3466" i="22"/>
  <c r="P3466" i="22"/>
  <c r="Q3466" i="22"/>
  <c r="R3466" i="22"/>
  <c r="L3467" i="22"/>
  <c r="C3467" i="22"/>
  <c r="E3467" i="22"/>
  <c r="G3467" i="22"/>
  <c r="I3467" i="22"/>
  <c r="B3468" i="22"/>
  <c r="D3412" i="22"/>
  <c r="J3412" i="22"/>
  <c r="P3412" i="22"/>
  <c r="Q3412" i="22"/>
  <c r="R3412" i="22"/>
  <c r="L3413" i="22"/>
  <c r="C3413" i="22"/>
  <c r="E3413" i="22"/>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C3305" i="22"/>
  <c r="E3305" i="22"/>
  <c r="G3305" i="22"/>
  <c r="I3305" i="22"/>
  <c r="B3306" i="22"/>
  <c r="M3250" i="22"/>
  <c r="P3250" i="22"/>
  <c r="Q3250" i="22"/>
  <c r="R3250" i="22"/>
  <c r="L3251" i="22"/>
  <c r="E3251" i="22"/>
  <c r="B3252" i="22"/>
  <c r="I3251" i="22"/>
  <c r="C3251" i="22"/>
  <c r="G3251" i="22"/>
  <c r="J3250" i="22"/>
  <c r="N3250" i="22" s="1"/>
  <c r="U3250" i="22" s="1"/>
  <c r="D3250" i="22"/>
  <c r="M3196" i="22"/>
  <c r="D3196" i="22"/>
  <c r="J3196" i="22"/>
  <c r="N3196" i="22" s="1"/>
  <c r="U3196" i="22" s="1"/>
  <c r="P3196" i="22"/>
  <c r="Q3196" i="22"/>
  <c r="R3196" i="22"/>
  <c r="L3197" i="22"/>
  <c r="C3197" i="22"/>
  <c r="K3197" i="22" s="1"/>
  <c r="E3197" i="22"/>
  <c r="F3197" i="22"/>
  <c r="O3197" i="22" s="1"/>
  <c r="G3197" i="22"/>
  <c r="I3197" i="22"/>
  <c r="B3198" i="22"/>
  <c r="M3142" i="22"/>
  <c r="D3142" i="22"/>
  <c r="J3142" i="22"/>
  <c r="N3142" i="22" s="1"/>
  <c r="U3142" i="22" s="1"/>
  <c r="P3142" i="22"/>
  <c r="Q3142" i="22"/>
  <c r="R3142" i="22"/>
  <c r="L3143" i="22"/>
  <c r="C3143" i="22"/>
  <c r="K3143" i="22" s="1"/>
  <c r="E3143" i="22"/>
  <c r="F3143" i="22"/>
  <c r="O3143" i="22" s="1"/>
  <c r="G3143" i="22"/>
  <c r="I3143" i="22"/>
  <c r="B3144" i="22"/>
  <c r="D3088" i="22"/>
  <c r="J3088" i="22"/>
  <c r="P3088" i="22"/>
  <c r="Q3088" i="22"/>
  <c r="R3088" i="22"/>
  <c r="L3089" i="22"/>
  <c r="C3089" i="22"/>
  <c r="E3089" i="22"/>
  <c r="G3089" i="22"/>
  <c r="I3089" i="22"/>
  <c r="B3090" i="22"/>
  <c r="M3034" i="22"/>
  <c r="D3034" i="22"/>
  <c r="J3034" i="22"/>
  <c r="N3034" i="22" s="1"/>
  <c r="U3034" i="22" s="1"/>
  <c r="P3034" i="22"/>
  <c r="Q3034" i="22"/>
  <c r="R3034" i="22"/>
  <c r="L3035" i="22"/>
  <c r="C3035" i="22"/>
  <c r="E3035" i="22"/>
  <c r="G3035" i="22"/>
  <c r="I3035" i="22"/>
  <c r="B3036" i="22"/>
  <c r="D2980" i="22"/>
  <c r="J2980" i="22"/>
  <c r="P2980" i="22"/>
  <c r="Q2980" i="22"/>
  <c r="R2980" i="22"/>
  <c r="L2981" i="22"/>
  <c r="C2981" i="22"/>
  <c r="E2981" i="22"/>
  <c r="G2981" i="22"/>
  <c r="I2981" i="22"/>
  <c r="B2982" i="22"/>
  <c r="M2926" i="22"/>
  <c r="D2926" i="22"/>
  <c r="J2926" i="22"/>
  <c r="N2926" i="22" s="1"/>
  <c r="U2926" i="22" s="1"/>
  <c r="P2926" i="22"/>
  <c r="Q2926" i="22"/>
  <c r="R2926" i="22"/>
  <c r="L2927" i="22"/>
  <c r="C2927" i="22"/>
  <c r="E2927" i="22"/>
  <c r="G2927" i="22"/>
  <c r="I2927" i="22"/>
  <c r="B2928" i="22"/>
  <c r="M2872" i="22"/>
  <c r="D2872" i="22"/>
  <c r="J2872" i="22"/>
  <c r="N2872" i="22" s="1"/>
  <c r="U2872" i="22" s="1"/>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E2765" i="22"/>
  <c r="G2765" i="22"/>
  <c r="I2765" i="22"/>
  <c r="B2766" i="22"/>
  <c r="M2710" i="22"/>
  <c r="D2710" i="22"/>
  <c r="J2710" i="22"/>
  <c r="N2710" i="22" s="1"/>
  <c r="U2710" i="22" s="1"/>
  <c r="P2710" i="22"/>
  <c r="Q2710" i="22"/>
  <c r="R2710" i="22"/>
  <c r="L2711" i="22"/>
  <c r="C2711" i="22"/>
  <c r="K2711" i="22" s="1"/>
  <c r="E2711" i="22"/>
  <c r="F2711" i="22"/>
  <c r="O2711" i="22" s="1"/>
  <c r="G2711" i="22"/>
  <c r="I2711" i="22"/>
  <c r="B2712" i="22"/>
  <c r="L2657" i="22"/>
  <c r="E2657" i="22"/>
  <c r="G2657" i="22"/>
  <c r="I2657" i="22"/>
  <c r="C2657" i="22"/>
  <c r="B2658" i="22"/>
  <c r="D2656" i="22"/>
  <c r="J2656" i="22"/>
  <c r="P2656" i="22"/>
  <c r="Q2656" i="22"/>
  <c r="R2656" i="22"/>
  <c r="M2602" i="22"/>
  <c r="P2602" i="22"/>
  <c r="Q2602" i="22"/>
  <c r="R2602" i="22"/>
  <c r="L2603" i="22"/>
  <c r="G2603" i="22"/>
  <c r="C2603" i="22"/>
  <c r="E2603" i="22"/>
  <c r="I2603" i="22"/>
  <c r="B2604" i="22"/>
  <c r="J2602" i="22"/>
  <c r="N2602" i="22" s="1"/>
  <c r="U2602" i="22" s="1"/>
  <c r="D2602" i="22"/>
  <c r="M2548" i="22"/>
  <c r="D2548" i="22"/>
  <c r="J2548" i="22"/>
  <c r="N2548" i="22" s="1"/>
  <c r="U2548" i="22" s="1"/>
  <c r="P2548" i="22"/>
  <c r="Q2548" i="22"/>
  <c r="R2548" i="22"/>
  <c r="L2549" i="22"/>
  <c r="C2549" i="22"/>
  <c r="E2549" i="22"/>
  <c r="G2549" i="22"/>
  <c r="I2549" i="22"/>
  <c r="B2550" i="22"/>
  <c r="M2494" i="22"/>
  <c r="D2494" i="22"/>
  <c r="J2494" i="22"/>
  <c r="N2494" i="22" s="1"/>
  <c r="U2494" i="22" s="1"/>
  <c r="P2494" i="22"/>
  <c r="Q2494" i="22"/>
  <c r="R2494" i="22"/>
  <c r="L2495" i="22"/>
  <c r="C2495" i="22"/>
  <c r="E2495" i="22"/>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K2333" i="22" s="1"/>
  <c r="E2333" i="22"/>
  <c r="F2333" i="22"/>
  <c r="O2333" i="22" s="1"/>
  <c r="G2333" i="22"/>
  <c r="I2333" i="22"/>
  <c r="B2334" i="22"/>
  <c r="L2279" i="22"/>
  <c r="I2279" i="22"/>
  <c r="E2279" i="22"/>
  <c r="G2279" i="22"/>
  <c r="B2280" i="22"/>
  <c r="C2279" i="22"/>
  <c r="J2278" i="22"/>
  <c r="D2278" i="22"/>
  <c r="P2278" i="22"/>
  <c r="Q2278" i="22"/>
  <c r="R2278" i="22"/>
  <c r="D2224" i="22"/>
  <c r="J2224" i="22"/>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E2171" i="22"/>
  <c r="G2171" i="22"/>
  <c r="I2171" i="22"/>
  <c r="B2172" i="22"/>
  <c r="M2116" i="22"/>
  <c r="D2116" i="22"/>
  <c r="J2116" i="22"/>
  <c r="N2116" i="22" s="1"/>
  <c r="U2116" i="22" s="1"/>
  <c r="P2116" i="22"/>
  <c r="Q2116" i="22"/>
  <c r="R2116" i="22"/>
  <c r="L2117" i="22"/>
  <c r="C2117" i="22"/>
  <c r="E2117" i="22"/>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E1847" i="22"/>
  <c r="G1847" i="22"/>
  <c r="I1847" i="22"/>
  <c r="B1848" i="22"/>
  <c r="M1792" i="22"/>
  <c r="D1792" i="22"/>
  <c r="J1792" i="22"/>
  <c r="N1792" i="22" s="1"/>
  <c r="U1792" i="22" s="1"/>
  <c r="P1792" i="22"/>
  <c r="Q1792" i="22"/>
  <c r="R1792" i="22"/>
  <c r="L1793" i="22"/>
  <c r="C1793" i="22"/>
  <c r="E1793" i="22"/>
  <c r="G1793" i="22"/>
  <c r="I1793" i="22"/>
  <c r="B1794" i="22"/>
  <c r="M1738" i="22"/>
  <c r="D1738" i="22"/>
  <c r="J1738" i="22"/>
  <c r="N1738" i="22" s="1"/>
  <c r="U1738" i="22" s="1"/>
  <c r="P1738" i="22"/>
  <c r="Q1738" i="22"/>
  <c r="R1738" i="22"/>
  <c r="L1739" i="22"/>
  <c r="C1739" i="22"/>
  <c r="E1739" i="22"/>
  <c r="G1739" i="22"/>
  <c r="I1739" i="22"/>
  <c r="B1740" i="22"/>
  <c r="M1684" i="22"/>
  <c r="D1684" i="22"/>
  <c r="J1684" i="22"/>
  <c r="N1684" i="22" s="1"/>
  <c r="U1684" i="22" s="1"/>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E1577" i="22"/>
  <c r="G1577" i="22"/>
  <c r="I1577" i="22"/>
  <c r="B1578" i="22"/>
  <c r="D1522" i="22"/>
  <c r="J1522" i="22"/>
  <c r="P1522" i="22"/>
  <c r="Q1522" i="22"/>
  <c r="R1522" i="22"/>
  <c r="L1523" i="22"/>
  <c r="C1523" i="22"/>
  <c r="E1523" i="22"/>
  <c r="G1523" i="22"/>
  <c r="I1523" i="22"/>
  <c r="B1524" i="22"/>
  <c r="M1468" i="22"/>
  <c r="D1468" i="22"/>
  <c r="J1468" i="22"/>
  <c r="N1468" i="22" s="1"/>
  <c r="U1468" i="22" s="1"/>
  <c r="P1468" i="22"/>
  <c r="Q1468" i="22"/>
  <c r="R1468" i="22"/>
  <c r="L1469" i="22"/>
  <c r="C1469" i="22"/>
  <c r="E1469" i="22"/>
  <c r="G1469" i="22"/>
  <c r="I1469" i="22"/>
  <c r="B1470" i="22"/>
  <c r="L1415" i="22"/>
  <c r="E1415" i="22"/>
  <c r="G1415" i="22"/>
  <c r="B1416" i="22"/>
  <c r="C1415" i="22"/>
  <c r="I1415" i="22"/>
  <c r="D1414" i="22"/>
  <c r="J1414" i="22"/>
  <c r="P1414" i="22"/>
  <c r="Q1414" i="22"/>
  <c r="R1414" i="22"/>
  <c r="P1360" i="22"/>
  <c r="Q1360" i="22"/>
  <c r="R1360" i="22"/>
  <c r="D1360" i="22"/>
  <c r="J1360" i="22"/>
  <c r="L1361" i="22"/>
  <c r="G1361" i="22"/>
  <c r="I1361" i="22"/>
  <c r="C1361" i="22"/>
  <c r="E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E1199" i="22"/>
  <c r="G1199" i="22"/>
  <c r="I1199" i="22"/>
  <c r="B1200" i="22"/>
  <c r="M1144" i="22"/>
  <c r="D1144" i="22"/>
  <c r="J1144" i="22"/>
  <c r="N1144" i="22" s="1"/>
  <c r="U1144" i="22" s="1"/>
  <c r="P1144" i="22"/>
  <c r="Q1144" i="22"/>
  <c r="R1144" i="22"/>
  <c r="L1145" i="22"/>
  <c r="C1145" i="22"/>
  <c r="E1145" i="22"/>
  <c r="G1145" i="22"/>
  <c r="I1145" i="22"/>
  <c r="B1146" i="22"/>
  <c r="D1090" i="22"/>
  <c r="J1090" i="22"/>
  <c r="P1090" i="22"/>
  <c r="Q1090" i="22"/>
  <c r="R1090" i="22"/>
  <c r="L1091" i="22"/>
  <c r="C1091" i="22"/>
  <c r="K1091" i="22" s="1"/>
  <c r="E1091" i="22"/>
  <c r="F1091" i="22"/>
  <c r="O1091" i="22" s="1"/>
  <c r="G1091" i="22"/>
  <c r="I1091" i="22"/>
  <c r="B1092" i="22"/>
  <c r="D1036" i="22"/>
  <c r="J1036" i="22"/>
  <c r="P1036" i="22"/>
  <c r="Q1036" i="22"/>
  <c r="R1036" i="22"/>
  <c r="L1037" i="22"/>
  <c r="C1037" i="22"/>
  <c r="K1037" i="22" s="1"/>
  <c r="E1037" i="22"/>
  <c r="F1037" i="22"/>
  <c r="O1037" i="22" s="1"/>
  <c r="G1037" i="22"/>
  <c r="I1037" i="22"/>
  <c r="B1038" i="22"/>
  <c r="M982" i="22"/>
  <c r="D982" i="22"/>
  <c r="J982" i="22"/>
  <c r="N982" i="22" s="1"/>
  <c r="U982" i="22" s="1"/>
  <c r="P982" i="22"/>
  <c r="Q982" i="22"/>
  <c r="R982" i="22"/>
  <c r="L983" i="22"/>
  <c r="C983" i="22"/>
  <c r="E983" i="22"/>
  <c r="G983" i="22"/>
  <c r="I983" i="22"/>
  <c r="B984" i="22"/>
  <c r="M928" i="22"/>
  <c r="D928" i="22"/>
  <c r="J928" i="22"/>
  <c r="N928" i="22" s="1"/>
  <c r="U928" i="22" s="1"/>
  <c r="P928" i="22"/>
  <c r="Q928" i="22"/>
  <c r="R928" i="22"/>
  <c r="L929" i="22"/>
  <c r="C929" i="22"/>
  <c r="E929" i="22"/>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E821" i="22"/>
  <c r="G821" i="22"/>
  <c r="I821" i="22"/>
  <c r="B822" i="22"/>
  <c r="D766" i="22"/>
  <c r="J766" i="22"/>
  <c r="P766" i="22"/>
  <c r="Q766" i="22"/>
  <c r="R766" i="22"/>
  <c r="L767" i="22"/>
  <c r="C767" i="22"/>
  <c r="K767" i="22" s="1"/>
  <c r="E767" i="22"/>
  <c r="F767" i="22"/>
  <c r="O767" i="22" s="1"/>
  <c r="G767" i="22"/>
  <c r="I767" i="22"/>
  <c r="B768" i="22"/>
  <c r="D712" i="22"/>
  <c r="J712" i="22"/>
  <c r="P712" i="22"/>
  <c r="Q712" i="22"/>
  <c r="R712" i="22"/>
  <c r="L713" i="22"/>
  <c r="C713" i="22"/>
  <c r="K713" i="22" s="1"/>
  <c r="E713" i="22"/>
  <c r="F713" i="22"/>
  <c r="O713" i="22" s="1"/>
  <c r="G713" i="22"/>
  <c r="I713" i="22"/>
  <c r="B714" i="22"/>
  <c r="D658" i="22"/>
  <c r="J658" i="22"/>
  <c r="P658" i="22"/>
  <c r="Q658" i="22"/>
  <c r="R658" i="22"/>
  <c r="L659" i="22"/>
  <c r="C659" i="22"/>
  <c r="K659" i="22" s="1"/>
  <c r="E659" i="22"/>
  <c r="F659" i="22"/>
  <c r="O659" i="22" s="1"/>
  <c r="G659" i="22"/>
  <c r="I659" i="22"/>
  <c r="B660" i="22"/>
  <c r="D604" i="22"/>
  <c r="J604" i="22"/>
  <c r="P604" i="22"/>
  <c r="Q604" i="22"/>
  <c r="R604" i="22"/>
  <c r="L605" i="22"/>
  <c r="C605" i="22"/>
  <c r="E605" i="22"/>
  <c r="G605" i="22"/>
  <c r="I605" i="22"/>
  <c r="B606" i="22"/>
  <c r="M550" i="22"/>
  <c r="D550" i="22"/>
  <c r="J550" i="22"/>
  <c r="N550" i="22" s="1"/>
  <c r="U550" i="22" s="1"/>
  <c r="P550" i="22"/>
  <c r="Q550" i="22"/>
  <c r="R550" i="22"/>
  <c r="L551" i="22"/>
  <c r="C551" i="22"/>
  <c r="E551" i="22"/>
  <c r="G551" i="22"/>
  <c r="I551" i="22"/>
  <c r="B552" i="22"/>
  <c r="M496" i="22"/>
  <c r="D496" i="22"/>
  <c r="J496" i="22"/>
  <c r="N496" i="22" s="1"/>
  <c r="U496" i="22" s="1"/>
  <c r="P496" i="22"/>
  <c r="Q496" i="22"/>
  <c r="R496" i="22"/>
  <c r="L497" i="22"/>
  <c r="C497" i="22"/>
  <c r="E497" i="22"/>
  <c r="G497" i="22"/>
  <c r="I497" i="22"/>
  <c r="B498" i="22"/>
  <c r="M442" i="22"/>
  <c r="D442" i="22"/>
  <c r="J442" i="22"/>
  <c r="N442" i="22" s="1"/>
  <c r="U442" i="22" s="1"/>
  <c r="P442" i="22"/>
  <c r="Q442" i="22"/>
  <c r="R442" i="22"/>
  <c r="L443" i="22"/>
  <c r="I443" i="22"/>
  <c r="C443" i="22"/>
  <c r="E443" i="22"/>
  <c r="G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D280" i="22"/>
  <c r="J280" i="22"/>
  <c r="P280" i="22"/>
  <c r="Q280" i="22"/>
  <c r="R280" i="22"/>
  <c r="L281" i="22"/>
  <c r="C281" i="22"/>
  <c r="K281" i="22" s="1"/>
  <c r="E281" i="22"/>
  <c r="F281" i="22"/>
  <c r="O281" i="22" s="1"/>
  <c r="G281" i="22"/>
  <c r="I281" i="22"/>
  <c r="B282" i="22"/>
  <c r="D226" i="22"/>
  <c r="J226" i="22"/>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P118" i="22"/>
  <c r="Q118" i="22"/>
  <c r="R118" i="22"/>
  <c r="L119" i="22"/>
  <c r="C119" i="22"/>
  <c r="E119" i="22"/>
  <c r="G119" i="22"/>
  <c r="I119" i="22"/>
  <c r="B120" i="22"/>
  <c r="J118" i="22"/>
  <c r="D118" i="22"/>
  <c r="C106" i="12"/>
  <c r="F55" i="18"/>
  <c r="G55" i="18"/>
  <c r="H55" i="18"/>
  <c r="U55" i="17"/>
  <c r="C107" i="12" s="1"/>
  <c r="F53" i="12"/>
  <c r="M107" i="12"/>
  <c r="Q107" i="12" s="1"/>
  <c r="O107" i="12"/>
  <c r="M56" i="17"/>
  <c r="D56" i="17"/>
  <c r="J56" i="17"/>
  <c r="N56" i="17" s="1"/>
  <c r="N108" i="12"/>
  <c r="O56" i="17"/>
  <c r="E108" i="12"/>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G57" i="17"/>
  <c r="B58" i="17"/>
  <c r="C57" i="17"/>
  <c r="E57" i="17"/>
  <c r="I57" i="17"/>
  <c r="L57" i="17"/>
  <c r="B57" i="18"/>
  <c r="L105" i="8"/>
  <c r="L107" i="8"/>
  <c r="AD1516" i="23"/>
  <c r="AE1516" i="23"/>
  <c r="AD1515" i="23"/>
  <c r="AE1515" i="23"/>
  <c r="AD1514" i="23"/>
  <c r="AE1514" i="23"/>
  <c r="AD1513" i="23"/>
  <c r="AE1513" i="23"/>
  <c r="AD1512" i="23"/>
  <c r="AE1512" i="23"/>
  <c r="AD1511" i="23"/>
  <c r="AE1511" i="23"/>
  <c r="AD1510" i="23"/>
  <c r="AE1510" i="23"/>
  <c r="AD1509" i="23"/>
  <c r="AE1509" i="23"/>
  <c r="AD1508" i="23"/>
  <c r="AE1508" i="23"/>
  <c r="AD1507" i="23"/>
  <c r="AE1507" i="23"/>
  <c r="AE1506" i="23"/>
  <c r="AD1506" i="23"/>
  <c r="H1530" i="23" s="1"/>
  <c r="N1530" i="23"/>
  <c r="L1530" i="23"/>
  <c r="K1530" i="23"/>
  <c r="I1530" i="23"/>
  <c r="J1530" i="23" s="1"/>
  <c r="G1530"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H1474" i="23"/>
  <c r="L1474" i="23"/>
  <c r="G1474" i="23"/>
  <c r="I1474" i="23"/>
  <c r="J1474" i="23" s="1"/>
  <c r="K1474" i="23"/>
  <c r="N1474" i="23"/>
  <c r="AD1404" i="23"/>
  <c r="AD1403" i="23"/>
  <c r="AD1402" i="23"/>
  <c r="AD1395" i="23"/>
  <c r="AD1394" i="23"/>
  <c r="N1418" i="23"/>
  <c r="K1418" i="23"/>
  <c r="I1418" i="23"/>
  <c r="J1418" i="23" s="1"/>
  <c r="G1418" i="23"/>
  <c r="L1418" i="23"/>
  <c r="AD1396" i="23"/>
  <c r="AD1397" i="23"/>
  <c r="AD1398" i="23"/>
  <c r="AD1399" i="23"/>
  <c r="AD1400" i="23"/>
  <c r="AD1401" i="23"/>
  <c r="AE1347" i="23"/>
  <c r="AE1342" i="23"/>
  <c r="AE1341" i="23"/>
  <c r="AE1338" i="23"/>
  <c r="AE1339" i="23"/>
  <c r="AE1340" i="23"/>
  <c r="AE1343" i="23"/>
  <c r="AE1344" i="23"/>
  <c r="AE1345" i="23"/>
  <c r="AE1346" i="23"/>
  <c r="AE1348" i="23"/>
  <c r="AD1180" i="23"/>
  <c r="AD1179" i="23"/>
  <c r="AD1178" i="23"/>
  <c r="AD1177" i="23"/>
  <c r="AD1176" i="23"/>
  <c r="AD1175" i="23"/>
  <c r="AD1174" i="23"/>
  <c r="AD1172" i="23"/>
  <c r="AD1173" i="23"/>
  <c r="G1194" i="23"/>
  <c r="I1194" i="23"/>
  <c r="J1194" i="23" s="1"/>
  <c r="K1194" i="23"/>
  <c r="L1194" i="23"/>
  <c r="N1194" i="23"/>
  <c r="AD1170" i="23"/>
  <c r="AD1171" i="23"/>
  <c r="AE1123" i="23"/>
  <c r="AE1119" i="23"/>
  <c r="AE1117" i="23"/>
  <c r="AE1115" i="23"/>
  <c r="AE1116" i="23"/>
  <c r="AE1114" i="23"/>
  <c r="AE1118" i="23"/>
  <c r="AE1121" i="23"/>
  <c r="AE1120" i="23"/>
  <c r="AE1122" i="23"/>
  <c r="AE1124" i="23"/>
  <c r="AD1068" i="23"/>
  <c r="AD1067" i="23"/>
  <c r="AD1066" i="23"/>
  <c r="AD1065" i="23"/>
  <c r="AD1064" i="23"/>
  <c r="AD1063" i="23"/>
  <c r="AD1062" i="23"/>
  <c r="AD1061" i="23"/>
  <c r="I1082" i="23"/>
  <c r="J1082" i="23" s="1"/>
  <c r="K1082" i="23"/>
  <c r="L1082" i="23"/>
  <c r="G1082" i="23"/>
  <c r="N1082" i="23"/>
  <c r="AD1058" i="23"/>
  <c r="AD1059" i="23"/>
  <c r="AD1060" i="23"/>
  <c r="AD1012" i="23"/>
  <c r="AD1011" i="23"/>
  <c r="AD1010" i="23"/>
  <c r="AD1009" i="23"/>
  <c r="AD1008" i="23"/>
  <c r="AD1007" i="23"/>
  <c r="AD1006" i="23"/>
  <c r="AD1005" i="23"/>
  <c r="AD1004" i="23"/>
  <c r="AD1003" i="23"/>
  <c r="AD1002" i="23"/>
  <c r="N1026" i="23"/>
  <c r="L1026" i="23"/>
  <c r="K1026" i="23"/>
  <c r="I1026" i="23"/>
  <c r="J1026" i="23" s="1"/>
  <c r="H1026" i="23"/>
  <c r="G1026" i="23"/>
  <c r="AD956" i="23"/>
  <c r="AD955" i="23"/>
  <c r="AD954" i="23"/>
  <c r="AD953" i="23"/>
  <c r="AD948" i="23"/>
  <c r="AD947" i="23"/>
  <c r="AD946" i="23"/>
  <c r="N970" i="23"/>
  <c r="L970" i="23"/>
  <c r="K970" i="23"/>
  <c r="I970" i="23"/>
  <c r="J970" i="23" s="1"/>
  <c r="G970" i="23"/>
  <c r="AD949" i="23"/>
  <c r="AD950" i="23"/>
  <c r="AD951" i="23"/>
  <c r="AD952" i="23"/>
  <c r="AE896" i="23"/>
  <c r="AE894" i="23"/>
  <c r="AE892" i="23"/>
  <c r="AE891" i="23"/>
  <c r="AE890" i="23"/>
  <c r="AE895" i="23"/>
  <c r="AE897" i="23"/>
  <c r="AE898" i="23"/>
  <c r="AE893" i="23"/>
  <c r="AE899" i="23"/>
  <c r="AE900" i="23"/>
  <c r="AD788" i="23"/>
  <c r="AD787" i="23"/>
  <c r="AD786" i="23"/>
  <c r="AD785" i="23"/>
  <c r="AD784" i="23"/>
  <c r="AD783" i="23"/>
  <c r="AD782" i="23"/>
  <c r="AD781" i="23"/>
  <c r="AD780" i="23"/>
  <c r="AD779" i="23"/>
  <c r="AD778" i="23"/>
  <c r="N802" i="23"/>
  <c r="L802" i="23"/>
  <c r="K802" i="23"/>
  <c r="I802" i="23"/>
  <c r="J802" i="23" s="1"/>
  <c r="H802" i="23"/>
  <c r="G802" i="23"/>
  <c r="AH733" i="23"/>
  <c r="M49" i="8"/>
  <c r="E746" i="23"/>
  <c r="K746" i="23"/>
  <c r="J746" i="23"/>
  <c r="L17" i="8" s="1"/>
  <c r="K17" i="8"/>
  <c r="AD620" i="23"/>
  <c r="AD619" i="23"/>
  <c r="AD618" i="23"/>
  <c r="AD617" i="23"/>
  <c r="AD616" i="23"/>
  <c r="AD615" i="23"/>
  <c r="AD614" i="23"/>
  <c r="AD613" i="23"/>
  <c r="AD612" i="23"/>
  <c r="AD611" i="23"/>
  <c r="AD610" i="23"/>
  <c r="N634" i="23"/>
  <c r="L634" i="23"/>
  <c r="K634" i="23"/>
  <c r="I634" i="23"/>
  <c r="J634" i="23" s="1"/>
  <c r="H634" i="23"/>
  <c r="G634" i="23"/>
  <c r="G104" i="12"/>
  <c r="AI1629" i="23"/>
  <c r="M104" i="8"/>
  <c r="C141" i="8"/>
  <c r="AD509" i="23"/>
  <c r="AD508" i="23"/>
  <c r="AD507" i="23"/>
  <c r="AD506" i="23"/>
  <c r="AD505" i="23"/>
  <c r="AD504" i="23"/>
  <c r="AD503" i="23"/>
  <c r="AD502" i="23"/>
  <c r="AD501" i="23"/>
  <c r="G522" i="23"/>
  <c r="I522" i="23"/>
  <c r="J522" i="23" s="1"/>
  <c r="K522" i="23"/>
  <c r="L522" i="23"/>
  <c r="N522" i="23"/>
  <c r="AD498" i="23"/>
  <c r="AD499" i="23"/>
  <c r="AD500" i="23"/>
  <c r="P106" i="12"/>
  <c r="Q106" i="12" s="1"/>
  <c r="M1464" i="23"/>
  <c r="N1464" i="23"/>
  <c r="AE1464" i="23" s="1"/>
  <c r="M1408" i="23"/>
  <c r="N1408" i="23"/>
  <c r="AE1408" i="23" s="1"/>
  <c r="M1352" i="23"/>
  <c r="N1352" i="23"/>
  <c r="AE1352" i="23" s="1"/>
  <c r="M1296" i="23"/>
  <c r="N1296" i="23"/>
  <c r="AE1296" i="23" s="1"/>
  <c r="M1128" i="23"/>
  <c r="N1128" i="23"/>
  <c r="AE1128" i="23" s="1"/>
  <c r="N1072" i="23"/>
  <c r="AE1072" i="23" s="1"/>
  <c r="M1072" i="23"/>
  <c r="M1016" i="23"/>
  <c r="N1016" i="23"/>
  <c r="AE1016" i="23" s="1"/>
  <c r="M960" i="23"/>
  <c r="N960" i="23"/>
  <c r="AE960" i="23" s="1"/>
  <c r="M736" i="23"/>
  <c r="N736" i="23"/>
  <c r="AE736" i="23" s="1"/>
  <c r="M3573" i="22"/>
  <c r="N3573" i="22"/>
  <c r="U3573" i="22" s="1"/>
  <c r="M3411" i="22"/>
  <c r="N3411" i="22"/>
  <c r="U3411" i="22" s="1"/>
  <c r="M3357" i="22"/>
  <c r="N3357" i="22"/>
  <c r="U3357" i="22" s="1"/>
  <c r="M3249" i="22"/>
  <c r="N3249" i="22"/>
  <c r="U3249" i="22" s="1"/>
  <c r="M3087" i="22"/>
  <c r="N3087" i="22"/>
  <c r="U3087" i="22" s="1"/>
  <c r="M2979" i="22"/>
  <c r="N2979" i="22"/>
  <c r="U2979" i="22" s="1"/>
  <c r="M2655" i="22"/>
  <c r="N2655" i="22"/>
  <c r="U2655" i="22" s="1"/>
  <c r="M2601" i="22"/>
  <c r="N2601" i="22"/>
  <c r="U2601" i="22" s="1"/>
  <c r="M2547" i="22"/>
  <c r="N2547" i="22"/>
  <c r="U2547" i="22" s="1"/>
  <c r="N2277" i="22"/>
  <c r="U2277" i="22" s="1"/>
  <c r="M2277" i="22"/>
  <c r="M2223" i="22"/>
  <c r="N2223" i="22"/>
  <c r="U2223" i="22" s="1"/>
  <c r="M1413" i="22"/>
  <c r="N1413" i="22"/>
  <c r="U1413" i="22" s="1"/>
  <c r="N1359" i="22"/>
  <c r="U1359" i="22" s="1"/>
  <c r="M1359" i="22"/>
  <c r="M1035" i="22"/>
  <c r="N1035" i="22"/>
  <c r="U1035" i="22" s="1"/>
  <c r="M981" i="22"/>
  <c r="N981" i="22"/>
  <c r="U981" i="22" s="1"/>
  <c r="M927" i="22"/>
  <c r="N927" i="22"/>
  <c r="U927" i="22" s="1"/>
  <c r="M711" i="22"/>
  <c r="N711" i="22"/>
  <c r="U711" i="22" s="1"/>
  <c r="M657" i="22"/>
  <c r="N657" i="22"/>
  <c r="U657" i="22" s="1"/>
  <c r="M603" i="22"/>
  <c r="N603" i="22"/>
  <c r="U603" i="22" s="1"/>
  <c r="M549" i="22"/>
  <c r="N549" i="22"/>
  <c r="U549" i="22" s="1"/>
  <c r="N495" i="22"/>
  <c r="U495" i="22" s="1"/>
  <c r="M495" i="22"/>
  <c r="M225" i="22"/>
  <c r="N225" i="22"/>
  <c r="U225" i="22" s="1"/>
  <c r="M171" i="22"/>
  <c r="N171" i="22"/>
  <c r="U171" i="22" s="1"/>
  <c r="M117" i="22"/>
  <c r="N117" i="22"/>
  <c r="U117" i="22" s="1"/>
  <c r="K1577" i="23"/>
  <c r="F1577" i="23"/>
  <c r="O1577" i="23" s="1"/>
  <c r="F1521" i="23"/>
  <c r="O1521" i="23" s="1"/>
  <c r="K1521" i="23"/>
  <c r="F1465" i="23"/>
  <c r="O1465" i="23" s="1"/>
  <c r="K1465" i="23"/>
  <c r="K1409" i="23"/>
  <c r="F1409" i="23"/>
  <c r="O1409" i="23" s="1"/>
  <c r="K1353" i="23"/>
  <c r="F1353" i="23"/>
  <c r="O1353" i="23" s="1"/>
  <c r="K1185" i="23"/>
  <c r="F1185" i="23"/>
  <c r="O1185" i="23" s="1"/>
  <c r="K1129" i="23"/>
  <c r="F1129" i="23"/>
  <c r="O1129" i="23" s="1"/>
  <c r="K1073" i="23"/>
  <c r="F1073" i="23"/>
  <c r="O1073" i="23" s="1"/>
  <c r="F1017" i="23"/>
  <c r="O1017" i="23" s="1"/>
  <c r="K1017" i="23"/>
  <c r="K737" i="23"/>
  <c r="F737" i="23"/>
  <c r="O737" i="23" s="1"/>
  <c r="K681" i="23"/>
  <c r="F681" i="23"/>
  <c r="O681" i="23" s="1"/>
  <c r="K457" i="23"/>
  <c r="F457" i="23"/>
  <c r="O457" i="23" s="1"/>
  <c r="F345" i="23"/>
  <c r="O345" i="23" s="1"/>
  <c r="K345" i="23"/>
  <c r="K4714" i="22"/>
  <c r="F4714" i="22"/>
  <c r="K4198" i="22"/>
  <c r="F4198" i="22"/>
  <c r="O4198" i="22" s="1"/>
  <c r="K4144" i="22"/>
  <c r="F4144" i="22"/>
  <c r="O4144" i="22" s="1"/>
  <c r="F3790" i="22"/>
  <c r="O3790" i="22" s="1"/>
  <c r="K3790" i="22"/>
  <c r="K3574" i="22"/>
  <c r="F3574" i="22"/>
  <c r="O3574" i="22" s="1"/>
  <c r="K3466" i="22"/>
  <c r="F3466" i="22"/>
  <c r="O3466" i="22" s="1"/>
  <c r="K3412" i="22"/>
  <c r="F3412" i="22"/>
  <c r="O3412" i="22" s="1"/>
  <c r="F3088" i="22"/>
  <c r="O3088" i="22" s="1"/>
  <c r="K3088" i="22"/>
  <c r="K2980" i="22"/>
  <c r="F2980" i="22"/>
  <c r="O2980" i="22" s="1"/>
  <c r="K2656" i="22"/>
  <c r="F2656" i="22"/>
  <c r="O2656" i="22" s="1"/>
  <c r="K2278" i="22"/>
  <c r="F2278" i="22"/>
  <c r="O2278" i="22" s="1"/>
  <c r="K2224" i="22"/>
  <c r="F2224" i="22"/>
  <c r="O2224" i="22" s="1"/>
  <c r="K1522" i="22"/>
  <c r="F1522" i="22"/>
  <c r="O1522" i="22" s="1"/>
  <c r="F1414" i="22"/>
  <c r="O1414" i="22" s="1"/>
  <c r="K1414" i="22"/>
  <c r="F1360" i="22"/>
  <c r="O1360" i="22" s="1"/>
  <c r="K1360" i="22"/>
  <c r="K1090" i="22"/>
  <c r="F1090" i="22"/>
  <c r="O1090" i="22" s="1"/>
  <c r="K1036" i="22"/>
  <c r="F1036" i="22"/>
  <c r="O1036" i="22" s="1"/>
  <c r="F766" i="22"/>
  <c r="O766" i="22" s="1"/>
  <c r="K766" i="22"/>
  <c r="F712" i="22"/>
  <c r="O712" i="22" s="1"/>
  <c r="K712" i="22"/>
  <c r="K658" i="22"/>
  <c r="F658" i="22"/>
  <c r="O658" i="22" s="1"/>
  <c r="K604" i="22"/>
  <c r="F604" i="22"/>
  <c r="O604" i="22" s="1"/>
  <c r="F280" i="22"/>
  <c r="O280" i="22" s="1"/>
  <c r="K280" i="22"/>
  <c r="F226" i="22"/>
  <c r="O226" i="22" s="1"/>
  <c r="K226" i="22"/>
  <c r="F118" i="22"/>
  <c r="O118" i="22" s="1"/>
  <c r="K118" i="22"/>
  <c r="AE834" i="23"/>
  <c r="AE835" i="23"/>
  <c r="AE836" i="23"/>
  <c r="AE837" i="23"/>
  <c r="AE838" i="23"/>
  <c r="AE839" i="23"/>
  <c r="AE840" i="23"/>
  <c r="AE841" i="23"/>
  <c r="AE842" i="23"/>
  <c r="AE843" i="23"/>
  <c r="AE844" i="23"/>
  <c r="AE845" i="23"/>
  <c r="AE725" i="23"/>
  <c r="AE728" i="23"/>
  <c r="AE726" i="23"/>
  <c r="AE724" i="23"/>
  <c r="M746" i="23"/>
  <c r="P17" i="8" s="1"/>
  <c r="E55" i="19" s="1"/>
  <c r="G55" i="19" s="1"/>
  <c r="N17" i="8"/>
  <c r="AE723" i="23"/>
  <c r="AE730" i="23"/>
  <c r="AE732" i="23"/>
  <c r="AE731" i="23"/>
  <c r="AE729" i="23"/>
  <c r="AE727" i="23"/>
  <c r="AE722" i="23"/>
  <c r="M17" i="8"/>
  <c r="AE442" i="23"/>
  <c r="AE450" i="23"/>
  <c r="AE446" i="23"/>
  <c r="AE448" i="23"/>
  <c r="AE452" i="23"/>
  <c r="AE449" i="23"/>
  <c r="AE445" i="23"/>
  <c r="AE443" i="23"/>
  <c r="AE444" i="23"/>
  <c r="AE451" i="23"/>
  <c r="AE453" i="23"/>
  <c r="AE447" i="23"/>
  <c r="AE1226" i="23"/>
  <c r="AE1227" i="23"/>
  <c r="AE1228" i="23"/>
  <c r="AE1229" i="23"/>
  <c r="AE1230" i="23"/>
  <c r="AE1231" i="23"/>
  <c r="AE1232" i="23"/>
  <c r="AE1233" i="23"/>
  <c r="AE1234" i="23"/>
  <c r="AE1235" i="23"/>
  <c r="AE1236" i="23"/>
  <c r="AE1237" i="23"/>
  <c r="AE562" i="23"/>
  <c r="AE563" i="23"/>
  <c r="AE564" i="23"/>
  <c r="AE561" i="23"/>
  <c r="AE560" i="23"/>
  <c r="AE559" i="23"/>
  <c r="AE558" i="23"/>
  <c r="AE557" i="23"/>
  <c r="AE556" i="23"/>
  <c r="AE555" i="23"/>
  <c r="AE554" i="23"/>
  <c r="AE565" i="23"/>
  <c r="AE397" i="23"/>
  <c r="AE396" i="23"/>
  <c r="AE395" i="23"/>
  <c r="AE394" i="23"/>
  <c r="AE393" i="23"/>
  <c r="AE392" i="23"/>
  <c r="AE391" i="23"/>
  <c r="AE390" i="23"/>
  <c r="AE389" i="23"/>
  <c r="AE387" i="23"/>
  <c r="AE386" i="23"/>
  <c r="AE388" i="23"/>
  <c r="AE1284" i="23"/>
  <c r="AE1285" i="23"/>
  <c r="AE1286" i="23"/>
  <c r="AE1287" i="23"/>
  <c r="AE1288" i="23"/>
  <c r="AE1289" i="23"/>
  <c r="AE1290" i="23"/>
  <c r="AE1291" i="23"/>
  <c r="AE1292" i="23"/>
  <c r="AE1283" i="23"/>
  <c r="AE1282" i="23"/>
  <c r="AE1293" i="23"/>
  <c r="AE341" i="23"/>
  <c r="AE332" i="23"/>
  <c r="AE331" i="23"/>
  <c r="AE335" i="23"/>
  <c r="AE334" i="23"/>
  <c r="AE333" i="23"/>
  <c r="AE330" i="23"/>
  <c r="AE340" i="23"/>
  <c r="AE339" i="23"/>
  <c r="AE338" i="23"/>
  <c r="AE337" i="23"/>
  <c r="AE336" i="23"/>
  <c r="AE279" i="23"/>
  <c r="AE281" i="23"/>
  <c r="AE282" i="23"/>
  <c r="AE283" i="23"/>
  <c r="AE284" i="23"/>
  <c r="AE285" i="23"/>
  <c r="AE277" i="23"/>
  <c r="AE274" i="23"/>
  <c r="AE278" i="23"/>
  <c r="AE280" i="23"/>
  <c r="AE276" i="23"/>
  <c r="AE275" i="23"/>
  <c r="H1418" i="23" l="1"/>
  <c r="H1194" i="23"/>
  <c r="H1082" i="23"/>
  <c r="H970" i="23"/>
  <c r="H522" i="23"/>
  <c r="F1130" i="23"/>
  <c r="O1130" i="23" s="1"/>
  <c r="K1130" i="23"/>
  <c r="K794" i="23"/>
  <c r="F794" i="23"/>
  <c r="O794" i="23" s="1"/>
  <c r="K514" i="23"/>
  <c r="F514" i="23"/>
  <c r="O514" i="23" s="1"/>
  <c r="K458" i="23"/>
  <c r="F458" i="23"/>
  <c r="O458" i="23" s="1"/>
  <c r="K346" i="23"/>
  <c r="F346" i="23"/>
  <c r="O346" i="23" s="1"/>
  <c r="K4553" i="22"/>
  <c r="F4553" i="22"/>
  <c r="K3521" i="22"/>
  <c r="F3521" i="22"/>
  <c r="O3521" i="22" s="1"/>
  <c r="K3089" i="22"/>
  <c r="F3089" i="22"/>
  <c r="O3089" i="22" s="1"/>
  <c r="K2927" i="22"/>
  <c r="F2927" i="22"/>
  <c r="O2927" i="22" s="1"/>
  <c r="K2873" i="22"/>
  <c r="F2873" i="22"/>
  <c r="O2873" i="22" s="1"/>
  <c r="K2819" i="22"/>
  <c r="F2819" i="22"/>
  <c r="O2819" i="22" s="1"/>
  <c r="K2765" i="22"/>
  <c r="F2765" i="22"/>
  <c r="O2765" i="22" s="1"/>
  <c r="K2495" i="22"/>
  <c r="F2495" i="22"/>
  <c r="O2495" i="22" s="1"/>
  <c r="K1847" i="22"/>
  <c r="F1847" i="22"/>
  <c r="O1847" i="22" s="1"/>
  <c r="K1577" i="22"/>
  <c r="F1577" i="22"/>
  <c r="O1577" i="22" s="1"/>
  <c r="K1523" i="22"/>
  <c r="F1523" i="22"/>
  <c r="O1523" i="22" s="1"/>
  <c r="K1199" i="22"/>
  <c r="F1199" i="22"/>
  <c r="O1199" i="22" s="1"/>
  <c r="K1145" i="22"/>
  <c r="F1145" i="22"/>
  <c r="O1145" i="22" s="1"/>
  <c r="K821" i="22"/>
  <c r="F821" i="22"/>
  <c r="O821" i="22" s="1"/>
  <c r="M1634" i="23"/>
  <c r="J1634" i="23"/>
  <c r="N1634" i="23" s="1"/>
  <c r="AE1634" i="23" s="1"/>
  <c r="D1634" i="23"/>
  <c r="P1634" i="23"/>
  <c r="Q1634" i="23"/>
  <c r="R1634" i="23"/>
  <c r="I1635" i="23"/>
  <c r="L1635" i="23"/>
  <c r="C1635" i="23"/>
  <c r="K1635" i="23" s="1"/>
  <c r="E1635" i="23"/>
  <c r="F1635" i="23"/>
  <c r="O1635" i="23" s="1"/>
  <c r="G1635" i="23"/>
  <c r="B1636" i="23"/>
  <c r="J1578" i="23"/>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K1523" i="23" s="1"/>
  <c r="E1523" i="23"/>
  <c r="F1523" i="23"/>
  <c r="O1523" i="23" s="1"/>
  <c r="G1523" i="23"/>
  <c r="B1524" i="23"/>
  <c r="L1467" i="23"/>
  <c r="I1467" i="23"/>
  <c r="G1467" i="23"/>
  <c r="C1467" i="23"/>
  <c r="E1467" i="23"/>
  <c r="B1468" i="23"/>
  <c r="J1466" i="23"/>
  <c r="D1466" i="23"/>
  <c r="P1466" i="23"/>
  <c r="Q1466" i="23"/>
  <c r="R1466" i="23"/>
  <c r="P1410" i="23"/>
  <c r="Q1410" i="23"/>
  <c r="R1410" i="23"/>
  <c r="L1411" i="23"/>
  <c r="I1411" i="23"/>
  <c r="E1411" i="23"/>
  <c r="B1412" i="23"/>
  <c r="C1411" i="23"/>
  <c r="K1411" i="23" s="1"/>
  <c r="F1411" i="23"/>
  <c r="O1411" i="23" s="1"/>
  <c r="G1411" i="23"/>
  <c r="J1410" i="23"/>
  <c r="D1410" i="23"/>
  <c r="L1355" i="23"/>
  <c r="I1355" i="23"/>
  <c r="B1356" i="23"/>
  <c r="C1355" i="23"/>
  <c r="K1355" i="23" s="1"/>
  <c r="E1355" i="23"/>
  <c r="F1355" i="23"/>
  <c r="O1355" i="23" s="1"/>
  <c r="G1355" i="23"/>
  <c r="J1354" i="23"/>
  <c r="D1354" i="23"/>
  <c r="P1354" i="23"/>
  <c r="Q1354" i="23"/>
  <c r="R1354" i="23"/>
  <c r="M1298" i="23"/>
  <c r="J1298" i="23"/>
  <c r="N1298" i="23" s="1"/>
  <c r="AE1298" i="23" s="1"/>
  <c r="D1298" i="23"/>
  <c r="P1298" i="23"/>
  <c r="Q1298" i="23"/>
  <c r="R1298" i="23"/>
  <c r="L1299" i="23"/>
  <c r="I1299" i="23"/>
  <c r="C1299" i="23"/>
  <c r="K1299" i="23" s="1"/>
  <c r="E1299" i="23"/>
  <c r="F1299" i="23"/>
  <c r="O1299" i="23" s="1"/>
  <c r="G1299" i="23"/>
  <c r="B1300" i="23"/>
  <c r="J1242" i="23"/>
  <c r="D1242" i="23"/>
  <c r="P1242" i="23"/>
  <c r="Q1242" i="23"/>
  <c r="R1242" i="23"/>
  <c r="L1243" i="23"/>
  <c r="I1243" i="23"/>
  <c r="C1243" i="23"/>
  <c r="E1243" i="23"/>
  <c r="G1243" i="23"/>
  <c r="B1244" i="23"/>
  <c r="M1186" i="23"/>
  <c r="J1186" i="23"/>
  <c r="N1186" i="23" s="1"/>
  <c r="AE1186" i="23" s="1"/>
  <c r="D1186" i="23"/>
  <c r="P1186" i="23"/>
  <c r="Q1186" i="23"/>
  <c r="R1186" i="23"/>
  <c r="L1187" i="23"/>
  <c r="I1187" i="23"/>
  <c r="G1187" i="23"/>
  <c r="C1187" i="23"/>
  <c r="E1187" i="23"/>
  <c r="B1188" i="23"/>
  <c r="M1130" i="23"/>
  <c r="L1131" i="23"/>
  <c r="I1131" i="23"/>
  <c r="C1131" i="23"/>
  <c r="E1131" i="23"/>
  <c r="G1131" i="23"/>
  <c r="B1132" i="23"/>
  <c r="J1130" i="23"/>
  <c r="N1130" i="23" s="1"/>
  <c r="AE1130" i="23" s="1"/>
  <c r="D1130" i="23"/>
  <c r="P1130" i="23"/>
  <c r="Q1130" i="23"/>
  <c r="R1130" i="23"/>
  <c r="P1074" i="23"/>
  <c r="Q1074" i="23"/>
  <c r="R1074" i="23"/>
  <c r="L1075" i="23"/>
  <c r="I1075" i="23"/>
  <c r="C1075" i="23"/>
  <c r="E1075" i="23"/>
  <c r="G1075" i="23"/>
  <c r="B1076" i="23"/>
  <c r="J1074" i="23"/>
  <c r="D1074" i="23"/>
  <c r="M1018" i="23"/>
  <c r="J1018" i="23"/>
  <c r="N1018" i="23" s="1"/>
  <c r="AE1018" i="23" s="1"/>
  <c r="D1018" i="23"/>
  <c r="P1018" i="23"/>
  <c r="Q1018" i="23"/>
  <c r="R1018" i="23"/>
  <c r="L1019" i="23"/>
  <c r="I1019" i="23"/>
  <c r="C1019" i="23"/>
  <c r="E1019" i="23"/>
  <c r="G1019" i="23"/>
  <c r="B1020" i="23"/>
  <c r="J962" i="23"/>
  <c r="D962" i="23"/>
  <c r="P962" i="23"/>
  <c r="Q962" i="23"/>
  <c r="R962" i="23"/>
  <c r="L963" i="23"/>
  <c r="I963" i="23"/>
  <c r="C963" i="23"/>
  <c r="K963" i="23" s="1"/>
  <c r="E963" i="23"/>
  <c r="F963" i="23"/>
  <c r="O963" i="23" s="1"/>
  <c r="G963" i="23"/>
  <c r="B964" i="23"/>
  <c r="J906" i="23"/>
  <c r="D906" i="23"/>
  <c r="P906" i="23"/>
  <c r="Q906" i="23"/>
  <c r="R906" i="23"/>
  <c r="L907" i="23"/>
  <c r="I907" i="23"/>
  <c r="C907" i="23"/>
  <c r="E907" i="23"/>
  <c r="G907" i="23"/>
  <c r="B908" i="23"/>
  <c r="M850" i="23"/>
  <c r="J850" i="23"/>
  <c r="N850" i="23" s="1"/>
  <c r="AE850" i="23" s="1"/>
  <c r="D850" i="23"/>
  <c r="P850" i="23"/>
  <c r="Q850" i="23"/>
  <c r="R850" i="23"/>
  <c r="L851" i="23"/>
  <c r="I851" i="23"/>
  <c r="C851" i="23"/>
  <c r="E851" i="23"/>
  <c r="G851" i="23"/>
  <c r="B852" i="23"/>
  <c r="M794" i="23"/>
  <c r="J794" i="23"/>
  <c r="N794" i="23" s="1"/>
  <c r="AE794" i="23" s="1"/>
  <c r="D794" i="23"/>
  <c r="P794" i="23"/>
  <c r="Q794" i="23"/>
  <c r="R794" i="23"/>
  <c r="L795" i="23"/>
  <c r="I795" i="23"/>
  <c r="C795" i="23"/>
  <c r="E795" i="23"/>
  <c r="G795" i="23"/>
  <c r="B796" i="23"/>
  <c r="M738" i="23"/>
  <c r="J738" i="23"/>
  <c r="N738" i="23" s="1"/>
  <c r="AE738" i="23" s="1"/>
  <c r="D738" i="23"/>
  <c r="P738" i="23"/>
  <c r="Q738" i="23"/>
  <c r="R738" i="23"/>
  <c r="L739" i="23"/>
  <c r="I739" i="23"/>
  <c r="C739" i="23"/>
  <c r="K739" i="23" s="1"/>
  <c r="E739" i="23"/>
  <c r="F739" i="23"/>
  <c r="O739" i="23" s="1"/>
  <c r="G739" i="23"/>
  <c r="B740" i="23"/>
  <c r="J682" i="23"/>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E459" i="23"/>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P4769" i="22"/>
  <c r="Q4769" i="22"/>
  <c r="R4769" i="22"/>
  <c r="G4770" i="22"/>
  <c r="I4770" i="22"/>
  <c r="L4770" i="22"/>
  <c r="B4771" i="22"/>
  <c r="C4770" i="22"/>
  <c r="E4770" i="22"/>
  <c r="F4770" i="22"/>
  <c r="K4770" i="22"/>
  <c r="J4769" i="22"/>
  <c r="D4769" i="22"/>
  <c r="M4769" i="22"/>
  <c r="N4769" i="22"/>
  <c r="P109" i="12" s="1"/>
  <c r="U4714" i="22"/>
  <c r="S4714" i="22"/>
  <c r="M4715" i="22"/>
  <c r="D4715" i="22"/>
  <c r="J4715" i="22"/>
  <c r="N4715" i="22" s="1"/>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E4554" i="22"/>
  <c r="G4554" i="22"/>
  <c r="I4554" i="22"/>
  <c r="B4555" i="22"/>
  <c r="D4253" i="22"/>
  <c r="J4253" i="22"/>
  <c r="N4253" i="22" s="1"/>
  <c r="U4253" i="22" s="1"/>
  <c r="P4253" i="22"/>
  <c r="Q4253" i="22"/>
  <c r="R4253" i="22"/>
  <c r="M4253" i="22"/>
  <c r="C4254" i="22"/>
  <c r="F4254" i="22" s="1"/>
  <c r="O4254" i="22" s="1"/>
  <c r="E4254" i="22"/>
  <c r="G4254" i="22"/>
  <c r="I4254" i="22"/>
  <c r="K4254" i="22"/>
  <c r="L4254" i="22"/>
  <c r="B4255" i="22"/>
  <c r="M4199" i="22"/>
  <c r="D4199" i="22"/>
  <c r="J4199" i="22"/>
  <c r="N4199" i="22" s="1"/>
  <c r="U4199" i="22" s="1"/>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K4146" i="22" s="1"/>
  <c r="E4146" i="22"/>
  <c r="F4146" i="22"/>
  <c r="O4146" i="22" s="1"/>
  <c r="G4146" i="22"/>
  <c r="I4146" i="22"/>
  <c r="B4147" i="22"/>
  <c r="P4091" i="22"/>
  <c r="Q4091" i="22"/>
  <c r="R4091" i="22"/>
  <c r="J4091" i="22"/>
  <c r="D4091" i="22"/>
  <c r="I4092" i="22"/>
  <c r="C4092" i="22"/>
  <c r="K4092" i="22" s="1"/>
  <c r="E4092" i="22"/>
  <c r="F4092" i="22"/>
  <c r="O4092" i="22" s="1"/>
  <c r="G4092" i="22"/>
  <c r="L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E3630" i="22"/>
  <c r="G3630" i="22"/>
  <c r="I3630" i="22"/>
  <c r="B3631" i="22"/>
  <c r="M3575" i="22"/>
  <c r="L3576" i="22"/>
  <c r="I3576" i="22"/>
  <c r="C3576" i="22"/>
  <c r="E3576" i="22"/>
  <c r="G3576" i="22"/>
  <c r="B3577" i="22"/>
  <c r="J3575" i="22"/>
  <c r="N3575" i="22" s="1"/>
  <c r="U3575" i="22" s="1"/>
  <c r="D3575" i="22"/>
  <c r="P3575" i="22"/>
  <c r="Q3575" i="22"/>
  <c r="R3575" i="22"/>
  <c r="M3521" i="22"/>
  <c r="L3522" i="22"/>
  <c r="E3522" i="22"/>
  <c r="I3522" i="22"/>
  <c r="C3522" i="22"/>
  <c r="K3522" i="22" s="1"/>
  <c r="F3522" i="22"/>
  <c r="O3522" i="22" s="1"/>
  <c r="G3522" i="22"/>
  <c r="B3523" i="22"/>
  <c r="D3521" i="22"/>
  <c r="J3521" i="22"/>
  <c r="N3521" i="22" s="1"/>
  <c r="U3521" i="22" s="1"/>
  <c r="P3521" i="22"/>
  <c r="Q3521" i="22"/>
  <c r="R3521" i="22"/>
  <c r="D3467" i="22"/>
  <c r="J3467" i="22"/>
  <c r="P3467" i="22"/>
  <c r="Q3467" i="22"/>
  <c r="R3467" i="22"/>
  <c r="L3468" i="22"/>
  <c r="C3468" i="22"/>
  <c r="K3468" i="22" s="1"/>
  <c r="E3468" i="22"/>
  <c r="F3468" i="22"/>
  <c r="O3468" i="22" s="1"/>
  <c r="G3468" i="22"/>
  <c r="I3468" i="22"/>
  <c r="B3469" i="22"/>
  <c r="D3413" i="22"/>
  <c r="J3413" i="22"/>
  <c r="P3413" i="22"/>
  <c r="Q3413" i="22"/>
  <c r="R3413" i="22"/>
  <c r="L3414" i="22"/>
  <c r="C3414" i="22"/>
  <c r="K3414" i="22" s="1"/>
  <c r="E3414" i="22"/>
  <c r="F3414" i="22"/>
  <c r="O3414" i="22" s="1"/>
  <c r="G3414" i="22"/>
  <c r="I3414" i="22"/>
  <c r="B3415" i="22"/>
  <c r="D3359" i="22"/>
  <c r="J3359" i="22"/>
  <c r="P3359" i="22"/>
  <c r="Q3359" i="22"/>
  <c r="R3359" i="22"/>
  <c r="L3360" i="22"/>
  <c r="C3360" i="22"/>
  <c r="K3360" i="22" s="1"/>
  <c r="E3360" i="22"/>
  <c r="F3360" i="22"/>
  <c r="O3360" i="22" s="1"/>
  <c r="G3360" i="22"/>
  <c r="I3360" i="22"/>
  <c r="B3361" i="22"/>
  <c r="D3305" i="22"/>
  <c r="J3305" i="22"/>
  <c r="P3305" i="22"/>
  <c r="Q3305" i="22"/>
  <c r="R3305" i="22"/>
  <c r="L3306" i="22"/>
  <c r="C3306" i="22"/>
  <c r="E3306" i="22"/>
  <c r="G3306" i="22"/>
  <c r="I3306" i="22"/>
  <c r="B3307" i="22"/>
  <c r="L3252" i="22"/>
  <c r="I3252" i="22"/>
  <c r="C3252" i="22"/>
  <c r="E3252" i="22"/>
  <c r="G3252" i="22"/>
  <c r="B3253" i="22"/>
  <c r="D3251" i="22"/>
  <c r="J3251" i="22"/>
  <c r="P3251" i="22"/>
  <c r="Q3251" i="22"/>
  <c r="R3251" i="22"/>
  <c r="M3197" i="22"/>
  <c r="D3197" i="22"/>
  <c r="J3197" i="22"/>
  <c r="N3197" i="22" s="1"/>
  <c r="U3197" i="22" s="1"/>
  <c r="P3197" i="22"/>
  <c r="Q3197" i="22"/>
  <c r="R3197" i="22"/>
  <c r="L3198" i="22"/>
  <c r="C3198" i="22"/>
  <c r="E3198" i="22"/>
  <c r="G3198" i="22"/>
  <c r="I3198" i="22"/>
  <c r="B3199" i="22"/>
  <c r="M3143" i="22"/>
  <c r="D3143" i="22"/>
  <c r="J3143" i="22"/>
  <c r="N3143" i="22" s="1"/>
  <c r="U3143" i="22" s="1"/>
  <c r="P3143" i="22"/>
  <c r="Q3143" i="22"/>
  <c r="R3143" i="22"/>
  <c r="L3144" i="22"/>
  <c r="C3144" i="22"/>
  <c r="K3144" i="22" s="1"/>
  <c r="E3144" i="22"/>
  <c r="F3144" i="22"/>
  <c r="O3144" i="22" s="1"/>
  <c r="G3144" i="22"/>
  <c r="I3144" i="22"/>
  <c r="B3145" i="22"/>
  <c r="M3089" i="22"/>
  <c r="D3089" i="22"/>
  <c r="J3089" i="22"/>
  <c r="N3089" i="22" s="1"/>
  <c r="U3089" i="22" s="1"/>
  <c r="P3089" i="22"/>
  <c r="Q3089" i="22"/>
  <c r="R3089" i="22"/>
  <c r="L3090" i="22"/>
  <c r="C3090" i="22"/>
  <c r="K3090" i="22" s="1"/>
  <c r="E3090" i="22"/>
  <c r="F3090" i="22"/>
  <c r="O3090" i="22" s="1"/>
  <c r="G3090" i="22"/>
  <c r="I3090" i="22"/>
  <c r="B3091" i="22"/>
  <c r="D3035" i="22"/>
  <c r="J3035" i="22"/>
  <c r="P3035" i="22"/>
  <c r="Q3035" i="22"/>
  <c r="R3035" i="22"/>
  <c r="L3036" i="22"/>
  <c r="C3036" i="22"/>
  <c r="K3036" i="22" s="1"/>
  <c r="E3036" i="22"/>
  <c r="F3036" i="22"/>
  <c r="O3036" i="22" s="1"/>
  <c r="G3036" i="22"/>
  <c r="I3036" i="22"/>
  <c r="B3037" i="22"/>
  <c r="D2981" i="22"/>
  <c r="J2981" i="22"/>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E2874" i="22"/>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P2657" i="22"/>
  <c r="Q2657" i="22"/>
  <c r="R2657" i="22"/>
  <c r="D2657" i="22"/>
  <c r="J2657" i="22"/>
  <c r="L2658" i="22"/>
  <c r="C2658" i="22"/>
  <c r="K2658" i="22" s="1"/>
  <c r="E2658" i="22"/>
  <c r="G2658" i="22"/>
  <c r="I2658" i="22"/>
  <c r="F2658" i="22"/>
  <c r="O2658" i="22" s="1"/>
  <c r="B2659" i="22"/>
  <c r="P2603" i="22"/>
  <c r="Q2603" i="22"/>
  <c r="R2603" i="22"/>
  <c r="D2603" i="22"/>
  <c r="J2603" i="22"/>
  <c r="L2604" i="22"/>
  <c r="E2604" i="22"/>
  <c r="G2604" i="22"/>
  <c r="B2605" i="22"/>
  <c r="C2604" i="22"/>
  <c r="K2604" i="22" s="1"/>
  <c r="F2604" i="22"/>
  <c r="O2604" i="22" s="1"/>
  <c r="I2604" i="22"/>
  <c r="D2549" i="22"/>
  <c r="J2549" i="22"/>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E2496" i="22"/>
  <c r="G2496" i="22"/>
  <c r="I2496" i="22"/>
  <c r="B2497" i="22"/>
  <c r="M2441" i="22"/>
  <c r="D2441" i="22"/>
  <c r="J2441" i="22"/>
  <c r="N2441" i="22" s="1"/>
  <c r="U2441" i="22" s="1"/>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E2334" i="22"/>
  <c r="G2334" i="22"/>
  <c r="I2334" i="22"/>
  <c r="B2335" i="22"/>
  <c r="P2279" i="22"/>
  <c r="Q2279" i="22"/>
  <c r="R2279" i="22"/>
  <c r="L2280" i="22"/>
  <c r="E2280" i="22"/>
  <c r="G2280" i="22"/>
  <c r="C2280" i="22"/>
  <c r="I2280" i="22"/>
  <c r="B2281" i="22"/>
  <c r="D2279" i="22"/>
  <c r="J2279" i="22"/>
  <c r="M2225" i="22"/>
  <c r="D2225" i="22"/>
  <c r="J2225" i="22"/>
  <c r="N2225" i="22" s="1"/>
  <c r="U2225" i="22" s="1"/>
  <c r="P2225" i="22"/>
  <c r="Q2225" i="22"/>
  <c r="R2225" i="22"/>
  <c r="L2226" i="22"/>
  <c r="C2226" i="22"/>
  <c r="K2226" i="22" s="1"/>
  <c r="E2226" i="22"/>
  <c r="F2226" i="22"/>
  <c r="O2226" i="22" s="1"/>
  <c r="G2226" i="22"/>
  <c r="I2226" i="22"/>
  <c r="B2227" i="22"/>
  <c r="D2171" i="22"/>
  <c r="J2171" i="22"/>
  <c r="P2171" i="22"/>
  <c r="Q2171" i="22"/>
  <c r="R2171" i="22"/>
  <c r="L2172" i="22"/>
  <c r="C2172" i="22"/>
  <c r="E2172" i="22"/>
  <c r="G2172" i="22"/>
  <c r="I2172" i="22"/>
  <c r="B2173" i="22"/>
  <c r="D2117" i="22"/>
  <c r="J2117" i="22"/>
  <c r="P2117" i="22"/>
  <c r="Q2117" i="22"/>
  <c r="R2117" i="22"/>
  <c r="L2118" i="22"/>
  <c r="C2118" i="22"/>
  <c r="E2118" i="22"/>
  <c r="G2118" i="22"/>
  <c r="I2118" i="22"/>
  <c r="B2119" i="22"/>
  <c r="M2063" i="22"/>
  <c r="D2063" i="22"/>
  <c r="J2063" i="22"/>
  <c r="N2063" i="22" s="1"/>
  <c r="U2063" i="22" s="1"/>
  <c r="P2063" i="22"/>
  <c r="Q2063" i="22"/>
  <c r="R2063" i="22"/>
  <c r="L2064" i="22"/>
  <c r="C2064" i="22"/>
  <c r="E2064" i="22"/>
  <c r="G2064" i="22"/>
  <c r="I2064" i="22"/>
  <c r="B2065" i="22"/>
  <c r="M2009" i="22"/>
  <c r="D2009" i="22"/>
  <c r="J2009" i="22"/>
  <c r="N2009" i="22" s="1"/>
  <c r="U2009" i="22" s="1"/>
  <c r="P2009" i="22"/>
  <c r="Q2009" i="22"/>
  <c r="R2009" i="22"/>
  <c r="L2010" i="22"/>
  <c r="C2010" i="22"/>
  <c r="E2010" i="22"/>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K1848" i="22" s="1"/>
  <c r="E1848" i="22"/>
  <c r="F1848" i="22"/>
  <c r="O1848" i="22" s="1"/>
  <c r="G1848" i="22"/>
  <c r="I1848" i="22"/>
  <c r="B1849" i="22"/>
  <c r="D1793" i="22"/>
  <c r="J1793" i="22"/>
  <c r="P1793" i="22"/>
  <c r="Q1793" i="22"/>
  <c r="R1793" i="22"/>
  <c r="L1794" i="22"/>
  <c r="C1794" i="22"/>
  <c r="E1794" i="22"/>
  <c r="G1794" i="22"/>
  <c r="I1794" i="22"/>
  <c r="B1795" i="22"/>
  <c r="D1739" i="22"/>
  <c r="J1739" i="22"/>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E1686" i="22"/>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K1524" i="22" s="1"/>
  <c r="E1524" i="22"/>
  <c r="F1524" i="22"/>
  <c r="O1524" i="22" s="1"/>
  <c r="G1524" i="22"/>
  <c r="I1524" i="22"/>
  <c r="B1525" i="22"/>
  <c r="D1469" i="22"/>
  <c r="J1469" i="22"/>
  <c r="P1469" i="22"/>
  <c r="Q1469" i="22"/>
  <c r="R1469" i="22"/>
  <c r="L1470" i="22"/>
  <c r="C1470" i="22"/>
  <c r="E1470" i="22"/>
  <c r="G1470" i="22"/>
  <c r="I1470" i="22"/>
  <c r="B1471" i="22"/>
  <c r="P1415" i="22"/>
  <c r="Q1415" i="22"/>
  <c r="R1415" i="22"/>
  <c r="L1416" i="22"/>
  <c r="I1416" i="22"/>
  <c r="B1417" i="22"/>
  <c r="C1416" i="22"/>
  <c r="E1416" i="22"/>
  <c r="G1416" i="22"/>
  <c r="D1415" i="22"/>
  <c r="J1415" i="22"/>
  <c r="P1361" i="22"/>
  <c r="Q1361" i="22"/>
  <c r="R1361" i="22"/>
  <c r="J1361" i="22"/>
  <c r="D1361" i="22"/>
  <c r="L1362" i="22"/>
  <c r="G1362" i="22"/>
  <c r="B1363" i="22"/>
  <c r="C1362" i="22"/>
  <c r="E1362" i="22"/>
  <c r="I1362" i="22"/>
  <c r="D1307" i="22"/>
  <c r="J1307" i="22"/>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E1146" i="22"/>
  <c r="G1146" i="22"/>
  <c r="I1146" i="22"/>
  <c r="B1147" i="22"/>
  <c r="M1091" i="22"/>
  <c r="D1091" i="22"/>
  <c r="J1091" i="22"/>
  <c r="N1091" i="22" s="1"/>
  <c r="U1091" i="22" s="1"/>
  <c r="P1091" i="22"/>
  <c r="Q1091" i="22"/>
  <c r="R1091" i="22"/>
  <c r="L1092" i="22"/>
  <c r="C1092" i="22"/>
  <c r="E1092" i="22"/>
  <c r="G1092" i="22"/>
  <c r="I1092" i="22"/>
  <c r="B1093" i="22"/>
  <c r="M1037" i="22"/>
  <c r="D1037" i="22"/>
  <c r="J1037" i="22"/>
  <c r="N1037" i="22" s="1"/>
  <c r="U1037" i="22" s="1"/>
  <c r="P1037" i="22"/>
  <c r="Q1037" i="22"/>
  <c r="R1037" i="22"/>
  <c r="L1038" i="22"/>
  <c r="C1038" i="22"/>
  <c r="E1038" i="22"/>
  <c r="G1038" i="22"/>
  <c r="I1038" i="22"/>
  <c r="B1039" i="22"/>
  <c r="D983" i="22"/>
  <c r="J983" i="22"/>
  <c r="P983" i="22"/>
  <c r="Q983" i="22"/>
  <c r="R983" i="22"/>
  <c r="L984" i="22"/>
  <c r="C984" i="22"/>
  <c r="K984" i="22" s="1"/>
  <c r="E984" i="22"/>
  <c r="F984" i="22"/>
  <c r="O984" i="22" s="1"/>
  <c r="G984" i="22"/>
  <c r="I984" i="22"/>
  <c r="B985" i="22"/>
  <c r="D929" i="22"/>
  <c r="J929" i="22"/>
  <c r="P929" i="22"/>
  <c r="Q929" i="22"/>
  <c r="R929" i="22"/>
  <c r="L930" i="22"/>
  <c r="C930" i="22"/>
  <c r="E930" i="22"/>
  <c r="G930" i="22"/>
  <c r="I930" i="22"/>
  <c r="B931" i="22"/>
  <c r="D875" i="22"/>
  <c r="J875" i="22"/>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E822" i="22"/>
  <c r="G822" i="22"/>
  <c r="I822" i="22"/>
  <c r="B823" i="22"/>
  <c r="M767" i="22"/>
  <c r="D767" i="22"/>
  <c r="J767" i="22"/>
  <c r="N767" i="22" s="1"/>
  <c r="U767" i="22" s="1"/>
  <c r="P767" i="22"/>
  <c r="Q767" i="22"/>
  <c r="R767" i="22"/>
  <c r="L768" i="22"/>
  <c r="C768" i="22"/>
  <c r="E768" i="22"/>
  <c r="G768" i="22"/>
  <c r="I768" i="22"/>
  <c r="B769" i="22"/>
  <c r="M713" i="22"/>
  <c r="D713" i="22"/>
  <c r="J713" i="22"/>
  <c r="N713" i="22" s="1"/>
  <c r="U713" i="22" s="1"/>
  <c r="P713" i="22"/>
  <c r="Q713" i="22"/>
  <c r="R713" i="22"/>
  <c r="L714" i="22"/>
  <c r="C714" i="22"/>
  <c r="E714" i="22"/>
  <c r="G714" i="22"/>
  <c r="I714" i="22"/>
  <c r="B715" i="22"/>
  <c r="M659" i="22"/>
  <c r="D659" i="22"/>
  <c r="J659" i="22"/>
  <c r="N659" i="22" s="1"/>
  <c r="U659" i="22" s="1"/>
  <c r="P659" i="22"/>
  <c r="Q659" i="22"/>
  <c r="R659" i="22"/>
  <c r="L660" i="22"/>
  <c r="C660" i="22"/>
  <c r="E660" i="22"/>
  <c r="G660" i="22"/>
  <c r="I660" i="22"/>
  <c r="B661" i="22"/>
  <c r="D605" i="22"/>
  <c r="J605" i="22"/>
  <c r="P605" i="22"/>
  <c r="Q605" i="22"/>
  <c r="R605" i="22"/>
  <c r="L606" i="22"/>
  <c r="C606" i="22"/>
  <c r="K606" i="22" s="1"/>
  <c r="E606" i="22"/>
  <c r="F606" i="22"/>
  <c r="O606" i="22" s="1"/>
  <c r="G606" i="22"/>
  <c r="I606" i="22"/>
  <c r="B607" i="22"/>
  <c r="D551" i="22"/>
  <c r="J551" i="22"/>
  <c r="P551" i="22"/>
  <c r="Q551" i="22"/>
  <c r="R551" i="22"/>
  <c r="L552" i="22"/>
  <c r="C552" i="22"/>
  <c r="K552" i="22" s="1"/>
  <c r="E552" i="22"/>
  <c r="F552" i="22"/>
  <c r="O552" i="22" s="1"/>
  <c r="G552" i="22"/>
  <c r="I552" i="22"/>
  <c r="B553" i="22"/>
  <c r="D497" i="22"/>
  <c r="J497" i="22"/>
  <c r="P497" i="22"/>
  <c r="Q497" i="22"/>
  <c r="R497" i="22"/>
  <c r="L498" i="22"/>
  <c r="C498" i="22"/>
  <c r="E498" i="22"/>
  <c r="G498" i="22"/>
  <c r="B499" i="22"/>
  <c r="I498" i="22"/>
  <c r="D443" i="22"/>
  <c r="J443" i="22"/>
  <c r="P443" i="22"/>
  <c r="Q443" i="22"/>
  <c r="R443" i="22"/>
  <c r="L444" i="22"/>
  <c r="I444" i="22"/>
  <c r="C444" i="22"/>
  <c r="K444" i="22" s="1"/>
  <c r="E444" i="22"/>
  <c r="F444" i="22"/>
  <c r="O444" i="22" s="1"/>
  <c r="G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E282" i="22"/>
  <c r="G282" i="22"/>
  <c r="I282" i="22"/>
  <c r="B283"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K174" i="22" s="1"/>
  <c r="E174" i="22"/>
  <c r="F174" i="22"/>
  <c r="O174" i="22" s="1"/>
  <c r="G174" i="22"/>
  <c r="I174" i="22"/>
  <c r="B175" i="22"/>
  <c r="J119" i="22"/>
  <c r="D119" i="22"/>
  <c r="P119" i="22"/>
  <c r="Q119" i="22"/>
  <c r="R119" i="22"/>
  <c r="L120" i="22"/>
  <c r="E120" i="22"/>
  <c r="B121" i="22"/>
  <c r="I120" i="22"/>
  <c r="C120" i="22"/>
  <c r="K120" i="22" s="1"/>
  <c r="F120" i="22"/>
  <c r="O120" i="22" s="1"/>
  <c r="G120" i="22"/>
  <c r="G106" i="12"/>
  <c r="G107" i="12"/>
  <c r="U56" i="17"/>
  <c r="M108" i="12"/>
  <c r="Q108" i="12" s="1"/>
  <c r="O108" i="12"/>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E58" i="17"/>
  <c r="G58" i="17"/>
  <c r="L58" i="17"/>
  <c r="C58" i="17"/>
  <c r="I58" i="17"/>
  <c r="B59" i="17"/>
  <c r="B58" i="18"/>
  <c r="D57" i="17"/>
  <c r="J57" i="17"/>
  <c r="AI733" i="23"/>
  <c r="M79" i="8"/>
  <c r="H17" i="8"/>
  <c r="P746" i="23"/>
  <c r="J1" i="23" s="1"/>
  <c r="E52" i="19" s="1"/>
  <c r="G52" i="19" s="1"/>
  <c r="M105" i="8"/>
  <c r="M107" i="8"/>
  <c r="M1577" i="23"/>
  <c r="N1577" i="23"/>
  <c r="AE1577" i="23" s="1"/>
  <c r="M1521" i="23"/>
  <c r="N1521" i="23"/>
  <c r="AE1521" i="23" s="1"/>
  <c r="M1465" i="23"/>
  <c r="N1465" i="23"/>
  <c r="AE1465" i="23" s="1"/>
  <c r="N1409" i="23"/>
  <c r="AE1409" i="23" s="1"/>
  <c r="M1409" i="23"/>
  <c r="M1353" i="23"/>
  <c r="N1353" i="23"/>
  <c r="AE1353" i="23" s="1"/>
  <c r="M1185" i="23"/>
  <c r="N1185" i="23"/>
  <c r="AE1185" i="23" s="1"/>
  <c r="M1129" i="23"/>
  <c r="N1129" i="23"/>
  <c r="AE1129" i="23" s="1"/>
  <c r="M1073" i="23"/>
  <c r="N1073" i="23"/>
  <c r="AE1073" i="23" s="1"/>
  <c r="M1017" i="23"/>
  <c r="N1017" i="23"/>
  <c r="AE1017" i="23" s="1"/>
  <c r="M737" i="23"/>
  <c r="N737" i="23"/>
  <c r="AE737" i="23" s="1"/>
  <c r="M681" i="23"/>
  <c r="N681" i="23"/>
  <c r="AE681" i="23" s="1"/>
  <c r="M457" i="23"/>
  <c r="N457" i="23"/>
  <c r="AE457" i="23" s="1"/>
  <c r="M345" i="23"/>
  <c r="N345" i="23"/>
  <c r="AE345" i="23" s="1"/>
  <c r="M4714" i="22"/>
  <c r="N4714" i="22"/>
  <c r="M4198" i="22"/>
  <c r="N4198" i="22"/>
  <c r="U4198" i="22" s="1"/>
  <c r="M4144" i="22"/>
  <c r="N4144" i="22"/>
  <c r="U4144" i="22" s="1"/>
  <c r="M3790" i="22"/>
  <c r="N3790" i="22"/>
  <c r="U3790" i="22" s="1"/>
  <c r="M3574" i="22"/>
  <c r="N3574" i="22"/>
  <c r="U3574" i="22" s="1"/>
  <c r="M3466" i="22"/>
  <c r="N3466" i="22"/>
  <c r="U3466" i="22" s="1"/>
  <c r="M3412" i="22"/>
  <c r="N3412" i="22"/>
  <c r="U3412" i="22" s="1"/>
  <c r="M3088" i="22"/>
  <c r="N3088" i="22"/>
  <c r="U3088" i="22" s="1"/>
  <c r="M2980" i="22"/>
  <c r="N2980" i="22"/>
  <c r="U2980" i="22" s="1"/>
  <c r="M2656" i="22"/>
  <c r="N2656" i="22"/>
  <c r="U2656" i="22" s="1"/>
  <c r="N2278" i="22"/>
  <c r="U2278" i="22" s="1"/>
  <c r="M2278" i="22"/>
  <c r="M2224" i="22"/>
  <c r="N2224" i="22"/>
  <c r="U2224" i="22" s="1"/>
  <c r="M1522" i="22"/>
  <c r="N1522" i="22"/>
  <c r="U1522" i="22" s="1"/>
  <c r="N1414" i="22"/>
  <c r="U1414" i="22" s="1"/>
  <c r="M1414" i="22"/>
  <c r="M1360" i="22"/>
  <c r="N1360" i="22"/>
  <c r="U1360" i="22" s="1"/>
  <c r="M1090" i="22"/>
  <c r="N1090" i="22"/>
  <c r="U1090" i="22" s="1"/>
  <c r="M1036" i="22"/>
  <c r="N1036" i="22"/>
  <c r="U1036" i="22" s="1"/>
  <c r="M766" i="22"/>
  <c r="N766" i="22"/>
  <c r="U766" i="22" s="1"/>
  <c r="M712" i="22"/>
  <c r="N712" i="22"/>
  <c r="U712" i="22" s="1"/>
  <c r="M658" i="22"/>
  <c r="N658" i="22"/>
  <c r="U658" i="22" s="1"/>
  <c r="M604" i="22"/>
  <c r="N604" i="22"/>
  <c r="U604" i="22" s="1"/>
  <c r="M280" i="22"/>
  <c r="N280" i="22"/>
  <c r="U280" i="22" s="1"/>
  <c r="M226" i="22"/>
  <c r="N226" i="22"/>
  <c r="U226" i="22" s="1"/>
  <c r="N118" i="22"/>
  <c r="U118" i="22" s="1"/>
  <c r="M118" i="22"/>
  <c r="K1578" i="23"/>
  <c r="F1578" i="23"/>
  <c r="O1578" i="23" s="1"/>
  <c r="K1522" i="23"/>
  <c r="F1522" i="23"/>
  <c r="O1522" i="23" s="1"/>
  <c r="F1466" i="23"/>
  <c r="O1466" i="23" s="1"/>
  <c r="K1466" i="23"/>
  <c r="F1410" i="23"/>
  <c r="O1410" i="23" s="1"/>
  <c r="K1410" i="23"/>
  <c r="F1354" i="23"/>
  <c r="O1354" i="23" s="1"/>
  <c r="K1354" i="23"/>
  <c r="K1242" i="23"/>
  <c r="F1242" i="23"/>
  <c r="O1242" i="23" s="1"/>
  <c r="K1074" i="23"/>
  <c r="F1074" i="23"/>
  <c r="O1074" i="23" s="1"/>
  <c r="F962" i="23"/>
  <c r="O962" i="23" s="1"/>
  <c r="K962" i="23"/>
  <c r="K906" i="23"/>
  <c r="F906" i="23"/>
  <c r="O906" i="23" s="1"/>
  <c r="F682" i="23"/>
  <c r="O682" i="23" s="1"/>
  <c r="K682" i="23"/>
  <c r="P108" i="12"/>
  <c r="F4091" i="22"/>
  <c r="O4091" i="22" s="1"/>
  <c r="K4091" i="22"/>
  <c r="F3467" i="22"/>
  <c r="O3467" i="22" s="1"/>
  <c r="K3467" i="22"/>
  <c r="F3413" i="22"/>
  <c r="O3413" i="22" s="1"/>
  <c r="K3413" i="22"/>
  <c r="F3359" i="22"/>
  <c r="O3359" i="22" s="1"/>
  <c r="K3359" i="22"/>
  <c r="F3305" i="22"/>
  <c r="O3305" i="22" s="1"/>
  <c r="K3305" i="22"/>
  <c r="F3251" i="22"/>
  <c r="O3251" i="22" s="1"/>
  <c r="K3251" i="22"/>
  <c r="F3035" i="22"/>
  <c r="O3035" i="22" s="1"/>
  <c r="K3035" i="22"/>
  <c r="K2981" i="22"/>
  <c r="F2981" i="22"/>
  <c r="O2981" i="22" s="1"/>
  <c r="F2657" i="22"/>
  <c r="O2657" i="22" s="1"/>
  <c r="K2657" i="22"/>
  <c r="F2603" i="22"/>
  <c r="O2603" i="22" s="1"/>
  <c r="K2603" i="22"/>
  <c r="F2549" i="22"/>
  <c r="O2549" i="22" s="1"/>
  <c r="K2549" i="22"/>
  <c r="K2279" i="22"/>
  <c r="F2279" i="22"/>
  <c r="O2279" i="22" s="1"/>
  <c r="K2171" i="22"/>
  <c r="F2171" i="22"/>
  <c r="O2171" i="22" s="1"/>
  <c r="F2117" i="22"/>
  <c r="O2117" i="22" s="1"/>
  <c r="K2117" i="22"/>
  <c r="F1793" i="22"/>
  <c r="O1793" i="22" s="1"/>
  <c r="K1793" i="22"/>
  <c r="F1739" i="22"/>
  <c r="O1739" i="22" s="1"/>
  <c r="K1739" i="22"/>
  <c r="F1469" i="22"/>
  <c r="O1469" i="22" s="1"/>
  <c r="K1469" i="22"/>
  <c r="K1415" i="22"/>
  <c r="F1415" i="22"/>
  <c r="O1415" i="22" s="1"/>
  <c r="K1361" i="22"/>
  <c r="F1361" i="22"/>
  <c r="O1361" i="22" s="1"/>
  <c r="F1307" i="22"/>
  <c r="O1307" i="22" s="1"/>
  <c r="K1307" i="22"/>
  <c r="K983" i="22"/>
  <c r="F983" i="22"/>
  <c r="O983" i="22" s="1"/>
  <c r="K929" i="22"/>
  <c r="F929" i="22"/>
  <c r="O929" i="22" s="1"/>
  <c r="K875" i="22"/>
  <c r="F875" i="22"/>
  <c r="O875" i="22" s="1"/>
  <c r="K605" i="22"/>
  <c r="F605" i="22"/>
  <c r="O605" i="22" s="1"/>
  <c r="F551" i="22"/>
  <c r="O551" i="22" s="1"/>
  <c r="K551" i="22"/>
  <c r="K497" i="22"/>
  <c r="F497" i="22"/>
  <c r="O497" i="22" s="1"/>
  <c r="K443" i="22"/>
  <c r="F443" i="22"/>
  <c r="O443" i="22" s="1"/>
  <c r="K119" i="22"/>
  <c r="F119" i="22"/>
  <c r="O119" i="22" s="1"/>
  <c r="F56" i="18"/>
  <c r="G56" i="18"/>
  <c r="H56" i="18"/>
  <c r="F57" i="17"/>
  <c r="C57" i="18" s="1"/>
  <c r="E57" i="18" s="1"/>
  <c r="K57" i="17"/>
  <c r="AE1394" i="23"/>
  <c r="AE1395" i="23"/>
  <c r="AE1402" i="23"/>
  <c r="AE1403" i="23"/>
  <c r="AE1404" i="23"/>
  <c r="AE1401" i="23"/>
  <c r="AE1400" i="23"/>
  <c r="AE1399" i="23"/>
  <c r="AE1398" i="23"/>
  <c r="AE1397" i="23"/>
  <c r="AE1396" i="23"/>
  <c r="AE1405" i="23"/>
  <c r="AE1013" i="23"/>
  <c r="AE1012" i="23"/>
  <c r="AE1009" i="23"/>
  <c r="AE1011" i="23"/>
  <c r="AE1003" i="23"/>
  <c r="AE1010" i="23"/>
  <c r="AE1008" i="23"/>
  <c r="AE1007" i="23"/>
  <c r="AE1006" i="23"/>
  <c r="AE1005" i="23"/>
  <c r="AE1004" i="23"/>
  <c r="AE1002" i="23"/>
  <c r="AE789" i="23"/>
  <c r="AE780" i="23"/>
  <c r="AE781" i="23"/>
  <c r="AE779" i="23"/>
  <c r="AE778" i="23"/>
  <c r="AE784" i="23"/>
  <c r="AE786" i="23"/>
  <c r="AE787" i="23"/>
  <c r="AE785" i="23"/>
  <c r="AE783" i="23"/>
  <c r="AE782" i="23"/>
  <c r="AE788" i="23"/>
  <c r="AE621" i="23"/>
  <c r="AE620" i="23"/>
  <c r="AE612" i="23"/>
  <c r="AE611" i="23"/>
  <c r="AE610" i="23"/>
  <c r="AE614" i="23"/>
  <c r="AE615" i="23"/>
  <c r="AE613" i="23"/>
  <c r="AE616" i="23"/>
  <c r="AE617" i="23"/>
  <c r="AE618" i="23"/>
  <c r="AE619" i="23"/>
  <c r="AE1172" i="23" l="1"/>
  <c r="AE1180" i="23"/>
  <c r="AE1173" i="23"/>
  <c r="AE1171" i="23"/>
  <c r="AE1170" i="23"/>
  <c r="AE1181" i="23"/>
  <c r="AE1174" i="23"/>
  <c r="AE1175" i="23"/>
  <c r="AE1176" i="23"/>
  <c r="AE1177" i="23"/>
  <c r="AE1178" i="23"/>
  <c r="AE1179" i="23"/>
  <c r="AE1065" i="23"/>
  <c r="AE1069" i="23"/>
  <c r="AE1058" i="23"/>
  <c r="AE1059" i="23"/>
  <c r="AE1060" i="23"/>
  <c r="AE1068" i="23"/>
  <c r="AE1067" i="23"/>
  <c r="AE1066" i="23"/>
  <c r="AE1061" i="23"/>
  <c r="AE1062" i="23"/>
  <c r="AE1063" i="23"/>
  <c r="AE1064" i="23"/>
  <c r="AE952" i="23"/>
  <c r="AE956" i="23"/>
  <c r="AE955" i="23"/>
  <c r="AE954" i="23"/>
  <c r="AE953" i="23"/>
  <c r="AE948" i="23"/>
  <c r="AE947" i="23"/>
  <c r="AE946" i="23"/>
  <c r="AE951" i="23"/>
  <c r="AE950" i="23"/>
  <c r="AE949" i="23"/>
  <c r="AE957" i="23"/>
  <c r="AE504" i="23"/>
  <c r="AE501" i="23"/>
  <c r="AE502" i="23"/>
  <c r="AE503" i="23"/>
  <c r="AE505" i="23"/>
  <c r="AE506" i="23"/>
  <c r="AE507" i="23"/>
  <c r="AE508" i="23"/>
  <c r="AE509" i="23"/>
  <c r="AE500" i="23"/>
  <c r="AE499" i="23"/>
  <c r="AE498" i="23"/>
  <c r="K907" i="23"/>
  <c r="F907" i="23"/>
  <c r="O907" i="23" s="1"/>
  <c r="K2334" i="22"/>
  <c r="F2334" i="22"/>
  <c r="O2334" i="22" s="1"/>
  <c r="K2280" i="22"/>
  <c r="F2280" i="22"/>
  <c r="O2280" i="22" s="1"/>
  <c r="K2064" i="22"/>
  <c r="F2064" i="22"/>
  <c r="O2064" i="22" s="1"/>
  <c r="K2010" i="22"/>
  <c r="F2010" i="22"/>
  <c r="O2010" i="22" s="1"/>
  <c r="K1686" i="22"/>
  <c r="F1686" i="22"/>
  <c r="O1686" i="22" s="1"/>
  <c r="F1416" i="22"/>
  <c r="O1416" i="22" s="1"/>
  <c r="K1416" i="22"/>
  <c r="K1146" i="22"/>
  <c r="F1146" i="22"/>
  <c r="O1146" i="22" s="1"/>
  <c r="K930" i="22"/>
  <c r="F930" i="22"/>
  <c r="O930" i="22" s="1"/>
  <c r="K822" i="22"/>
  <c r="F822" i="22"/>
  <c r="O822" i="22" s="1"/>
  <c r="K498" i="22"/>
  <c r="F498" i="22"/>
  <c r="O498"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M1523" i="23"/>
  <c r="J1523" i="23"/>
  <c r="N1523" i="23" s="1"/>
  <c r="AE1523" i="23" s="1"/>
  <c r="D1523" i="23"/>
  <c r="P1523" i="23"/>
  <c r="Q1523" i="23"/>
  <c r="R1523" i="23"/>
  <c r="L1524" i="23"/>
  <c r="I1524" i="23"/>
  <c r="C1524" i="23"/>
  <c r="E1524" i="23"/>
  <c r="G1524" i="23"/>
  <c r="B1525" i="23"/>
  <c r="P1467" i="23"/>
  <c r="Q1467" i="23"/>
  <c r="R1467" i="23"/>
  <c r="J1467" i="23"/>
  <c r="D1467" i="23"/>
  <c r="L1468" i="23"/>
  <c r="I1468" i="23"/>
  <c r="B1469" i="23"/>
  <c r="C1468" i="23"/>
  <c r="E1468" i="23"/>
  <c r="G1468" i="23"/>
  <c r="M1411" i="23"/>
  <c r="L1412" i="23"/>
  <c r="I1412" i="23"/>
  <c r="C1412" i="23"/>
  <c r="E1412" i="23"/>
  <c r="G1412" i="23"/>
  <c r="B1413" i="23"/>
  <c r="J1411" i="23"/>
  <c r="N1411" i="23" s="1"/>
  <c r="AE1411" i="23" s="1"/>
  <c r="D1411" i="23"/>
  <c r="P1411" i="23"/>
  <c r="Q1411" i="23"/>
  <c r="R1411" i="23"/>
  <c r="M1355" i="23"/>
  <c r="L1356" i="23"/>
  <c r="I1356" i="23"/>
  <c r="C1356" i="23"/>
  <c r="K1356" i="23" s="1"/>
  <c r="E1356" i="23"/>
  <c r="F1356" i="23"/>
  <c r="O1356" i="23" s="1"/>
  <c r="G1356" i="23"/>
  <c r="B1357" i="23"/>
  <c r="J1355" i="23"/>
  <c r="N1355" i="23" s="1"/>
  <c r="AE1355" i="23" s="1"/>
  <c r="D1355" i="23"/>
  <c r="P1355" i="23"/>
  <c r="Q1355" i="23"/>
  <c r="R1355" i="23"/>
  <c r="M1299" i="23"/>
  <c r="J1299" i="23"/>
  <c r="N1299" i="23" s="1"/>
  <c r="AE1299" i="23" s="1"/>
  <c r="D1299" i="23"/>
  <c r="P1299" i="23"/>
  <c r="Q1299" i="23"/>
  <c r="R1299" i="23"/>
  <c r="L1300" i="23"/>
  <c r="I1300" i="23"/>
  <c r="C1300" i="23"/>
  <c r="K1300" i="23" s="1"/>
  <c r="E1300" i="23"/>
  <c r="F1300" i="23"/>
  <c r="O1300" i="23" s="1"/>
  <c r="G1300" i="23"/>
  <c r="B1301" i="23"/>
  <c r="J1243" i="23"/>
  <c r="D1243" i="23"/>
  <c r="P1243" i="23"/>
  <c r="Q1243" i="23"/>
  <c r="R1243" i="23"/>
  <c r="L1244" i="23"/>
  <c r="I1244" i="23"/>
  <c r="C1244" i="23"/>
  <c r="E1244" i="23"/>
  <c r="G1244" i="23"/>
  <c r="B1245" i="23"/>
  <c r="P1187" i="23"/>
  <c r="Q1187" i="23"/>
  <c r="R1187" i="23"/>
  <c r="J1187" i="23"/>
  <c r="D1187" i="23"/>
  <c r="L1188" i="23"/>
  <c r="I1188" i="23"/>
  <c r="C1188" i="23"/>
  <c r="K1188" i="23" s="1"/>
  <c r="E1188" i="23"/>
  <c r="F1188" i="23"/>
  <c r="O1188" i="23" s="1"/>
  <c r="G1188" i="23"/>
  <c r="B1189" i="23"/>
  <c r="J1131" i="23"/>
  <c r="D1131" i="23"/>
  <c r="P1131" i="23"/>
  <c r="Q1131" i="23"/>
  <c r="R1131" i="23"/>
  <c r="L1132" i="23"/>
  <c r="I1132" i="23"/>
  <c r="E1132" i="23"/>
  <c r="C1132" i="23"/>
  <c r="K1132" i="23" s="1"/>
  <c r="F1132" i="23"/>
  <c r="O1132" i="23" s="1"/>
  <c r="G1132" i="23"/>
  <c r="B1133" i="23"/>
  <c r="J1075" i="23"/>
  <c r="D1075" i="23"/>
  <c r="P1075" i="23"/>
  <c r="Q1075" i="23"/>
  <c r="R1075" i="23"/>
  <c r="L1076" i="23"/>
  <c r="I1076" i="23"/>
  <c r="B1077" i="23"/>
  <c r="C1076" i="23"/>
  <c r="E1076" i="23"/>
  <c r="G1076" i="23"/>
  <c r="J1019" i="23"/>
  <c r="D1019" i="23"/>
  <c r="P1019" i="23"/>
  <c r="Q1019" i="23"/>
  <c r="R1019" i="23"/>
  <c r="L1020" i="23"/>
  <c r="I1020" i="23"/>
  <c r="C1020" i="23"/>
  <c r="E1020" i="23"/>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J851" i="23"/>
  <c r="D851" i="23"/>
  <c r="P851" i="23"/>
  <c r="Q851" i="23"/>
  <c r="R851" i="23"/>
  <c r="L852" i="23"/>
  <c r="I852" i="23"/>
  <c r="C852" i="23"/>
  <c r="K852" i="23" s="1"/>
  <c r="E852" i="23"/>
  <c r="F852" i="23"/>
  <c r="O852" i="23" s="1"/>
  <c r="G852" i="23"/>
  <c r="B853" i="23"/>
  <c r="J795" i="23"/>
  <c r="D795" i="23"/>
  <c r="P795" i="23"/>
  <c r="Q795" i="23"/>
  <c r="R795" i="23"/>
  <c r="L796" i="23"/>
  <c r="I796" i="23"/>
  <c r="C796" i="23"/>
  <c r="K796" i="23" s="1"/>
  <c r="E796" i="23"/>
  <c r="F796" i="23"/>
  <c r="O796" i="23" s="1"/>
  <c r="G796" i="23"/>
  <c r="B797" i="23"/>
  <c r="M739" i="23"/>
  <c r="J739" i="23"/>
  <c r="N739" i="23" s="1"/>
  <c r="AE739" i="23" s="1"/>
  <c r="D739" i="23"/>
  <c r="Q739" i="23"/>
  <c r="R739" i="23"/>
  <c r="P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E628" i="23"/>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E516" i="23"/>
  <c r="G516" i="23"/>
  <c r="B517" i="23"/>
  <c r="J459" i="23"/>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P4770" i="22"/>
  <c r="Q4770" i="22"/>
  <c r="R4770" i="22"/>
  <c r="I4771" i="22"/>
  <c r="L4771" i="22"/>
  <c r="C4771" i="22"/>
  <c r="F4771" i="22" s="1"/>
  <c r="E4771" i="22"/>
  <c r="G4771" i="22"/>
  <c r="K4771" i="22"/>
  <c r="B4772" i="22"/>
  <c r="J4770" i="22"/>
  <c r="N4770" i="22" s="1"/>
  <c r="P110" i="12" s="1"/>
  <c r="D4770" i="22"/>
  <c r="M4770" i="22"/>
  <c r="T4714" i="22"/>
  <c r="U4715" i="22"/>
  <c r="S4715" i="22"/>
  <c r="T4715" i="22" s="1"/>
  <c r="M4716" i="22"/>
  <c r="D4716" i="22"/>
  <c r="J4716" i="22"/>
  <c r="N4716" i="22" s="1"/>
  <c r="P4716" i="22"/>
  <c r="Q4716" i="22"/>
  <c r="R4716" i="22"/>
  <c r="L4717" i="22"/>
  <c r="C4717" i="22"/>
  <c r="K4717" i="22" s="1"/>
  <c r="E4717" i="22"/>
  <c r="F4717" i="22"/>
  <c r="G4717" i="22"/>
  <c r="I4717" i="22"/>
  <c r="B4718" i="22"/>
  <c r="P4662" i="22"/>
  <c r="Q4662" i="22"/>
  <c r="R4662" i="22"/>
  <c r="C4663" i="22"/>
  <c r="D4663" i="22" s="1"/>
  <c r="E4663" i="22"/>
  <c r="F4663" i="22"/>
  <c r="O4663" i="22" s="1"/>
  <c r="G4663" i="22"/>
  <c r="B4664" i="22"/>
  <c r="M4608" i="22"/>
  <c r="J4608" i="22"/>
  <c r="N4608" i="22" s="1"/>
  <c r="D4608" i="22"/>
  <c r="P4608" i="22"/>
  <c r="Q4608" i="22"/>
  <c r="R4608" i="22"/>
  <c r="I4609" i="22"/>
  <c r="L4609" i="22"/>
  <c r="C4609" i="22"/>
  <c r="K4609" i="22" s="1"/>
  <c r="E4609" i="22"/>
  <c r="F4609" i="22"/>
  <c r="G4609" i="22"/>
  <c r="B4610" i="22"/>
  <c r="D4554" i="22"/>
  <c r="J4554" i="22"/>
  <c r="P4554" i="22"/>
  <c r="Q4554" i="22"/>
  <c r="R4554" i="22"/>
  <c r="L4555" i="22"/>
  <c r="C4555" i="22"/>
  <c r="K4555" i="22" s="1"/>
  <c r="E4555" i="22"/>
  <c r="F4555" i="22"/>
  <c r="G4555" i="22"/>
  <c r="I4555" i="22"/>
  <c r="B4556" i="22"/>
  <c r="D4254" i="22"/>
  <c r="J4254" i="22"/>
  <c r="N4254" i="22" s="1"/>
  <c r="U4254" i="22" s="1"/>
  <c r="P4254" i="22"/>
  <c r="Q4254" i="22"/>
  <c r="R4254" i="22"/>
  <c r="M4254" i="22"/>
  <c r="C4255" i="22"/>
  <c r="F4255" i="22" s="1"/>
  <c r="O4255" i="22" s="1"/>
  <c r="E4255" i="22"/>
  <c r="G4255" i="22"/>
  <c r="I4255" i="22"/>
  <c r="K4255" i="22"/>
  <c r="L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M4092" i="22"/>
  <c r="D4092" i="22"/>
  <c r="J4092" i="22"/>
  <c r="N4092" i="22" s="1"/>
  <c r="U4092" i="22" s="1"/>
  <c r="P4092" i="22"/>
  <c r="Q4092" i="22"/>
  <c r="R4092" i="22"/>
  <c r="C4093" i="22"/>
  <c r="E4093" i="22"/>
  <c r="F4093" i="22"/>
  <c r="O4093" i="22" s="1"/>
  <c r="G4093" i="22"/>
  <c r="L4093" i="22"/>
  <c r="B4094" i="22"/>
  <c r="I4093" i="22"/>
  <c r="K4093"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E3739" i="22"/>
  <c r="G3739" i="22"/>
  <c r="I3739" i="22"/>
  <c r="B3740" i="22"/>
  <c r="M3684" i="22"/>
  <c r="D3684" i="22"/>
  <c r="J3684" i="22"/>
  <c r="N3684" i="22" s="1"/>
  <c r="U3684" i="22" s="1"/>
  <c r="P3684" i="22"/>
  <c r="Q3684" i="22"/>
  <c r="R3684" i="22"/>
  <c r="L3685" i="22"/>
  <c r="C3685" i="22"/>
  <c r="E3685" i="22"/>
  <c r="G3685" i="22"/>
  <c r="I3685" i="22"/>
  <c r="B3686" i="22"/>
  <c r="D3630" i="22"/>
  <c r="J3630" i="22"/>
  <c r="P3630" i="22"/>
  <c r="Q3630" i="22"/>
  <c r="R3630" i="22"/>
  <c r="L3631" i="22"/>
  <c r="C3631" i="22"/>
  <c r="E3631" i="22"/>
  <c r="G3631" i="22"/>
  <c r="I3631" i="22"/>
  <c r="B3632" i="22"/>
  <c r="J3576" i="22"/>
  <c r="D3576" i="22"/>
  <c r="P3576" i="22"/>
  <c r="Q3576" i="22"/>
  <c r="R3576" i="22"/>
  <c r="L3577" i="22"/>
  <c r="E3577" i="22"/>
  <c r="G3577" i="22"/>
  <c r="C3577" i="22"/>
  <c r="I3577" i="22"/>
  <c r="B3578" i="22"/>
  <c r="M3522" i="22"/>
  <c r="J3522" i="22"/>
  <c r="N3522" i="22" s="1"/>
  <c r="U3522" i="22" s="1"/>
  <c r="D3522" i="22"/>
  <c r="P3522" i="22"/>
  <c r="Q3522" i="22"/>
  <c r="R3522" i="22"/>
  <c r="L3523" i="22"/>
  <c r="E3523" i="22"/>
  <c r="G3523" i="22"/>
  <c r="I3523" i="22"/>
  <c r="B3524" i="22"/>
  <c r="C3523" i="22"/>
  <c r="K3523" i="22" s="1"/>
  <c r="F3523" i="22"/>
  <c r="O3523" i="22" s="1"/>
  <c r="M3468" i="22"/>
  <c r="D3468" i="22"/>
  <c r="J3468" i="22"/>
  <c r="N3468" i="22" s="1"/>
  <c r="U3468" i="22" s="1"/>
  <c r="P3468" i="22"/>
  <c r="Q3468" i="22"/>
  <c r="R3468" i="22"/>
  <c r="L3469" i="22"/>
  <c r="C3469" i="22"/>
  <c r="E3469" i="22"/>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D3306" i="22"/>
  <c r="J3306" i="22"/>
  <c r="P3306" i="22"/>
  <c r="Q3306" i="22"/>
  <c r="R3306" i="22"/>
  <c r="L3307" i="22"/>
  <c r="C3307" i="22"/>
  <c r="E3307" i="22"/>
  <c r="G3307" i="22"/>
  <c r="I3307" i="22"/>
  <c r="B3308" i="22"/>
  <c r="J3252" i="22"/>
  <c r="D3252" i="22"/>
  <c r="P3252" i="22"/>
  <c r="Q3252" i="22"/>
  <c r="R3252" i="22"/>
  <c r="L3253" i="22"/>
  <c r="C3253" i="22"/>
  <c r="K3253" i="22" s="1"/>
  <c r="E3253" i="22"/>
  <c r="F3253" i="22"/>
  <c r="O3253" i="22" s="1"/>
  <c r="I3253" i="22"/>
  <c r="G3253" i="22"/>
  <c r="B3254" i="22"/>
  <c r="D3198" i="22"/>
  <c r="J3198" i="22"/>
  <c r="P3198" i="22"/>
  <c r="Q3198" i="22"/>
  <c r="R3198" i="22"/>
  <c r="L3199" i="22"/>
  <c r="C3199" i="22"/>
  <c r="E3199" i="22"/>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E2983" i="22"/>
  <c r="G2983" i="22"/>
  <c r="I2983" i="22"/>
  <c r="B2984" i="22"/>
  <c r="D2928" i="22"/>
  <c r="J2928" i="22"/>
  <c r="P2928" i="22"/>
  <c r="Q2928" i="22"/>
  <c r="R2928" i="22"/>
  <c r="L2929" i="22"/>
  <c r="C2929" i="22"/>
  <c r="K2929" i="22" s="1"/>
  <c r="E2929" i="22"/>
  <c r="F2929" i="22"/>
  <c r="O2929" i="22" s="1"/>
  <c r="G2929" i="22"/>
  <c r="I2929" i="22"/>
  <c r="B2930" i="22"/>
  <c r="D2874" i="22"/>
  <c r="J2874" i="22"/>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B2660" i="22"/>
  <c r="C2659" i="22"/>
  <c r="E2659" i="22"/>
  <c r="G2659" i="22"/>
  <c r="I2659" i="22"/>
  <c r="M2604" i="22"/>
  <c r="P2604" i="22"/>
  <c r="Q2604" i="22"/>
  <c r="R2604" i="22"/>
  <c r="L2605" i="22"/>
  <c r="E2605" i="22"/>
  <c r="G2605" i="22"/>
  <c r="I2605" i="22"/>
  <c r="C2605" i="22"/>
  <c r="B2606" i="22"/>
  <c r="D2604" i="22"/>
  <c r="J2604" i="22"/>
  <c r="N2604" i="22" s="1"/>
  <c r="U2604" i="22" s="1"/>
  <c r="M2550" i="22"/>
  <c r="D2550" i="22"/>
  <c r="J2550" i="22"/>
  <c r="N2550" i="22" s="1"/>
  <c r="U2550" i="22" s="1"/>
  <c r="P2550" i="22"/>
  <c r="Q2550" i="22"/>
  <c r="R2550" i="22"/>
  <c r="L2551" i="22"/>
  <c r="C2551" i="22"/>
  <c r="E2551" i="22"/>
  <c r="G2551" i="22"/>
  <c r="I2551" i="22"/>
  <c r="B2552" i="22"/>
  <c r="D2496" i="22"/>
  <c r="J2496" i="22"/>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P2280" i="22"/>
  <c r="Q2280" i="22"/>
  <c r="R2280" i="22"/>
  <c r="J2280" i="22"/>
  <c r="N2280" i="22" s="1"/>
  <c r="U2280" i="22" s="1"/>
  <c r="D2280" i="22"/>
  <c r="L2281" i="22"/>
  <c r="G2281" i="22"/>
  <c r="E2281" i="22"/>
  <c r="B2282" i="22"/>
  <c r="C2281" i="22"/>
  <c r="I2281" i="22"/>
  <c r="M2226" i="22"/>
  <c r="D2226" i="22"/>
  <c r="J2226" i="22"/>
  <c r="N2226" i="22" s="1"/>
  <c r="U2226" i="22" s="1"/>
  <c r="P2226" i="22"/>
  <c r="Q2226" i="22"/>
  <c r="R2226" i="22"/>
  <c r="L2227" i="22"/>
  <c r="C2227" i="22"/>
  <c r="E2227" i="22"/>
  <c r="G2227" i="22"/>
  <c r="I2227" i="22"/>
  <c r="B2228" i="22"/>
  <c r="D2172" i="22"/>
  <c r="J2172" i="22"/>
  <c r="P2172" i="22"/>
  <c r="Q2172" i="22"/>
  <c r="R2172" i="22"/>
  <c r="L2173" i="22"/>
  <c r="C2173" i="22"/>
  <c r="K2173" i="22" s="1"/>
  <c r="E2173" i="22"/>
  <c r="F2173" i="22"/>
  <c r="O2173" i="22" s="1"/>
  <c r="G2173" i="22"/>
  <c r="I2173" i="22"/>
  <c r="B2174" i="22"/>
  <c r="D2118" i="22"/>
  <c r="J2118" i="22"/>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E1903" i="22"/>
  <c r="G1903" i="22"/>
  <c r="I1903" i="22"/>
  <c r="B1904" i="22"/>
  <c r="M1848" i="22"/>
  <c r="D1848" i="22"/>
  <c r="J1848" i="22"/>
  <c r="N1848" i="22" s="1"/>
  <c r="U1848" i="22" s="1"/>
  <c r="P1848" i="22"/>
  <c r="Q1848" i="22"/>
  <c r="R1848" i="22"/>
  <c r="L1849" i="22"/>
  <c r="C1849" i="22"/>
  <c r="K1849" i="22" s="1"/>
  <c r="E1849" i="22"/>
  <c r="F1849" i="22"/>
  <c r="O1849" i="22" s="1"/>
  <c r="G1849" i="22"/>
  <c r="I1849" i="22"/>
  <c r="B1850" i="22"/>
  <c r="D1794" i="22"/>
  <c r="J1794" i="22"/>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E1741" i="22"/>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E1579" i="22"/>
  <c r="G1579" i="22"/>
  <c r="I1579" i="22"/>
  <c r="B1580" i="22"/>
  <c r="M1524" i="22"/>
  <c r="D1524" i="22"/>
  <c r="J1524" i="22"/>
  <c r="N1524" i="22" s="1"/>
  <c r="U1524" i="22" s="1"/>
  <c r="P1524" i="22"/>
  <c r="Q1524" i="22"/>
  <c r="R1524" i="22"/>
  <c r="L1525" i="22"/>
  <c r="C1525" i="22"/>
  <c r="K1525" i="22" s="1"/>
  <c r="E1525" i="22"/>
  <c r="F1525" i="22"/>
  <c r="O1525" i="22" s="1"/>
  <c r="G1525" i="22"/>
  <c r="I1525" i="22"/>
  <c r="B1526" i="22"/>
  <c r="D1470" i="22"/>
  <c r="J1470" i="22"/>
  <c r="P1470" i="22"/>
  <c r="Q1470" i="22"/>
  <c r="R1470" i="22"/>
  <c r="L1471" i="22"/>
  <c r="C1471" i="22"/>
  <c r="E1471" i="22"/>
  <c r="G1471" i="22"/>
  <c r="I1471" i="22"/>
  <c r="B1472" i="22"/>
  <c r="M1416" i="22"/>
  <c r="L1417" i="22"/>
  <c r="E1417" i="22"/>
  <c r="C1417" i="22"/>
  <c r="G1417" i="22"/>
  <c r="I1417" i="22"/>
  <c r="B1418" i="22"/>
  <c r="J1416" i="22"/>
  <c r="N1416" i="22" s="1"/>
  <c r="U1416" i="22" s="1"/>
  <c r="D1416" i="22"/>
  <c r="P1416" i="22"/>
  <c r="Q1416" i="22"/>
  <c r="R1416" i="22"/>
  <c r="P1362" i="22"/>
  <c r="Q1362" i="22"/>
  <c r="R1362" i="22"/>
  <c r="L1363" i="22"/>
  <c r="E1363" i="22"/>
  <c r="G1363" i="22"/>
  <c r="I1363" i="22"/>
  <c r="C1363" i="22"/>
  <c r="K1363" i="22" s="1"/>
  <c r="F1363" i="22"/>
  <c r="O1363" i="22" s="1"/>
  <c r="B1364" i="22"/>
  <c r="D1362" i="22"/>
  <c r="J1362"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E1255" i="22"/>
  <c r="G1255" i="22"/>
  <c r="I1255" i="22"/>
  <c r="B1256" i="22"/>
  <c r="M1200" i="22"/>
  <c r="D1200" i="22"/>
  <c r="J1200" i="22"/>
  <c r="N1200" i="22" s="1"/>
  <c r="U1200" i="22" s="1"/>
  <c r="P1200" i="22"/>
  <c r="Q1200" i="22"/>
  <c r="R1200" i="22"/>
  <c r="L1201" i="22"/>
  <c r="C1201" i="22"/>
  <c r="E1201" i="22"/>
  <c r="G1201" i="22"/>
  <c r="I1201" i="22"/>
  <c r="B1202" i="22"/>
  <c r="M1146" i="22"/>
  <c r="D1146" i="22"/>
  <c r="J1146" i="22"/>
  <c r="N1146" i="22" s="1"/>
  <c r="U1146" i="22" s="1"/>
  <c r="P1146" i="22"/>
  <c r="Q1146" i="22"/>
  <c r="R1146" i="22"/>
  <c r="L1147" i="22"/>
  <c r="C1147" i="22"/>
  <c r="K1147" i="22" s="1"/>
  <c r="E1147" i="22"/>
  <c r="F1147" i="22"/>
  <c r="O1147" i="22" s="1"/>
  <c r="G1147" i="22"/>
  <c r="I1147" i="22"/>
  <c r="B1148" i="22"/>
  <c r="D1092" i="22"/>
  <c r="J1092" i="22"/>
  <c r="P1092" i="22"/>
  <c r="Q1092" i="22"/>
  <c r="R1092" i="22"/>
  <c r="L1093" i="22"/>
  <c r="C1093" i="22"/>
  <c r="K1093" i="22" s="1"/>
  <c r="E1093" i="22"/>
  <c r="F1093" i="22"/>
  <c r="O1093" i="22" s="1"/>
  <c r="G1093" i="22"/>
  <c r="I1093" i="22"/>
  <c r="B1094" i="22"/>
  <c r="D1038" i="22"/>
  <c r="J1038" i="22"/>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E931" i="22"/>
  <c r="G931" i="22"/>
  <c r="I931" i="22"/>
  <c r="B932" i="22"/>
  <c r="M876" i="22"/>
  <c r="D876" i="22"/>
  <c r="J876" i="22"/>
  <c r="N876" i="22" s="1"/>
  <c r="U876" i="22" s="1"/>
  <c r="P876" i="22"/>
  <c r="Q876" i="22"/>
  <c r="R876" i="22"/>
  <c r="L877" i="22"/>
  <c r="C877" i="22"/>
  <c r="E877" i="22"/>
  <c r="G877" i="22"/>
  <c r="I877" i="22"/>
  <c r="B878" i="22"/>
  <c r="M822" i="22"/>
  <c r="D822" i="22"/>
  <c r="J822" i="22"/>
  <c r="N822" i="22" s="1"/>
  <c r="U822" i="22" s="1"/>
  <c r="P822" i="22"/>
  <c r="Q822" i="22"/>
  <c r="R822" i="22"/>
  <c r="L823" i="22"/>
  <c r="C823" i="22"/>
  <c r="K823" i="22" s="1"/>
  <c r="E823" i="22"/>
  <c r="F823" i="22"/>
  <c r="O823" i="22" s="1"/>
  <c r="G823" i="22"/>
  <c r="I823" i="22"/>
  <c r="B824" i="22"/>
  <c r="D768" i="22"/>
  <c r="J768" i="22"/>
  <c r="P768" i="22"/>
  <c r="Q768" i="22"/>
  <c r="R768" i="22"/>
  <c r="L769" i="22"/>
  <c r="C769" i="22"/>
  <c r="K769" i="22" s="1"/>
  <c r="E769" i="22"/>
  <c r="F769" i="22"/>
  <c r="O769" i="22" s="1"/>
  <c r="G769" i="22"/>
  <c r="I769" i="22"/>
  <c r="B770" i="22"/>
  <c r="D714" i="22"/>
  <c r="J714" i="22"/>
  <c r="P714" i="22"/>
  <c r="Q714" i="22"/>
  <c r="R714" i="22"/>
  <c r="L715" i="22"/>
  <c r="C715" i="22"/>
  <c r="K715" i="22" s="1"/>
  <c r="E715" i="22"/>
  <c r="F715" i="22"/>
  <c r="O715" i="22" s="1"/>
  <c r="G715" i="22"/>
  <c r="I715" i="22"/>
  <c r="B716" i="22"/>
  <c r="D660" i="22"/>
  <c r="J660" i="22"/>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E553" i="22"/>
  <c r="G553" i="22"/>
  <c r="I553" i="22"/>
  <c r="B554" i="22"/>
  <c r="M498" i="22"/>
  <c r="D498" i="22"/>
  <c r="J498" i="22"/>
  <c r="N498" i="22" s="1"/>
  <c r="U498" i="22" s="1"/>
  <c r="P498" i="22"/>
  <c r="Q498" i="22"/>
  <c r="R498" i="22"/>
  <c r="L499" i="22"/>
  <c r="C499" i="22"/>
  <c r="E499" i="22"/>
  <c r="G499" i="22"/>
  <c r="I499" i="22"/>
  <c r="B500" i="22"/>
  <c r="M444" i="22"/>
  <c r="D444" i="22"/>
  <c r="J444" i="22"/>
  <c r="N444" i="22" s="1"/>
  <c r="U444" i="22" s="1"/>
  <c r="P444" i="22"/>
  <c r="Q444" i="22"/>
  <c r="R444" i="22"/>
  <c r="L445" i="22"/>
  <c r="C445" i="22"/>
  <c r="K445" i="22" s="1"/>
  <c r="E445" i="22"/>
  <c r="F445" i="22"/>
  <c r="O445" i="22" s="1"/>
  <c r="G445" i="22"/>
  <c r="B446" i="22"/>
  <c r="I445"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D282" i="22"/>
  <c r="J282" i="22"/>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E175" i="22"/>
  <c r="G175" i="22"/>
  <c r="I175" i="22"/>
  <c r="B176" i="22"/>
  <c r="M120" i="22"/>
  <c r="L121" i="22"/>
  <c r="B122" i="22"/>
  <c r="I121" i="22"/>
  <c r="C121" i="22"/>
  <c r="E121" i="22"/>
  <c r="G121" i="22"/>
  <c r="D120" i="22"/>
  <c r="J120" i="22"/>
  <c r="N120" i="22" s="1"/>
  <c r="U120" i="22" s="1"/>
  <c r="P120" i="22"/>
  <c r="Q120" i="22"/>
  <c r="R120" i="22"/>
  <c r="C108" i="12"/>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BF58" i="17"/>
  <c r="V58" i="17"/>
  <c r="D58" i="17"/>
  <c r="J58" i="17"/>
  <c r="I59" i="17"/>
  <c r="L59" i="17"/>
  <c r="B60" i="17"/>
  <c r="B59" i="18"/>
  <c r="C59" i="17"/>
  <c r="F59" i="17" s="1"/>
  <c r="C59" i="18" s="1"/>
  <c r="E59" i="18" s="1"/>
  <c r="E59" i="17"/>
  <c r="G59" i="17"/>
  <c r="K59" i="17"/>
  <c r="M1578" i="23"/>
  <c r="N1578" i="23"/>
  <c r="AE1578" i="23" s="1"/>
  <c r="M1522" i="23"/>
  <c r="N1522" i="23"/>
  <c r="AE1522" i="23" s="1"/>
  <c r="M1466" i="23"/>
  <c r="N1466" i="23"/>
  <c r="AE1466" i="23" s="1"/>
  <c r="N1410" i="23"/>
  <c r="AE1410" i="23" s="1"/>
  <c r="M1410" i="23"/>
  <c r="M1354" i="23"/>
  <c r="N1354" i="23"/>
  <c r="AE1354" i="23" s="1"/>
  <c r="M1242" i="23"/>
  <c r="N1242" i="23"/>
  <c r="AE1242" i="23" s="1"/>
  <c r="N1074" i="23"/>
  <c r="AE1074" i="23" s="1"/>
  <c r="M1074" i="23"/>
  <c r="M962" i="23"/>
  <c r="N962" i="23"/>
  <c r="AE962" i="23" s="1"/>
  <c r="M906" i="23"/>
  <c r="N906" i="23"/>
  <c r="AE906" i="23" s="1"/>
  <c r="M682" i="23"/>
  <c r="N682" i="23"/>
  <c r="AE682" i="23" s="1"/>
  <c r="N4091" i="22"/>
  <c r="U4091" i="22" s="1"/>
  <c r="M4091" i="22"/>
  <c r="M3467" i="22"/>
  <c r="N3467" i="22"/>
  <c r="U3467" i="22" s="1"/>
  <c r="M3413" i="22"/>
  <c r="N3413" i="22"/>
  <c r="U3413" i="22" s="1"/>
  <c r="M3359" i="22"/>
  <c r="N3359" i="22"/>
  <c r="U3359" i="22" s="1"/>
  <c r="M3305" i="22"/>
  <c r="N3305" i="22"/>
  <c r="U3305" i="22" s="1"/>
  <c r="M3251" i="22"/>
  <c r="N3251" i="22"/>
  <c r="U3251" i="22" s="1"/>
  <c r="M3035" i="22"/>
  <c r="N3035" i="22"/>
  <c r="U3035" i="22" s="1"/>
  <c r="M2981" i="22"/>
  <c r="N2981" i="22"/>
  <c r="U2981" i="22" s="1"/>
  <c r="M2657" i="22"/>
  <c r="N2657" i="22"/>
  <c r="U2657" i="22" s="1"/>
  <c r="M2603" i="22"/>
  <c r="N2603" i="22"/>
  <c r="U2603" i="22" s="1"/>
  <c r="M2549" i="22"/>
  <c r="N2549" i="22"/>
  <c r="U2549" i="22" s="1"/>
  <c r="M2279" i="22"/>
  <c r="N2279" i="22"/>
  <c r="U2279" i="22" s="1"/>
  <c r="M2171" i="22"/>
  <c r="N2171" i="22"/>
  <c r="U2171" i="22" s="1"/>
  <c r="M2117" i="22"/>
  <c r="N2117" i="22"/>
  <c r="U2117" i="22" s="1"/>
  <c r="M1793" i="22"/>
  <c r="N1793" i="22"/>
  <c r="U1793" i="22" s="1"/>
  <c r="M1739" i="22"/>
  <c r="N1739" i="22"/>
  <c r="U1739" i="22" s="1"/>
  <c r="M1469" i="22"/>
  <c r="N1469" i="22"/>
  <c r="U1469" i="22" s="1"/>
  <c r="M1415" i="22"/>
  <c r="N1415" i="22"/>
  <c r="U1415" i="22" s="1"/>
  <c r="M1361" i="22"/>
  <c r="N1361" i="22"/>
  <c r="U1361" i="22" s="1"/>
  <c r="M1307" i="22"/>
  <c r="N1307" i="22"/>
  <c r="U1307" i="22" s="1"/>
  <c r="M983" i="22"/>
  <c r="N983" i="22"/>
  <c r="U983" i="22" s="1"/>
  <c r="M929" i="22"/>
  <c r="N929" i="22"/>
  <c r="U929" i="22" s="1"/>
  <c r="M875" i="22"/>
  <c r="N875" i="22"/>
  <c r="U875" i="22" s="1"/>
  <c r="M605" i="22"/>
  <c r="N605" i="22"/>
  <c r="U605" i="22" s="1"/>
  <c r="M551" i="22"/>
  <c r="N551" i="22"/>
  <c r="U551" i="22" s="1"/>
  <c r="M497" i="22"/>
  <c r="N497" i="22"/>
  <c r="U497" i="22" s="1"/>
  <c r="N443" i="22"/>
  <c r="U443" i="22" s="1"/>
  <c r="M443" i="22"/>
  <c r="M119" i="22"/>
  <c r="N119" i="22"/>
  <c r="U119" i="22" s="1"/>
  <c r="O57" i="17"/>
  <c r="E109" i="12"/>
  <c r="N109" i="12"/>
  <c r="N57" i="17"/>
  <c r="M57" i="17"/>
  <c r="F1467" i="23"/>
  <c r="O1467" i="23" s="1"/>
  <c r="K1467" i="23"/>
  <c r="K1243" i="23"/>
  <c r="F1243" i="23"/>
  <c r="O1243" i="23" s="1"/>
  <c r="K1187" i="23"/>
  <c r="F1187" i="23"/>
  <c r="O1187" i="23" s="1"/>
  <c r="K1131" i="23"/>
  <c r="F1131" i="23"/>
  <c r="O1131" i="23" s="1"/>
  <c r="K1075" i="23"/>
  <c r="F1075" i="23"/>
  <c r="O1075" i="23" s="1"/>
  <c r="K1019" i="23"/>
  <c r="F1019" i="23"/>
  <c r="O1019" i="23" s="1"/>
  <c r="F851" i="23"/>
  <c r="O851" i="23" s="1"/>
  <c r="K851" i="23"/>
  <c r="F795" i="23"/>
  <c r="O795" i="23" s="1"/>
  <c r="K795" i="23"/>
  <c r="F459" i="23"/>
  <c r="O459" i="23" s="1"/>
  <c r="K459" i="23"/>
  <c r="K4554" i="22"/>
  <c r="F4554" i="22"/>
  <c r="K3630" i="22"/>
  <c r="F3630" i="22"/>
  <c r="O3630" i="22" s="1"/>
  <c r="F3576" i="22"/>
  <c r="O3576" i="22" s="1"/>
  <c r="K3576" i="22"/>
  <c r="F3306" i="22"/>
  <c r="O3306" i="22" s="1"/>
  <c r="K3306" i="22"/>
  <c r="K3252" i="22"/>
  <c r="F3252" i="22"/>
  <c r="O3252" i="22" s="1"/>
  <c r="F3198" i="22"/>
  <c r="O3198" i="22" s="1"/>
  <c r="K3198" i="22"/>
  <c r="K2928" i="22"/>
  <c r="F2928" i="22"/>
  <c r="O2928" i="22" s="1"/>
  <c r="F2874" i="22"/>
  <c r="O2874" i="22" s="1"/>
  <c r="K2874" i="22"/>
  <c r="F2496" i="22"/>
  <c r="O2496" i="22" s="1"/>
  <c r="K2496" i="22"/>
  <c r="F2172" i="22"/>
  <c r="O2172" i="22" s="1"/>
  <c r="K2172" i="22"/>
  <c r="F2118" i="22"/>
  <c r="O2118" i="22" s="1"/>
  <c r="K2118" i="22"/>
  <c r="F1794" i="22"/>
  <c r="O1794" i="22" s="1"/>
  <c r="K1794" i="22"/>
  <c r="K1470" i="22"/>
  <c r="F1470" i="22"/>
  <c r="O1470" i="22" s="1"/>
  <c r="K1362" i="22"/>
  <c r="F1362" i="22"/>
  <c r="O1362" i="22" s="1"/>
  <c r="K1092" i="22"/>
  <c r="F1092" i="22"/>
  <c r="O1092" i="22" s="1"/>
  <c r="F1038" i="22"/>
  <c r="O1038" i="22" s="1"/>
  <c r="K1038" i="22"/>
  <c r="F768" i="22"/>
  <c r="O768" i="22" s="1"/>
  <c r="K768" i="22"/>
  <c r="F714" i="22"/>
  <c r="O714" i="22" s="1"/>
  <c r="K714" i="22"/>
  <c r="K660" i="22"/>
  <c r="F660" i="22"/>
  <c r="O660" i="22" s="1"/>
  <c r="F282" i="22"/>
  <c r="O282" i="22" s="1"/>
  <c r="K282" i="22"/>
  <c r="F57" i="18"/>
  <c r="G57" i="18"/>
  <c r="H57" i="18"/>
  <c r="F58" i="17"/>
  <c r="C58" i="18" s="1"/>
  <c r="E58" i="18" s="1"/>
  <c r="K58" i="17"/>
  <c r="K1244" i="23" l="1"/>
  <c r="F1244" i="23"/>
  <c r="O1244" i="23" s="1"/>
  <c r="K628" i="23"/>
  <c r="F628" i="23"/>
  <c r="O628" i="23" s="1"/>
  <c r="K3685" i="22"/>
  <c r="F3685" i="22"/>
  <c r="O3685" i="22" s="1"/>
  <c r="K3577" i="22"/>
  <c r="F3577" i="22"/>
  <c r="O3577" i="22" s="1"/>
  <c r="K3469" i="22"/>
  <c r="F3469" i="22"/>
  <c r="O3469" i="22" s="1"/>
  <c r="K3199" i="22"/>
  <c r="F3199" i="22"/>
  <c r="O3199" i="22" s="1"/>
  <c r="K2281" i="22"/>
  <c r="F2281" i="22"/>
  <c r="O2281" i="22" s="1"/>
  <c r="K1741" i="22"/>
  <c r="F1741" i="22"/>
  <c r="O1741" i="22" s="1"/>
  <c r="K1471" i="22"/>
  <c r="F1471" i="22"/>
  <c r="O1471" i="22" s="1"/>
  <c r="K1201" i="22"/>
  <c r="F1201" i="22"/>
  <c r="O1201"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E1525" i="23"/>
  <c r="G1525" i="23"/>
  <c r="B1526" i="23"/>
  <c r="L1469" i="23"/>
  <c r="I1469" i="23"/>
  <c r="G1469" i="23"/>
  <c r="C1469" i="23"/>
  <c r="E1469" i="23"/>
  <c r="B1470" i="23"/>
  <c r="J1468" i="23"/>
  <c r="D1468" i="23"/>
  <c r="P1468" i="23"/>
  <c r="Q1468" i="23"/>
  <c r="R1468" i="23"/>
  <c r="J1412" i="23"/>
  <c r="D1412" i="23"/>
  <c r="P1412" i="23"/>
  <c r="Q1412" i="23"/>
  <c r="R1412" i="23"/>
  <c r="L1413" i="23"/>
  <c r="I1413" i="23"/>
  <c r="B1414" i="23"/>
  <c r="C1413" i="23"/>
  <c r="E1413" i="23"/>
  <c r="G1413" i="23"/>
  <c r="M1356" i="23"/>
  <c r="J1356" i="23"/>
  <c r="N1356" i="23" s="1"/>
  <c r="AE1356" i="23" s="1"/>
  <c r="D1356" i="23"/>
  <c r="P1356" i="23"/>
  <c r="Q1356" i="23"/>
  <c r="R1356" i="23"/>
  <c r="L1357" i="23"/>
  <c r="I1357" i="23"/>
  <c r="E1357" i="23"/>
  <c r="G1357" i="23"/>
  <c r="C1357" i="23"/>
  <c r="K1357" i="23" s="1"/>
  <c r="F1357" i="23"/>
  <c r="O1357" i="23" s="1"/>
  <c r="B1358"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E1245" i="23"/>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B1134" i="23"/>
  <c r="C1133" i="23"/>
  <c r="K1133" i="23" s="1"/>
  <c r="E1133" i="23"/>
  <c r="F1133" i="23"/>
  <c r="O1133" i="23" s="1"/>
  <c r="G1133" i="23"/>
  <c r="L1077" i="23"/>
  <c r="I1077" i="23"/>
  <c r="E1077" i="23"/>
  <c r="G1077" i="23"/>
  <c r="B1078" i="23"/>
  <c r="C1077" i="23"/>
  <c r="J1076" i="23"/>
  <c r="D1076" i="23"/>
  <c r="P1076" i="23"/>
  <c r="Q1076" i="23"/>
  <c r="R1076" i="23"/>
  <c r="J1020" i="23"/>
  <c r="D1020" i="23"/>
  <c r="P1020" i="23"/>
  <c r="Q1020" i="23"/>
  <c r="R1020" i="23"/>
  <c r="L1021" i="23"/>
  <c r="I1021" i="23"/>
  <c r="C1021" i="23"/>
  <c r="E1021" i="23"/>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E853" i="23"/>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J516" i="23"/>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E461" i="23"/>
  <c r="G461" i="23"/>
  <c r="B462" i="23"/>
  <c r="M404" i="23"/>
  <c r="J404" i="23"/>
  <c r="N404" i="23" s="1"/>
  <c r="AE404" i="23" s="1"/>
  <c r="D404" i="23"/>
  <c r="P404" i="23"/>
  <c r="Q404" i="23"/>
  <c r="R404" i="23"/>
  <c r="L405" i="23"/>
  <c r="I405" i="23"/>
  <c r="C405" i="23"/>
  <c r="E405" i="23"/>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J4771" i="22"/>
  <c r="D4771" i="22"/>
  <c r="P4771" i="22"/>
  <c r="Q4771" i="22"/>
  <c r="R4771" i="22"/>
  <c r="M4771" i="22"/>
  <c r="N4771" i="22"/>
  <c r="B4773" i="22"/>
  <c r="C4772" i="22"/>
  <c r="E4772" i="22"/>
  <c r="G4772" i="22"/>
  <c r="I4772" i="22"/>
  <c r="L4772" i="22"/>
  <c r="U4716" i="22"/>
  <c r="S4716" i="22"/>
  <c r="M4717" i="22"/>
  <c r="D4717" i="22"/>
  <c r="J4717" i="22"/>
  <c r="N4717" i="22" s="1"/>
  <c r="P4717" i="22"/>
  <c r="Q4717" i="22"/>
  <c r="R4717" i="22"/>
  <c r="L4718" i="22"/>
  <c r="C4718" i="22"/>
  <c r="K4718" i="22" s="1"/>
  <c r="E4718" i="22"/>
  <c r="F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E4556" i="22"/>
  <c r="G4556" i="22"/>
  <c r="I4556" i="22"/>
  <c r="B4557" i="22"/>
  <c r="D4255" i="22"/>
  <c r="J4255" i="22"/>
  <c r="N4255" i="22" s="1"/>
  <c r="U4255" i="22" s="1"/>
  <c r="P4255" i="22"/>
  <c r="Q4255" i="22"/>
  <c r="R4255" i="22"/>
  <c r="M4255" i="22"/>
  <c r="C4256" i="22"/>
  <c r="F4256" i="22" s="1"/>
  <c r="O4256" i="22" s="1"/>
  <c r="E4256" i="22"/>
  <c r="G4256" i="22"/>
  <c r="I4256" i="22"/>
  <c r="K4256" i="22"/>
  <c r="L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D4093" i="22"/>
  <c r="J4093" i="22"/>
  <c r="N4093" i="22" s="1"/>
  <c r="U4093" i="22" s="1"/>
  <c r="P4093" i="22"/>
  <c r="Q4093" i="22"/>
  <c r="R4093" i="22"/>
  <c r="E4094" i="22"/>
  <c r="G4094" i="22"/>
  <c r="C4094" i="22"/>
  <c r="F4094" i="22" s="1"/>
  <c r="O4094" i="22" s="1"/>
  <c r="I4094" i="22"/>
  <c r="K4094" i="22"/>
  <c r="L4094" i="22"/>
  <c r="B4095" i="22"/>
  <c r="M4093" i="22"/>
  <c r="M3793" i="22"/>
  <c r="D3793" i="22"/>
  <c r="J3793" i="22"/>
  <c r="N3793" i="22" s="1"/>
  <c r="U3793" i="22" s="1"/>
  <c r="P3793" i="22"/>
  <c r="Q3793" i="22"/>
  <c r="R3793" i="22"/>
  <c r="L3794" i="22"/>
  <c r="C3794" i="22"/>
  <c r="K3794" i="22" s="1"/>
  <c r="E3794" i="22"/>
  <c r="F3794" i="22"/>
  <c r="O3794" i="22" s="1"/>
  <c r="G3794" i="22"/>
  <c r="I3794" i="22"/>
  <c r="B3795" i="22"/>
  <c r="D3739" i="22"/>
  <c r="J3739" i="22"/>
  <c r="P3739" i="22"/>
  <c r="Q3739" i="22"/>
  <c r="R3739" i="22"/>
  <c r="L3740" i="22"/>
  <c r="C3740" i="22"/>
  <c r="E3740" i="22"/>
  <c r="G3740" i="22"/>
  <c r="I3740" i="22"/>
  <c r="B3741" i="22"/>
  <c r="M3685" i="22"/>
  <c r="D3685" i="22"/>
  <c r="J3685" i="22"/>
  <c r="N3685" i="22" s="1"/>
  <c r="U3685" i="22" s="1"/>
  <c r="P3685" i="22"/>
  <c r="Q3685" i="22"/>
  <c r="R3685" i="22"/>
  <c r="L3686" i="22"/>
  <c r="C3686" i="22"/>
  <c r="K3686" i="22" s="1"/>
  <c r="E3686" i="22"/>
  <c r="F3686" i="22"/>
  <c r="O3686" i="22" s="1"/>
  <c r="G3686" i="22"/>
  <c r="I3686" i="22"/>
  <c r="B3687" i="22"/>
  <c r="D3631" i="22"/>
  <c r="J3631" i="22"/>
  <c r="P3631" i="22"/>
  <c r="Q3631" i="22"/>
  <c r="R3631" i="22"/>
  <c r="L3632" i="22"/>
  <c r="C3632" i="22"/>
  <c r="K3632" i="22" s="1"/>
  <c r="E3632" i="22"/>
  <c r="F3632" i="22"/>
  <c r="O3632" i="22" s="1"/>
  <c r="G3632" i="22"/>
  <c r="I3632" i="22"/>
  <c r="B3633" i="22"/>
  <c r="N3577" i="22"/>
  <c r="U3577" i="22" s="1"/>
  <c r="M3577" i="22"/>
  <c r="P3577" i="22"/>
  <c r="Q3577" i="22"/>
  <c r="R3577" i="22"/>
  <c r="D3577" i="22"/>
  <c r="J3577" i="22"/>
  <c r="L3578" i="22"/>
  <c r="B3579" i="22"/>
  <c r="C3578" i="22"/>
  <c r="E3578" i="22"/>
  <c r="G3578" i="22"/>
  <c r="I3578" i="22"/>
  <c r="M3523" i="22"/>
  <c r="P3523" i="22"/>
  <c r="Q3523" i="22"/>
  <c r="R3523" i="22"/>
  <c r="L3524" i="22"/>
  <c r="E3524" i="22"/>
  <c r="C3524" i="22"/>
  <c r="G3524" i="22"/>
  <c r="B3525" i="22"/>
  <c r="I3524" i="22"/>
  <c r="D3523" i="22"/>
  <c r="J3523" i="22"/>
  <c r="N3523" i="22" s="1"/>
  <c r="U3523" i="22" s="1"/>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E3362" i="22"/>
  <c r="G3362" i="22"/>
  <c r="I3362" i="22"/>
  <c r="B3363" i="22"/>
  <c r="D3307" i="22"/>
  <c r="J3307" i="22"/>
  <c r="P3307" i="22"/>
  <c r="Q3307" i="22"/>
  <c r="R3307" i="22"/>
  <c r="L3308" i="22"/>
  <c r="C3308" i="22"/>
  <c r="E3308" i="22"/>
  <c r="G3308" i="22"/>
  <c r="I3308" i="22"/>
  <c r="B3309" i="22"/>
  <c r="M3253" i="22"/>
  <c r="J3253" i="22"/>
  <c r="N3253" i="22" s="1"/>
  <c r="U3253" i="22" s="1"/>
  <c r="D3253" i="22"/>
  <c r="P3253" i="22"/>
  <c r="Q3253" i="22"/>
  <c r="R3253" i="22"/>
  <c r="L3254" i="22"/>
  <c r="I3254" i="22"/>
  <c r="E3254" i="22"/>
  <c r="C3254" i="22"/>
  <c r="G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E3038" i="22"/>
  <c r="G3038" i="22"/>
  <c r="I3038" i="22"/>
  <c r="B3039" i="22"/>
  <c r="D2983" i="22"/>
  <c r="J2983" i="22"/>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E2714" i="22"/>
  <c r="G2714" i="22"/>
  <c r="I2714" i="22"/>
  <c r="B2715" i="22"/>
  <c r="L2660" i="22"/>
  <c r="E2660" i="22"/>
  <c r="G2660" i="22"/>
  <c r="B2661" i="22"/>
  <c r="C2660" i="22"/>
  <c r="I2660" i="22"/>
  <c r="D2659" i="22"/>
  <c r="J2659" i="22"/>
  <c r="P2659" i="22"/>
  <c r="Q2659" i="22"/>
  <c r="R2659" i="22"/>
  <c r="P2605" i="22"/>
  <c r="Q2605" i="22"/>
  <c r="R2605" i="22"/>
  <c r="D2605" i="22"/>
  <c r="J2605" i="22"/>
  <c r="L2606" i="22"/>
  <c r="G2606" i="22"/>
  <c r="C2606" i="22"/>
  <c r="E2606" i="22"/>
  <c r="I2606" i="22"/>
  <c r="B2607" i="22"/>
  <c r="D2551" i="22"/>
  <c r="J2551" i="22"/>
  <c r="P2551" i="22"/>
  <c r="Q2551" i="22"/>
  <c r="R2551" i="22"/>
  <c r="L2552" i="22"/>
  <c r="C2552" i="22"/>
  <c r="E2552" i="22"/>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E2390" i="22"/>
  <c r="G2390" i="22"/>
  <c r="I2390" i="22"/>
  <c r="B2391" i="22"/>
  <c r="M2335" i="22"/>
  <c r="D2335" i="22"/>
  <c r="J2335" i="22"/>
  <c r="N2335" i="22" s="1"/>
  <c r="U2335" i="22" s="1"/>
  <c r="P2335" i="22"/>
  <c r="Q2335" i="22"/>
  <c r="R2335" i="22"/>
  <c r="L2336" i="22"/>
  <c r="C2336" i="22"/>
  <c r="E2336" i="22"/>
  <c r="G2336" i="22"/>
  <c r="I2336" i="22"/>
  <c r="B2337" i="22"/>
  <c r="M2281" i="22"/>
  <c r="P2281" i="22"/>
  <c r="Q2281" i="22"/>
  <c r="R2281" i="22"/>
  <c r="L2282" i="22"/>
  <c r="B2283" i="22"/>
  <c r="C2282" i="22"/>
  <c r="K2282" i="22" s="1"/>
  <c r="E2282" i="22"/>
  <c r="I2282" i="22"/>
  <c r="F2282" i="22"/>
  <c r="O2282" i="22" s="1"/>
  <c r="G2282" i="22"/>
  <c r="J2281" i="22"/>
  <c r="N2281" i="22" s="1"/>
  <c r="U2281" i="22" s="1"/>
  <c r="D2281" i="22"/>
  <c r="D2227" i="22"/>
  <c r="J2227" i="22"/>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E2066" i="22"/>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K1958" i="22" s="1"/>
  <c r="E1958" i="22"/>
  <c r="F1958" i="22"/>
  <c r="O1958" i="22" s="1"/>
  <c r="G1958" i="22"/>
  <c r="I1958" i="22"/>
  <c r="B1959" i="22"/>
  <c r="D1903" i="22"/>
  <c r="J1903" i="22"/>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E1742" i="22"/>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E1634" i="22"/>
  <c r="G1634" i="22"/>
  <c r="I1634" i="22"/>
  <c r="B1635" i="22"/>
  <c r="D1579" i="22"/>
  <c r="J1579" i="22"/>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E1472" i="22"/>
  <c r="G1472" i="22"/>
  <c r="I1472" i="22"/>
  <c r="B1473" i="22"/>
  <c r="D1417" i="22"/>
  <c r="J1417" i="22"/>
  <c r="P1417" i="22"/>
  <c r="Q1417" i="22"/>
  <c r="R1417" i="22"/>
  <c r="L1418" i="22"/>
  <c r="I1418" i="22"/>
  <c r="B1419" i="22"/>
  <c r="C1418" i="22"/>
  <c r="K1418" i="22" s="1"/>
  <c r="E1418" i="22"/>
  <c r="F1418" i="22"/>
  <c r="O1418" i="22" s="1"/>
  <c r="G1418" i="22"/>
  <c r="M1363" i="22"/>
  <c r="P1363" i="22"/>
  <c r="Q1363" i="22"/>
  <c r="R1363" i="22"/>
  <c r="D1363" i="22"/>
  <c r="J1363" i="22"/>
  <c r="N1363" i="22" s="1"/>
  <c r="U1363" i="22" s="1"/>
  <c r="L1364" i="22"/>
  <c r="E1364" i="22"/>
  <c r="I1364" i="22"/>
  <c r="B1365" i="22"/>
  <c r="C1364" i="22"/>
  <c r="K1364" i="22" s="1"/>
  <c r="F1364" i="22"/>
  <c r="O1364" i="22" s="1"/>
  <c r="G1364" i="22"/>
  <c r="M1309" i="22"/>
  <c r="D1309" i="22"/>
  <c r="J1309" i="22"/>
  <c r="N1309" i="22" s="1"/>
  <c r="U1309" i="22" s="1"/>
  <c r="P1309" i="22"/>
  <c r="Q1309" i="22"/>
  <c r="R1309" i="22"/>
  <c r="L1310" i="22"/>
  <c r="C1310" i="22"/>
  <c r="K1310" i="22" s="1"/>
  <c r="E1310" i="22"/>
  <c r="F1310" i="22"/>
  <c r="O1310" i="22" s="1"/>
  <c r="G1310" i="22"/>
  <c r="I1310" i="22"/>
  <c r="B1311" i="22"/>
  <c r="D1255" i="22"/>
  <c r="J1255" i="22"/>
  <c r="P1255" i="22"/>
  <c r="Q1255" i="22"/>
  <c r="R1255" i="22"/>
  <c r="L1256" i="22"/>
  <c r="C1256" i="22"/>
  <c r="E1256" i="22"/>
  <c r="G1256" i="22"/>
  <c r="I1256" i="22"/>
  <c r="B1257" i="22"/>
  <c r="M1201" i="22"/>
  <c r="D1201" i="22"/>
  <c r="J1201" i="22"/>
  <c r="N1201" i="22" s="1"/>
  <c r="U1201" i="22" s="1"/>
  <c r="P1201" i="22"/>
  <c r="Q1201" i="22"/>
  <c r="R1201" i="22"/>
  <c r="L1202" i="22"/>
  <c r="C1202" i="22"/>
  <c r="E1202" i="22"/>
  <c r="G1202" i="22"/>
  <c r="I1202" i="22"/>
  <c r="B1203" i="22"/>
  <c r="M1147" i="22"/>
  <c r="D1147" i="22"/>
  <c r="J1147" i="22"/>
  <c r="N1147" i="22" s="1"/>
  <c r="U1147" i="22" s="1"/>
  <c r="P1147" i="22"/>
  <c r="Q1147" i="22"/>
  <c r="R1147" i="22"/>
  <c r="L1148" i="22"/>
  <c r="C1148" i="22"/>
  <c r="E1148" i="22"/>
  <c r="G1148" i="22"/>
  <c r="I1148" i="22"/>
  <c r="B1149" i="22"/>
  <c r="M1093" i="22"/>
  <c r="D1093" i="22"/>
  <c r="J1093" i="22"/>
  <c r="N1093" i="22" s="1"/>
  <c r="U1093" i="22" s="1"/>
  <c r="P1093" i="22"/>
  <c r="Q1093" i="22"/>
  <c r="R1093" i="22"/>
  <c r="L1094" i="22"/>
  <c r="C1094" i="22"/>
  <c r="E1094" i="22"/>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E986" i="22"/>
  <c r="G986" i="22"/>
  <c r="I986" i="22"/>
  <c r="B987" i="22"/>
  <c r="D931" i="22"/>
  <c r="J931" i="22"/>
  <c r="P931" i="22"/>
  <c r="Q931" i="22"/>
  <c r="R931" i="22"/>
  <c r="L932" i="22"/>
  <c r="C932" i="22"/>
  <c r="E932" i="22"/>
  <c r="G932" i="22"/>
  <c r="I932" i="22"/>
  <c r="B933" i="22"/>
  <c r="D877" i="22"/>
  <c r="J877" i="22"/>
  <c r="P877" i="22"/>
  <c r="Q877" i="22"/>
  <c r="R877" i="22"/>
  <c r="L878" i="22"/>
  <c r="C878" i="22"/>
  <c r="E878" i="22"/>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D553" i="22"/>
  <c r="J553" i="22"/>
  <c r="P553" i="22"/>
  <c r="Q553" i="22"/>
  <c r="R553" i="22"/>
  <c r="L554" i="22"/>
  <c r="C554" i="22"/>
  <c r="E554" i="22"/>
  <c r="G554" i="22"/>
  <c r="I554" i="22"/>
  <c r="B555" i="22"/>
  <c r="D499" i="22"/>
  <c r="J499" i="22"/>
  <c r="P499" i="22"/>
  <c r="Q499" i="22"/>
  <c r="R499" i="22"/>
  <c r="L500" i="22"/>
  <c r="C500" i="22"/>
  <c r="E500" i="22"/>
  <c r="G500" i="22"/>
  <c r="I500" i="22"/>
  <c r="B501" i="22"/>
  <c r="M445" i="22"/>
  <c r="D445" i="22"/>
  <c r="J445" i="22"/>
  <c r="N445" i="22" s="1"/>
  <c r="U445" i="22" s="1"/>
  <c r="P445" i="22"/>
  <c r="Q445" i="22"/>
  <c r="R445" i="22"/>
  <c r="L446" i="22"/>
  <c r="I446" i="22"/>
  <c r="C446" i="22"/>
  <c r="E446" i="22"/>
  <c r="G446" i="22"/>
  <c r="B447" i="22"/>
  <c r="M391" i="22"/>
  <c r="D391" i="22"/>
  <c r="J391" i="22"/>
  <c r="N391" i="22" s="1"/>
  <c r="U391" i="22" s="1"/>
  <c r="P391" i="22"/>
  <c r="Q391" i="22"/>
  <c r="R391" i="22"/>
  <c r="L392" i="22"/>
  <c r="C392" i="22"/>
  <c r="E392" i="22"/>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E230" i="22"/>
  <c r="G230" i="22"/>
  <c r="I230" i="22"/>
  <c r="B231" i="22"/>
  <c r="D175" i="22"/>
  <c r="J175" i="22"/>
  <c r="P175" i="22"/>
  <c r="Q175" i="22"/>
  <c r="R175" i="22"/>
  <c r="L176" i="22"/>
  <c r="C176" i="22"/>
  <c r="E176" i="22"/>
  <c r="G176" i="22"/>
  <c r="I176" i="22"/>
  <c r="B177" i="22"/>
  <c r="L122" i="22"/>
  <c r="C122" i="22"/>
  <c r="K122" i="22" s="1"/>
  <c r="E122" i="22"/>
  <c r="F122" i="22"/>
  <c r="O122" i="22" s="1"/>
  <c r="G122" i="22"/>
  <c r="I122" i="22"/>
  <c r="B123" i="22"/>
  <c r="J121" i="22"/>
  <c r="D121" i="22"/>
  <c r="P121" i="22"/>
  <c r="Q121" i="22"/>
  <c r="R121" i="22"/>
  <c r="G108" i="12"/>
  <c r="N111" i="12"/>
  <c r="O59" i="17"/>
  <c r="E111" i="12"/>
  <c r="E60" i="17"/>
  <c r="G60" i="17"/>
  <c r="I60" i="17"/>
  <c r="L60" i="17"/>
  <c r="B61" i="17"/>
  <c r="C60" i="17"/>
  <c r="F60" i="17"/>
  <c r="C60" i="18" s="1"/>
  <c r="E60" i="18" s="1"/>
  <c r="K60" i="17"/>
  <c r="B60" i="18"/>
  <c r="J59" i="17"/>
  <c r="D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BF59" i="17"/>
  <c r="V59" i="17"/>
  <c r="M59" i="17"/>
  <c r="N59" i="17"/>
  <c r="U57" i="17"/>
  <c r="C109" i="12" s="1"/>
  <c r="M109" i="12"/>
  <c r="Q109" i="12" s="1"/>
  <c r="O109" i="12"/>
  <c r="M1467" i="23"/>
  <c r="N1467" i="23"/>
  <c r="AE1467" i="23" s="1"/>
  <c r="M1243" i="23"/>
  <c r="N1243" i="23"/>
  <c r="AE1243" i="23" s="1"/>
  <c r="M1187" i="23"/>
  <c r="N1187" i="23"/>
  <c r="AE1187" i="23" s="1"/>
  <c r="M1131" i="23"/>
  <c r="N1131" i="23"/>
  <c r="AE1131" i="23" s="1"/>
  <c r="M1075" i="23"/>
  <c r="N1075" i="23"/>
  <c r="AE1075" i="23" s="1"/>
  <c r="M1019" i="23"/>
  <c r="N1019" i="23"/>
  <c r="AE1019" i="23" s="1"/>
  <c r="M851" i="23"/>
  <c r="N851" i="23"/>
  <c r="AE851" i="23" s="1"/>
  <c r="M795" i="23"/>
  <c r="N795" i="23"/>
  <c r="AE795" i="23" s="1"/>
  <c r="M459" i="23"/>
  <c r="N459" i="23"/>
  <c r="AE459" i="23" s="1"/>
  <c r="M4554" i="22"/>
  <c r="N4554" i="22"/>
  <c r="M3630" i="22"/>
  <c r="N3630" i="22"/>
  <c r="U3630" i="22" s="1"/>
  <c r="M3576" i="22"/>
  <c r="N3576" i="22"/>
  <c r="U3576" i="22" s="1"/>
  <c r="M3306" i="22"/>
  <c r="N3306" i="22"/>
  <c r="U3306" i="22" s="1"/>
  <c r="M3252" i="22"/>
  <c r="N3252" i="22"/>
  <c r="U3252" i="22" s="1"/>
  <c r="M3198" i="22"/>
  <c r="N3198" i="22"/>
  <c r="U3198" i="22" s="1"/>
  <c r="M2928" i="22"/>
  <c r="N2928" i="22"/>
  <c r="U2928" i="22" s="1"/>
  <c r="M2874" i="22"/>
  <c r="N2874" i="22"/>
  <c r="U2874" i="22" s="1"/>
  <c r="M2496" i="22"/>
  <c r="N2496" i="22"/>
  <c r="U2496" i="22" s="1"/>
  <c r="M2172" i="22"/>
  <c r="N2172" i="22"/>
  <c r="U2172" i="22" s="1"/>
  <c r="M2118" i="22"/>
  <c r="N2118" i="22"/>
  <c r="U2118" i="22" s="1"/>
  <c r="M1794" i="22"/>
  <c r="N1794" i="22"/>
  <c r="U1794" i="22" s="1"/>
  <c r="M1470" i="22"/>
  <c r="N1470" i="22"/>
  <c r="U1470" i="22" s="1"/>
  <c r="M1362" i="22"/>
  <c r="N1362" i="22"/>
  <c r="U1362" i="22" s="1"/>
  <c r="M1092" i="22"/>
  <c r="N1092" i="22"/>
  <c r="U1092" i="22" s="1"/>
  <c r="M1038" i="22"/>
  <c r="N1038" i="22"/>
  <c r="U1038" i="22" s="1"/>
  <c r="M768" i="22"/>
  <c r="N768" i="22"/>
  <c r="U768" i="22" s="1"/>
  <c r="M714" i="22"/>
  <c r="N714" i="22"/>
  <c r="U714" i="22" s="1"/>
  <c r="M660" i="22"/>
  <c r="N660" i="22"/>
  <c r="U660" i="22" s="1"/>
  <c r="M282" i="22"/>
  <c r="N282" i="22"/>
  <c r="U282" i="22" s="1"/>
  <c r="O58" i="17"/>
  <c r="E110" i="12"/>
  <c r="N110" i="12"/>
  <c r="N58" i="17"/>
  <c r="M58" i="17"/>
  <c r="F1524" i="23"/>
  <c r="O1524" i="23" s="1"/>
  <c r="K1524" i="23"/>
  <c r="K1468" i="23"/>
  <c r="F1468" i="23"/>
  <c r="O1468" i="23" s="1"/>
  <c r="K1412" i="23"/>
  <c r="F1412" i="23"/>
  <c r="O1412" i="23" s="1"/>
  <c r="K1076" i="23"/>
  <c r="F1076" i="23"/>
  <c r="O1076" i="23" s="1"/>
  <c r="K1020" i="23"/>
  <c r="F1020" i="23"/>
  <c r="O1020" i="23" s="1"/>
  <c r="K516" i="23"/>
  <c r="F516" i="23"/>
  <c r="O516" i="23" s="1"/>
  <c r="F3739" i="22"/>
  <c r="O3739" i="22" s="1"/>
  <c r="K3739" i="22"/>
  <c r="F3631" i="22"/>
  <c r="O3631" i="22" s="1"/>
  <c r="K3631" i="22"/>
  <c r="F3307" i="22"/>
  <c r="O3307" i="22" s="1"/>
  <c r="K3307" i="22"/>
  <c r="K2983" i="22"/>
  <c r="F2983" i="22"/>
  <c r="O2983" i="22" s="1"/>
  <c r="F2659" i="22"/>
  <c r="O2659" i="22" s="1"/>
  <c r="K2659" i="22"/>
  <c r="K2605" i="22"/>
  <c r="F2605" i="22"/>
  <c r="O2605" i="22" s="1"/>
  <c r="F2551" i="22"/>
  <c r="O2551" i="22" s="1"/>
  <c r="K2551" i="22"/>
  <c r="F2227" i="22"/>
  <c r="O2227" i="22" s="1"/>
  <c r="K2227" i="22"/>
  <c r="K1903" i="22"/>
  <c r="F1903" i="22"/>
  <c r="O1903" i="22" s="1"/>
  <c r="K1579" i="22"/>
  <c r="F1579" i="22"/>
  <c r="O1579" i="22" s="1"/>
  <c r="K1417" i="22"/>
  <c r="F1417" i="22"/>
  <c r="O1417" i="22" s="1"/>
  <c r="K1255" i="22"/>
  <c r="F1255" i="22"/>
  <c r="O1255" i="22" s="1"/>
  <c r="K931" i="22"/>
  <c r="F931" i="22"/>
  <c r="O931" i="22" s="1"/>
  <c r="F877" i="22"/>
  <c r="O877" i="22" s="1"/>
  <c r="K877" i="22"/>
  <c r="K553" i="22"/>
  <c r="F553" i="22"/>
  <c r="O553" i="22" s="1"/>
  <c r="K499" i="22"/>
  <c r="F499" i="22"/>
  <c r="O499" i="22" s="1"/>
  <c r="F175" i="22"/>
  <c r="O175" i="22" s="1"/>
  <c r="K175" i="22"/>
  <c r="K121" i="22"/>
  <c r="F121" i="22"/>
  <c r="O121" i="22" s="1"/>
  <c r="K1077" i="23" l="1"/>
  <c r="F1077" i="23"/>
  <c r="O1077" i="23" s="1"/>
  <c r="K461" i="23"/>
  <c r="F461" i="23"/>
  <c r="O461" i="23" s="1"/>
  <c r="K2552" i="22"/>
  <c r="F2552" i="22"/>
  <c r="O2552" i="22" s="1"/>
  <c r="K1742" i="22"/>
  <c r="F1742" i="22"/>
  <c r="O1742" i="22" s="1"/>
  <c r="K1472" i="22"/>
  <c r="F1472" i="22"/>
  <c r="O1472" i="22" s="1"/>
  <c r="K1202" i="22"/>
  <c r="F1202" i="22"/>
  <c r="O1202" i="22" s="1"/>
  <c r="K1148" i="22"/>
  <c r="F1148" i="22"/>
  <c r="O1148" i="22" s="1"/>
  <c r="K1094" i="22"/>
  <c r="F1094" i="22"/>
  <c r="O1094" i="22" s="1"/>
  <c r="K986" i="22"/>
  <c r="F986" i="22"/>
  <c r="O986" i="22" s="1"/>
  <c r="K932" i="22"/>
  <c r="F932" i="22"/>
  <c r="O932" i="22" s="1"/>
  <c r="K446" i="22"/>
  <c r="F446" i="22"/>
  <c r="O446" i="22" s="1"/>
  <c r="K392" i="22"/>
  <c r="F392" i="22"/>
  <c r="O392"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E1526" i="23"/>
  <c r="G1526" i="23"/>
  <c r="B1527" i="23"/>
  <c r="P1469" i="23"/>
  <c r="Q1469" i="23"/>
  <c r="R1469" i="23"/>
  <c r="J1469" i="23"/>
  <c r="D1469" i="23"/>
  <c r="L1470" i="23"/>
  <c r="I1470" i="23"/>
  <c r="G1470" i="23"/>
  <c r="B1471" i="23"/>
  <c r="C1470" i="23"/>
  <c r="E1470" i="23"/>
  <c r="L1414" i="23"/>
  <c r="I1414" i="23"/>
  <c r="E1414" i="23"/>
  <c r="B1415" i="23"/>
  <c r="C1414" i="23"/>
  <c r="G1414" i="23"/>
  <c r="J1413" i="23"/>
  <c r="D1413" i="23"/>
  <c r="P1413" i="23"/>
  <c r="Q1413" i="23"/>
  <c r="R1413" i="23"/>
  <c r="M1357" i="23"/>
  <c r="P1357" i="23"/>
  <c r="Q1357" i="23"/>
  <c r="R1357" i="23"/>
  <c r="J1357" i="23"/>
  <c r="N1357" i="23" s="1"/>
  <c r="AE1357" i="23" s="1"/>
  <c r="D1357" i="23"/>
  <c r="L1358" i="23"/>
  <c r="I1358" i="23"/>
  <c r="E1358" i="23"/>
  <c r="G1358" i="23"/>
  <c r="B1359" i="23"/>
  <c r="C1358" i="23"/>
  <c r="M1301" i="23"/>
  <c r="J1301" i="23"/>
  <c r="N1301" i="23" s="1"/>
  <c r="AE1301" i="23" s="1"/>
  <c r="D1301" i="23"/>
  <c r="P1301" i="23"/>
  <c r="Q1301" i="23"/>
  <c r="R1301" i="23"/>
  <c r="L1302" i="23"/>
  <c r="I1302" i="23"/>
  <c r="C1302" i="23"/>
  <c r="E1302" i="23"/>
  <c r="G1302" i="23"/>
  <c r="B1303" i="23"/>
  <c r="J1245" i="23"/>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L1134" i="23"/>
  <c r="I1134" i="23"/>
  <c r="C1134" i="23"/>
  <c r="K1134" i="23" s="1"/>
  <c r="E1134" i="23"/>
  <c r="F1134" i="23"/>
  <c r="O1134" i="23" s="1"/>
  <c r="G1134" i="23"/>
  <c r="B1135" i="23"/>
  <c r="J1133" i="23"/>
  <c r="N1133" i="23" s="1"/>
  <c r="AE1133" i="23" s="1"/>
  <c r="D1133" i="23"/>
  <c r="P1133" i="23"/>
  <c r="Q1133" i="23"/>
  <c r="R1133" i="23"/>
  <c r="M1077" i="23"/>
  <c r="P1077" i="23"/>
  <c r="Q1077" i="23"/>
  <c r="R1077" i="23"/>
  <c r="L1078" i="23"/>
  <c r="I1078" i="23"/>
  <c r="E1078" i="23"/>
  <c r="G1078" i="23"/>
  <c r="C1078" i="23"/>
  <c r="B1079" i="23"/>
  <c r="J1077" i="23"/>
  <c r="N1077" i="23" s="1"/>
  <c r="AE1077" i="23" s="1"/>
  <c r="D1077" i="23"/>
  <c r="J1021" i="23"/>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J853" i="23"/>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Q741" i="23"/>
  <c r="P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E630" i="23"/>
  <c r="G630" i="23"/>
  <c r="B631" i="23"/>
  <c r="M573" i="23"/>
  <c r="J573" i="23"/>
  <c r="N573" i="23" s="1"/>
  <c r="AE573" i="23" s="1"/>
  <c r="D573" i="23"/>
  <c r="P573" i="23"/>
  <c r="Q573" i="23"/>
  <c r="R573" i="23"/>
  <c r="L574" i="23"/>
  <c r="I574" i="23"/>
  <c r="C574" i="23"/>
  <c r="E574" i="23"/>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J405" i="23"/>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P111" i="12"/>
  <c r="I4773" i="22"/>
  <c r="L4773" i="22"/>
  <c r="B4774" i="22"/>
  <c r="C4773" i="22"/>
  <c r="F4773" i="22" s="1"/>
  <c r="E4773" i="22"/>
  <c r="G4773" i="22"/>
  <c r="K4773" i="22"/>
  <c r="D4772" i="22"/>
  <c r="J4772" i="22"/>
  <c r="P4772" i="22"/>
  <c r="Q4772" i="22"/>
  <c r="R4772" i="22"/>
  <c r="T4716" i="22"/>
  <c r="U4717" i="22"/>
  <c r="S4717" i="22"/>
  <c r="T4717" i="22" s="1"/>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D4556" i="22"/>
  <c r="J4556" i="22"/>
  <c r="P4556" i="22"/>
  <c r="Q4556" i="22"/>
  <c r="R4556" i="22"/>
  <c r="L4557" i="22"/>
  <c r="C4557" i="22"/>
  <c r="K4557" i="22" s="1"/>
  <c r="E4557" i="22"/>
  <c r="F4557" i="22"/>
  <c r="G4557" i="22"/>
  <c r="I4557" i="22"/>
  <c r="B4558" i="22"/>
  <c r="D4256" i="22"/>
  <c r="J4256" i="22"/>
  <c r="N4256" i="22" s="1"/>
  <c r="U4256" i="22" s="1"/>
  <c r="P4256" i="22"/>
  <c r="Q4256" i="22"/>
  <c r="R4256" i="22"/>
  <c r="M4256" i="22"/>
  <c r="C4257" i="22"/>
  <c r="E4257" i="22"/>
  <c r="F4257" i="22"/>
  <c r="O4257" i="22" s="1"/>
  <c r="G4257" i="22"/>
  <c r="I4257" i="22"/>
  <c r="K4257" i="22"/>
  <c r="L4257" i="22"/>
  <c r="B4258" i="22"/>
  <c r="M4202" i="22"/>
  <c r="D4202" i="22"/>
  <c r="J4202" i="22"/>
  <c r="N4202" i="22" s="1"/>
  <c r="U4202" i="22" s="1"/>
  <c r="P4202" i="22"/>
  <c r="Q4202" i="22"/>
  <c r="R4202" i="22"/>
  <c r="L4203" i="22"/>
  <c r="C4203" i="22"/>
  <c r="E4203" i="22"/>
  <c r="G4203" i="22"/>
  <c r="I4203" i="22"/>
  <c r="B4204" i="22"/>
  <c r="M4148" i="22"/>
  <c r="D4148" i="22"/>
  <c r="J4148" i="22"/>
  <c r="N4148" i="22" s="1"/>
  <c r="U4148" i="22" s="1"/>
  <c r="P4148" i="22"/>
  <c r="Q4148" i="22"/>
  <c r="R4148" i="22"/>
  <c r="L4149" i="22"/>
  <c r="C4149" i="22"/>
  <c r="E4149" i="22"/>
  <c r="G4149" i="22"/>
  <c r="I4149" i="22"/>
  <c r="B4150" i="22"/>
  <c r="P4094" i="22"/>
  <c r="Q4094" i="22"/>
  <c r="R4094" i="22"/>
  <c r="J4094" i="22"/>
  <c r="D4094" i="22"/>
  <c r="M4094" i="22"/>
  <c r="N4094" i="22"/>
  <c r="U4094" i="22" s="1"/>
  <c r="C4095" i="22"/>
  <c r="E4095" i="22"/>
  <c r="F4095" i="22"/>
  <c r="O4095" i="22" s="1"/>
  <c r="G4095" i="22"/>
  <c r="K4095" i="22"/>
  <c r="L4095" i="22"/>
  <c r="B4096" i="22"/>
  <c r="I4095" i="22"/>
  <c r="M3794" i="22"/>
  <c r="D3794" i="22"/>
  <c r="J3794" i="22"/>
  <c r="N3794" i="22" s="1"/>
  <c r="U3794" i="22" s="1"/>
  <c r="P3794" i="22"/>
  <c r="Q3794" i="22"/>
  <c r="R3794" i="22"/>
  <c r="L3795" i="22"/>
  <c r="C3795" i="22"/>
  <c r="K3795" i="22" s="1"/>
  <c r="E3795" i="22"/>
  <c r="F3795" i="22"/>
  <c r="O3795" i="22" s="1"/>
  <c r="G3795" i="22"/>
  <c r="I3795" i="22"/>
  <c r="B3796" i="22"/>
  <c r="D3740" i="22"/>
  <c r="J3740" i="22"/>
  <c r="P3740" i="22"/>
  <c r="Q3740" i="22"/>
  <c r="R3740" i="22"/>
  <c r="L3741" i="22"/>
  <c r="C3741" i="22"/>
  <c r="E3741" i="22"/>
  <c r="G3741" i="22"/>
  <c r="I3741" i="22"/>
  <c r="B3742" i="22"/>
  <c r="M3686" i="22"/>
  <c r="D3686" i="22"/>
  <c r="J3686" i="22"/>
  <c r="N3686" i="22" s="1"/>
  <c r="U3686" i="22" s="1"/>
  <c r="P3686" i="22"/>
  <c r="Q3686" i="22"/>
  <c r="R3686" i="22"/>
  <c r="L3687" i="22"/>
  <c r="C3687" i="22"/>
  <c r="E3687" i="22"/>
  <c r="G3687" i="22"/>
  <c r="I3687" i="22"/>
  <c r="B3688" i="22"/>
  <c r="M3632" i="22"/>
  <c r="D3632" i="22"/>
  <c r="J3632" i="22"/>
  <c r="N3632" i="22" s="1"/>
  <c r="U3632" i="22" s="1"/>
  <c r="P3632" i="22"/>
  <c r="Q3632" i="22"/>
  <c r="R3632" i="22"/>
  <c r="L3633" i="22"/>
  <c r="C3633" i="22"/>
  <c r="K3633" i="22" s="1"/>
  <c r="E3633" i="22"/>
  <c r="F3633" i="22"/>
  <c r="O3633" i="22" s="1"/>
  <c r="G3633" i="22"/>
  <c r="I3633" i="22"/>
  <c r="B3634" i="22"/>
  <c r="L3579" i="22"/>
  <c r="G3579" i="22"/>
  <c r="B3580" i="22"/>
  <c r="C3579" i="22"/>
  <c r="E3579" i="22"/>
  <c r="I3579" i="22"/>
  <c r="D3578" i="22"/>
  <c r="J3578" i="22"/>
  <c r="P3578" i="22"/>
  <c r="Q3578" i="22"/>
  <c r="R3578" i="22"/>
  <c r="D3524" i="22"/>
  <c r="J3524" i="22"/>
  <c r="P3524" i="22"/>
  <c r="Q3524" i="22"/>
  <c r="R3524" i="22"/>
  <c r="L3525" i="22"/>
  <c r="I3525" i="22"/>
  <c r="B3526" i="22"/>
  <c r="C3525" i="22"/>
  <c r="E3525" i="22"/>
  <c r="G3525"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D3362" i="22"/>
  <c r="J3362" i="22"/>
  <c r="P3362" i="22"/>
  <c r="Q3362" i="22"/>
  <c r="R3362" i="22"/>
  <c r="L3363" i="22"/>
  <c r="C3363" i="22"/>
  <c r="E3363" i="22"/>
  <c r="G3363" i="22"/>
  <c r="I3363" i="22"/>
  <c r="B3364" i="22"/>
  <c r="D3308" i="22"/>
  <c r="J3308" i="22"/>
  <c r="P3308" i="22"/>
  <c r="Q3308" i="22"/>
  <c r="R3308" i="22"/>
  <c r="L3309" i="22"/>
  <c r="C3309" i="22"/>
  <c r="K3309" i="22" s="1"/>
  <c r="E3309" i="22"/>
  <c r="F3309" i="22"/>
  <c r="O3309" i="22" s="1"/>
  <c r="G3309" i="22"/>
  <c r="I3309" i="22"/>
  <c r="B3310" i="22"/>
  <c r="J3254" i="22"/>
  <c r="D3254" i="22"/>
  <c r="P3254" i="22"/>
  <c r="Q3254" i="22"/>
  <c r="R3254" i="22"/>
  <c r="L3255" i="22"/>
  <c r="G3255" i="22"/>
  <c r="B3256" i="22"/>
  <c r="C3255" i="22"/>
  <c r="E3255" i="22"/>
  <c r="I3255"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D3038" i="22"/>
  <c r="J3038" i="22"/>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E2985" i="22"/>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D2714" i="22"/>
  <c r="J2714" i="22"/>
  <c r="P2714" i="22"/>
  <c r="Q2714" i="22"/>
  <c r="R2714" i="22"/>
  <c r="L2715" i="22"/>
  <c r="C2715" i="22"/>
  <c r="K2715" i="22" s="1"/>
  <c r="E2715" i="22"/>
  <c r="F2715" i="22"/>
  <c r="O2715" i="22" s="1"/>
  <c r="G2715" i="22"/>
  <c r="I2715" i="22"/>
  <c r="B2716" i="22"/>
  <c r="P2660" i="22"/>
  <c r="Q2660" i="22"/>
  <c r="R2660" i="22"/>
  <c r="L2661" i="22"/>
  <c r="C2661" i="22"/>
  <c r="E2661" i="22"/>
  <c r="G2661" i="22"/>
  <c r="I2661" i="22"/>
  <c r="B2662" i="22"/>
  <c r="D2660" i="22"/>
  <c r="J2660" i="22"/>
  <c r="P2606" i="22"/>
  <c r="Q2606" i="22"/>
  <c r="R2606" i="22"/>
  <c r="D2606" i="22"/>
  <c r="J2606" i="22"/>
  <c r="L2607" i="22"/>
  <c r="E2607" i="22"/>
  <c r="C2607" i="22"/>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D2390" i="22"/>
  <c r="J2390" i="22"/>
  <c r="P2390" i="22"/>
  <c r="Q2390" i="22"/>
  <c r="R2390" i="22"/>
  <c r="L2391" i="22"/>
  <c r="C2391" i="22"/>
  <c r="K2391" i="22" s="1"/>
  <c r="E2391" i="22"/>
  <c r="F2391" i="22"/>
  <c r="O2391" i="22" s="1"/>
  <c r="G2391" i="22"/>
  <c r="I2391" i="22"/>
  <c r="B2392" i="22"/>
  <c r="D2336" i="22"/>
  <c r="J2336" i="22"/>
  <c r="P2336" i="22"/>
  <c r="Q2336" i="22"/>
  <c r="R2336" i="22"/>
  <c r="L2337" i="22"/>
  <c r="C2337" i="22"/>
  <c r="K2337" i="22" s="1"/>
  <c r="E2337" i="22"/>
  <c r="F2337" i="22"/>
  <c r="O2337" i="22" s="1"/>
  <c r="G2337" i="22"/>
  <c r="I2337" i="22"/>
  <c r="B2338" i="22"/>
  <c r="M2282" i="22"/>
  <c r="L2283" i="22"/>
  <c r="E2283" i="22"/>
  <c r="I2283" i="22"/>
  <c r="G2283" i="22"/>
  <c r="C2283" i="22"/>
  <c r="B2284" i="22"/>
  <c r="D2282" i="22"/>
  <c r="J2282" i="22"/>
  <c r="N2282" i="22" s="1"/>
  <c r="U2282" i="22" s="1"/>
  <c r="P2282" i="22"/>
  <c r="Q2282" i="22"/>
  <c r="R2282" i="22"/>
  <c r="M2228" i="22"/>
  <c r="D2228" i="22"/>
  <c r="J2228" i="22"/>
  <c r="N2228" i="22" s="1"/>
  <c r="U2228" i="22" s="1"/>
  <c r="P2228" i="22"/>
  <c r="Q2228" i="22"/>
  <c r="R2228" i="22"/>
  <c r="L2229" i="22"/>
  <c r="C2229" i="22"/>
  <c r="E2229" i="22"/>
  <c r="G2229" i="22"/>
  <c r="I2229" i="22"/>
  <c r="B2230" i="22"/>
  <c r="N2174" i="22"/>
  <c r="U2174" i="22" s="1"/>
  <c r="M2174" i="22"/>
  <c r="D2174" i="22"/>
  <c r="J2174" i="22"/>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D2066" i="22"/>
  <c r="J2066" i="22"/>
  <c r="P2066" i="22"/>
  <c r="Q2066" i="22"/>
  <c r="R2066" i="22"/>
  <c r="L2067" i="22"/>
  <c r="C2067" i="22"/>
  <c r="K2067" i="22" s="1"/>
  <c r="E2067" i="22"/>
  <c r="F2067" i="22"/>
  <c r="O2067" i="22" s="1"/>
  <c r="G2067" i="22"/>
  <c r="I2067" i="22"/>
  <c r="B2068" i="22"/>
  <c r="D2012" i="22"/>
  <c r="J2012" i="22"/>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E1851" i="22"/>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E1689" i="22"/>
  <c r="G1689" i="22"/>
  <c r="I1689" i="22"/>
  <c r="B1690" i="22"/>
  <c r="D1634" i="22"/>
  <c r="J1634" i="22"/>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E1527" i="22"/>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L1419" i="22"/>
  <c r="C1419" i="22"/>
  <c r="E1419" i="22"/>
  <c r="G1419" i="22"/>
  <c r="I1419" i="22"/>
  <c r="B1420" i="22"/>
  <c r="D1418" i="22"/>
  <c r="J1418" i="22"/>
  <c r="N1418" i="22" s="1"/>
  <c r="U1418" i="22" s="1"/>
  <c r="P1418" i="22"/>
  <c r="Q1418" i="22"/>
  <c r="R1418" i="22"/>
  <c r="M1364" i="22"/>
  <c r="L1365" i="22"/>
  <c r="C1365" i="22"/>
  <c r="E1365" i="22"/>
  <c r="G1365" i="22"/>
  <c r="I1365" i="22"/>
  <c r="B1366" i="22"/>
  <c r="D1364" i="22"/>
  <c r="J1364" i="22"/>
  <c r="N1364" i="22" s="1"/>
  <c r="U1364" i="22" s="1"/>
  <c r="P1364" i="22"/>
  <c r="Q1364" i="22"/>
  <c r="R1364" i="22"/>
  <c r="M1310" i="22"/>
  <c r="D1310" i="22"/>
  <c r="J1310" i="22"/>
  <c r="N1310" i="22" s="1"/>
  <c r="U1310" i="22" s="1"/>
  <c r="P1310" i="22"/>
  <c r="Q1310" i="22"/>
  <c r="R1310" i="22"/>
  <c r="L1311" i="22"/>
  <c r="C1311" i="22"/>
  <c r="K1311" i="22" s="1"/>
  <c r="E1311" i="22"/>
  <c r="F1311" i="22"/>
  <c r="O1311" i="22" s="1"/>
  <c r="G1311" i="22"/>
  <c r="I1311" i="22"/>
  <c r="B1312" i="22"/>
  <c r="D1256" i="22"/>
  <c r="J1256" i="22"/>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E1203" i="22"/>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D878" i="22"/>
  <c r="J878" i="22"/>
  <c r="P878" i="22"/>
  <c r="Q878" i="22"/>
  <c r="R878" i="22"/>
  <c r="L879" i="22"/>
  <c r="C879" i="22"/>
  <c r="E879" i="22"/>
  <c r="G879" i="22"/>
  <c r="I879" i="22"/>
  <c r="B880" i="22"/>
  <c r="M824" i="22"/>
  <c r="D824" i="22"/>
  <c r="J824" i="22"/>
  <c r="N824" i="22" s="1"/>
  <c r="U824" i="22" s="1"/>
  <c r="P824" i="22"/>
  <c r="Q824" i="22"/>
  <c r="R824" i="22"/>
  <c r="L825" i="22"/>
  <c r="C825" i="22"/>
  <c r="E825" i="22"/>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D554" i="22"/>
  <c r="J554" i="22"/>
  <c r="P554" i="22"/>
  <c r="Q554" i="22"/>
  <c r="R554" i="22"/>
  <c r="L555" i="22"/>
  <c r="C555" i="22"/>
  <c r="K555" i="22" s="1"/>
  <c r="E555" i="22"/>
  <c r="F555" i="22"/>
  <c r="O555" i="22" s="1"/>
  <c r="G555" i="22"/>
  <c r="I555" i="22"/>
  <c r="B556" i="22"/>
  <c r="D500" i="22"/>
  <c r="J500" i="22"/>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B448" i="22"/>
  <c r="I447"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D230" i="22"/>
  <c r="J230" i="22"/>
  <c r="P230" i="22"/>
  <c r="Q230" i="22"/>
  <c r="R230" i="22"/>
  <c r="L231" i="22"/>
  <c r="C231" i="22"/>
  <c r="K231" i="22" s="1"/>
  <c r="E231" i="22"/>
  <c r="F231" i="22"/>
  <c r="O231" i="22" s="1"/>
  <c r="G231" i="22"/>
  <c r="I231" i="22"/>
  <c r="B232" i="22"/>
  <c r="D176" i="22"/>
  <c r="J176" i="22"/>
  <c r="P176" i="22"/>
  <c r="Q176" i="22"/>
  <c r="R176" i="22"/>
  <c r="L177" i="22"/>
  <c r="C177" i="22"/>
  <c r="E177" i="22"/>
  <c r="G177" i="22"/>
  <c r="I177" i="22"/>
  <c r="B178" i="22"/>
  <c r="M122" i="22"/>
  <c r="D122" i="22"/>
  <c r="J122" i="22"/>
  <c r="N122" i="22" s="1"/>
  <c r="U122" i="22" s="1"/>
  <c r="P122" i="22"/>
  <c r="Q122" i="22"/>
  <c r="R122" i="22"/>
  <c r="L123" i="22"/>
  <c r="G123" i="22"/>
  <c r="I123" i="22"/>
  <c r="B124" i="22"/>
  <c r="C123" i="22"/>
  <c r="E123" i="22"/>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F60" i="18" s="1"/>
  <c r="Q60" i="17"/>
  <c r="G60" i="18" s="1"/>
  <c r="R60" i="17"/>
  <c r="H60" i="18" s="1"/>
  <c r="V60" i="17"/>
  <c r="BF60" i="17"/>
  <c r="L61" i="17"/>
  <c r="B61" i="18"/>
  <c r="C61" i="17"/>
  <c r="F61" i="17" s="1"/>
  <c r="C61" i="18" s="1"/>
  <c r="E61" i="18" s="1"/>
  <c r="E61" i="17"/>
  <c r="G61" i="17"/>
  <c r="I61" i="17"/>
  <c r="K61" i="17"/>
  <c r="B62" i="17"/>
  <c r="D60" i="17"/>
  <c r="J60" i="17"/>
  <c r="N112" i="12"/>
  <c r="O60" i="17"/>
  <c r="E112" i="12"/>
  <c r="N60" i="17"/>
  <c r="M60" i="17"/>
  <c r="F59" i="18"/>
  <c r="G59" i="18"/>
  <c r="H59" i="18"/>
  <c r="U59" i="17"/>
  <c r="C111" i="12" s="1"/>
  <c r="M111" i="12"/>
  <c r="O111" i="12"/>
  <c r="G109" i="12"/>
  <c r="U58" i="17"/>
  <c r="C110" i="12" s="1"/>
  <c r="F54" i="12"/>
  <c r="M110" i="12"/>
  <c r="Q110" i="12" s="1"/>
  <c r="O110" i="12"/>
  <c r="M1524" i="23"/>
  <c r="N1524" i="23"/>
  <c r="AE1524" i="23" s="1"/>
  <c r="M1468" i="23"/>
  <c r="N1468" i="23"/>
  <c r="AE1468" i="23" s="1"/>
  <c r="M1412" i="23"/>
  <c r="N1412" i="23"/>
  <c r="AE1412" i="23" s="1"/>
  <c r="M1076" i="23"/>
  <c r="N1076" i="23"/>
  <c r="AE1076" i="23" s="1"/>
  <c r="M1020" i="23"/>
  <c r="N1020" i="23"/>
  <c r="AE1020" i="23" s="1"/>
  <c r="M516" i="23"/>
  <c r="N516" i="23"/>
  <c r="AE516" i="23" s="1"/>
  <c r="M3739" i="22"/>
  <c r="N3739" i="22"/>
  <c r="U3739" i="22" s="1"/>
  <c r="M3631" i="22"/>
  <c r="N3631" i="22"/>
  <c r="U3631" i="22" s="1"/>
  <c r="M3307" i="22"/>
  <c r="N3307" i="22"/>
  <c r="U3307" i="22" s="1"/>
  <c r="M2983" i="22"/>
  <c r="N2983" i="22"/>
  <c r="U2983" i="22" s="1"/>
  <c r="M2659" i="22"/>
  <c r="N2659" i="22"/>
  <c r="U2659" i="22" s="1"/>
  <c r="M2605" i="22"/>
  <c r="N2605" i="22"/>
  <c r="U2605" i="22" s="1"/>
  <c r="M2551" i="22"/>
  <c r="N2551" i="22"/>
  <c r="U2551" i="22" s="1"/>
  <c r="M2227" i="22"/>
  <c r="N2227" i="22"/>
  <c r="U2227" i="22" s="1"/>
  <c r="M1903" i="22"/>
  <c r="N1903" i="22"/>
  <c r="U1903" i="22" s="1"/>
  <c r="M1579" i="22"/>
  <c r="N1579" i="22"/>
  <c r="U1579" i="22" s="1"/>
  <c r="M1417" i="22"/>
  <c r="N1417" i="22"/>
  <c r="U1417" i="22" s="1"/>
  <c r="M1255" i="22"/>
  <c r="N1255" i="22"/>
  <c r="U1255" i="22" s="1"/>
  <c r="M931" i="22"/>
  <c r="N931" i="22"/>
  <c r="U931" i="22" s="1"/>
  <c r="M877" i="22"/>
  <c r="N877" i="22"/>
  <c r="U877" i="22" s="1"/>
  <c r="M553" i="22"/>
  <c r="N553" i="22"/>
  <c r="U553" i="22" s="1"/>
  <c r="M499" i="22"/>
  <c r="N499" i="22"/>
  <c r="U499" i="22" s="1"/>
  <c r="M175" i="22"/>
  <c r="N175" i="22"/>
  <c r="U175" i="22" s="1"/>
  <c r="N121" i="22"/>
  <c r="U121" i="22" s="1"/>
  <c r="M121" i="22"/>
  <c r="K1525" i="23"/>
  <c r="F1525" i="23"/>
  <c r="O1525" i="23" s="1"/>
  <c r="F1469" i="23"/>
  <c r="O1469" i="23" s="1"/>
  <c r="K1469" i="23"/>
  <c r="F1413" i="23"/>
  <c r="O1413" i="23" s="1"/>
  <c r="K1413" i="23"/>
  <c r="F1245" i="23"/>
  <c r="O1245" i="23" s="1"/>
  <c r="K1245" i="23"/>
  <c r="K1021" i="23"/>
  <c r="F1021" i="23"/>
  <c r="O1021" i="23" s="1"/>
  <c r="K853" i="23"/>
  <c r="F853" i="23"/>
  <c r="O853" i="23" s="1"/>
  <c r="K405" i="23"/>
  <c r="F405" i="23"/>
  <c r="O405" i="23" s="1"/>
  <c r="F4772" i="22"/>
  <c r="K4772" i="22"/>
  <c r="D4664" i="22"/>
  <c r="F4664" i="22"/>
  <c r="O4664" i="22" s="1"/>
  <c r="K4556" i="22"/>
  <c r="F4556" i="22"/>
  <c r="F3740" i="22"/>
  <c r="O3740" i="22" s="1"/>
  <c r="K3740" i="22"/>
  <c r="F3578" i="22"/>
  <c r="O3578" i="22" s="1"/>
  <c r="K3578" i="22"/>
  <c r="K3524" i="22"/>
  <c r="F3524" i="22"/>
  <c r="O3524" i="22" s="1"/>
  <c r="F3362" i="22"/>
  <c r="O3362" i="22" s="1"/>
  <c r="K3362" i="22"/>
  <c r="F3308" i="22"/>
  <c r="O3308" i="22" s="1"/>
  <c r="K3308" i="22"/>
  <c r="K3254" i="22"/>
  <c r="F3254" i="22"/>
  <c r="O3254" i="22" s="1"/>
  <c r="K3038" i="22"/>
  <c r="F3038" i="22"/>
  <c r="O3038" i="22" s="1"/>
  <c r="K2714" i="22"/>
  <c r="F2714" i="22"/>
  <c r="O2714" i="22" s="1"/>
  <c r="F2660" i="22"/>
  <c r="O2660" i="22" s="1"/>
  <c r="K2660" i="22"/>
  <c r="F2606" i="22"/>
  <c r="O2606" i="22" s="1"/>
  <c r="K2606" i="22"/>
  <c r="K2390" i="22"/>
  <c r="F2390" i="22"/>
  <c r="O2390" i="22" s="1"/>
  <c r="K2336" i="22"/>
  <c r="F2336" i="22"/>
  <c r="O2336" i="22" s="1"/>
  <c r="F2066" i="22"/>
  <c r="O2066" i="22" s="1"/>
  <c r="K2066" i="22"/>
  <c r="F2012" i="22"/>
  <c r="O2012" i="22" s="1"/>
  <c r="K2012" i="22"/>
  <c r="K1634" i="22"/>
  <c r="F1634" i="22"/>
  <c r="O1634" i="22" s="1"/>
  <c r="F1256" i="22"/>
  <c r="O1256" i="22" s="1"/>
  <c r="K1256" i="22"/>
  <c r="F878" i="22"/>
  <c r="O878" i="22" s="1"/>
  <c r="K878" i="22"/>
  <c r="F554" i="22"/>
  <c r="O554" i="22" s="1"/>
  <c r="K554" i="22"/>
  <c r="K500" i="22"/>
  <c r="F500" i="22"/>
  <c r="O500" i="22" s="1"/>
  <c r="K230" i="22"/>
  <c r="F230" i="22"/>
  <c r="O230" i="22" s="1"/>
  <c r="F176" i="22"/>
  <c r="O176" i="22" s="1"/>
  <c r="K176" i="22"/>
  <c r="Q111" i="12" l="1"/>
  <c r="K1302" i="23"/>
  <c r="F1302" i="23"/>
  <c r="O1302" i="23" s="1"/>
  <c r="D4665" i="22"/>
  <c r="F4665" i="22"/>
  <c r="O4665" i="22" s="1"/>
  <c r="K4149" i="22"/>
  <c r="F4149" i="22"/>
  <c r="O4149" i="22" s="1"/>
  <c r="K3363" i="22"/>
  <c r="F3363" i="22"/>
  <c r="O3363" i="22" s="1"/>
  <c r="K1689" i="22"/>
  <c r="F1689" i="22"/>
  <c r="O1689" i="22" s="1"/>
  <c r="K879" i="22"/>
  <c r="F879" i="22"/>
  <c r="O879"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K1527" i="23" s="1"/>
  <c r="E1527" i="23"/>
  <c r="F1527" i="23"/>
  <c r="O1527" i="23" s="1"/>
  <c r="G1527" i="23"/>
  <c r="B1528" i="23"/>
  <c r="P1470" i="23"/>
  <c r="Q1470" i="23"/>
  <c r="R1470" i="23"/>
  <c r="L1471" i="23"/>
  <c r="I1471" i="23"/>
  <c r="B1472" i="23"/>
  <c r="C1471" i="23"/>
  <c r="E1471" i="23"/>
  <c r="G1471" i="23"/>
  <c r="J1470" i="23"/>
  <c r="D1470" i="23"/>
  <c r="L1415" i="23"/>
  <c r="I1415" i="23"/>
  <c r="C1415" i="23"/>
  <c r="K1415" i="23" s="1"/>
  <c r="E1415" i="23"/>
  <c r="F1415" i="23"/>
  <c r="O1415" i="23" s="1"/>
  <c r="G1415" i="23"/>
  <c r="B1416" i="23"/>
  <c r="J1414" i="23"/>
  <c r="D1414" i="23"/>
  <c r="P1414" i="23"/>
  <c r="Q1414" i="23"/>
  <c r="R1414" i="23"/>
  <c r="P1358" i="23"/>
  <c r="Q1358" i="23"/>
  <c r="R1358" i="23"/>
  <c r="L1359" i="23"/>
  <c r="I1359" i="23"/>
  <c r="B1360" i="23"/>
  <c r="C1359" i="23"/>
  <c r="E1359" i="23"/>
  <c r="G1359" i="23"/>
  <c r="J1358" i="23"/>
  <c r="D1358"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P1078" i="23"/>
  <c r="Q1078" i="23"/>
  <c r="R1078" i="23"/>
  <c r="J1078" i="23"/>
  <c r="D1078" i="23"/>
  <c r="L1079" i="23"/>
  <c r="I1079" i="23"/>
  <c r="G1079" i="23"/>
  <c r="C1079" i="23"/>
  <c r="K1079" i="23" s="1"/>
  <c r="E1079" i="23"/>
  <c r="F1079" i="23"/>
  <c r="O1079" i="23" s="1"/>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Q742" i="23"/>
  <c r="P742" i="23"/>
  <c r="R742" i="23"/>
  <c r="L743" i="23"/>
  <c r="I743" i="23"/>
  <c r="C743" i="23"/>
  <c r="E743" i="23"/>
  <c r="G743" i="23"/>
  <c r="B744" i="23"/>
  <c r="M686" i="23"/>
  <c r="J686" i="23"/>
  <c r="N686" i="23" s="1"/>
  <c r="AE686" i="23" s="1"/>
  <c r="D686" i="23"/>
  <c r="P686" i="23"/>
  <c r="Q686" i="23"/>
  <c r="R686" i="23"/>
  <c r="L687" i="23"/>
  <c r="I687" i="23"/>
  <c r="C687" i="23"/>
  <c r="K687" i="23" s="1"/>
  <c r="E687" i="23"/>
  <c r="F687" i="23"/>
  <c r="O687" i="23" s="1"/>
  <c r="G687" i="23"/>
  <c r="B688" i="23"/>
  <c r="J630" i="23"/>
  <c r="D630" i="23"/>
  <c r="P630" i="23"/>
  <c r="Q630" i="23"/>
  <c r="R630" i="23"/>
  <c r="L631" i="23"/>
  <c r="I631" i="23"/>
  <c r="C631" i="23"/>
  <c r="E631" i="23"/>
  <c r="G631" i="23"/>
  <c r="B632" i="23"/>
  <c r="J574" i="23"/>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I4774" i="22"/>
  <c r="B4775" i="22"/>
  <c r="C4774" i="22"/>
  <c r="K4774" i="22" s="1"/>
  <c r="E4774" i="22"/>
  <c r="F4774" i="22"/>
  <c r="G4774" i="22"/>
  <c r="L4774" i="22"/>
  <c r="J4773" i="22"/>
  <c r="N4773" i="22" s="1"/>
  <c r="P113" i="12" s="1"/>
  <c r="D4773" i="22"/>
  <c r="P4773" i="22"/>
  <c r="Q4773" i="22"/>
  <c r="R4773" i="22"/>
  <c r="M4773" i="22"/>
  <c r="U4718" i="22"/>
  <c r="S4718" i="22"/>
  <c r="M4719" i="22"/>
  <c r="D4719" i="22"/>
  <c r="J4719" i="22"/>
  <c r="N4719" i="22" s="1"/>
  <c r="P4719" i="22"/>
  <c r="Q4719" i="22"/>
  <c r="R4719" i="22"/>
  <c r="L4720" i="22"/>
  <c r="C4720" i="22"/>
  <c r="E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E4558" i="22"/>
  <c r="G4558" i="22"/>
  <c r="I4558" i="22"/>
  <c r="B4559" i="22"/>
  <c r="D4257" i="22"/>
  <c r="J4257" i="22"/>
  <c r="N4257" i="22" s="1"/>
  <c r="U4257" i="22" s="1"/>
  <c r="P4257" i="22"/>
  <c r="Q4257" i="22"/>
  <c r="R4257" i="22"/>
  <c r="M4257" i="22"/>
  <c r="C4258" i="22"/>
  <c r="E4258" i="22"/>
  <c r="F4258" i="22"/>
  <c r="O4258" i="22" s="1"/>
  <c r="G4258" i="22"/>
  <c r="I4258" i="22"/>
  <c r="K4258" i="22"/>
  <c r="L4258" i="22"/>
  <c r="B4259" i="22"/>
  <c r="D4203" i="22"/>
  <c r="J4203" i="22"/>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D4095" i="22"/>
  <c r="J4095" i="22"/>
  <c r="N4095" i="22" s="1"/>
  <c r="U4095" i="22" s="1"/>
  <c r="P4095" i="22"/>
  <c r="Q4095" i="22"/>
  <c r="R4095" i="22"/>
  <c r="M4095" i="22"/>
  <c r="C4096" i="22"/>
  <c r="E4096" i="22"/>
  <c r="F4096" i="22"/>
  <c r="O4096" i="22" s="1"/>
  <c r="G4096" i="22"/>
  <c r="I4096" i="22"/>
  <c r="K4096" i="22"/>
  <c r="L4096" i="22"/>
  <c r="B4097" i="22"/>
  <c r="M3795" i="22"/>
  <c r="D3795" i="22"/>
  <c r="J3795" i="22"/>
  <c r="N3795" i="22" s="1"/>
  <c r="U3795" i="22" s="1"/>
  <c r="P3795" i="22"/>
  <c r="Q3795" i="22"/>
  <c r="R3795" i="22"/>
  <c r="L3796" i="22"/>
  <c r="C3796" i="22"/>
  <c r="K3796" i="22" s="1"/>
  <c r="E3796" i="22"/>
  <c r="F3796" i="22"/>
  <c r="O3796" i="22" s="1"/>
  <c r="G3796" i="22"/>
  <c r="I3796" i="22"/>
  <c r="B3797" i="22"/>
  <c r="D3741" i="22"/>
  <c r="J3741" i="22"/>
  <c r="P3741" i="22"/>
  <c r="Q3741" i="22"/>
  <c r="R3741" i="22"/>
  <c r="L3742" i="22"/>
  <c r="C3742" i="22"/>
  <c r="K3742" i="22" s="1"/>
  <c r="E3742" i="22"/>
  <c r="F3742" i="22"/>
  <c r="O3742" i="22" s="1"/>
  <c r="G3742" i="22"/>
  <c r="I3742" i="22"/>
  <c r="B3743" i="22"/>
  <c r="D3687" i="22"/>
  <c r="J3687" i="22"/>
  <c r="P3687" i="22"/>
  <c r="Q3687" i="22"/>
  <c r="R3687" i="22"/>
  <c r="L3688" i="22"/>
  <c r="C3688" i="22"/>
  <c r="E3688" i="22"/>
  <c r="G3688" i="22"/>
  <c r="I3688" i="22"/>
  <c r="B3689" i="22"/>
  <c r="M3633" i="22"/>
  <c r="D3633" i="22"/>
  <c r="J3633" i="22"/>
  <c r="N3633" i="22" s="1"/>
  <c r="U3633" i="22" s="1"/>
  <c r="P3633" i="22"/>
  <c r="Q3633" i="22"/>
  <c r="R3633" i="22"/>
  <c r="L3634" i="22"/>
  <c r="C3634" i="22"/>
  <c r="E3634" i="22"/>
  <c r="G3634" i="22"/>
  <c r="I3634" i="22"/>
  <c r="B3635" i="22"/>
  <c r="P3579" i="22"/>
  <c r="Q3579" i="22"/>
  <c r="R3579" i="22"/>
  <c r="L3580" i="22"/>
  <c r="I3580" i="22"/>
  <c r="C3580" i="22"/>
  <c r="E3580" i="22"/>
  <c r="G3580" i="22"/>
  <c r="B3581" i="22"/>
  <c r="D3579" i="22"/>
  <c r="J3579" i="22"/>
  <c r="L3526" i="22"/>
  <c r="B3527" i="22"/>
  <c r="C3526" i="22"/>
  <c r="G3526" i="22"/>
  <c r="I3526" i="22"/>
  <c r="E3526" i="22"/>
  <c r="D3525" i="22"/>
  <c r="J3525" i="22"/>
  <c r="P3525" i="22"/>
  <c r="Q3525" i="22"/>
  <c r="R3525"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E3364" i="22"/>
  <c r="G3364" i="22"/>
  <c r="I3364" i="22"/>
  <c r="B3365" i="22"/>
  <c r="M3309" i="22"/>
  <c r="D3309" i="22"/>
  <c r="J3309" i="22"/>
  <c r="N3309" i="22" s="1"/>
  <c r="U3309" i="22" s="1"/>
  <c r="P3309" i="22"/>
  <c r="Q3309" i="22"/>
  <c r="R3309" i="22"/>
  <c r="L3310" i="22"/>
  <c r="C3310" i="22"/>
  <c r="E3310" i="22"/>
  <c r="G3310" i="22"/>
  <c r="I3310" i="22"/>
  <c r="B3311" i="22"/>
  <c r="P3255" i="22"/>
  <c r="Q3255" i="22"/>
  <c r="R3255" i="22"/>
  <c r="L3256" i="22"/>
  <c r="G3256" i="22"/>
  <c r="B3257" i="22"/>
  <c r="E3256" i="22"/>
  <c r="C3256" i="22"/>
  <c r="I3256" i="22"/>
  <c r="D3255" i="22"/>
  <c r="J3255"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D2985" i="22"/>
  <c r="J2985" i="22"/>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E2932" i="22"/>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E2770" i="22"/>
  <c r="G2770" i="22"/>
  <c r="I2770" i="22"/>
  <c r="B2771" i="22"/>
  <c r="M2715" i="22"/>
  <c r="D2715" i="22"/>
  <c r="J2715" i="22"/>
  <c r="N2715" i="22" s="1"/>
  <c r="U2715" i="22" s="1"/>
  <c r="P2715" i="22"/>
  <c r="Q2715" i="22"/>
  <c r="R2715" i="22"/>
  <c r="L2716" i="22"/>
  <c r="C2716" i="22"/>
  <c r="K2716" i="22" s="1"/>
  <c r="E2716" i="22"/>
  <c r="F2716" i="22"/>
  <c r="O2716" i="22" s="1"/>
  <c r="G2716" i="22"/>
  <c r="I2716" i="22"/>
  <c r="B2717" i="22"/>
  <c r="D2661" i="22"/>
  <c r="J2661" i="22"/>
  <c r="P2661" i="22"/>
  <c r="Q2661" i="22"/>
  <c r="R2661" i="22"/>
  <c r="L2662" i="22"/>
  <c r="G2662" i="22"/>
  <c r="C2662" i="22"/>
  <c r="K2662" i="22" s="1"/>
  <c r="E2662" i="22"/>
  <c r="F2662" i="22"/>
  <c r="O2662" i="22" s="1"/>
  <c r="I2662" i="22"/>
  <c r="B2663" i="22"/>
  <c r="D2607" i="22"/>
  <c r="J2607" i="22"/>
  <c r="P2607" i="22"/>
  <c r="Q2607" i="22"/>
  <c r="R2607" i="22"/>
  <c r="L2608" i="22"/>
  <c r="B2609" i="22"/>
  <c r="C2608" i="22"/>
  <c r="E2608" i="22"/>
  <c r="G2608" i="22"/>
  <c r="I2608"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E2500" i="22"/>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P2283" i="22"/>
  <c r="Q2283" i="22"/>
  <c r="R2283" i="22"/>
  <c r="D2283" i="22"/>
  <c r="J2283" i="22"/>
  <c r="L2284" i="22"/>
  <c r="I2284" i="22"/>
  <c r="G2284" i="22"/>
  <c r="B2285" i="22"/>
  <c r="E2284" i="22"/>
  <c r="C2284" i="22"/>
  <c r="D2229" i="22"/>
  <c r="J2229" i="22"/>
  <c r="P2229" i="22"/>
  <c r="Q2229" i="22"/>
  <c r="R2229" i="22"/>
  <c r="L2230" i="22"/>
  <c r="C2230" i="22"/>
  <c r="E2230" i="22"/>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E2014" i="22"/>
  <c r="G2014" i="22"/>
  <c r="I2014" i="22"/>
  <c r="B2015" i="22"/>
  <c r="M1959" i="22"/>
  <c r="D1959" i="22"/>
  <c r="J1959" i="22"/>
  <c r="N1959" i="22" s="1"/>
  <c r="U1959" i="22" s="1"/>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D1851" i="22"/>
  <c r="J1851" i="22"/>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E1636" i="22"/>
  <c r="G1636" i="22"/>
  <c r="I1636" i="22"/>
  <c r="B1637" i="22"/>
  <c r="M1581" i="22"/>
  <c r="D1581" i="22"/>
  <c r="J1581" i="22"/>
  <c r="N1581" i="22" s="1"/>
  <c r="U1581" i="22" s="1"/>
  <c r="P1581" i="22"/>
  <c r="Q1581" i="22"/>
  <c r="R1581" i="22"/>
  <c r="L1582" i="22"/>
  <c r="C1582" i="22"/>
  <c r="K1582" i="22" s="1"/>
  <c r="E1582" i="22"/>
  <c r="F1582" i="22"/>
  <c r="O1582" i="22" s="1"/>
  <c r="G1582" i="22"/>
  <c r="I1582" i="22"/>
  <c r="B1583" i="22"/>
  <c r="D1527" i="22"/>
  <c r="J1527" i="22"/>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D1419" i="22"/>
  <c r="J1419" i="22"/>
  <c r="P1419" i="22"/>
  <c r="Q1419" i="22"/>
  <c r="R1419" i="22"/>
  <c r="L1420" i="22"/>
  <c r="G1420" i="22"/>
  <c r="I1420" i="22"/>
  <c r="B1421" i="22"/>
  <c r="C1420" i="22"/>
  <c r="E1420" i="22"/>
  <c r="D1365" i="22"/>
  <c r="J1365" i="22"/>
  <c r="P1365" i="22"/>
  <c r="Q1365" i="22"/>
  <c r="R1365" i="22"/>
  <c r="L1366" i="22"/>
  <c r="E1366" i="22"/>
  <c r="C1366" i="22"/>
  <c r="K1366" i="22" s="1"/>
  <c r="F1366" i="22"/>
  <c r="O1366" i="22" s="1"/>
  <c r="G1366" i="22"/>
  <c r="I1366" i="22"/>
  <c r="B1367" i="22"/>
  <c r="M1311" i="22"/>
  <c r="D1311" i="22"/>
  <c r="J1311" i="22"/>
  <c r="N1311" i="22" s="1"/>
  <c r="U1311" i="22" s="1"/>
  <c r="P1311" i="22"/>
  <c r="Q1311" i="22"/>
  <c r="R1311" i="22"/>
  <c r="L1312" i="22"/>
  <c r="C1312" i="22"/>
  <c r="E1312" i="22"/>
  <c r="G1312" i="22"/>
  <c r="I1312" i="22"/>
  <c r="B1313" i="22"/>
  <c r="M1257" i="22"/>
  <c r="D1257" i="22"/>
  <c r="J1257" i="22"/>
  <c r="N1257" i="22" s="1"/>
  <c r="U1257" i="22" s="1"/>
  <c r="P1257" i="22"/>
  <c r="Q1257" i="22"/>
  <c r="R1257" i="22"/>
  <c r="L1258" i="22"/>
  <c r="C1258" i="22"/>
  <c r="K1258" i="22" s="1"/>
  <c r="E1258" i="22"/>
  <c r="F1258" i="22"/>
  <c r="O1258" i="22" s="1"/>
  <c r="G1258" i="22"/>
  <c r="I1258" i="22"/>
  <c r="B1259" i="22"/>
  <c r="D1203" i="22"/>
  <c r="J1203" i="22"/>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E988" i="22"/>
  <c r="G988" i="22"/>
  <c r="I988" i="22"/>
  <c r="B989" i="22"/>
  <c r="M933" i="22"/>
  <c r="D933" i="22"/>
  <c r="J933" i="22"/>
  <c r="N933" i="22" s="1"/>
  <c r="U933" i="22" s="1"/>
  <c r="P933" i="22"/>
  <c r="Q933" i="22"/>
  <c r="R933" i="22"/>
  <c r="L934" i="22"/>
  <c r="C934" i="22"/>
  <c r="E934" i="22"/>
  <c r="G934" i="22"/>
  <c r="I934" i="22"/>
  <c r="B935" i="22"/>
  <c r="M879" i="22"/>
  <c r="D879" i="22"/>
  <c r="J879" i="22"/>
  <c r="N879" i="22" s="1"/>
  <c r="U879" i="22" s="1"/>
  <c r="P879" i="22"/>
  <c r="Q879" i="22"/>
  <c r="R879" i="22"/>
  <c r="L880" i="22"/>
  <c r="C880" i="22"/>
  <c r="E880" i="22"/>
  <c r="G880" i="22"/>
  <c r="I880" i="22"/>
  <c r="B881" i="22"/>
  <c r="D825" i="22"/>
  <c r="J825" i="22"/>
  <c r="P825" i="22"/>
  <c r="Q825" i="22"/>
  <c r="R825" i="22"/>
  <c r="L826" i="22"/>
  <c r="C826" i="22"/>
  <c r="E826" i="22"/>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E718" i="22"/>
  <c r="G718" i="22"/>
  <c r="I718" i="22"/>
  <c r="B719" i="22"/>
  <c r="M663" i="22"/>
  <c r="D663" i="22"/>
  <c r="J663" i="22"/>
  <c r="N663" i="22" s="1"/>
  <c r="U663" i="22" s="1"/>
  <c r="P663" i="22"/>
  <c r="Q663" i="22"/>
  <c r="R663" i="22"/>
  <c r="L664" i="22"/>
  <c r="C664" i="22"/>
  <c r="E664" i="22"/>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E394" i="22"/>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K232" i="22" s="1"/>
  <c r="E232" i="22"/>
  <c r="F232" i="22"/>
  <c r="O232" i="22" s="1"/>
  <c r="G232" i="22"/>
  <c r="I232" i="22"/>
  <c r="B233" i="22"/>
  <c r="D177" i="22"/>
  <c r="J177" i="22"/>
  <c r="P177" i="22"/>
  <c r="Q177" i="22"/>
  <c r="R177" i="22"/>
  <c r="L178" i="22"/>
  <c r="C178" i="22"/>
  <c r="K178" i="22" s="1"/>
  <c r="E178" i="22"/>
  <c r="F178" i="22"/>
  <c r="O178" i="22" s="1"/>
  <c r="G178" i="22"/>
  <c r="I178" i="22"/>
  <c r="B179" i="22"/>
  <c r="P123" i="22"/>
  <c r="Q123" i="22"/>
  <c r="R123" i="22"/>
  <c r="L124" i="22"/>
  <c r="E124" i="22"/>
  <c r="B125" i="22"/>
  <c r="C124" i="22"/>
  <c r="G124" i="22"/>
  <c r="I124" i="22"/>
  <c r="D123" i="22"/>
  <c r="J123" i="22"/>
  <c r="N113" i="12"/>
  <c r="O61" i="17"/>
  <c r="E113" i="12"/>
  <c r="D61" i="17"/>
  <c r="J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M61" i="17"/>
  <c r="N61" i="17"/>
  <c r="E62" i="17"/>
  <c r="L62" i="17"/>
  <c r="C62" i="17"/>
  <c r="F62" i="17"/>
  <c r="C62" i="18" s="1"/>
  <c r="E62" i="18" s="1"/>
  <c r="G62" i="17"/>
  <c r="I62" i="17"/>
  <c r="K62" i="17"/>
  <c r="B63" i="17"/>
  <c r="B62" i="18"/>
  <c r="U60" i="17"/>
  <c r="C112" i="12" s="1"/>
  <c r="M112" i="12"/>
  <c r="O112" i="12"/>
  <c r="G111" i="12"/>
  <c r="G110" i="12"/>
  <c r="M1525" i="23"/>
  <c r="N1525" i="23"/>
  <c r="AE1525" i="23" s="1"/>
  <c r="M1469" i="23"/>
  <c r="N1469" i="23"/>
  <c r="AE1469" i="23" s="1"/>
  <c r="M1413" i="23"/>
  <c r="N1413" i="23"/>
  <c r="AE1413" i="23" s="1"/>
  <c r="M1245" i="23"/>
  <c r="N1245" i="23"/>
  <c r="AE1245" i="23" s="1"/>
  <c r="M1021" i="23"/>
  <c r="N1021" i="23"/>
  <c r="AE1021" i="23" s="1"/>
  <c r="M853" i="23"/>
  <c r="N853" i="23"/>
  <c r="AE853" i="23" s="1"/>
  <c r="M405" i="23"/>
  <c r="N405" i="23"/>
  <c r="AE405" i="23" s="1"/>
  <c r="N4772" i="22"/>
  <c r="M4772" i="22"/>
  <c r="M4556" i="22"/>
  <c r="N4556" i="22"/>
  <c r="M3740" i="22"/>
  <c r="N3740" i="22"/>
  <c r="U3740" i="22" s="1"/>
  <c r="N3578" i="22"/>
  <c r="U3578" i="22" s="1"/>
  <c r="M3578" i="22"/>
  <c r="M3524" i="22"/>
  <c r="N3524" i="22"/>
  <c r="U3524" i="22" s="1"/>
  <c r="M3362" i="22"/>
  <c r="N3362" i="22"/>
  <c r="U3362" i="22" s="1"/>
  <c r="M3308" i="22"/>
  <c r="N3308" i="22"/>
  <c r="U3308" i="22" s="1"/>
  <c r="N3254" i="22"/>
  <c r="U3254" i="22" s="1"/>
  <c r="M3254" i="22"/>
  <c r="M3038" i="22"/>
  <c r="N3038" i="22"/>
  <c r="U3038" i="22" s="1"/>
  <c r="M2714" i="22"/>
  <c r="N2714" i="22"/>
  <c r="U2714" i="22" s="1"/>
  <c r="M2660" i="22"/>
  <c r="N2660" i="22"/>
  <c r="U2660" i="22" s="1"/>
  <c r="M2606" i="22"/>
  <c r="N2606" i="22"/>
  <c r="U2606" i="22" s="1"/>
  <c r="M2390" i="22"/>
  <c r="N2390" i="22"/>
  <c r="U2390" i="22" s="1"/>
  <c r="M2336" i="22"/>
  <c r="N2336" i="22"/>
  <c r="U2336" i="22" s="1"/>
  <c r="M2066" i="22"/>
  <c r="N2066" i="22"/>
  <c r="U2066" i="22" s="1"/>
  <c r="M2012" i="22"/>
  <c r="N2012" i="22"/>
  <c r="U2012" i="22" s="1"/>
  <c r="M1634" i="22"/>
  <c r="N1634" i="22"/>
  <c r="U1634" i="22" s="1"/>
  <c r="M1256" i="22"/>
  <c r="N1256" i="22"/>
  <c r="U1256" i="22" s="1"/>
  <c r="M878" i="22"/>
  <c r="N878" i="22"/>
  <c r="U878" i="22" s="1"/>
  <c r="M554" i="22"/>
  <c r="N554" i="22"/>
  <c r="U554" i="22" s="1"/>
  <c r="N500" i="22"/>
  <c r="U500" i="22" s="1"/>
  <c r="M500" i="22"/>
  <c r="M230" i="22"/>
  <c r="N230" i="22"/>
  <c r="U230" i="22" s="1"/>
  <c r="M176" i="22"/>
  <c r="N176" i="22"/>
  <c r="U176" i="22" s="1"/>
  <c r="K1526" i="23"/>
  <c r="F1526" i="23"/>
  <c r="O1526" i="23" s="1"/>
  <c r="F1470" i="23"/>
  <c r="O1470" i="23" s="1"/>
  <c r="K1470" i="23"/>
  <c r="K1414" i="23"/>
  <c r="F1414" i="23"/>
  <c r="O1414" i="23" s="1"/>
  <c r="F1358" i="23"/>
  <c r="O1358" i="23" s="1"/>
  <c r="K1358" i="23"/>
  <c r="K1078" i="23"/>
  <c r="F1078" i="23"/>
  <c r="O1078" i="23" s="1"/>
  <c r="K630" i="23"/>
  <c r="F630" i="23"/>
  <c r="O630" i="23" s="1"/>
  <c r="K574" i="23"/>
  <c r="F574" i="23"/>
  <c r="O574" i="23" s="1"/>
  <c r="K4203" i="22"/>
  <c r="F4203" i="22"/>
  <c r="O4203" i="22" s="1"/>
  <c r="K3741" i="22"/>
  <c r="F3741" i="22"/>
  <c r="O3741" i="22" s="1"/>
  <c r="K3687" i="22"/>
  <c r="F3687" i="22"/>
  <c r="O3687" i="22" s="1"/>
  <c r="K3579" i="22"/>
  <c r="F3579" i="22"/>
  <c r="O3579" i="22" s="1"/>
  <c r="F3525" i="22"/>
  <c r="O3525" i="22" s="1"/>
  <c r="K3525" i="22"/>
  <c r="F3255" i="22"/>
  <c r="O3255" i="22" s="1"/>
  <c r="K3255" i="22"/>
  <c r="F2985" i="22"/>
  <c r="O2985" i="22" s="1"/>
  <c r="K2985" i="22"/>
  <c r="K2661" i="22"/>
  <c r="F2661" i="22"/>
  <c r="O2661" i="22" s="1"/>
  <c r="K2607" i="22"/>
  <c r="F2607" i="22"/>
  <c r="O2607" i="22" s="1"/>
  <c r="F2283" i="22"/>
  <c r="O2283" i="22" s="1"/>
  <c r="K2283" i="22"/>
  <c r="K2229" i="22"/>
  <c r="F2229" i="22"/>
  <c r="O2229" i="22" s="1"/>
  <c r="F1851" i="22"/>
  <c r="O1851" i="22" s="1"/>
  <c r="K1851" i="22"/>
  <c r="K1527" i="22"/>
  <c r="F1527" i="22"/>
  <c r="O1527" i="22" s="1"/>
  <c r="K1419" i="22"/>
  <c r="F1419" i="22"/>
  <c r="O1419" i="22" s="1"/>
  <c r="K1365" i="22"/>
  <c r="F1365" i="22"/>
  <c r="O1365" i="22" s="1"/>
  <c r="K1203" i="22"/>
  <c r="F1203" i="22"/>
  <c r="O1203" i="22" s="1"/>
  <c r="K825" i="22"/>
  <c r="F825" i="22"/>
  <c r="O825" i="22" s="1"/>
  <c r="F177" i="22"/>
  <c r="O177" i="22" s="1"/>
  <c r="K177" i="22"/>
  <c r="F123" i="22"/>
  <c r="O123" i="22" s="1"/>
  <c r="K123" i="22"/>
  <c r="K743" i="23" l="1"/>
  <c r="F743" i="23"/>
  <c r="O743" i="23" s="1"/>
  <c r="D4666" i="22"/>
  <c r="F4666" i="22"/>
  <c r="O4666" i="22" s="1"/>
  <c r="K2824" i="22"/>
  <c r="F2824" i="22"/>
  <c r="O2824" i="22" s="1"/>
  <c r="K2770" i="22"/>
  <c r="F2770" i="22"/>
  <c r="O2770" i="22" s="1"/>
  <c r="K2500" i="22"/>
  <c r="F2500" i="22"/>
  <c r="O2500" i="22" s="1"/>
  <c r="K2230" i="22"/>
  <c r="F2230" i="22"/>
  <c r="O2230" i="22" s="1"/>
  <c r="K880" i="22"/>
  <c r="F880" i="22"/>
  <c r="O880" i="22" s="1"/>
  <c r="K826" i="22"/>
  <c r="F826" i="22"/>
  <c r="O826" i="22" s="1"/>
  <c r="K718" i="22"/>
  <c r="F718" i="22"/>
  <c r="O718" i="22" s="1"/>
  <c r="K394" i="22"/>
  <c r="F394" i="22"/>
  <c r="O394"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E1528" i="23"/>
  <c r="G1528" i="23"/>
  <c r="B1529" i="23"/>
  <c r="L1472" i="23"/>
  <c r="I1472" i="23"/>
  <c r="G1472" i="23"/>
  <c r="C1472" i="23"/>
  <c r="E1472" i="23"/>
  <c r="B1473" i="23"/>
  <c r="J1471" i="23"/>
  <c r="D1471" i="23"/>
  <c r="P1471" i="23"/>
  <c r="Q1471" i="23"/>
  <c r="R1471" i="23"/>
  <c r="M1415" i="23"/>
  <c r="J1415" i="23"/>
  <c r="N1415" i="23" s="1"/>
  <c r="AE1415" i="23" s="1"/>
  <c r="D1415" i="23"/>
  <c r="P1415" i="23"/>
  <c r="Q1415" i="23"/>
  <c r="R1415" i="23"/>
  <c r="L1416" i="23"/>
  <c r="I1416" i="23"/>
  <c r="E1416" i="23"/>
  <c r="C1416" i="23"/>
  <c r="G1416" i="23"/>
  <c r="B1417" i="23"/>
  <c r="L1360" i="23"/>
  <c r="I1360" i="23"/>
  <c r="B1361" i="23"/>
  <c r="C1360" i="23"/>
  <c r="E1360" i="23"/>
  <c r="G1360" i="23"/>
  <c r="J1359" i="23"/>
  <c r="D1359" i="23"/>
  <c r="P1359" i="23"/>
  <c r="Q1359" i="23"/>
  <c r="R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G1136" i="23"/>
  <c r="C1136" i="23"/>
  <c r="E1136" i="23"/>
  <c r="B1137" i="23"/>
  <c r="M1079" i="23"/>
  <c r="P1079" i="23"/>
  <c r="Q1079" i="23"/>
  <c r="R1079" i="23"/>
  <c r="J1079" i="23"/>
  <c r="N1079" i="23" s="1"/>
  <c r="AE1079" i="23" s="1"/>
  <c r="D1079" i="23"/>
  <c r="L1080" i="23"/>
  <c r="I1080" i="23"/>
  <c r="G1080" i="23"/>
  <c r="C1080" i="23"/>
  <c r="E1080" i="23"/>
  <c r="B1081" i="23"/>
  <c r="M1023" i="23"/>
  <c r="J1023" i="23"/>
  <c r="N1023" i="23" s="1"/>
  <c r="AE1023" i="23" s="1"/>
  <c r="D1023" i="23"/>
  <c r="P1023" i="23"/>
  <c r="Q1023" i="23"/>
  <c r="R1023" i="23"/>
  <c r="L1024" i="23"/>
  <c r="I1024" i="23"/>
  <c r="C1024" i="23"/>
  <c r="E1024" i="23"/>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E744" i="23"/>
  <c r="G744" i="23"/>
  <c r="B745" i="23"/>
  <c r="M687" i="23"/>
  <c r="J687" i="23"/>
  <c r="N687" i="23" s="1"/>
  <c r="AE687" i="23" s="1"/>
  <c r="D687" i="23"/>
  <c r="P687" i="23"/>
  <c r="Q687" i="23"/>
  <c r="R687" i="23"/>
  <c r="L688" i="23"/>
  <c r="I688" i="23"/>
  <c r="C688" i="23"/>
  <c r="K688" i="23" s="1"/>
  <c r="E688" i="23"/>
  <c r="F688" i="23"/>
  <c r="O688" i="23" s="1"/>
  <c r="G688" i="23"/>
  <c r="B689" i="23"/>
  <c r="J631" i="23"/>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E520" i="23"/>
  <c r="G520" i="23"/>
  <c r="B521" i="23"/>
  <c r="M463" i="23"/>
  <c r="J463" i="23"/>
  <c r="N463" i="23" s="1"/>
  <c r="AE463" i="23" s="1"/>
  <c r="D463" i="23"/>
  <c r="P463" i="23"/>
  <c r="Q463" i="23"/>
  <c r="R463" i="23"/>
  <c r="L464" i="23"/>
  <c r="I464" i="23"/>
  <c r="C464" i="23"/>
  <c r="E464" i="23"/>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M4774" i="22"/>
  <c r="E4775" i="22"/>
  <c r="L4775" i="22"/>
  <c r="C4775" i="22"/>
  <c r="F4775" i="22" s="1"/>
  <c r="G4775" i="22"/>
  <c r="I4775" i="22"/>
  <c r="K4775" i="22"/>
  <c r="B4776" i="22"/>
  <c r="J4774" i="22"/>
  <c r="N4774" i="22" s="1"/>
  <c r="D4774" i="22"/>
  <c r="P4774" i="22"/>
  <c r="Q4774" i="22"/>
  <c r="R4774" i="22"/>
  <c r="T4718" i="22"/>
  <c r="U4719" i="22"/>
  <c r="S4719" i="22"/>
  <c r="T4719" i="22" s="1"/>
  <c r="D4720" i="22"/>
  <c r="J4720" i="22"/>
  <c r="P4720" i="22"/>
  <c r="Q4720" i="22"/>
  <c r="R4720" i="22"/>
  <c r="L4721" i="22"/>
  <c r="C4721" i="22"/>
  <c r="K4721" i="22" s="1"/>
  <c r="E4721" i="22"/>
  <c r="F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D4558" i="22"/>
  <c r="J4558" i="22"/>
  <c r="P4558" i="22"/>
  <c r="Q4558" i="22"/>
  <c r="R4558" i="22"/>
  <c r="L4559" i="22"/>
  <c r="C4559" i="22"/>
  <c r="K4559" i="22" s="1"/>
  <c r="E4559" i="22"/>
  <c r="F4559" i="22"/>
  <c r="G4559" i="22"/>
  <c r="I4559" i="22"/>
  <c r="B4560" i="22"/>
  <c r="D4258" i="22"/>
  <c r="J4258" i="22"/>
  <c r="N4258" i="22" s="1"/>
  <c r="U4258" i="22" s="1"/>
  <c r="P4258" i="22"/>
  <c r="R4258" i="22"/>
  <c r="Q4258" i="22"/>
  <c r="M4258" i="22"/>
  <c r="C4259" i="22"/>
  <c r="E4259" i="22"/>
  <c r="G4259" i="22"/>
  <c r="I4259" i="22"/>
  <c r="L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K4151" i="22" s="1"/>
  <c r="E4151" i="22"/>
  <c r="F4151" i="22"/>
  <c r="O4151" i="22" s="1"/>
  <c r="G4151" i="22"/>
  <c r="I4151" i="22"/>
  <c r="B4152" i="22"/>
  <c r="D4096" i="22"/>
  <c r="J4096" i="22"/>
  <c r="P4096" i="22"/>
  <c r="Q4096" i="22"/>
  <c r="R4096" i="22"/>
  <c r="M4096" i="22"/>
  <c r="N4096" i="22"/>
  <c r="U4096" i="22" s="1"/>
  <c r="C4097" i="22"/>
  <c r="E4097" i="22"/>
  <c r="F4097" i="22"/>
  <c r="O4097" i="22" s="1"/>
  <c r="G4097" i="22"/>
  <c r="I4097" i="22"/>
  <c r="K4097" i="22"/>
  <c r="L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D3688" i="22"/>
  <c r="J3688" i="22"/>
  <c r="P3688" i="22"/>
  <c r="Q3688" i="22"/>
  <c r="R3688" i="22"/>
  <c r="L3689" i="22"/>
  <c r="C3689" i="22"/>
  <c r="E3689" i="22"/>
  <c r="G3689" i="22"/>
  <c r="I3689" i="22"/>
  <c r="B3690" i="22"/>
  <c r="D3634" i="22"/>
  <c r="J3634" i="22"/>
  <c r="P3634" i="22"/>
  <c r="Q3634" i="22"/>
  <c r="R3634" i="22"/>
  <c r="L3635" i="22"/>
  <c r="C3635" i="22"/>
  <c r="K3635" i="22" s="1"/>
  <c r="E3635" i="22"/>
  <c r="F3635" i="22"/>
  <c r="O3635" i="22" s="1"/>
  <c r="G3635" i="22"/>
  <c r="I3635" i="22"/>
  <c r="B3636" i="22"/>
  <c r="J3580" i="22"/>
  <c r="D3580" i="22"/>
  <c r="P3580" i="22"/>
  <c r="Q3580" i="22"/>
  <c r="R3580" i="22"/>
  <c r="L3581" i="22"/>
  <c r="B3582" i="22"/>
  <c r="C3581" i="22"/>
  <c r="E3581" i="22"/>
  <c r="G3581" i="22"/>
  <c r="I3581" i="22"/>
  <c r="L3527" i="22"/>
  <c r="B3528" i="22"/>
  <c r="C3527" i="22"/>
  <c r="K3527" i="22" s="1"/>
  <c r="G3527" i="22"/>
  <c r="F3527" i="22"/>
  <c r="O3527" i="22" s="1"/>
  <c r="I3527" i="22"/>
  <c r="E3527" i="22"/>
  <c r="J3526" i="22"/>
  <c r="D3526" i="22"/>
  <c r="P3526" i="22"/>
  <c r="Q3526" i="22"/>
  <c r="R3526"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D3364" i="22"/>
  <c r="J3364" i="22"/>
  <c r="P3364" i="22"/>
  <c r="Q3364" i="22"/>
  <c r="R3364" i="22"/>
  <c r="L3365" i="22"/>
  <c r="C3365" i="22"/>
  <c r="E3365" i="22"/>
  <c r="G3365" i="22"/>
  <c r="I3365" i="22"/>
  <c r="B3366" i="22"/>
  <c r="D3310" i="22"/>
  <c r="J3310" i="22"/>
  <c r="P3310" i="22"/>
  <c r="Q3310" i="22"/>
  <c r="R3310" i="22"/>
  <c r="L3311" i="22"/>
  <c r="C3311" i="22"/>
  <c r="E3311" i="22"/>
  <c r="G3311" i="22"/>
  <c r="I3311" i="22"/>
  <c r="B3312" i="22"/>
  <c r="P3256" i="22"/>
  <c r="Q3256" i="22"/>
  <c r="R3256" i="22"/>
  <c r="L3257" i="22"/>
  <c r="E3257" i="22"/>
  <c r="I3257" i="22"/>
  <c r="B3258" i="22"/>
  <c r="C3257" i="22"/>
  <c r="K3257" i="22" s="1"/>
  <c r="G3257" i="22"/>
  <c r="F3257" i="22"/>
  <c r="O3257" i="22" s="1"/>
  <c r="J3256" i="22"/>
  <c r="D3256"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E3095" i="22"/>
  <c r="G3095" i="22"/>
  <c r="I3095" i="22"/>
  <c r="B3096" i="22"/>
  <c r="M3040" i="22"/>
  <c r="D3040" i="22"/>
  <c r="J3040" i="22"/>
  <c r="N3040" i="22" s="1"/>
  <c r="U3040" i="22" s="1"/>
  <c r="P3040" i="22"/>
  <c r="Q3040" i="22"/>
  <c r="R3040" i="22"/>
  <c r="L3041" i="22"/>
  <c r="C3041" i="22"/>
  <c r="E3041" i="22"/>
  <c r="G3041" i="22"/>
  <c r="I3041" i="22"/>
  <c r="B3042" i="22"/>
  <c r="M2986" i="22"/>
  <c r="D2986" i="22"/>
  <c r="J2986" i="22"/>
  <c r="N2986" i="22" s="1"/>
  <c r="U2986" i="22" s="1"/>
  <c r="P2986" i="22"/>
  <c r="Q2986" i="22"/>
  <c r="R2986" i="22"/>
  <c r="L2987" i="22"/>
  <c r="C2987" i="22"/>
  <c r="E2987" i="22"/>
  <c r="G2987" i="22"/>
  <c r="I2987" i="22"/>
  <c r="B2988" i="22"/>
  <c r="D2932" i="22"/>
  <c r="J2932" i="22"/>
  <c r="P2932" i="22"/>
  <c r="Q2932" i="22"/>
  <c r="R2932" i="22"/>
  <c r="L2933" i="22"/>
  <c r="C2933" i="22"/>
  <c r="E2933" i="22"/>
  <c r="G2933" i="22"/>
  <c r="I2933" i="22"/>
  <c r="B2934" i="22"/>
  <c r="M2878" i="22"/>
  <c r="D2878" i="22"/>
  <c r="J2878" i="22"/>
  <c r="N2878" i="22" s="1"/>
  <c r="U2878" i="22" s="1"/>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E2771" i="22"/>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P2662" i="22"/>
  <c r="Q2662" i="22"/>
  <c r="R2662" i="22"/>
  <c r="D2662" i="22"/>
  <c r="J2662" i="22"/>
  <c r="N2662" i="22" s="1"/>
  <c r="U2662" i="22" s="1"/>
  <c r="L2663" i="22"/>
  <c r="C2663" i="22"/>
  <c r="E2663" i="22"/>
  <c r="G2663" i="22"/>
  <c r="I2663" i="22"/>
  <c r="B2664" i="22"/>
  <c r="L2609" i="22"/>
  <c r="E2609" i="22"/>
  <c r="G2609" i="22"/>
  <c r="C2609" i="22"/>
  <c r="I2609" i="22"/>
  <c r="B2610" i="22"/>
  <c r="D2608" i="22"/>
  <c r="J2608" i="22"/>
  <c r="P2608" i="22"/>
  <c r="Q2608" i="22"/>
  <c r="R2608"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E2501" i="22"/>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E2339" i="22"/>
  <c r="G2339" i="22"/>
  <c r="I2339" i="22"/>
  <c r="B2340" i="22"/>
  <c r="P2284" i="22"/>
  <c r="Q2284" i="22"/>
  <c r="R2284" i="22"/>
  <c r="L2285" i="22"/>
  <c r="E2285" i="22"/>
  <c r="B2286" i="22"/>
  <c r="I2285" i="22"/>
  <c r="C2285" i="22"/>
  <c r="G2285" i="22"/>
  <c r="J2284" i="22"/>
  <c r="D2284"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D2014" i="22"/>
  <c r="J2014" i="22"/>
  <c r="P2014" i="22"/>
  <c r="Q2014" i="22"/>
  <c r="R2014" i="22"/>
  <c r="L2015" i="22"/>
  <c r="C2015" i="22"/>
  <c r="E2015" i="22"/>
  <c r="G2015" i="22"/>
  <c r="I2015" i="22"/>
  <c r="B2016" i="22"/>
  <c r="D1960" i="22"/>
  <c r="J1960" i="22"/>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E1745" i="22"/>
  <c r="G1745" i="22"/>
  <c r="I1745" i="22"/>
  <c r="B1746" i="22"/>
  <c r="M1690" i="22"/>
  <c r="D1690" i="22"/>
  <c r="J1690" i="22"/>
  <c r="N1690" i="22" s="1"/>
  <c r="U1690" i="22" s="1"/>
  <c r="P1690" i="22"/>
  <c r="Q1690" i="22"/>
  <c r="R1690" i="22"/>
  <c r="L1691" i="22"/>
  <c r="C1691" i="22"/>
  <c r="K1691" i="22" s="1"/>
  <c r="E1691" i="22"/>
  <c r="F1691" i="22"/>
  <c r="O1691" i="22" s="1"/>
  <c r="G1691" i="22"/>
  <c r="I1691" i="22"/>
  <c r="B1692" i="22"/>
  <c r="D1636" i="22"/>
  <c r="J1636" i="22"/>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K1475" i="22" s="1"/>
  <c r="E1475" i="22"/>
  <c r="F1475" i="22"/>
  <c r="O1475" i="22" s="1"/>
  <c r="G1475" i="22"/>
  <c r="I1475" i="22"/>
  <c r="B1476" i="22"/>
  <c r="P1420" i="22"/>
  <c r="Q1420" i="22"/>
  <c r="R1420" i="22"/>
  <c r="L1421" i="22"/>
  <c r="C1421" i="22"/>
  <c r="K1421" i="22" s="1"/>
  <c r="E1421" i="22"/>
  <c r="F1421" i="22"/>
  <c r="O1421" i="22" s="1"/>
  <c r="G1421" i="22"/>
  <c r="I1421" i="22"/>
  <c r="B1422" i="22"/>
  <c r="J1420" i="22"/>
  <c r="D1420" i="22"/>
  <c r="M1366" i="22"/>
  <c r="D1366" i="22"/>
  <c r="J1366" i="22"/>
  <c r="N1366" i="22" s="1"/>
  <c r="U1366" i="22" s="1"/>
  <c r="P1366" i="22"/>
  <c r="Q1366" i="22"/>
  <c r="R1366" i="22"/>
  <c r="L1367" i="22"/>
  <c r="E1367" i="22"/>
  <c r="G1367" i="22"/>
  <c r="I1367" i="22"/>
  <c r="B1368" i="22"/>
  <c r="C1367" i="22"/>
  <c r="K1367" i="22" s="1"/>
  <c r="F1367" i="22"/>
  <c r="O1367" i="22" s="1"/>
  <c r="D1312" i="22"/>
  <c r="J1312" i="22"/>
  <c r="P1312" i="22"/>
  <c r="Q1312" i="22"/>
  <c r="R1312" i="22"/>
  <c r="L1313" i="22"/>
  <c r="C1313" i="22"/>
  <c r="E1313" i="22"/>
  <c r="G1313" i="22"/>
  <c r="I1313" i="22"/>
  <c r="B1314" i="22"/>
  <c r="M1258" i="22"/>
  <c r="D1258" i="22"/>
  <c r="J1258" i="22"/>
  <c r="N1258" i="22" s="1"/>
  <c r="U1258" i="22" s="1"/>
  <c r="P1258" i="22"/>
  <c r="Q1258" i="22"/>
  <c r="R1258" i="22"/>
  <c r="L1259" i="22"/>
  <c r="C1259" i="22"/>
  <c r="E1259" i="22"/>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D988" i="22"/>
  <c r="J988" i="22"/>
  <c r="P988" i="22"/>
  <c r="Q988" i="22"/>
  <c r="R988" i="22"/>
  <c r="L989" i="22"/>
  <c r="C989" i="22"/>
  <c r="K989" i="22" s="1"/>
  <c r="E989" i="22"/>
  <c r="F989" i="22"/>
  <c r="O989" i="22" s="1"/>
  <c r="G989" i="22"/>
  <c r="I989" i="22"/>
  <c r="B990" i="22"/>
  <c r="D934" i="22"/>
  <c r="J934" i="22"/>
  <c r="P934" i="22"/>
  <c r="Q934" i="22"/>
  <c r="R934" i="22"/>
  <c r="L935" i="22"/>
  <c r="C935" i="22"/>
  <c r="E935" i="22"/>
  <c r="G935" i="22"/>
  <c r="I935" i="22"/>
  <c r="B936" i="22"/>
  <c r="M880" i="22"/>
  <c r="D880" i="22"/>
  <c r="J880" i="22"/>
  <c r="N880" i="22" s="1"/>
  <c r="U880" i="22" s="1"/>
  <c r="P880" i="22"/>
  <c r="Q880" i="22"/>
  <c r="R880" i="22"/>
  <c r="L881" i="22"/>
  <c r="C881" i="22"/>
  <c r="E881" i="22"/>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D664" i="22"/>
  <c r="J664" i="22"/>
  <c r="P664" i="22"/>
  <c r="Q664" i="22"/>
  <c r="R664" i="22"/>
  <c r="L665" i="22"/>
  <c r="C665" i="22"/>
  <c r="E665" i="22"/>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E557" i="22"/>
  <c r="G557" i="22"/>
  <c r="I557" i="22"/>
  <c r="B558" i="22"/>
  <c r="M502" i="22"/>
  <c r="D502" i="22"/>
  <c r="J502" i="22"/>
  <c r="N502" i="22" s="1"/>
  <c r="U502" i="22" s="1"/>
  <c r="P502" i="22"/>
  <c r="Q502" i="22"/>
  <c r="R502" i="22"/>
  <c r="L503" i="22"/>
  <c r="C503" i="22"/>
  <c r="E503" i="22"/>
  <c r="G503" i="22"/>
  <c r="B504" i="22"/>
  <c r="I503" i="22"/>
  <c r="M448" i="22"/>
  <c r="D448" i="22"/>
  <c r="J448" i="22"/>
  <c r="N448" i="22" s="1"/>
  <c r="U448" i="22" s="1"/>
  <c r="P448" i="22"/>
  <c r="Q448" i="22"/>
  <c r="R448" i="22"/>
  <c r="L449" i="22"/>
  <c r="I449" i="22"/>
  <c r="C449" i="22"/>
  <c r="E449" i="22"/>
  <c r="G449" i="22"/>
  <c r="B450" i="22"/>
  <c r="M394" i="22"/>
  <c r="D394" i="22"/>
  <c r="J394" i="22"/>
  <c r="N394" i="22" s="1"/>
  <c r="U394" i="22" s="1"/>
  <c r="P394" i="22"/>
  <c r="Q394" i="22"/>
  <c r="R394" i="22"/>
  <c r="L395" i="22"/>
  <c r="C395" i="22"/>
  <c r="E395" i="22"/>
  <c r="G395" i="22"/>
  <c r="I395" i="22"/>
  <c r="B396" i="22"/>
  <c r="M340" i="22"/>
  <c r="D340" i="22"/>
  <c r="J340" i="22"/>
  <c r="N340" i="22" s="1"/>
  <c r="U340" i="22" s="1"/>
  <c r="P340" i="22"/>
  <c r="Q340" i="22"/>
  <c r="R340" i="22"/>
  <c r="L341" i="22"/>
  <c r="C341" i="22"/>
  <c r="K341" i="22" s="1"/>
  <c r="E341" i="22"/>
  <c r="F341" i="22"/>
  <c r="O341" i="22" s="1"/>
  <c r="G341" i="22"/>
  <c r="I341" i="22"/>
  <c r="B342" i="22"/>
  <c r="D286" i="22"/>
  <c r="J286" i="22"/>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E179" i="22"/>
  <c r="G179" i="22"/>
  <c r="I179" i="22"/>
  <c r="B180" i="22"/>
  <c r="L125" i="22"/>
  <c r="G125" i="22"/>
  <c r="I125" i="22"/>
  <c r="B126" i="22"/>
  <c r="C125" i="22"/>
  <c r="K125" i="22" s="1"/>
  <c r="E125" i="22"/>
  <c r="F125" i="22"/>
  <c r="O125" i="22" s="1"/>
  <c r="D124" i="22"/>
  <c r="J124" i="22"/>
  <c r="P124" i="22"/>
  <c r="Q124" i="22"/>
  <c r="R124" i="22"/>
  <c r="F61" i="18"/>
  <c r="G61" i="18"/>
  <c r="H61" i="18"/>
  <c r="U61" i="17"/>
  <c r="C113" i="12" s="1"/>
  <c r="F55" i="12"/>
  <c r="M113" i="12"/>
  <c r="Q113" i="12" s="1"/>
  <c r="O113" i="12"/>
  <c r="D62" i="17"/>
  <c r="J62" i="17"/>
  <c r="N114" i="12"/>
  <c r="O62" i="17"/>
  <c r="E114" i="12"/>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V62" i="17"/>
  <c r="BF62" i="17"/>
  <c r="M62" i="17"/>
  <c r="N62" i="17"/>
  <c r="G63" i="17"/>
  <c r="I63" i="17"/>
  <c r="C63" i="17"/>
  <c r="K63" i="17" s="1"/>
  <c r="E63" i="17"/>
  <c r="F63" i="17"/>
  <c r="C63" i="18" s="1"/>
  <c r="E63" i="18" s="1"/>
  <c r="L63" i="17"/>
  <c r="B64" i="17"/>
  <c r="B63" i="18"/>
  <c r="G112" i="12"/>
  <c r="P112" i="12"/>
  <c r="Q112" i="12" s="1"/>
  <c r="M1526" i="23"/>
  <c r="N1526" i="23"/>
  <c r="AE1526" i="23" s="1"/>
  <c r="M1470" i="23"/>
  <c r="N1470" i="23"/>
  <c r="AE1470" i="23" s="1"/>
  <c r="M1414" i="23"/>
  <c r="N1414" i="23"/>
  <c r="AE1414" i="23" s="1"/>
  <c r="M1358" i="23"/>
  <c r="N1358" i="23"/>
  <c r="AE1358" i="23" s="1"/>
  <c r="N1078" i="23"/>
  <c r="AE1078" i="23" s="1"/>
  <c r="M1078" i="23"/>
  <c r="M630" i="23"/>
  <c r="N630" i="23"/>
  <c r="AE630" i="23" s="1"/>
  <c r="M574" i="23"/>
  <c r="N574" i="23"/>
  <c r="AE574" i="23" s="1"/>
  <c r="M4203" i="22"/>
  <c r="N4203" i="22"/>
  <c r="U4203" i="22" s="1"/>
  <c r="M3741" i="22"/>
  <c r="N3741" i="22"/>
  <c r="U3741" i="22" s="1"/>
  <c r="M3687" i="22"/>
  <c r="N3687" i="22"/>
  <c r="U3687" i="22" s="1"/>
  <c r="M3579" i="22"/>
  <c r="N3579" i="22"/>
  <c r="U3579" i="22" s="1"/>
  <c r="M3525" i="22"/>
  <c r="N3525" i="22"/>
  <c r="U3525" i="22" s="1"/>
  <c r="N3255" i="22"/>
  <c r="U3255" i="22" s="1"/>
  <c r="M3255" i="22"/>
  <c r="M2985" i="22"/>
  <c r="N2985" i="22"/>
  <c r="U2985" i="22" s="1"/>
  <c r="M2661" i="22"/>
  <c r="N2661" i="22"/>
  <c r="U2661" i="22" s="1"/>
  <c r="M2607" i="22"/>
  <c r="N2607" i="22"/>
  <c r="U2607" i="22" s="1"/>
  <c r="N2283" i="22"/>
  <c r="U2283" i="22" s="1"/>
  <c r="M2283" i="22"/>
  <c r="M2229" i="22"/>
  <c r="N2229" i="22"/>
  <c r="U2229" i="22" s="1"/>
  <c r="M1851" i="22"/>
  <c r="N1851" i="22"/>
  <c r="U1851" i="22" s="1"/>
  <c r="M1527" i="22"/>
  <c r="N1527" i="22"/>
  <c r="U1527" i="22" s="1"/>
  <c r="M1419" i="22"/>
  <c r="N1419" i="22"/>
  <c r="U1419" i="22" s="1"/>
  <c r="M1365" i="22"/>
  <c r="N1365" i="22"/>
  <c r="U1365" i="22" s="1"/>
  <c r="M1203" i="22"/>
  <c r="N1203" i="22"/>
  <c r="U1203" i="22" s="1"/>
  <c r="M825" i="22"/>
  <c r="N825" i="22"/>
  <c r="U825" i="22" s="1"/>
  <c r="M177" i="22"/>
  <c r="N177" i="22"/>
  <c r="U177" i="22" s="1"/>
  <c r="N123" i="22"/>
  <c r="U123" i="22" s="1"/>
  <c r="M123" i="22"/>
  <c r="K1471" i="23"/>
  <c r="F1471" i="23"/>
  <c r="O1471" i="23" s="1"/>
  <c r="F1359" i="23"/>
  <c r="O1359" i="23" s="1"/>
  <c r="K1359" i="23"/>
  <c r="K631" i="23"/>
  <c r="F631" i="23"/>
  <c r="O631" i="23" s="1"/>
  <c r="K4720" i="22"/>
  <c r="F4720" i="22"/>
  <c r="K4558" i="22"/>
  <c r="F4558" i="22"/>
  <c r="K3688" i="22"/>
  <c r="F3688" i="22"/>
  <c r="O3688" i="22" s="1"/>
  <c r="K3634" i="22"/>
  <c r="F3634" i="22"/>
  <c r="O3634" i="22" s="1"/>
  <c r="K3580" i="22"/>
  <c r="F3580" i="22"/>
  <c r="O3580" i="22" s="1"/>
  <c r="F3526" i="22"/>
  <c r="O3526" i="22" s="1"/>
  <c r="K3526" i="22"/>
  <c r="F3364" i="22"/>
  <c r="O3364" i="22" s="1"/>
  <c r="K3364" i="22"/>
  <c r="K3310" i="22"/>
  <c r="F3310" i="22"/>
  <c r="O3310" i="22" s="1"/>
  <c r="F3256" i="22"/>
  <c r="O3256" i="22" s="1"/>
  <c r="K3256" i="22"/>
  <c r="K2932" i="22"/>
  <c r="F2932" i="22"/>
  <c r="O2932" i="22" s="1"/>
  <c r="F2608" i="22"/>
  <c r="O2608" i="22" s="1"/>
  <c r="K2608" i="22"/>
  <c r="K2284" i="22"/>
  <c r="F2284" i="22"/>
  <c r="O2284" i="22" s="1"/>
  <c r="K2014" i="22"/>
  <c r="F2014" i="22"/>
  <c r="O2014" i="22" s="1"/>
  <c r="K1960" i="22"/>
  <c r="F1960" i="22"/>
  <c r="O1960" i="22" s="1"/>
  <c r="F1636" i="22"/>
  <c r="O1636" i="22" s="1"/>
  <c r="K1636" i="22"/>
  <c r="K1420" i="22"/>
  <c r="F1420" i="22"/>
  <c r="O1420" i="22" s="1"/>
  <c r="F1312" i="22"/>
  <c r="O1312" i="22" s="1"/>
  <c r="K1312" i="22"/>
  <c r="F988" i="22"/>
  <c r="O988" i="22" s="1"/>
  <c r="K988" i="22"/>
  <c r="F934" i="22"/>
  <c r="O934" i="22" s="1"/>
  <c r="K934" i="22"/>
  <c r="F664" i="22"/>
  <c r="O664" i="22" s="1"/>
  <c r="K664" i="22"/>
  <c r="K286" i="22"/>
  <c r="F286" i="22"/>
  <c r="O286" i="22" s="1"/>
  <c r="K124" i="22"/>
  <c r="F124" i="22"/>
  <c r="O124" i="22" s="1"/>
  <c r="K1528" i="23" l="1"/>
  <c r="F1528" i="23"/>
  <c r="O1528" i="23" s="1"/>
  <c r="K744" i="23"/>
  <c r="F744" i="23"/>
  <c r="O744" i="23" s="1"/>
  <c r="K3095" i="22"/>
  <c r="F3095" i="22"/>
  <c r="O3095" i="22" s="1"/>
  <c r="K2501" i="22"/>
  <c r="F2501" i="22"/>
  <c r="O2501" i="22" s="1"/>
  <c r="K1745" i="22"/>
  <c r="F1745" i="22"/>
  <c r="O1745" i="22" s="1"/>
  <c r="K665" i="22"/>
  <c r="F665" i="22"/>
  <c r="O665" i="22" s="1"/>
  <c r="K449" i="22"/>
  <c r="F449" i="22"/>
  <c r="O449" i="22" s="1"/>
  <c r="K395" i="22"/>
  <c r="F395" i="22"/>
  <c r="O395"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M1528" i="23"/>
  <c r="J1528" i="23"/>
  <c r="N1528" i="23" s="1"/>
  <c r="AE1528" i="23" s="1"/>
  <c r="D1528" i="23"/>
  <c r="P1528" i="23"/>
  <c r="Q1528" i="23"/>
  <c r="R1528" i="23"/>
  <c r="L1529" i="23"/>
  <c r="I1529" i="23"/>
  <c r="C1529" i="23"/>
  <c r="K1529" i="23" s="1"/>
  <c r="E1529" i="23"/>
  <c r="F1529" i="23"/>
  <c r="O1529" i="23" s="1"/>
  <c r="G1529" i="23"/>
  <c r="P1472" i="23"/>
  <c r="Q1472" i="23"/>
  <c r="R1472" i="23"/>
  <c r="J1472" i="23"/>
  <c r="D1472" i="23"/>
  <c r="L1473" i="23"/>
  <c r="I1473" i="23"/>
  <c r="G1473" i="23"/>
  <c r="C1473" i="23"/>
  <c r="E1473" i="23"/>
  <c r="J1416" i="23"/>
  <c r="D1416" i="23"/>
  <c r="P1416" i="23"/>
  <c r="Q1416" i="23"/>
  <c r="R1416" i="23"/>
  <c r="L1417" i="23"/>
  <c r="I1417" i="23"/>
  <c r="G1417" i="23"/>
  <c r="C1417" i="23"/>
  <c r="E1417" i="23"/>
  <c r="L1361" i="23"/>
  <c r="I1361" i="23"/>
  <c r="C1361" i="23"/>
  <c r="E1361" i="23"/>
  <c r="G1361" i="23"/>
  <c r="J1360" i="23"/>
  <c r="D1360" i="23"/>
  <c r="P1360" i="23"/>
  <c r="Q1360" i="23"/>
  <c r="R1360" i="23"/>
  <c r="M1304" i="23"/>
  <c r="J1304" i="23"/>
  <c r="N1304" i="23" s="1"/>
  <c r="AE1304" i="23" s="1"/>
  <c r="D1304" i="23"/>
  <c r="P1304" i="23"/>
  <c r="Q1304" i="23"/>
  <c r="R1304" i="23"/>
  <c r="L1305" i="23"/>
  <c r="I1305" i="23"/>
  <c r="C1305" i="23"/>
  <c r="E1305" i="23"/>
  <c r="G1305" i="23"/>
  <c r="J1248" i="23"/>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P1136" i="23"/>
  <c r="Q1136" i="23"/>
  <c r="R1136" i="23"/>
  <c r="J1136" i="23"/>
  <c r="D1136" i="23"/>
  <c r="L1137" i="23"/>
  <c r="I1137" i="23"/>
  <c r="E1137" i="23"/>
  <c r="G1137" i="23"/>
  <c r="C1137" i="23"/>
  <c r="K1137" i="23" s="1"/>
  <c r="F1137" i="23"/>
  <c r="O1137" i="23" s="1"/>
  <c r="P1080" i="23"/>
  <c r="Q1080" i="23"/>
  <c r="R1080" i="23"/>
  <c r="J1080" i="23"/>
  <c r="D1080" i="23"/>
  <c r="L1081" i="23"/>
  <c r="I1081" i="23"/>
  <c r="G1081" i="23"/>
  <c r="C1081" i="23"/>
  <c r="K1081" i="23" s="1"/>
  <c r="E1081" i="23"/>
  <c r="F1081" i="23"/>
  <c r="O1081" i="23" s="1"/>
  <c r="J1024" i="23"/>
  <c r="D1024" i="23"/>
  <c r="P1024" i="23"/>
  <c r="Q1024" i="23"/>
  <c r="R1024" i="23"/>
  <c r="L1025" i="23"/>
  <c r="I1025" i="23"/>
  <c r="C1025" i="23"/>
  <c r="E1025" i="23"/>
  <c r="G1025" i="23"/>
  <c r="M968" i="23"/>
  <c r="J968" i="23"/>
  <c r="N968" i="23" s="1"/>
  <c r="AE968" i="23" s="1"/>
  <c r="D968" i="23"/>
  <c r="P968" i="23"/>
  <c r="Q968" i="23"/>
  <c r="R968" i="23"/>
  <c r="L969" i="23"/>
  <c r="I969" i="23"/>
  <c r="C969" i="23"/>
  <c r="E969" i="23"/>
  <c r="G969" i="23"/>
  <c r="J912" i="23"/>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E857" i="23"/>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J520" i="23"/>
  <c r="D520" i="23"/>
  <c r="P520" i="23"/>
  <c r="Q520" i="23"/>
  <c r="R520" i="23"/>
  <c r="L521" i="23"/>
  <c r="I521" i="23"/>
  <c r="C521" i="23"/>
  <c r="K521" i="23" s="1"/>
  <c r="E521" i="23"/>
  <c r="F521" i="23"/>
  <c r="O521" i="23" s="1"/>
  <c r="G521" i="23"/>
  <c r="J464" i="23"/>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E353" i="23"/>
  <c r="G353" i="23"/>
  <c r="M296" i="23"/>
  <c r="J296" i="23"/>
  <c r="N296" i="23" s="1"/>
  <c r="AE296" i="23" s="1"/>
  <c r="D296" i="23"/>
  <c r="P296" i="23"/>
  <c r="Q296" i="23"/>
  <c r="R296" i="23"/>
  <c r="L297" i="23"/>
  <c r="I297" i="23"/>
  <c r="C297" i="23"/>
  <c r="K297" i="23" s="1"/>
  <c r="E297" i="23"/>
  <c r="F297" i="23"/>
  <c r="O297" i="23" s="1"/>
  <c r="G297" i="23"/>
  <c r="D4775" i="22"/>
  <c r="J4775" i="22"/>
  <c r="P4775" i="22"/>
  <c r="Q4775" i="22"/>
  <c r="R4775" i="22"/>
  <c r="M4775" i="22"/>
  <c r="N4775" i="22"/>
  <c r="P115" i="12" s="1"/>
  <c r="G4776" i="22"/>
  <c r="I4776" i="22"/>
  <c r="C4776" i="22"/>
  <c r="E4776" i="22"/>
  <c r="L4776" i="22"/>
  <c r="U4720" i="22"/>
  <c r="M4721" i="22"/>
  <c r="D4721" i="22"/>
  <c r="J4721" i="22"/>
  <c r="N4721" i="22" s="1"/>
  <c r="P4721" i="22"/>
  <c r="Q4721" i="22"/>
  <c r="R4721" i="22"/>
  <c r="L4722" i="22"/>
  <c r="C4722" i="22"/>
  <c r="K4722" i="22" s="1"/>
  <c r="E4722" i="22"/>
  <c r="F4722" i="22"/>
  <c r="G4722" i="22"/>
  <c r="I4722" i="22"/>
  <c r="P4667" i="22"/>
  <c r="Q4667" i="22"/>
  <c r="R4667" i="22"/>
  <c r="C4668" i="22"/>
  <c r="E4668" i="22"/>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D4259" i="22"/>
  <c r="J4259" i="22"/>
  <c r="P4259" i="22"/>
  <c r="Q4259" i="22"/>
  <c r="R4259" i="22"/>
  <c r="C4260" i="22"/>
  <c r="E4260" i="22"/>
  <c r="F4260" i="22"/>
  <c r="O4260" i="22" s="1"/>
  <c r="G4260" i="22"/>
  <c r="I4260" i="22"/>
  <c r="K4260" i="22"/>
  <c r="L4260"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D4097" i="22"/>
  <c r="J4097" i="22"/>
  <c r="P4097" i="22"/>
  <c r="Q4097" i="22"/>
  <c r="R4097" i="22"/>
  <c r="M4097" i="22"/>
  <c r="N4097" i="22"/>
  <c r="U4097" i="22" s="1"/>
  <c r="C4098" i="22"/>
  <c r="E4098" i="22"/>
  <c r="F4098" i="22"/>
  <c r="O4098" i="22" s="1"/>
  <c r="G4098" i="22"/>
  <c r="I4098" i="22"/>
  <c r="K4098" i="22"/>
  <c r="L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D3689" i="22"/>
  <c r="J3689" i="22"/>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L3582" i="22"/>
  <c r="G3582" i="22"/>
  <c r="C3582" i="22"/>
  <c r="E3582" i="22"/>
  <c r="I3582" i="22"/>
  <c r="D3581" i="22"/>
  <c r="J3581" i="22"/>
  <c r="P3581" i="22"/>
  <c r="Q3581" i="22"/>
  <c r="R3581" i="22"/>
  <c r="M3527" i="22"/>
  <c r="L3528" i="22"/>
  <c r="I3528" i="22"/>
  <c r="E3528" i="22"/>
  <c r="C3528" i="22"/>
  <c r="G3528" i="22"/>
  <c r="D3527" i="22"/>
  <c r="J3527" i="22"/>
  <c r="N3527" i="22" s="1"/>
  <c r="U3527" i="22" s="1"/>
  <c r="P3527" i="22"/>
  <c r="Q3527" i="22"/>
  <c r="R3527"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D3365" i="22"/>
  <c r="J3365" i="22"/>
  <c r="P3365" i="22"/>
  <c r="Q3365" i="22"/>
  <c r="R3365" i="22"/>
  <c r="L3366" i="22"/>
  <c r="C3366" i="22"/>
  <c r="K3366" i="22" s="1"/>
  <c r="E3366" i="22"/>
  <c r="F3366" i="22"/>
  <c r="O3366" i="22" s="1"/>
  <c r="G3366" i="22"/>
  <c r="I3366" i="22"/>
  <c r="D3311" i="22"/>
  <c r="J3311" i="22"/>
  <c r="P3311" i="22"/>
  <c r="Q3311" i="22"/>
  <c r="R3311" i="22"/>
  <c r="L3312" i="22"/>
  <c r="C3312" i="22"/>
  <c r="E3312" i="22"/>
  <c r="G3312" i="22"/>
  <c r="I3312" i="22"/>
  <c r="M3257" i="22"/>
  <c r="L3258" i="22"/>
  <c r="E3258" i="22"/>
  <c r="G3258" i="22"/>
  <c r="C3258" i="22"/>
  <c r="K3258" i="22" s="1"/>
  <c r="I3258" i="22"/>
  <c r="F3258" i="22"/>
  <c r="O3258" i="22" s="1"/>
  <c r="D3257" i="22"/>
  <c r="J3257" i="22"/>
  <c r="N3257" i="22" s="1"/>
  <c r="U3257" i="22" s="1"/>
  <c r="P3257" i="22"/>
  <c r="Q3257" i="22"/>
  <c r="R3257" i="22"/>
  <c r="M3203" i="22"/>
  <c r="D3203" i="22"/>
  <c r="J3203" i="22"/>
  <c r="N3203" i="22" s="1"/>
  <c r="U3203" i="22" s="1"/>
  <c r="P3203" i="22"/>
  <c r="Q3203" i="22"/>
  <c r="R3203" i="22"/>
  <c r="L3204" i="22"/>
  <c r="C3204" i="22"/>
  <c r="I3204" i="22"/>
  <c r="G3204" i="22"/>
  <c r="E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D3041" i="22"/>
  <c r="J3041" i="22"/>
  <c r="P3041" i="22"/>
  <c r="Q3041" i="22"/>
  <c r="R3041" i="22"/>
  <c r="L3042" i="22"/>
  <c r="C3042" i="22"/>
  <c r="K3042" i="22" s="1"/>
  <c r="E3042" i="22"/>
  <c r="F3042" i="22"/>
  <c r="O3042" i="22" s="1"/>
  <c r="G3042" i="22"/>
  <c r="I3042" i="22"/>
  <c r="D2987" i="22"/>
  <c r="J2987" i="22"/>
  <c r="P2987" i="22"/>
  <c r="Q2987" i="22"/>
  <c r="R2987" i="22"/>
  <c r="L2988" i="22"/>
  <c r="C2988" i="22"/>
  <c r="K2988" i="22" s="1"/>
  <c r="E2988" i="22"/>
  <c r="F2988" i="22"/>
  <c r="O2988" i="22" s="1"/>
  <c r="G2988" i="22"/>
  <c r="I2988" i="22"/>
  <c r="D2933" i="22"/>
  <c r="J2933" i="22"/>
  <c r="P2933" i="22"/>
  <c r="Q2933" i="22"/>
  <c r="R2933" i="22"/>
  <c r="L2934" i="22"/>
  <c r="C2934" i="22"/>
  <c r="K2934" i="22" s="1"/>
  <c r="E2934" i="22"/>
  <c r="F2934" i="22"/>
  <c r="O2934" i="22" s="1"/>
  <c r="G2934" i="22"/>
  <c r="I2934" i="22"/>
  <c r="D2879" i="22"/>
  <c r="J2879" i="22"/>
  <c r="P2879" i="22"/>
  <c r="Q2879" i="22"/>
  <c r="R2879" i="22"/>
  <c r="L2880" i="22"/>
  <c r="C2880" i="22"/>
  <c r="E2880" i="22"/>
  <c r="G2880" i="22"/>
  <c r="I2880" i="22"/>
  <c r="D2825" i="22"/>
  <c r="J2825" i="22"/>
  <c r="P2825" i="22"/>
  <c r="Q2825" i="22"/>
  <c r="R2825" i="22"/>
  <c r="T2825" i="22"/>
  <c r="U2825" i="22" s="1"/>
  <c r="L2826" i="22"/>
  <c r="C2826" i="22"/>
  <c r="K2826" i="22" s="1"/>
  <c r="E2826" i="22"/>
  <c r="F2826" i="22"/>
  <c r="O2826" i="22" s="1"/>
  <c r="G2826" i="22"/>
  <c r="I2826" i="22"/>
  <c r="D2771" i="22"/>
  <c r="J2771" i="22"/>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D2663" i="22"/>
  <c r="J2663" i="22"/>
  <c r="P2663" i="22"/>
  <c r="Q2663" i="22"/>
  <c r="R2663" i="22"/>
  <c r="L2664" i="22"/>
  <c r="C2664" i="22"/>
  <c r="E2664" i="22"/>
  <c r="G2664" i="22"/>
  <c r="I2664" i="22"/>
  <c r="P2609" i="22"/>
  <c r="Q2609" i="22"/>
  <c r="R2609" i="22"/>
  <c r="D2609" i="22"/>
  <c r="J2609" i="22"/>
  <c r="L2610" i="22"/>
  <c r="I2610" i="22"/>
  <c r="C2610" i="22"/>
  <c r="E2610" i="22"/>
  <c r="G2610" i="22"/>
  <c r="M2555" i="22"/>
  <c r="D2555" i="22"/>
  <c r="J2555" i="22"/>
  <c r="N2555" i="22" s="1"/>
  <c r="U2555" i="22" s="1"/>
  <c r="P2555" i="22"/>
  <c r="Q2555" i="22"/>
  <c r="R2555" i="22"/>
  <c r="L2556" i="22"/>
  <c r="C2556" i="22"/>
  <c r="E2556" i="22"/>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D2339" i="22"/>
  <c r="J2339" i="22"/>
  <c r="P2339" i="22"/>
  <c r="Q2339" i="22"/>
  <c r="R2339" i="22"/>
  <c r="L2340" i="22"/>
  <c r="C2340" i="22"/>
  <c r="K2340" i="22" s="1"/>
  <c r="E2340" i="22"/>
  <c r="F2340" i="22"/>
  <c r="O2340" i="22" s="1"/>
  <c r="G2340" i="22"/>
  <c r="I2340" i="22"/>
  <c r="L2286" i="22"/>
  <c r="G2286" i="22"/>
  <c r="C2286" i="22"/>
  <c r="K2286" i="22" s="1"/>
  <c r="F2286" i="22"/>
  <c r="O2286" i="22" s="1"/>
  <c r="I2286" i="22"/>
  <c r="E2286" i="22"/>
  <c r="D2285" i="22"/>
  <c r="J2285" i="22"/>
  <c r="P2285" i="22"/>
  <c r="Q2285" i="22"/>
  <c r="R2285"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E2178" i="22"/>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D2015" i="22"/>
  <c r="J2015" i="22"/>
  <c r="P2015" i="22"/>
  <c r="Q2015" i="22"/>
  <c r="R2015" i="22"/>
  <c r="L2016" i="22"/>
  <c r="C2016" i="22"/>
  <c r="K2016" i="22" s="1"/>
  <c r="E2016" i="22"/>
  <c r="F2016" i="22"/>
  <c r="O2016" i="22" s="1"/>
  <c r="G2016" i="22"/>
  <c r="I2016" i="22"/>
  <c r="M1961" i="22"/>
  <c r="D1961" i="22"/>
  <c r="J1961" i="22"/>
  <c r="N1961" i="22" s="1"/>
  <c r="U1961" i="22" s="1"/>
  <c r="P1961" i="22"/>
  <c r="Q1961" i="22"/>
  <c r="R1961" i="22"/>
  <c r="L1962" i="22"/>
  <c r="I1962" i="22"/>
  <c r="G1962" i="22"/>
  <c r="E1962" i="22"/>
  <c r="C1962" i="22"/>
  <c r="M1907" i="22"/>
  <c r="D1907" i="22"/>
  <c r="J1907" i="22"/>
  <c r="N1907" i="22" s="1"/>
  <c r="U1907" i="22" s="1"/>
  <c r="P1907" i="22"/>
  <c r="Q1907" i="22"/>
  <c r="R1907" i="22"/>
  <c r="L1908" i="22"/>
  <c r="C1908" i="22"/>
  <c r="E1908" i="22"/>
  <c r="G1908" i="22"/>
  <c r="I1908" i="22"/>
  <c r="M1853" i="22"/>
  <c r="D1853" i="22"/>
  <c r="J1853" i="22"/>
  <c r="N1853" i="22" s="1"/>
  <c r="U1853" i="22" s="1"/>
  <c r="P1853" i="22"/>
  <c r="Q1853" i="22"/>
  <c r="R1853" i="22"/>
  <c r="L1854" i="22"/>
  <c r="C1854" i="22"/>
  <c r="E1854" i="22"/>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E1746" i="22"/>
  <c r="G1746" i="22"/>
  <c r="I1746"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E1638" i="22"/>
  <c r="G1638" i="22"/>
  <c r="I1638" i="22"/>
  <c r="M1583" i="22"/>
  <c r="D1583" i="22"/>
  <c r="J1583" i="22"/>
  <c r="N1583" i="22" s="1"/>
  <c r="U1583" i="22" s="1"/>
  <c r="P1583" i="22"/>
  <c r="Q1583" i="22"/>
  <c r="R1583" i="22"/>
  <c r="L1584" i="22"/>
  <c r="C1584" i="22"/>
  <c r="E1584" i="22"/>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E1422" i="22"/>
  <c r="I1422" i="22"/>
  <c r="C1422" i="22"/>
  <c r="K1422" i="22" s="1"/>
  <c r="F1422" i="22"/>
  <c r="O1422" i="22" s="1"/>
  <c r="G1422" i="22"/>
  <c r="M1367" i="22"/>
  <c r="P1367" i="22"/>
  <c r="Q1367" i="22"/>
  <c r="R1367" i="22"/>
  <c r="L1368" i="22"/>
  <c r="C1368" i="22"/>
  <c r="K1368" i="22" s="1"/>
  <c r="E1368" i="22"/>
  <c r="F1368" i="22"/>
  <c r="O1368" i="22" s="1"/>
  <c r="G1368" i="22"/>
  <c r="I1368" i="22"/>
  <c r="D1367" i="22"/>
  <c r="J1367" i="22"/>
  <c r="N1367" i="22" s="1"/>
  <c r="U1367" i="22" s="1"/>
  <c r="D1313" i="22"/>
  <c r="J1313" i="22"/>
  <c r="P1313" i="22"/>
  <c r="Q1313" i="22"/>
  <c r="R1313" i="22"/>
  <c r="L1314" i="22"/>
  <c r="C1314" i="22"/>
  <c r="K1314" i="22" s="1"/>
  <c r="E1314" i="22"/>
  <c r="F1314" i="22"/>
  <c r="O1314" i="22" s="1"/>
  <c r="G1314" i="22"/>
  <c r="I1314" i="22"/>
  <c r="D1259" i="22"/>
  <c r="J1259" i="22"/>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K990" i="22" s="1"/>
  <c r="E990" i="22"/>
  <c r="F990" i="22"/>
  <c r="O990" i="22" s="1"/>
  <c r="G990" i="22"/>
  <c r="I990" i="22"/>
  <c r="D935" i="22"/>
  <c r="J935" i="22"/>
  <c r="P935" i="22"/>
  <c r="Q935" i="22"/>
  <c r="R935" i="22"/>
  <c r="L936" i="22"/>
  <c r="C936" i="22"/>
  <c r="K936" i="22" s="1"/>
  <c r="E936" i="22"/>
  <c r="F936" i="22"/>
  <c r="O936" i="22" s="1"/>
  <c r="G936" i="22"/>
  <c r="I936" i="22"/>
  <c r="D881" i="22"/>
  <c r="J881" i="22"/>
  <c r="P881" i="22"/>
  <c r="Q881" i="22"/>
  <c r="R881" i="22"/>
  <c r="L882" i="22"/>
  <c r="C882" i="22"/>
  <c r="E882" i="22"/>
  <c r="G882" i="22"/>
  <c r="I882" i="22"/>
  <c r="M827" i="22"/>
  <c r="D827" i="22"/>
  <c r="J827" i="22"/>
  <c r="N827" i="22" s="1"/>
  <c r="U827" i="22" s="1"/>
  <c r="P827" i="22"/>
  <c r="Q827" i="22"/>
  <c r="R827" i="22"/>
  <c r="L828" i="22"/>
  <c r="C828" i="22"/>
  <c r="E828" i="22"/>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D557" i="22"/>
  <c r="J557" i="22"/>
  <c r="P557" i="22"/>
  <c r="Q557" i="22"/>
  <c r="R557" i="22"/>
  <c r="L558" i="22"/>
  <c r="C558" i="22"/>
  <c r="E558" i="22"/>
  <c r="G558" i="22"/>
  <c r="I558" i="22"/>
  <c r="D503" i="22"/>
  <c r="J503" i="22"/>
  <c r="P503" i="22"/>
  <c r="Q503" i="22"/>
  <c r="R503" i="22"/>
  <c r="L504" i="22"/>
  <c r="C504" i="22"/>
  <c r="E504" i="22"/>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D179" i="22"/>
  <c r="J179" i="22"/>
  <c r="P179" i="22"/>
  <c r="Q179" i="22"/>
  <c r="R179" i="22"/>
  <c r="L180" i="22"/>
  <c r="C180" i="22"/>
  <c r="K180" i="22" s="1"/>
  <c r="E180" i="22"/>
  <c r="F180" i="22"/>
  <c r="O180" i="22" s="1"/>
  <c r="G180" i="22"/>
  <c r="I180" i="22"/>
  <c r="M125" i="22"/>
  <c r="P125" i="22"/>
  <c r="Q125" i="22"/>
  <c r="R125" i="22"/>
  <c r="L126" i="22"/>
  <c r="G126" i="22"/>
  <c r="I126" i="22"/>
  <c r="C126" i="22"/>
  <c r="E126" i="22"/>
  <c r="D125" i="22"/>
  <c r="J125" i="22"/>
  <c r="N125" i="22" s="1"/>
  <c r="U125" i="22" s="1"/>
  <c r="G113" i="12"/>
  <c r="U62" i="17"/>
  <c r="C114" i="12" s="1"/>
  <c r="M114" i="12"/>
  <c r="Q114" i="12" s="1"/>
  <c r="O114" i="12"/>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M63" i="17"/>
  <c r="J63" i="17"/>
  <c r="N63" i="17" s="1"/>
  <c r="D63" i="17"/>
  <c r="N115" i="12"/>
  <c r="E115" i="12"/>
  <c r="O63" i="17"/>
  <c r="G64" i="17"/>
  <c r="B64" i="18"/>
  <c r="C64" i="17"/>
  <c r="E64" i="17"/>
  <c r="I64" i="17"/>
  <c r="L64" i="17"/>
  <c r="M1471" i="23"/>
  <c r="N1471" i="23"/>
  <c r="AE1471" i="23" s="1"/>
  <c r="M1359" i="23"/>
  <c r="N1359" i="23"/>
  <c r="AE1359" i="23" s="1"/>
  <c r="M631" i="23"/>
  <c r="N631" i="23"/>
  <c r="AE631" i="23" s="1"/>
  <c r="M4720" i="22"/>
  <c r="N4720" i="22"/>
  <c r="M4558" i="22"/>
  <c r="N4558" i="22"/>
  <c r="M3688" i="22"/>
  <c r="N3688" i="22"/>
  <c r="U3688" i="22" s="1"/>
  <c r="M3634" i="22"/>
  <c r="N3634" i="22"/>
  <c r="U3634" i="22" s="1"/>
  <c r="M3580" i="22"/>
  <c r="N3580" i="22"/>
  <c r="U3580" i="22" s="1"/>
  <c r="M3526" i="22"/>
  <c r="N3526" i="22"/>
  <c r="U3526" i="22" s="1"/>
  <c r="M3364" i="22"/>
  <c r="N3364" i="22"/>
  <c r="U3364" i="22" s="1"/>
  <c r="M3310" i="22"/>
  <c r="N3310" i="22"/>
  <c r="U3310" i="22" s="1"/>
  <c r="M3256" i="22"/>
  <c r="N3256" i="22"/>
  <c r="U3256" i="22" s="1"/>
  <c r="M2932" i="22"/>
  <c r="N2932" i="22"/>
  <c r="U2932" i="22" s="1"/>
  <c r="N2608" i="22"/>
  <c r="U2608" i="22" s="1"/>
  <c r="M2608" i="22"/>
  <c r="M2284" i="22"/>
  <c r="N2284" i="22"/>
  <c r="U2284" i="22" s="1"/>
  <c r="M2014" i="22"/>
  <c r="N2014" i="22"/>
  <c r="U2014" i="22" s="1"/>
  <c r="M1960" i="22"/>
  <c r="N1960" i="22"/>
  <c r="U1960" i="22" s="1"/>
  <c r="M1636" i="22"/>
  <c r="N1636" i="22"/>
  <c r="U1636" i="22" s="1"/>
  <c r="M1420" i="22"/>
  <c r="N1420" i="22"/>
  <c r="U1420" i="22" s="1"/>
  <c r="M1312" i="22"/>
  <c r="N1312" i="22"/>
  <c r="U1312" i="22" s="1"/>
  <c r="M988" i="22"/>
  <c r="N988" i="22"/>
  <c r="U988" i="22" s="1"/>
  <c r="M934" i="22"/>
  <c r="N934" i="22"/>
  <c r="U934" i="22" s="1"/>
  <c r="M664" i="22"/>
  <c r="N664" i="22"/>
  <c r="U664" i="22" s="1"/>
  <c r="M286" i="22"/>
  <c r="N286" i="22"/>
  <c r="U286" i="22" s="1"/>
  <c r="M124" i="22"/>
  <c r="N124" i="22"/>
  <c r="U124" i="22" s="1"/>
  <c r="F1472" i="23"/>
  <c r="O1472" i="23" s="1"/>
  <c r="K1472" i="23"/>
  <c r="K1416" i="23"/>
  <c r="F1416" i="23"/>
  <c r="O1416" i="23" s="1"/>
  <c r="F1360" i="23"/>
  <c r="O1360" i="23" s="1"/>
  <c r="K1360" i="23"/>
  <c r="K1248" i="23"/>
  <c r="F1248" i="23"/>
  <c r="O1248" i="23" s="1"/>
  <c r="K1136" i="23"/>
  <c r="F1136" i="23"/>
  <c r="O1136" i="23" s="1"/>
  <c r="K1080" i="23"/>
  <c r="F1080" i="23"/>
  <c r="O1080" i="23" s="1"/>
  <c r="K1024" i="23"/>
  <c r="F1024" i="23"/>
  <c r="O1024" i="23" s="1"/>
  <c r="K912" i="23"/>
  <c r="F912" i="23"/>
  <c r="O912" i="23" s="1"/>
  <c r="K520" i="23"/>
  <c r="F520" i="23"/>
  <c r="O520" i="23" s="1"/>
  <c r="K464" i="23"/>
  <c r="F464" i="23"/>
  <c r="O464" i="23" s="1"/>
  <c r="P114" i="12"/>
  <c r="F4259" i="22"/>
  <c r="O4259" i="22" s="1"/>
  <c r="K4259" i="22"/>
  <c r="K3689" i="22"/>
  <c r="F3689" i="22"/>
  <c r="O3689" i="22" s="1"/>
  <c r="F3581" i="22"/>
  <c r="O3581" i="22" s="1"/>
  <c r="K3581" i="22"/>
  <c r="F3365" i="22"/>
  <c r="O3365" i="22" s="1"/>
  <c r="K3365" i="22"/>
  <c r="F3311" i="22"/>
  <c r="O3311" i="22" s="1"/>
  <c r="K3311" i="22"/>
  <c r="K3041" i="22"/>
  <c r="F3041" i="22"/>
  <c r="O3041" i="22" s="1"/>
  <c r="F2987" i="22"/>
  <c r="O2987" i="22" s="1"/>
  <c r="K2987" i="22"/>
  <c r="F2933" i="22"/>
  <c r="O2933" i="22" s="1"/>
  <c r="K2933" i="22"/>
  <c r="K2879" i="22"/>
  <c r="F2879" i="22"/>
  <c r="O2879" i="22" s="1"/>
  <c r="F2825" i="22"/>
  <c r="O2825" i="22" s="1"/>
  <c r="K2825" i="22"/>
  <c r="K2771" i="22"/>
  <c r="F2771" i="22"/>
  <c r="O2771" i="22" s="1"/>
  <c r="F2663" i="22"/>
  <c r="O2663" i="22" s="1"/>
  <c r="K2663" i="22"/>
  <c r="K2609" i="22"/>
  <c r="F2609" i="22"/>
  <c r="O2609" i="22" s="1"/>
  <c r="K2339" i="22"/>
  <c r="F2339" i="22"/>
  <c r="O2339" i="22" s="1"/>
  <c r="K2285" i="22"/>
  <c r="F2285" i="22"/>
  <c r="O2285" i="22" s="1"/>
  <c r="K2015" i="22"/>
  <c r="F2015" i="22"/>
  <c r="O2015" i="22" s="1"/>
  <c r="K1313" i="22"/>
  <c r="F1313" i="22"/>
  <c r="O1313" i="22" s="1"/>
  <c r="F1259" i="22"/>
  <c r="O1259" i="22" s="1"/>
  <c r="K1259" i="22"/>
  <c r="K935" i="22"/>
  <c r="F935" i="22"/>
  <c r="O935" i="22" s="1"/>
  <c r="F881" i="22"/>
  <c r="O881" i="22" s="1"/>
  <c r="K881" i="22"/>
  <c r="K557" i="22"/>
  <c r="F557" i="22"/>
  <c r="O557" i="22" s="1"/>
  <c r="F503" i="22"/>
  <c r="O503" i="22" s="1"/>
  <c r="K503" i="22"/>
  <c r="F179" i="22"/>
  <c r="O179" i="22" s="1"/>
  <c r="K179" i="22"/>
  <c r="K353" i="23" l="1"/>
  <c r="F353" i="23"/>
  <c r="O353" i="23" s="1"/>
  <c r="K3204" i="22"/>
  <c r="M3204" i="22" s="1"/>
  <c r="F3204" i="22"/>
  <c r="O3204" i="22" s="1"/>
  <c r="K2178" i="22"/>
  <c r="F2178" i="22"/>
  <c r="O2178"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P1473" i="23"/>
  <c r="Q1473" i="23"/>
  <c r="R1473" i="23"/>
  <c r="J1473" i="23"/>
  <c r="D1473" i="23"/>
  <c r="P1417" i="23"/>
  <c r="Q1417" i="23"/>
  <c r="R1417" i="23"/>
  <c r="J1417" i="23"/>
  <c r="D1417" i="23"/>
  <c r="J1361" i="23"/>
  <c r="D1361" i="23"/>
  <c r="P1361" i="23"/>
  <c r="Q1361" i="23"/>
  <c r="R1361" i="23"/>
  <c r="J1305" i="23"/>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P1137" i="23"/>
  <c r="Q1137" i="23"/>
  <c r="R1137" i="23"/>
  <c r="J1137" i="23"/>
  <c r="N1137" i="23" s="1"/>
  <c r="AE1137" i="23" s="1"/>
  <c r="D1137" i="23"/>
  <c r="M1081" i="23"/>
  <c r="P1081" i="23"/>
  <c r="Q1081" i="23"/>
  <c r="R1081" i="23"/>
  <c r="J1081" i="23"/>
  <c r="N1081" i="23" s="1"/>
  <c r="AE1081" i="23" s="1"/>
  <c r="D1081" i="23"/>
  <c r="J1025" i="23"/>
  <c r="D1025" i="23"/>
  <c r="P1025" i="23"/>
  <c r="Q1025" i="23"/>
  <c r="R1025" i="23"/>
  <c r="J969" i="23"/>
  <c r="D969" i="23"/>
  <c r="P969" i="23"/>
  <c r="Q969" i="23"/>
  <c r="R969" i="23"/>
  <c r="M913" i="23"/>
  <c r="J913" i="23"/>
  <c r="N913" i="23" s="1"/>
  <c r="AE913" i="23" s="1"/>
  <c r="D913" i="23"/>
  <c r="P913" i="23"/>
  <c r="Q913" i="23"/>
  <c r="R913" i="23"/>
  <c r="J857" i="23"/>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P4776" i="22"/>
  <c r="Q4776" i="22"/>
  <c r="R4776" i="22"/>
  <c r="J4776" i="22"/>
  <c r="D4776" i="22"/>
  <c r="U4721" i="22"/>
  <c r="S4721" i="22"/>
  <c r="M4722" i="22"/>
  <c r="D4722" i="22"/>
  <c r="J4722" i="22"/>
  <c r="N4722" i="22" s="1"/>
  <c r="P4722" i="22"/>
  <c r="Q4722" i="22"/>
  <c r="R4722" i="22"/>
  <c r="P4668" i="22"/>
  <c r="Q4668" i="22"/>
  <c r="R4668" i="22"/>
  <c r="M4614" i="22"/>
  <c r="J4614" i="22"/>
  <c r="N4614" i="22" s="1"/>
  <c r="D4614" i="22"/>
  <c r="P4614" i="22"/>
  <c r="Q4614" i="22"/>
  <c r="R4614" i="22"/>
  <c r="M4560" i="22"/>
  <c r="D4560" i="22"/>
  <c r="J4560" i="22"/>
  <c r="N4560" i="22" s="1"/>
  <c r="P4560" i="22"/>
  <c r="Q4560" i="22"/>
  <c r="R4560" i="22"/>
  <c r="D4260" i="22"/>
  <c r="J4260" i="22"/>
  <c r="N4260" i="22" s="1"/>
  <c r="U4260" i="22" s="1"/>
  <c r="P4260" i="22"/>
  <c r="Q4260" i="22"/>
  <c r="R4260" i="22"/>
  <c r="M4260" i="22"/>
  <c r="M4206" i="22"/>
  <c r="D4206" i="22"/>
  <c r="J4206" i="22"/>
  <c r="N4206" i="22" s="1"/>
  <c r="U4206" i="22" s="1"/>
  <c r="P4206" i="22"/>
  <c r="Q4206" i="22"/>
  <c r="R4206" i="22"/>
  <c r="M4152" i="22"/>
  <c r="D4152" i="22"/>
  <c r="J4152" i="22"/>
  <c r="N4152" i="22" s="1"/>
  <c r="U4152" i="22" s="1"/>
  <c r="C4153" i="22" s="1"/>
  <c r="P4152" i="22"/>
  <c r="Q4152" i="22"/>
  <c r="R4152" i="22"/>
  <c r="D4098" i="22"/>
  <c r="J4098" i="22"/>
  <c r="N4098" i="22" s="1"/>
  <c r="U4098" i="22" s="1"/>
  <c r="P4098" i="22"/>
  <c r="Q4098" i="22"/>
  <c r="R4098" i="22"/>
  <c r="M4098" i="22"/>
  <c r="M3798" i="22"/>
  <c r="D3798" i="22"/>
  <c r="J3798" i="22"/>
  <c r="N3798" i="22" s="1"/>
  <c r="P3798" i="22"/>
  <c r="Q3798" i="22"/>
  <c r="F3799" i="22" s="1"/>
  <c r="G72" i="22" s="1"/>
  <c r="AC72" i="22" s="1"/>
  <c r="R3798" i="22"/>
  <c r="G3799" i="22" s="1"/>
  <c r="H72" i="22" s="1"/>
  <c r="M3744" i="22"/>
  <c r="D3744" i="22"/>
  <c r="J3744" i="22"/>
  <c r="N3744" i="22" s="1"/>
  <c r="P3744" i="22"/>
  <c r="Q3744" i="22"/>
  <c r="F3745" i="22" s="1"/>
  <c r="G71" i="22" s="1"/>
  <c r="AC71" i="22" s="1"/>
  <c r="R3744" i="22"/>
  <c r="G3745" i="22" s="1"/>
  <c r="H71" i="22" s="1"/>
  <c r="M3690" i="22"/>
  <c r="D3690" i="22"/>
  <c r="J3690" i="22"/>
  <c r="N3690" i="22" s="1"/>
  <c r="U3690" i="22" s="1"/>
  <c r="C3691" i="22" s="1"/>
  <c r="D70" i="22" s="1"/>
  <c r="P3690" i="22"/>
  <c r="Q3690" i="22"/>
  <c r="R3690" i="22"/>
  <c r="D3636" i="22"/>
  <c r="J3636" i="22"/>
  <c r="P3636" i="22"/>
  <c r="Q3636" i="22"/>
  <c r="R3636" i="22"/>
  <c r="P3582" i="22"/>
  <c r="Q3582" i="22"/>
  <c r="R3582" i="22"/>
  <c r="D3582" i="22"/>
  <c r="J3582" i="22"/>
  <c r="D3528" i="22"/>
  <c r="J3528" i="22"/>
  <c r="P3528" i="22"/>
  <c r="Q3528" i="22"/>
  <c r="R3528" i="22"/>
  <c r="M3474" i="22"/>
  <c r="D3474" i="22"/>
  <c r="J3474" i="22"/>
  <c r="N3474" i="22" s="1"/>
  <c r="U3474" i="22" s="1"/>
  <c r="D3475" i="22" s="1"/>
  <c r="E66" i="22" s="1"/>
  <c r="P3474" i="22"/>
  <c r="Q3474" i="22"/>
  <c r="R3474" i="22"/>
  <c r="M3420" i="22"/>
  <c r="D3420" i="22"/>
  <c r="J3420" i="22"/>
  <c r="N3420" i="22" s="1"/>
  <c r="U3420" i="22" s="1"/>
  <c r="P3420" i="22"/>
  <c r="Q3420" i="22"/>
  <c r="R3420" i="22"/>
  <c r="M3366" i="22"/>
  <c r="D3366" i="22"/>
  <c r="J3366" i="22"/>
  <c r="N3366" i="22" s="1"/>
  <c r="U3366" i="22" s="1"/>
  <c r="C3367" i="22" s="1"/>
  <c r="D64" i="22" s="1"/>
  <c r="P3366" i="22"/>
  <c r="Q3366" i="22"/>
  <c r="R3366" i="22"/>
  <c r="D3312" i="22"/>
  <c r="J3312" i="22"/>
  <c r="P3312" i="22"/>
  <c r="Q3312" i="22"/>
  <c r="R3312" i="22"/>
  <c r="M3258" i="22"/>
  <c r="P3258" i="22"/>
  <c r="Q3258" i="22"/>
  <c r="F3259" i="22" s="1"/>
  <c r="G62" i="22" s="1"/>
  <c r="R3258" i="22"/>
  <c r="D3258" i="22"/>
  <c r="J3258" i="22"/>
  <c r="N3258" i="22" s="1"/>
  <c r="G3259" i="22"/>
  <c r="H62" i="22" s="1"/>
  <c r="L62" i="22" s="1"/>
  <c r="AI62" i="22" s="1"/>
  <c r="D3204" i="22"/>
  <c r="J3204" i="22"/>
  <c r="P3204" i="22"/>
  <c r="Q3204" i="22"/>
  <c r="R3204" i="22"/>
  <c r="M3150" i="22"/>
  <c r="D3150" i="22"/>
  <c r="J3150" i="22"/>
  <c r="N3150" i="22" s="1"/>
  <c r="U3150" i="22" s="1"/>
  <c r="P3150" i="22"/>
  <c r="Q3150" i="22"/>
  <c r="R3150" i="22"/>
  <c r="M3096" i="22"/>
  <c r="D3096" i="22"/>
  <c r="J3096" i="22"/>
  <c r="N3096" i="22" s="1"/>
  <c r="U3096" i="22" s="1"/>
  <c r="P3096" i="22"/>
  <c r="Q3096" i="22"/>
  <c r="R3096" i="22"/>
  <c r="M3042" i="22"/>
  <c r="D3042" i="22"/>
  <c r="J3042" i="22"/>
  <c r="N3042" i="22" s="1"/>
  <c r="U3042" i="22" s="1"/>
  <c r="P3042" i="22"/>
  <c r="Q3042" i="22"/>
  <c r="R3042" i="22"/>
  <c r="M2988" i="22"/>
  <c r="D2988" i="22"/>
  <c r="J2988" i="22"/>
  <c r="N2988" i="22" s="1"/>
  <c r="U2988" i="22" s="1"/>
  <c r="P2988" i="22"/>
  <c r="Q2988" i="22"/>
  <c r="R2988" i="22"/>
  <c r="M2934" i="22"/>
  <c r="D2934" i="22"/>
  <c r="J2934" i="22"/>
  <c r="N2934" i="22" s="1"/>
  <c r="U2934" i="22" s="1"/>
  <c r="P2934" i="22"/>
  <c r="Q2934" i="22"/>
  <c r="R2934" i="22"/>
  <c r="D2880" i="22"/>
  <c r="J2880" i="22"/>
  <c r="P2880" i="22"/>
  <c r="Q2880" i="22"/>
  <c r="R2880" i="22"/>
  <c r="M2826" i="22"/>
  <c r="D2826" i="22"/>
  <c r="J2826" i="22"/>
  <c r="N2826" i="22" s="1"/>
  <c r="P2826" i="22"/>
  <c r="Q2826" i="22"/>
  <c r="R2826" i="22"/>
  <c r="T2826" i="22"/>
  <c r="U2826" i="22" s="1"/>
  <c r="M2772" i="22"/>
  <c r="D2772" i="22"/>
  <c r="J2772" i="22"/>
  <c r="N2772" i="22" s="1"/>
  <c r="P2772" i="22"/>
  <c r="Q2772" i="22"/>
  <c r="R2772" i="22"/>
  <c r="M2718" i="22"/>
  <c r="D2718" i="22"/>
  <c r="J2718" i="22"/>
  <c r="N2718" i="22" s="1"/>
  <c r="U2718" i="22" s="1"/>
  <c r="C2719" i="22" s="1"/>
  <c r="D52" i="22" s="1"/>
  <c r="P2718" i="22"/>
  <c r="Q2718" i="22"/>
  <c r="R2718" i="22"/>
  <c r="D2664" i="22"/>
  <c r="J2664" i="22"/>
  <c r="P2664" i="22"/>
  <c r="Q2664" i="22"/>
  <c r="R2664" i="22"/>
  <c r="J2610" i="22"/>
  <c r="D2610" i="22"/>
  <c r="P2610" i="22"/>
  <c r="Q2610" i="22"/>
  <c r="R2610" i="22"/>
  <c r="D2556" i="22"/>
  <c r="J2556" i="22"/>
  <c r="P2556" i="22"/>
  <c r="Q2556" i="22"/>
  <c r="R2556" i="22"/>
  <c r="M2502" i="22"/>
  <c r="D2502" i="22"/>
  <c r="J2502" i="22"/>
  <c r="N2502" i="22" s="1"/>
  <c r="U2502" i="22" s="1"/>
  <c r="P2502" i="22"/>
  <c r="Q2502" i="22"/>
  <c r="R2502" i="22"/>
  <c r="M2448" i="22"/>
  <c r="D2448" i="22"/>
  <c r="J2448" i="22"/>
  <c r="N2448" i="22" s="1"/>
  <c r="U2448" i="22" s="1"/>
  <c r="P2448" i="22"/>
  <c r="Q2448" i="22"/>
  <c r="R2448" i="22"/>
  <c r="M2394" i="22"/>
  <c r="D2394" i="22"/>
  <c r="J2394" i="22"/>
  <c r="N2394" i="22" s="1"/>
  <c r="U2394" i="22" s="1"/>
  <c r="P2394" i="22"/>
  <c r="Q2394" i="22"/>
  <c r="R2394" i="22"/>
  <c r="M2340" i="22"/>
  <c r="D2340" i="22"/>
  <c r="J2340" i="22"/>
  <c r="N2340" i="22" s="1"/>
  <c r="P2340" i="22"/>
  <c r="Q2340" i="22"/>
  <c r="F2341" i="22" s="1"/>
  <c r="G45" i="22" s="1"/>
  <c r="R2340" i="22"/>
  <c r="G2341" i="22" s="1"/>
  <c r="H45" i="22" s="1"/>
  <c r="L45" i="22" s="1"/>
  <c r="AI45" i="22" s="1"/>
  <c r="M2286" i="22"/>
  <c r="P2286" i="22"/>
  <c r="Q2286" i="22"/>
  <c r="F2287" i="22" s="1"/>
  <c r="G44" i="22" s="1"/>
  <c r="R2286" i="22"/>
  <c r="G2287" i="22" s="1"/>
  <c r="H44" i="22" s="1"/>
  <c r="L44" i="22" s="1"/>
  <c r="AI44" i="22" s="1"/>
  <c r="J2286" i="22"/>
  <c r="N2286" i="22" s="1"/>
  <c r="D2286" i="22"/>
  <c r="M2232" i="22"/>
  <c r="D2232" i="22"/>
  <c r="J2232" i="22"/>
  <c r="N2232" i="22" s="1"/>
  <c r="P2232" i="22"/>
  <c r="Q2232" i="22"/>
  <c r="K2233" i="22" s="1"/>
  <c r="R2232" i="22"/>
  <c r="M2178" i="22"/>
  <c r="D2178" i="22"/>
  <c r="J2178" i="22"/>
  <c r="N2178" i="22" s="1"/>
  <c r="U2178" i="22" s="1"/>
  <c r="P2178" i="22"/>
  <c r="Q2178" i="22"/>
  <c r="R2178" i="22"/>
  <c r="M2124" i="22"/>
  <c r="D2124" i="22"/>
  <c r="J2124" i="22"/>
  <c r="N2124" i="22" s="1"/>
  <c r="U2124" i="22" s="1"/>
  <c r="P2124" i="22"/>
  <c r="Q2124" i="22"/>
  <c r="R2124" i="22"/>
  <c r="M2070" i="22"/>
  <c r="D2070" i="22"/>
  <c r="J2070" i="22"/>
  <c r="N2070" i="22" s="1"/>
  <c r="U2070" i="22" s="1"/>
  <c r="P2070" i="22"/>
  <c r="Q2070" i="22"/>
  <c r="R2070" i="22"/>
  <c r="M2016" i="22"/>
  <c r="D2016" i="22"/>
  <c r="J2016" i="22"/>
  <c r="N2016" i="22" s="1"/>
  <c r="U2016" i="22" s="1"/>
  <c r="C2017" i="22" s="1"/>
  <c r="D39" i="22" s="1"/>
  <c r="P2016" i="22"/>
  <c r="Q2016" i="22"/>
  <c r="R2016" i="22"/>
  <c r="P1962" i="22"/>
  <c r="Q1962" i="22"/>
  <c r="R1962" i="22"/>
  <c r="D1962" i="22"/>
  <c r="J1962" i="22"/>
  <c r="D1908" i="22"/>
  <c r="J1908" i="22"/>
  <c r="P1908" i="22"/>
  <c r="Q1908" i="22"/>
  <c r="R1908" i="22"/>
  <c r="D1854" i="22"/>
  <c r="J1854" i="22"/>
  <c r="P1854" i="22"/>
  <c r="Q1854" i="22"/>
  <c r="R1854" i="22"/>
  <c r="M1800" i="22"/>
  <c r="D1800" i="22"/>
  <c r="J1800" i="22"/>
  <c r="N1800" i="22" s="1"/>
  <c r="P1800" i="22"/>
  <c r="Q1800" i="22"/>
  <c r="F1801" i="22" s="1"/>
  <c r="G35" i="22" s="1"/>
  <c r="R1800" i="22"/>
  <c r="G1801" i="22" s="1"/>
  <c r="H35" i="22" s="1"/>
  <c r="L35" i="22" s="1"/>
  <c r="AI35" i="22" s="1"/>
  <c r="D1746" i="22"/>
  <c r="J1746" i="22"/>
  <c r="P1746" i="22"/>
  <c r="Q1746" i="22"/>
  <c r="R1746" i="22"/>
  <c r="D1692" i="22"/>
  <c r="J1692" i="22"/>
  <c r="P1692" i="22"/>
  <c r="Q1692" i="22"/>
  <c r="R1692" i="22"/>
  <c r="D1638" i="22"/>
  <c r="J1638" i="22"/>
  <c r="P1638" i="22"/>
  <c r="Q1638" i="22"/>
  <c r="R1638" i="22"/>
  <c r="D1584" i="22"/>
  <c r="J1584" i="22"/>
  <c r="P1584" i="22"/>
  <c r="Q1584" i="22"/>
  <c r="R1584" i="22"/>
  <c r="M1530" i="22"/>
  <c r="D1530" i="22"/>
  <c r="J1530" i="22"/>
  <c r="N1530" i="22" s="1"/>
  <c r="U1530" i="22" s="1"/>
  <c r="C1531" i="22" s="1"/>
  <c r="D30" i="22" s="1"/>
  <c r="P1530" i="22"/>
  <c r="Q1530" i="22"/>
  <c r="R1530" i="22"/>
  <c r="M1476" i="22"/>
  <c r="D1476" i="22"/>
  <c r="J1476" i="22"/>
  <c r="N1476" i="22" s="1"/>
  <c r="U1476" i="22" s="1"/>
  <c r="P1476" i="22"/>
  <c r="Q1476" i="22"/>
  <c r="R1476" i="22"/>
  <c r="M1422" i="22"/>
  <c r="J1422" i="22"/>
  <c r="N1422" i="22" s="1"/>
  <c r="U1422" i="22" s="1"/>
  <c r="C1423" i="22" s="1"/>
  <c r="D28" i="22" s="1"/>
  <c r="D1422" i="22"/>
  <c r="P1422" i="22"/>
  <c r="Q1422" i="22"/>
  <c r="R1422" i="22"/>
  <c r="M1368" i="22"/>
  <c r="D1368" i="22"/>
  <c r="J1368" i="22"/>
  <c r="N1368" i="22" s="1"/>
  <c r="U1368" i="22" s="1"/>
  <c r="C1369" i="22" s="1"/>
  <c r="D27" i="22" s="1"/>
  <c r="P1368" i="22"/>
  <c r="Q1368" i="22"/>
  <c r="R1368" i="22"/>
  <c r="M1314" i="22"/>
  <c r="D1314" i="22"/>
  <c r="J1314" i="22"/>
  <c r="N1314" i="22" s="1"/>
  <c r="P1314" i="22"/>
  <c r="Q1314" i="22"/>
  <c r="R1314" i="22"/>
  <c r="G1315" i="22" s="1"/>
  <c r="H26" i="22" s="1"/>
  <c r="L26" i="22" s="1"/>
  <c r="AI26" i="22" s="1"/>
  <c r="M1260" i="22"/>
  <c r="D1260" i="22"/>
  <c r="J1260" i="22"/>
  <c r="N1260" i="22" s="1"/>
  <c r="P1260" i="22"/>
  <c r="Q1260" i="22"/>
  <c r="F1261" i="22" s="1"/>
  <c r="G25" i="22" s="1"/>
  <c r="R1260" i="22"/>
  <c r="G1261" i="22" s="1"/>
  <c r="H25" i="22" s="1"/>
  <c r="L25" i="22" s="1"/>
  <c r="AI25" i="22" s="1"/>
  <c r="M1206" i="22"/>
  <c r="D1206" i="22"/>
  <c r="J1206" i="22"/>
  <c r="N1206" i="22" s="1"/>
  <c r="U1206" i="22" s="1"/>
  <c r="P1206" i="22"/>
  <c r="Q1206" i="22"/>
  <c r="R1206" i="22"/>
  <c r="M1152" i="22"/>
  <c r="D1152" i="22"/>
  <c r="J1152" i="22"/>
  <c r="N1152" i="22" s="1"/>
  <c r="P1152" i="22"/>
  <c r="Q1152" i="22"/>
  <c r="R1152" i="22"/>
  <c r="M1098" i="22"/>
  <c r="D1098" i="22"/>
  <c r="J1098" i="22"/>
  <c r="N1098" i="22" s="1"/>
  <c r="U1098" i="22" s="1"/>
  <c r="P1098" i="22"/>
  <c r="Q1098" i="22"/>
  <c r="R1098" i="22"/>
  <c r="M1044" i="22"/>
  <c r="D1044" i="22"/>
  <c r="J1044" i="22"/>
  <c r="N1044" i="22" s="1"/>
  <c r="U1044" i="22" s="1"/>
  <c r="P1044" i="22"/>
  <c r="Q1044" i="22"/>
  <c r="R1044" i="22"/>
  <c r="M990" i="22"/>
  <c r="D990" i="22"/>
  <c r="J990" i="22"/>
  <c r="N990" i="22" s="1"/>
  <c r="U990" i="22" s="1"/>
  <c r="P990" i="22"/>
  <c r="Q990" i="22"/>
  <c r="R990" i="22"/>
  <c r="M936" i="22"/>
  <c r="D936" i="22"/>
  <c r="J936" i="22"/>
  <c r="N936" i="22" s="1"/>
  <c r="U936" i="22" s="1"/>
  <c r="P936" i="22"/>
  <c r="Q936" i="22"/>
  <c r="R936" i="22"/>
  <c r="D882" i="22"/>
  <c r="J882" i="22"/>
  <c r="P882" i="22"/>
  <c r="Q882" i="22"/>
  <c r="R882" i="22"/>
  <c r="D828" i="22"/>
  <c r="J828" i="22"/>
  <c r="P828" i="22"/>
  <c r="Q828" i="22"/>
  <c r="R828" i="22"/>
  <c r="M774" i="22"/>
  <c r="D774" i="22"/>
  <c r="J774" i="22"/>
  <c r="N774" i="22" s="1"/>
  <c r="U774" i="22" s="1"/>
  <c r="C775" i="22" s="1"/>
  <c r="D16" i="22" s="1"/>
  <c r="P774" i="22"/>
  <c r="Q774" i="22"/>
  <c r="R774" i="22"/>
  <c r="M720" i="22"/>
  <c r="D720" i="22"/>
  <c r="J720" i="22"/>
  <c r="N720" i="22" s="1"/>
  <c r="U720" i="22" s="1"/>
  <c r="C721" i="22" s="1"/>
  <c r="D15" i="22" s="1"/>
  <c r="P720" i="22"/>
  <c r="Q720" i="22"/>
  <c r="R720" i="22"/>
  <c r="M666" i="22"/>
  <c r="D666" i="22"/>
  <c r="J666" i="22"/>
  <c r="N666" i="22" s="1"/>
  <c r="U666" i="22" s="1"/>
  <c r="C667" i="22" s="1"/>
  <c r="D14" i="22" s="1"/>
  <c r="P666" i="22"/>
  <c r="Q666" i="22"/>
  <c r="R666" i="22"/>
  <c r="M612" i="22"/>
  <c r="D612" i="22"/>
  <c r="J612" i="22"/>
  <c r="N612" i="22" s="1"/>
  <c r="U612" i="22" s="1"/>
  <c r="P612" i="22"/>
  <c r="Q612" i="22"/>
  <c r="R612" i="22"/>
  <c r="D558" i="22"/>
  <c r="J558" i="22"/>
  <c r="P558" i="22"/>
  <c r="Q558" i="22"/>
  <c r="R558" i="22"/>
  <c r="D504" i="22"/>
  <c r="J504" i="22"/>
  <c r="P504" i="22"/>
  <c r="Q504" i="22"/>
  <c r="R504" i="22"/>
  <c r="M450" i="22"/>
  <c r="D450" i="22"/>
  <c r="J450" i="22"/>
  <c r="N450" i="22" s="1"/>
  <c r="U450" i="22" s="1"/>
  <c r="P450" i="22"/>
  <c r="Q450" i="22"/>
  <c r="R450" i="22"/>
  <c r="M396" i="22"/>
  <c r="D396" i="22"/>
  <c r="J396" i="22"/>
  <c r="N396" i="22" s="1"/>
  <c r="U396" i="22" s="1"/>
  <c r="C397" i="22" s="1"/>
  <c r="D9" i="22" s="1"/>
  <c r="P396" i="22"/>
  <c r="Q396" i="22"/>
  <c r="R396" i="22"/>
  <c r="M342" i="22"/>
  <c r="D342" i="22"/>
  <c r="J342" i="22"/>
  <c r="N342" i="22" s="1"/>
  <c r="U342" i="22" s="1"/>
  <c r="C343" i="22" s="1"/>
  <c r="D8" i="22" s="1"/>
  <c r="P342" i="22"/>
  <c r="Q342" i="22"/>
  <c r="R342" i="22"/>
  <c r="M288" i="22"/>
  <c r="D288" i="22"/>
  <c r="J288" i="22"/>
  <c r="N288" i="22" s="1"/>
  <c r="U288" i="22" s="1"/>
  <c r="C289" i="22" s="1"/>
  <c r="D7" i="22" s="1"/>
  <c r="P288" i="22"/>
  <c r="Q288" i="22"/>
  <c r="R288" i="22"/>
  <c r="M234" i="22"/>
  <c r="D234" i="22"/>
  <c r="J234" i="22"/>
  <c r="N234" i="22" s="1"/>
  <c r="U234" i="22" s="1"/>
  <c r="P234" i="22"/>
  <c r="Q234" i="22"/>
  <c r="R234" i="22"/>
  <c r="M180" i="22"/>
  <c r="D180" i="22"/>
  <c r="J180" i="22"/>
  <c r="N180" i="22" s="1"/>
  <c r="U180" i="22" s="1"/>
  <c r="P180" i="22"/>
  <c r="Q180" i="22"/>
  <c r="R180" i="22"/>
  <c r="P126" i="22"/>
  <c r="Q126" i="22"/>
  <c r="R126" i="22"/>
  <c r="D126" i="22"/>
  <c r="J126" i="22"/>
  <c r="G114" i="12"/>
  <c r="BE73" i="17"/>
  <c r="BE67" i="17"/>
  <c r="BD73" i="17"/>
  <c r="BD67" i="17"/>
  <c r="BC73" i="17"/>
  <c r="BC67" i="17"/>
  <c r="BB73" i="17"/>
  <c r="BB67" i="17"/>
  <c r="BA73" i="17"/>
  <c r="BA67" i="17"/>
  <c r="AZ73" i="17"/>
  <c r="AZ67" i="17"/>
  <c r="AY67" i="17"/>
  <c r="AY73" i="17"/>
  <c r="AX73" i="17"/>
  <c r="Y67" i="17"/>
  <c r="X67" i="17"/>
  <c r="W67" i="17"/>
  <c r="F63" i="18"/>
  <c r="G63" i="18"/>
  <c r="H63" i="18"/>
  <c r="U63" i="17"/>
  <c r="C115" i="12" s="1"/>
  <c r="M115" i="12"/>
  <c r="Q115" i="12" s="1"/>
  <c r="O115" i="12"/>
  <c r="BE64" i="17"/>
  <c r="BD64" i="17"/>
  <c r="BC64" i="17"/>
  <c r="BB64" i="17"/>
  <c r="BA64" i="17"/>
  <c r="AZ64" i="17"/>
  <c r="AY64" i="17"/>
  <c r="AX64" i="17"/>
  <c r="AX67" i="17" s="1"/>
  <c r="AW64" i="17"/>
  <c r="AW67" i="17" s="1"/>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Y73" i="17" s="1"/>
  <c r="X64" i="17"/>
  <c r="W64" i="17"/>
  <c r="P64" i="17"/>
  <c r="F64" i="18" s="1"/>
  <c r="Q64" i="17"/>
  <c r="R64" i="17"/>
  <c r="V64" i="17"/>
  <c r="BF64" i="17"/>
  <c r="E6" i="19" s="1"/>
  <c r="G6" i="19" s="1"/>
  <c r="D64" i="17"/>
  <c r="J64" i="17"/>
  <c r="M1472" i="23"/>
  <c r="N1472" i="23"/>
  <c r="AE1472" i="23" s="1"/>
  <c r="M1416" i="23"/>
  <c r="N1416" i="23"/>
  <c r="AE1416" i="23" s="1"/>
  <c r="M1360" i="23"/>
  <c r="N1360" i="23"/>
  <c r="AE1360" i="23" s="1"/>
  <c r="M1248" i="23"/>
  <c r="N1248" i="23"/>
  <c r="AE1248" i="23" s="1"/>
  <c r="N1136" i="23"/>
  <c r="AE1136" i="23" s="1"/>
  <c r="M1136" i="23"/>
  <c r="M1080" i="23"/>
  <c r="N1080" i="23"/>
  <c r="AE1080" i="23" s="1"/>
  <c r="M1024" i="23"/>
  <c r="N1024" i="23"/>
  <c r="AE1024" i="23" s="1"/>
  <c r="M912" i="23"/>
  <c r="N912" i="23"/>
  <c r="AE912" i="23" s="1"/>
  <c r="M520" i="23"/>
  <c r="N520" i="23"/>
  <c r="AE520" i="23" s="1"/>
  <c r="M464" i="23"/>
  <c r="N464" i="23"/>
  <c r="AE464" i="23" s="1"/>
  <c r="N4259" i="22"/>
  <c r="U4259" i="22" s="1"/>
  <c r="M4259" i="22"/>
  <c r="M3689" i="22"/>
  <c r="N3689" i="22"/>
  <c r="U3689" i="22" s="1"/>
  <c r="M3581" i="22"/>
  <c r="N3581" i="22"/>
  <c r="U3581" i="22" s="1"/>
  <c r="M3365" i="22"/>
  <c r="N3365" i="22"/>
  <c r="U3365" i="22" s="1"/>
  <c r="M3311" i="22"/>
  <c r="N3311" i="22"/>
  <c r="U3311" i="22" s="1"/>
  <c r="M3041" i="22"/>
  <c r="N3041" i="22"/>
  <c r="U3041" i="22" s="1"/>
  <c r="M2987" i="22"/>
  <c r="N2987" i="22"/>
  <c r="U2987" i="22" s="1"/>
  <c r="M2933" i="22"/>
  <c r="N2933" i="22"/>
  <c r="U2933" i="22" s="1"/>
  <c r="M2879" i="22"/>
  <c r="N2879" i="22"/>
  <c r="U2879" i="22" s="1"/>
  <c r="M2825" i="22"/>
  <c r="N2825" i="22"/>
  <c r="S2825" i="22" s="1"/>
  <c r="M2771" i="22"/>
  <c r="N2771" i="22"/>
  <c r="U2771" i="22" s="1"/>
  <c r="M2663" i="22"/>
  <c r="N2663" i="22"/>
  <c r="U2663" i="22" s="1"/>
  <c r="N2609" i="22"/>
  <c r="U2609" i="22" s="1"/>
  <c r="M2609" i="22"/>
  <c r="M2339" i="22"/>
  <c r="N2339" i="22"/>
  <c r="U2339" i="22" s="1"/>
  <c r="N2285" i="22"/>
  <c r="U2285" i="22" s="1"/>
  <c r="M2285" i="22"/>
  <c r="M2015" i="22"/>
  <c r="N2015" i="22"/>
  <c r="U2015" i="22" s="1"/>
  <c r="M1313" i="22"/>
  <c r="N1313" i="22"/>
  <c r="U1313" i="22" s="1"/>
  <c r="M1259" i="22"/>
  <c r="N1259" i="22"/>
  <c r="U1259" i="22" s="1"/>
  <c r="M935" i="22"/>
  <c r="N935" i="22"/>
  <c r="U935" i="22" s="1"/>
  <c r="M881" i="22"/>
  <c r="N881" i="22"/>
  <c r="U881" i="22" s="1"/>
  <c r="M557" i="22"/>
  <c r="N557" i="22"/>
  <c r="U557" i="22" s="1"/>
  <c r="M503" i="22"/>
  <c r="N503" i="22"/>
  <c r="U503" i="22" s="1"/>
  <c r="M179" i="22"/>
  <c r="N179" i="22"/>
  <c r="U179" i="22" s="1"/>
  <c r="F1473" i="23"/>
  <c r="O1473" i="23" s="1"/>
  <c r="K1473" i="23"/>
  <c r="K1417" i="23"/>
  <c r="F1417" i="23"/>
  <c r="O1417" i="23" s="1"/>
  <c r="K1361" i="23"/>
  <c r="F1361" i="23"/>
  <c r="O1361" i="23" s="1"/>
  <c r="K1305" i="23"/>
  <c r="F1305" i="23"/>
  <c r="O1305" i="23" s="1"/>
  <c r="F1025" i="23"/>
  <c r="O1025" i="23" s="1"/>
  <c r="K1025" i="23"/>
  <c r="K969" i="23"/>
  <c r="F969" i="23"/>
  <c r="O969" i="23" s="1"/>
  <c r="K857" i="23"/>
  <c r="F857" i="23"/>
  <c r="O857" i="23" s="1"/>
  <c r="F4776" i="22"/>
  <c r="K4776" i="22"/>
  <c r="D4668" i="22"/>
  <c r="F4668" i="22"/>
  <c r="O4668" i="22" s="1"/>
  <c r="K3636" i="22"/>
  <c r="F3636" i="22"/>
  <c r="O3636" i="22" s="1"/>
  <c r="K3582" i="22"/>
  <c r="F3582" i="22"/>
  <c r="O3582" i="22" s="1"/>
  <c r="K3528" i="22"/>
  <c r="F3528" i="22"/>
  <c r="O3528" i="22" s="1"/>
  <c r="F3312" i="22"/>
  <c r="O3312" i="22" s="1"/>
  <c r="K3312" i="22"/>
  <c r="F2880" i="22"/>
  <c r="O2880" i="22" s="1"/>
  <c r="K2880" i="22"/>
  <c r="K2664" i="22"/>
  <c r="F2664" i="22"/>
  <c r="O2664" i="22" s="1"/>
  <c r="K2610" i="22"/>
  <c r="F2610" i="22"/>
  <c r="O2610" i="22" s="1"/>
  <c r="F2556" i="22"/>
  <c r="O2556" i="22" s="1"/>
  <c r="K2556" i="22"/>
  <c r="F2233" i="22"/>
  <c r="G43" i="22" s="1"/>
  <c r="G2233" i="22"/>
  <c r="H43" i="22" s="1"/>
  <c r="L43" i="22" s="1"/>
  <c r="AI43" i="22" s="1"/>
  <c r="K1962" i="22"/>
  <c r="F1962" i="22"/>
  <c r="O1962" i="22" s="1"/>
  <c r="F1908" i="22"/>
  <c r="O1908" i="22" s="1"/>
  <c r="K1908" i="22"/>
  <c r="K1854" i="22"/>
  <c r="F1854" i="22"/>
  <c r="O1854" i="22" s="1"/>
  <c r="K1746" i="22"/>
  <c r="F1746" i="22"/>
  <c r="O1746" i="22" s="1"/>
  <c r="K1692" i="22"/>
  <c r="F1692" i="22"/>
  <c r="O1692" i="22" s="1"/>
  <c r="K1638" i="22"/>
  <c r="F1638" i="22"/>
  <c r="O1638" i="22" s="1"/>
  <c r="K1584" i="22"/>
  <c r="F1584" i="22"/>
  <c r="O1584" i="22" s="1"/>
  <c r="G1153" i="22"/>
  <c r="H23" i="22" s="1"/>
  <c r="L23" i="22" s="1"/>
  <c r="AI23" i="22" s="1"/>
  <c r="F882" i="22"/>
  <c r="O882" i="22" s="1"/>
  <c r="K882" i="22"/>
  <c r="F828" i="22"/>
  <c r="O828" i="22" s="1"/>
  <c r="K828" i="22"/>
  <c r="F558" i="22"/>
  <c r="O558" i="22" s="1"/>
  <c r="K558" i="22"/>
  <c r="F504" i="22"/>
  <c r="O504" i="22" s="1"/>
  <c r="K504" i="22"/>
  <c r="F126" i="22"/>
  <c r="O126" i="22" s="1"/>
  <c r="K126" i="22"/>
  <c r="F64" i="17"/>
  <c r="C64" i="18" s="1"/>
  <c r="E64" i="18" s="1"/>
  <c r="K64" i="17"/>
  <c r="S4720" i="22"/>
  <c r="B4669" i="22" l="1"/>
  <c r="B4615" i="22"/>
  <c r="B4561" i="22"/>
  <c r="C27" i="16" s="1"/>
  <c r="C4099" i="22"/>
  <c r="N3204" i="22"/>
  <c r="U3204" i="22" s="1"/>
  <c r="C3205" i="22" s="1"/>
  <c r="D61" i="22" s="1"/>
  <c r="C3151" i="22"/>
  <c r="D60" i="22" s="1"/>
  <c r="C3097" i="22"/>
  <c r="D59" i="22" s="1"/>
  <c r="C2989" i="22"/>
  <c r="D57" i="22" s="1"/>
  <c r="C2935" i="22"/>
  <c r="D56" i="22" s="1"/>
  <c r="C2503" i="22"/>
  <c r="D48" i="22" s="1"/>
  <c r="C2449" i="22"/>
  <c r="D47" i="22" s="1"/>
  <c r="CO43" i="22"/>
  <c r="C2179" i="22"/>
  <c r="D42" i="22" s="1"/>
  <c r="C2125" i="22"/>
  <c r="D41" i="22" s="1"/>
  <c r="C2071" i="22"/>
  <c r="D40" i="22" s="1"/>
  <c r="C1207" i="22"/>
  <c r="D24" i="22" s="1"/>
  <c r="C1099" i="22"/>
  <c r="D22" i="22" s="1"/>
  <c r="C1045" i="22"/>
  <c r="D21" i="22" s="1"/>
  <c r="C991" i="22"/>
  <c r="D20" i="22" s="1"/>
  <c r="C613" i="22"/>
  <c r="D13" i="22" s="1"/>
  <c r="C235" i="22"/>
  <c r="D6" i="22" s="1"/>
  <c r="C181" i="22"/>
  <c r="D5" i="22" s="1"/>
  <c r="L5" i="18"/>
  <c r="AW73" i="17"/>
  <c r="G3313" i="22"/>
  <c r="H63" i="22" s="1"/>
  <c r="L63" i="22" s="1"/>
  <c r="AI63" i="22" s="1"/>
  <c r="D2827" i="22"/>
  <c r="E54" i="22" s="1"/>
  <c r="F2827" i="22"/>
  <c r="G54" i="22" s="1"/>
  <c r="AC54" i="22" s="1"/>
  <c r="G2827" i="22"/>
  <c r="H54" i="22" s="1"/>
  <c r="E2827" i="22"/>
  <c r="F54" i="22" s="1"/>
  <c r="AK73" i="17"/>
  <c r="AK67" i="17"/>
  <c r="AJ73" i="17"/>
  <c r="AJ67" i="17"/>
  <c r="AI67" i="17"/>
  <c r="AI73" i="17"/>
  <c r="AH73" i="17"/>
  <c r="AH67" i="17"/>
  <c r="AG73" i="17"/>
  <c r="AG67" i="17"/>
  <c r="AF73" i="17"/>
  <c r="AF67" i="17"/>
  <c r="AE67" i="17"/>
  <c r="AE73" i="17"/>
  <c r="AD67" i="17"/>
  <c r="AD73" i="17"/>
  <c r="AC73" i="17"/>
  <c r="AC67" i="17"/>
  <c r="AB73" i="17"/>
  <c r="AB67" i="17"/>
  <c r="AA73" i="17"/>
  <c r="AA67" i="17"/>
  <c r="Z67" i="17"/>
  <c r="Z73" i="17"/>
  <c r="X73" i="17"/>
  <c r="W73" i="17"/>
  <c r="B4723" i="22"/>
  <c r="C13" i="15" s="1"/>
  <c r="U4722" i="22"/>
  <c r="S4722" i="22"/>
  <c r="B4153" i="22"/>
  <c r="D4153" i="22"/>
  <c r="E17" i="13" s="1"/>
  <c r="D4099" i="22"/>
  <c r="D17" i="13" s="1"/>
  <c r="B4099" i="22"/>
  <c r="D3583" i="22"/>
  <c r="E68" i="22" s="1"/>
  <c r="F3583" i="22"/>
  <c r="G68" i="22" s="1"/>
  <c r="AC68" i="22" s="1"/>
  <c r="K3583" i="22"/>
  <c r="CO68" i="22" s="1"/>
  <c r="E3583" i="22"/>
  <c r="F68" i="22" s="1"/>
  <c r="G3583" i="22"/>
  <c r="H68" i="22" s="1"/>
  <c r="L3583" i="22"/>
  <c r="CP68" i="22" s="1"/>
  <c r="CR68" i="22" s="1"/>
  <c r="L3529" i="22"/>
  <c r="CP67" i="22" s="1"/>
  <c r="CR67" i="22" s="1"/>
  <c r="E3529" i="22"/>
  <c r="F67" i="22" s="1"/>
  <c r="G3529" i="22"/>
  <c r="H67" i="22" s="1"/>
  <c r="I66" i="22"/>
  <c r="AA66" i="22"/>
  <c r="P66" i="22"/>
  <c r="K68" i="5" s="1"/>
  <c r="D2449" i="22"/>
  <c r="E47" i="22" s="1"/>
  <c r="F2449" i="22"/>
  <c r="G47" i="22" s="1"/>
  <c r="K2449" i="22"/>
  <c r="E2449" i="22"/>
  <c r="F47" i="22" s="1"/>
  <c r="G2449" i="22"/>
  <c r="H47" i="22" s="1"/>
  <c r="L47" i="22" s="1"/>
  <c r="AI47" i="22" s="1"/>
  <c r="L2449" i="22"/>
  <c r="CP47" i="22" s="1"/>
  <c r="CR47" i="22" s="1"/>
  <c r="D2395" i="22"/>
  <c r="E46" i="22" s="1"/>
  <c r="K2395" i="22"/>
  <c r="F2395" i="22"/>
  <c r="G46" i="22" s="1"/>
  <c r="G2395" i="22"/>
  <c r="H46" i="22" s="1"/>
  <c r="L46" i="22" s="1"/>
  <c r="AI46" i="22" s="1"/>
  <c r="E2395" i="22"/>
  <c r="F46" i="22" s="1"/>
  <c r="L2395" i="22"/>
  <c r="K1531" i="22"/>
  <c r="D1531" i="22"/>
  <c r="E30" i="22" s="1"/>
  <c r="F1531" i="22"/>
  <c r="G30" i="22" s="1"/>
  <c r="E1531" i="22"/>
  <c r="F30" i="22" s="1"/>
  <c r="G1531" i="22"/>
  <c r="H30" i="22" s="1"/>
  <c r="L30" i="22" s="1"/>
  <c r="AI30" i="22" s="1"/>
  <c r="L1531" i="22"/>
  <c r="CP30" i="22" s="1"/>
  <c r="CR30" i="22" s="1"/>
  <c r="D1477" i="22"/>
  <c r="E29" i="22" s="1"/>
  <c r="K1477" i="22"/>
  <c r="F1477" i="22"/>
  <c r="G29" i="22" s="1"/>
  <c r="E1477" i="22"/>
  <c r="F29" i="22" s="1"/>
  <c r="G1477" i="22"/>
  <c r="H29" i="22" s="1"/>
  <c r="L29" i="22" s="1"/>
  <c r="AI29" i="22" s="1"/>
  <c r="L1477" i="22"/>
  <c r="CP29" i="22" s="1"/>
  <c r="CR29" i="22" s="1"/>
  <c r="F1153" i="22"/>
  <c r="G23" i="22" s="1"/>
  <c r="D1153" i="22"/>
  <c r="E23" i="22" s="1"/>
  <c r="K1153" i="22"/>
  <c r="CO23" i="22" s="1"/>
  <c r="K775" i="22"/>
  <c r="CO16" i="22" s="1"/>
  <c r="F775" i="22"/>
  <c r="G16" i="22" s="1"/>
  <c r="D775" i="22"/>
  <c r="E16" i="22" s="1"/>
  <c r="E775" i="22"/>
  <c r="F16" i="22" s="1"/>
  <c r="L775" i="22"/>
  <c r="G775" i="22"/>
  <c r="H16" i="22" s="1"/>
  <c r="L16" i="22" s="1"/>
  <c r="AI16" i="22" s="1"/>
  <c r="K451" i="22"/>
  <c r="F451" i="22"/>
  <c r="G10" i="22" s="1"/>
  <c r="D451" i="22"/>
  <c r="E10" i="22" s="1"/>
  <c r="E451" i="22"/>
  <c r="F10" i="22" s="1"/>
  <c r="L451" i="22"/>
  <c r="G451" i="22"/>
  <c r="H10" i="22" s="1"/>
  <c r="L10" i="22" s="1"/>
  <c r="AI10" i="22" s="1"/>
  <c r="K397" i="22"/>
  <c r="F397" i="22"/>
  <c r="G9" i="22" s="1"/>
  <c r="D397" i="22"/>
  <c r="E9" i="22" s="1"/>
  <c r="L397" i="22"/>
  <c r="E397" i="22"/>
  <c r="F9" i="22" s="1"/>
  <c r="G397" i="22"/>
  <c r="H9" i="22" s="1"/>
  <c r="L9" i="22" s="1"/>
  <c r="AI9" i="22" s="1"/>
  <c r="AE13" i="6" s="1"/>
  <c r="F181" i="22"/>
  <c r="G5" i="22" s="1"/>
  <c r="D181" i="22"/>
  <c r="E5" i="22" s="1"/>
  <c r="K181" i="22"/>
  <c r="CO5" i="22" s="1"/>
  <c r="G181" i="22"/>
  <c r="H5" i="22" s="1"/>
  <c r="L5" i="22" s="1"/>
  <c r="AI5" i="22" s="1"/>
  <c r="L181" i="22"/>
  <c r="CP5" i="22" s="1"/>
  <c r="CR5" i="22" s="1"/>
  <c r="E181" i="22"/>
  <c r="F5" i="22" s="1"/>
  <c r="D127" i="22"/>
  <c r="E4" i="22" s="1"/>
  <c r="K127" i="22"/>
  <c r="F127" i="22"/>
  <c r="G4" i="22" s="1"/>
  <c r="G127" i="22"/>
  <c r="H4" i="22" s="1"/>
  <c r="L4" i="22" s="1"/>
  <c r="BE72" i="17"/>
  <c r="F116" i="12" s="1"/>
  <c r="BD72" i="17"/>
  <c r="F115" i="12" s="1"/>
  <c r="BC72" i="17"/>
  <c r="F114" i="12" s="1"/>
  <c r="BB72" i="17"/>
  <c r="F113" i="12" s="1"/>
  <c r="BA72" i="17"/>
  <c r="F112" i="12" s="1"/>
  <c r="AZ72" i="17"/>
  <c r="F111" i="12" s="1"/>
  <c r="AY72" i="17"/>
  <c r="F110" i="12" s="1"/>
  <c r="AX72" i="17"/>
  <c r="F109" i="12" s="1"/>
  <c r="AW72" i="17"/>
  <c r="F108" i="12" s="1"/>
  <c r="AK72" i="17"/>
  <c r="F96" i="12" s="1"/>
  <c r="AJ72" i="17"/>
  <c r="F95" i="12" s="1"/>
  <c r="AI72" i="17"/>
  <c r="F94" i="12" s="1"/>
  <c r="AH72" i="17"/>
  <c r="F93" i="12" s="1"/>
  <c r="AG72" i="17"/>
  <c r="F92" i="12" s="1"/>
  <c r="AF72" i="17"/>
  <c r="F91" i="12" s="1"/>
  <c r="AE72" i="17"/>
  <c r="F90" i="12" s="1"/>
  <c r="AD72" i="17"/>
  <c r="F89" i="12" s="1"/>
  <c r="AC72" i="17"/>
  <c r="F88" i="12" s="1"/>
  <c r="AB72" i="17"/>
  <c r="F87" i="12" s="1"/>
  <c r="AA72" i="17"/>
  <c r="F86" i="12" s="1"/>
  <c r="Z72" i="17"/>
  <c r="F85" i="12" s="1"/>
  <c r="Y72" i="17"/>
  <c r="F84" i="12" s="1"/>
  <c r="X72" i="17"/>
  <c r="F83" i="12" s="1"/>
  <c r="W72" i="17"/>
  <c r="F82" i="12" s="1"/>
  <c r="G115" i="12"/>
  <c r="M1473" i="23"/>
  <c r="N1473" i="23"/>
  <c r="AE1473" i="23" s="1"/>
  <c r="M1417" i="23"/>
  <c r="N1417" i="23"/>
  <c r="AE1417" i="23" s="1"/>
  <c r="M1361" i="23"/>
  <c r="N1361" i="23"/>
  <c r="AE1361" i="23" s="1"/>
  <c r="M1305" i="23"/>
  <c r="N1305" i="23"/>
  <c r="AE1305" i="23" s="1"/>
  <c r="M1025" i="23"/>
  <c r="N1025" i="23"/>
  <c r="AE1025" i="23" s="1"/>
  <c r="M969" i="23"/>
  <c r="N969" i="23"/>
  <c r="AE969" i="23" s="1"/>
  <c r="M857" i="23"/>
  <c r="N857" i="23"/>
  <c r="AE857" i="23" s="1"/>
  <c r="N4776" i="22"/>
  <c r="M4776" i="22"/>
  <c r="M3636" i="22"/>
  <c r="N3636" i="22"/>
  <c r="L3637" i="22" s="1"/>
  <c r="CP69" i="22" s="1"/>
  <c r="CR69" i="22" s="1"/>
  <c r="M3582" i="22"/>
  <c r="N3582" i="22"/>
  <c r="U3582" i="22" s="1"/>
  <c r="C3583" i="22" s="1"/>
  <c r="D68" i="22" s="1"/>
  <c r="N3528" i="22"/>
  <c r="M3528" i="22"/>
  <c r="M3312" i="22"/>
  <c r="N3312" i="22"/>
  <c r="K3313" i="22" s="1"/>
  <c r="K62" i="22"/>
  <c r="AC62" i="22"/>
  <c r="M2880" i="22"/>
  <c r="N2880" i="22"/>
  <c r="AA54" i="22"/>
  <c r="P54" i="22"/>
  <c r="K56" i="5" s="1"/>
  <c r="I54" i="22"/>
  <c r="J54" i="22"/>
  <c r="Q54" i="22"/>
  <c r="L56" i="5" s="1"/>
  <c r="M2664" i="22"/>
  <c r="N2664" i="22"/>
  <c r="M2610" i="22"/>
  <c r="N2610" i="22"/>
  <c r="M2556" i="22"/>
  <c r="N2556" i="22"/>
  <c r="K45" i="22"/>
  <c r="AC45" i="22"/>
  <c r="K44" i="22"/>
  <c r="AC44" i="22"/>
  <c r="AC43" i="22"/>
  <c r="K43" i="22"/>
  <c r="N1962" i="22"/>
  <c r="M1962" i="22"/>
  <c r="M1908" i="22"/>
  <c r="N1908" i="22"/>
  <c r="M1854" i="22"/>
  <c r="N1854" i="22"/>
  <c r="K1855" i="22" s="1"/>
  <c r="CO36" i="22" s="1"/>
  <c r="AC35" i="22"/>
  <c r="K35" i="22"/>
  <c r="M1746" i="22"/>
  <c r="N1746" i="22"/>
  <c r="L1747" i="22" s="1"/>
  <c r="CP34" i="22" s="1"/>
  <c r="CR34" i="22" s="1"/>
  <c r="M1692" i="22"/>
  <c r="N1692" i="22"/>
  <c r="M1638" i="22"/>
  <c r="N1638" i="22"/>
  <c r="K1639" i="22" s="1"/>
  <c r="CO32" i="22" s="1"/>
  <c r="M1584" i="22"/>
  <c r="N1584" i="22"/>
  <c r="AC25" i="22"/>
  <c r="K25" i="22"/>
  <c r="M882" i="22"/>
  <c r="N882" i="22"/>
  <c r="M828" i="22"/>
  <c r="N828" i="22"/>
  <c r="M558" i="22"/>
  <c r="N558" i="22"/>
  <c r="M504" i="22"/>
  <c r="N504" i="22"/>
  <c r="M126" i="22"/>
  <c r="N126" i="22"/>
  <c r="E116" i="12"/>
  <c r="O64" i="17"/>
  <c r="N116" i="12"/>
  <c r="N64" i="17"/>
  <c r="M64" i="17"/>
  <c r="I38" i="10"/>
  <c r="T4721" i="22"/>
  <c r="T4720" i="22"/>
  <c r="N1642" i="23"/>
  <c r="C3475" i="22"/>
  <c r="D66" i="22" s="1"/>
  <c r="E3421" i="22"/>
  <c r="F65" i="22" s="1"/>
  <c r="C3043" i="22"/>
  <c r="D58" i="22" s="1"/>
  <c r="E2989" i="22"/>
  <c r="F57" i="22" s="1"/>
  <c r="C451" i="22"/>
  <c r="D10" i="22" s="1"/>
  <c r="C3421" i="22"/>
  <c r="D65" i="22" s="1"/>
  <c r="C2395" i="22"/>
  <c r="D46" i="22" s="1"/>
  <c r="C2827" i="22"/>
  <c r="D54" i="22" s="1"/>
  <c r="C2341" i="22"/>
  <c r="D45" i="22" s="1"/>
  <c r="C2287" i="22"/>
  <c r="D44" i="22" s="1"/>
  <c r="C1477" i="22"/>
  <c r="D29" i="22" s="1"/>
  <c r="C937" i="22"/>
  <c r="D19" i="22" s="1"/>
  <c r="N746" i="23"/>
  <c r="C4207" i="22"/>
  <c r="C4261" i="22"/>
  <c r="D3421" i="22"/>
  <c r="E65" i="22" s="1"/>
  <c r="C11" i="15"/>
  <c r="C12" i="15"/>
  <c r="D4261" i="22"/>
  <c r="G17" i="13" s="1"/>
  <c r="B4261" i="22"/>
  <c r="D4207" i="22"/>
  <c r="F17" i="13" s="1"/>
  <c r="B4207" i="22"/>
  <c r="L3799" i="22"/>
  <c r="CP72" i="22" s="1"/>
  <c r="CR72" i="22" s="1"/>
  <c r="K3799" i="22"/>
  <c r="CO72" i="22" s="1"/>
  <c r="U3798" i="22"/>
  <c r="L3745" i="22"/>
  <c r="CP71" i="22" s="1"/>
  <c r="CR71" i="22" s="1"/>
  <c r="K3745" i="22"/>
  <c r="CO71" i="22" s="1"/>
  <c r="U3744" i="22"/>
  <c r="D3691" i="22"/>
  <c r="E70" i="22" s="1"/>
  <c r="F3691" i="22"/>
  <c r="G70" i="22" s="1"/>
  <c r="AC70" i="22" s="1"/>
  <c r="K3691" i="22"/>
  <c r="CO70" i="22" s="1"/>
  <c r="G3691" i="22"/>
  <c r="H70" i="22" s="1"/>
  <c r="L3691" i="22"/>
  <c r="CP70" i="22" s="1"/>
  <c r="CR70" i="22" s="1"/>
  <c r="E3691" i="22"/>
  <c r="F70" i="22" s="1"/>
  <c r="F3637" i="22"/>
  <c r="G69" i="22" s="1"/>
  <c r="AC69" i="22" s="1"/>
  <c r="G3637" i="22"/>
  <c r="H69" i="22" s="1"/>
  <c r="F3529" i="22"/>
  <c r="G67" i="22" s="1"/>
  <c r="AC67" i="22" s="1"/>
  <c r="F3475" i="22"/>
  <c r="G66" i="22" s="1"/>
  <c r="K3475" i="22"/>
  <c r="CO66" i="22" s="1"/>
  <c r="G3475" i="22"/>
  <c r="H66" i="22" s="1"/>
  <c r="L66" i="22" s="1"/>
  <c r="AI66" i="22" s="1"/>
  <c r="L3475" i="22"/>
  <c r="CP66" i="22" s="1"/>
  <c r="CR66" i="22" s="1"/>
  <c r="E3475" i="22"/>
  <c r="F66" i="22" s="1"/>
  <c r="F3421" i="22"/>
  <c r="G65" i="22" s="1"/>
  <c r="K3421" i="22"/>
  <c r="CO65" i="22" s="1"/>
  <c r="L3421" i="22"/>
  <c r="G3421" i="22"/>
  <c r="H65" i="22" s="1"/>
  <c r="L65" i="22" s="1"/>
  <c r="AI65" i="22" s="1"/>
  <c r="AE27" i="6" s="1"/>
  <c r="D3367" i="22"/>
  <c r="E64" i="22" s="1"/>
  <c r="K3367" i="22"/>
  <c r="F3367" i="22"/>
  <c r="G64" i="22" s="1"/>
  <c r="L3367" i="22"/>
  <c r="G3367" i="22"/>
  <c r="H64" i="22" s="1"/>
  <c r="L64" i="22" s="1"/>
  <c r="AI64" i="22" s="1"/>
  <c r="E3367" i="22"/>
  <c r="F64" i="22" s="1"/>
  <c r="F3313" i="22"/>
  <c r="G63" i="22" s="1"/>
  <c r="K3259" i="22"/>
  <c r="CO62" i="22" s="1"/>
  <c r="L3259" i="22"/>
  <c r="CP62" i="22" s="1"/>
  <c r="CR62" i="22" s="1"/>
  <c r="U3258" i="22"/>
  <c r="K3205" i="22"/>
  <c r="D3205" i="22"/>
  <c r="E61" i="22" s="1"/>
  <c r="F3205" i="22"/>
  <c r="G61" i="22" s="1"/>
  <c r="E3205" i="22"/>
  <c r="F61" i="22" s="1"/>
  <c r="L3205" i="22"/>
  <c r="G3205" i="22"/>
  <c r="H61" i="22" s="1"/>
  <c r="L61" i="22" s="1"/>
  <c r="AI61" i="22" s="1"/>
  <c r="D3151" i="22"/>
  <c r="E60" i="22" s="1"/>
  <c r="K3151" i="22"/>
  <c r="F3151" i="22"/>
  <c r="G60" i="22" s="1"/>
  <c r="G3151" i="22"/>
  <c r="H60" i="22" s="1"/>
  <c r="L60" i="22" s="1"/>
  <c r="AI60" i="22" s="1"/>
  <c r="L3151" i="22"/>
  <c r="CP60" i="22" s="1"/>
  <c r="CR60" i="22" s="1"/>
  <c r="E3151" i="22"/>
  <c r="F60" i="22" s="1"/>
  <c r="K3097" i="22"/>
  <c r="F3097" i="22"/>
  <c r="G59" i="22" s="1"/>
  <c r="D3097" i="22"/>
  <c r="E59" i="22" s="1"/>
  <c r="G3097" i="22"/>
  <c r="H59" i="22" s="1"/>
  <c r="L59" i="22" s="1"/>
  <c r="AI59" i="22" s="1"/>
  <c r="L3097" i="22"/>
  <c r="E3097" i="22"/>
  <c r="F59" i="22" s="1"/>
  <c r="K3043" i="22"/>
  <c r="F3043" i="22"/>
  <c r="G58" i="22" s="1"/>
  <c r="D3043" i="22"/>
  <c r="E58" i="22" s="1"/>
  <c r="G3043" i="22"/>
  <c r="H58" i="22" s="1"/>
  <c r="L58" i="22" s="1"/>
  <c r="AI58" i="22" s="1"/>
  <c r="L3043" i="22"/>
  <c r="CP58" i="22" s="1"/>
  <c r="CR58" i="22" s="1"/>
  <c r="E3043" i="22"/>
  <c r="F58" i="22" s="1"/>
  <c r="F2989" i="22"/>
  <c r="G57" i="22" s="1"/>
  <c r="D2989" i="22"/>
  <c r="E57" i="22" s="1"/>
  <c r="K2989" i="22"/>
  <c r="CO57" i="22" s="1"/>
  <c r="G2989" i="22"/>
  <c r="H57" i="22" s="1"/>
  <c r="L57" i="22" s="1"/>
  <c r="AI57" i="22" s="1"/>
  <c r="L2989" i="22"/>
  <c r="CP57" i="22" s="1"/>
  <c r="CR57" i="22" s="1"/>
  <c r="F2935" i="22"/>
  <c r="G56" i="22" s="1"/>
  <c r="D2935" i="22"/>
  <c r="E56" i="22" s="1"/>
  <c r="K2935" i="22"/>
  <c r="CO56" i="22" s="1"/>
  <c r="G2935" i="22"/>
  <c r="H56" i="22" s="1"/>
  <c r="L56" i="22" s="1"/>
  <c r="AI56" i="22" s="1"/>
  <c r="E2935" i="22"/>
  <c r="F56" i="22" s="1"/>
  <c r="L2935" i="22"/>
  <c r="L2827" i="22"/>
  <c r="CP54" i="22" s="1"/>
  <c r="CR54" i="22" s="1"/>
  <c r="K2827" i="22"/>
  <c r="CO54" i="22" s="1"/>
  <c r="S2826" i="22"/>
  <c r="K2773" i="22"/>
  <c r="U2772" i="22"/>
  <c r="C2773" i="22" s="1"/>
  <c r="D53" i="22" s="1"/>
  <c r="F2773" i="22"/>
  <c r="G53" i="22" s="1"/>
  <c r="D2773" i="22"/>
  <c r="E53" i="22" s="1"/>
  <c r="E2773" i="22"/>
  <c r="F53" i="22" s="1"/>
  <c r="L2773" i="22"/>
  <c r="G2773" i="22"/>
  <c r="H53" i="22" s="1"/>
  <c r="L53" i="22" s="1"/>
  <c r="AI53" i="22" s="1"/>
  <c r="D2719" i="22"/>
  <c r="E52" i="22" s="1"/>
  <c r="K2719" i="22"/>
  <c r="F2719" i="22"/>
  <c r="G52" i="22" s="1"/>
  <c r="E2719" i="22"/>
  <c r="F52" i="22" s="1"/>
  <c r="L2719" i="22"/>
  <c r="G2719" i="22"/>
  <c r="H52" i="22" s="1"/>
  <c r="L52" i="22" s="1"/>
  <c r="AI52" i="22" s="1"/>
  <c r="K2665" i="22"/>
  <c r="D2665" i="22"/>
  <c r="E51" i="22" s="1"/>
  <c r="F2665" i="22"/>
  <c r="G51" i="22" s="1"/>
  <c r="E2665" i="22"/>
  <c r="F51" i="22" s="1"/>
  <c r="G2665" i="22"/>
  <c r="H51" i="22" s="1"/>
  <c r="L51" i="22" s="1"/>
  <c r="AI51" i="22" s="1"/>
  <c r="F2611" i="22"/>
  <c r="G50" i="22" s="1"/>
  <c r="G2611" i="22"/>
  <c r="H50" i="22" s="1"/>
  <c r="L50" i="22" s="1"/>
  <c r="AI50" i="22" s="1"/>
  <c r="F2557" i="22"/>
  <c r="G49" i="22" s="1"/>
  <c r="G2557" i="22"/>
  <c r="H49" i="22" s="1"/>
  <c r="L49" i="22" s="1"/>
  <c r="AI49" i="22" s="1"/>
  <c r="D2503" i="22"/>
  <c r="E48" i="22" s="1"/>
  <c r="F2503" i="22"/>
  <c r="G48" i="22" s="1"/>
  <c r="K2503" i="22"/>
  <c r="CO48" i="22" s="1"/>
  <c r="L2503" i="22"/>
  <c r="E2503" i="22"/>
  <c r="F48" i="22" s="1"/>
  <c r="G2503" i="22"/>
  <c r="H48" i="22" s="1"/>
  <c r="L48" i="22" s="1"/>
  <c r="AI48" i="22" s="1"/>
  <c r="L2341" i="22"/>
  <c r="CP45" i="22" s="1"/>
  <c r="CR45" i="22" s="1"/>
  <c r="K2341" i="22"/>
  <c r="CO45" i="22" s="1"/>
  <c r="U2340" i="22"/>
  <c r="L2287" i="22"/>
  <c r="CP44" i="22" s="1"/>
  <c r="CR44" i="22" s="1"/>
  <c r="K2287" i="22"/>
  <c r="CO44" i="22" s="1"/>
  <c r="U2286" i="22"/>
  <c r="L2233" i="22"/>
  <c r="CP43" i="22" s="1"/>
  <c r="CR43" i="22" s="1"/>
  <c r="U2232" i="22"/>
  <c r="K2179" i="22"/>
  <c r="F2179" i="22"/>
  <c r="G42" i="22" s="1"/>
  <c r="D2179" i="22"/>
  <c r="E42" i="22" s="1"/>
  <c r="E2179" i="22"/>
  <c r="F42" i="22" s="1"/>
  <c r="L2179" i="22"/>
  <c r="G2179" i="22"/>
  <c r="H42" i="22" s="1"/>
  <c r="L42" i="22" s="1"/>
  <c r="AI42" i="22" s="1"/>
  <c r="F2125" i="22"/>
  <c r="G41" i="22" s="1"/>
  <c r="D2125" i="22"/>
  <c r="E41" i="22" s="1"/>
  <c r="K2125" i="22"/>
  <c r="CO41" i="22" s="1"/>
  <c r="E2125" i="22"/>
  <c r="F41" i="22" s="1"/>
  <c r="L2125" i="22"/>
  <c r="G2125" i="22"/>
  <c r="H41" i="22" s="1"/>
  <c r="L41" i="22" s="1"/>
  <c r="AI41" i="22" s="1"/>
  <c r="K2071" i="22"/>
  <c r="D2071" i="22"/>
  <c r="E40" i="22" s="1"/>
  <c r="F2071" i="22"/>
  <c r="G40" i="22" s="1"/>
  <c r="G2071" i="22"/>
  <c r="H40" i="22" s="1"/>
  <c r="L40" i="22" s="1"/>
  <c r="AI40" i="22" s="1"/>
  <c r="E2071" i="22"/>
  <c r="F40" i="22" s="1"/>
  <c r="L2071" i="22"/>
  <c r="F2017" i="22"/>
  <c r="G39" i="22" s="1"/>
  <c r="D2017" i="22"/>
  <c r="E39" i="22" s="1"/>
  <c r="K2017" i="22"/>
  <c r="CO39" i="22" s="1"/>
  <c r="G2017" i="22"/>
  <c r="H39" i="22" s="1"/>
  <c r="L39" i="22" s="1"/>
  <c r="AI39" i="22" s="1"/>
  <c r="L2017" i="22"/>
  <c r="CP39" i="22" s="1"/>
  <c r="CR39" i="22" s="1"/>
  <c r="E2017" i="22"/>
  <c r="F39" i="22" s="1"/>
  <c r="F1963" i="22"/>
  <c r="G38" i="22" s="1"/>
  <c r="G1963" i="22"/>
  <c r="H38" i="22" s="1"/>
  <c r="L38" i="22" s="1"/>
  <c r="AI38" i="22" s="1"/>
  <c r="F1909" i="22"/>
  <c r="G37" i="22" s="1"/>
  <c r="G1909" i="22"/>
  <c r="H37" i="22" s="1"/>
  <c r="L37" i="22" s="1"/>
  <c r="AI37" i="22" s="1"/>
  <c r="E1909" i="22"/>
  <c r="F37" i="22" s="1"/>
  <c r="F1855" i="22"/>
  <c r="G36" i="22" s="1"/>
  <c r="G1855" i="22"/>
  <c r="H36" i="22" s="1"/>
  <c r="L36" i="22" s="1"/>
  <c r="AI36" i="22" s="1"/>
  <c r="K1801" i="22"/>
  <c r="CO35" i="22" s="1"/>
  <c r="L1801" i="22"/>
  <c r="CP35" i="22" s="1"/>
  <c r="CR35" i="22" s="1"/>
  <c r="U1800" i="22"/>
  <c r="F1747" i="22"/>
  <c r="G34" i="22" s="1"/>
  <c r="G1747" i="22"/>
  <c r="H34" i="22" s="1"/>
  <c r="L34" i="22" s="1"/>
  <c r="AI34" i="22" s="1"/>
  <c r="F1693" i="22"/>
  <c r="G33" i="22" s="1"/>
  <c r="G1693" i="22"/>
  <c r="H33" i="22" s="1"/>
  <c r="L33" i="22" s="1"/>
  <c r="AI33" i="22" s="1"/>
  <c r="F1639" i="22"/>
  <c r="G32" i="22" s="1"/>
  <c r="G1639" i="22"/>
  <c r="H32" i="22" s="1"/>
  <c r="L32" i="22" s="1"/>
  <c r="AI32" i="22" s="1"/>
  <c r="F1585" i="22"/>
  <c r="G31" i="22" s="1"/>
  <c r="G1585" i="22"/>
  <c r="H31" i="22" s="1"/>
  <c r="L31" i="22" s="1"/>
  <c r="AI31" i="22" s="1"/>
  <c r="F1423" i="22"/>
  <c r="G28" i="22" s="1"/>
  <c r="K1423" i="22"/>
  <c r="CO28" i="22" s="1"/>
  <c r="D1423" i="22"/>
  <c r="E28" i="22" s="1"/>
  <c r="L1423" i="22"/>
  <c r="E1423" i="22"/>
  <c r="F28" i="22" s="1"/>
  <c r="G1423" i="22"/>
  <c r="H28" i="22" s="1"/>
  <c r="L28" i="22" s="1"/>
  <c r="AI28" i="22" s="1"/>
  <c r="F1369" i="22"/>
  <c r="G27" i="22" s="1"/>
  <c r="D1369" i="22"/>
  <c r="E27" i="22" s="1"/>
  <c r="K1369" i="22"/>
  <c r="CO27" i="22" s="1"/>
  <c r="E1369" i="22"/>
  <c r="F27" i="22" s="1"/>
  <c r="G1369" i="22"/>
  <c r="H27" i="22" s="1"/>
  <c r="L27" i="22" s="1"/>
  <c r="AI27" i="22" s="1"/>
  <c r="L1369" i="22"/>
  <c r="CP27" i="22" s="1"/>
  <c r="CR27" i="22" s="1"/>
  <c r="L1315" i="22"/>
  <c r="CP26" i="22" s="1"/>
  <c r="CR26" i="22" s="1"/>
  <c r="U1314" i="22"/>
  <c r="K1315" i="22"/>
  <c r="D1315" i="22"/>
  <c r="E26" i="22" s="1"/>
  <c r="F1315" i="22"/>
  <c r="G26" i="22" s="1"/>
  <c r="L1261" i="22"/>
  <c r="CP25" i="22" s="1"/>
  <c r="CR25" i="22" s="1"/>
  <c r="K1261" i="22"/>
  <c r="CO25" i="22" s="1"/>
  <c r="U1260" i="22"/>
  <c r="F1207" i="22"/>
  <c r="G24" i="22" s="1"/>
  <c r="K1207" i="22"/>
  <c r="D1207" i="22"/>
  <c r="E24" i="22" s="1"/>
  <c r="L1207" i="22"/>
  <c r="E1207" i="22"/>
  <c r="F24" i="22" s="1"/>
  <c r="G1207" i="22"/>
  <c r="H24" i="22" s="1"/>
  <c r="L24" i="22" s="1"/>
  <c r="AI24" i="22" s="1"/>
  <c r="L1153" i="22"/>
  <c r="CP23" i="22" s="1"/>
  <c r="CR23" i="22" s="1"/>
  <c r="U1152" i="22"/>
  <c r="F1099" i="22"/>
  <c r="G22" i="22" s="1"/>
  <c r="D1099" i="22"/>
  <c r="E22" i="22" s="1"/>
  <c r="K1099" i="22"/>
  <c r="CO22" i="22" s="1"/>
  <c r="E1099" i="22"/>
  <c r="F22" i="22" s="1"/>
  <c r="L1099" i="22"/>
  <c r="G1099" i="22"/>
  <c r="H22" i="22" s="1"/>
  <c r="L22" i="22" s="1"/>
  <c r="AI22" i="22" s="1"/>
  <c r="D1045" i="22"/>
  <c r="E21" i="22" s="1"/>
  <c r="F1045" i="22"/>
  <c r="G21" i="22" s="1"/>
  <c r="K1045" i="22"/>
  <c r="CO21" i="22" s="1"/>
  <c r="E1045" i="22"/>
  <c r="F21" i="22" s="1"/>
  <c r="L1045" i="22"/>
  <c r="G1045" i="22"/>
  <c r="H21" i="22" s="1"/>
  <c r="L21" i="22" s="1"/>
  <c r="AI21" i="22" s="1"/>
  <c r="K991" i="22"/>
  <c r="F991" i="22"/>
  <c r="G20" i="22" s="1"/>
  <c r="D991" i="22"/>
  <c r="E20" i="22" s="1"/>
  <c r="E991" i="22"/>
  <c r="F20" i="22" s="1"/>
  <c r="G991" i="22"/>
  <c r="H20" i="22" s="1"/>
  <c r="L20" i="22" s="1"/>
  <c r="AI20" i="22" s="1"/>
  <c r="L991" i="22"/>
  <c r="CP20" i="22" s="1"/>
  <c r="CR20" i="22" s="1"/>
  <c r="D937" i="22"/>
  <c r="E19" i="22" s="1"/>
  <c r="F937" i="22"/>
  <c r="G19" i="22" s="1"/>
  <c r="K937" i="22"/>
  <c r="CO19" i="22" s="1"/>
  <c r="L937" i="22"/>
  <c r="G937" i="22"/>
  <c r="H19" i="22" s="1"/>
  <c r="L19" i="22" s="1"/>
  <c r="AI19" i="22" s="1"/>
  <c r="E937" i="22"/>
  <c r="F19" i="22" s="1"/>
  <c r="F829" i="22"/>
  <c r="G17" i="22" s="1"/>
  <c r="G829" i="22"/>
  <c r="H17" i="22" s="1"/>
  <c r="L17" i="22" s="1"/>
  <c r="AI17" i="22" s="1"/>
  <c r="F721" i="22"/>
  <c r="G15" i="22" s="1"/>
  <c r="D721" i="22"/>
  <c r="E15" i="22" s="1"/>
  <c r="K721" i="22"/>
  <c r="CO15" i="22" s="1"/>
  <c r="E721" i="22"/>
  <c r="F15" i="22" s="1"/>
  <c r="L721" i="22"/>
  <c r="G721" i="22"/>
  <c r="H15" i="22" s="1"/>
  <c r="L15" i="22" s="1"/>
  <c r="AI15" i="22" s="1"/>
  <c r="AE19" i="6" s="1"/>
  <c r="D667" i="22"/>
  <c r="E14" i="22" s="1"/>
  <c r="K667" i="22"/>
  <c r="F667" i="22"/>
  <c r="G14" i="22" s="1"/>
  <c r="E667" i="22"/>
  <c r="F14" i="22" s="1"/>
  <c r="L667" i="22"/>
  <c r="G667" i="22"/>
  <c r="H14" i="22" s="1"/>
  <c r="L14" i="22" s="1"/>
  <c r="AI14" i="22" s="1"/>
  <c r="D613" i="22"/>
  <c r="E13" i="22" s="1"/>
  <c r="K613" i="22"/>
  <c r="F613" i="22"/>
  <c r="G13" i="22" s="1"/>
  <c r="G613" i="22"/>
  <c r="H13" i="22" s="1"/>
  <c r="L13" i="22" s="1"/>
  <c r="AI13" i="22" s="1"/>
  <c r="L613" i="22"/>
  <c r="CP13" i="22" s="1"/>
  <c r="CR13" i="22" s="1"/>
  <c r="E613" i="22"/>
  <c r="F13" i="22" s="1"/>
  <c r="F559" i="22"/>
  <c r="G12" i="22" s="1"/>
  <c r="G559" i="22"/>
  <c r="H12" i="22" s="1"/>
  <c r="L12" i="22" s="1"/>
  <c r="AI12" i="22" s="1"/>
  <c r="F505" i="22"/>
  <c r="G11" i="22" s="1"/>
  <c r="G505" i="22"/>
  <c r="H11" i="22" s="1"/>
  <c r="L11" i="22" s="1"/>
  <c r="AI11" i="22" s="1"/>
  <c r="K343" i="22"/>
  <c r="D343" i="22"/>
  <c r="E8" i="22" s="1"/>
  <c r="F343" i="22"/>
  <c r="G8" i="22" s="1"/>
  <c r="G343" i="22"/>
  <c r="H8" i="22" s="1"/>
  <c r="L8" i="22" s="1"/>
  <c r="AI8" i="22" s="1"/>
  <c r="E343" i="22"/>
  <c r="F8" i="22" s="1"/>
  <c r="L343" i="22"/>
  <c r="K289" i="22"/>
  <c r="CO7" i="22" s="1"/>
  <c r="F289" i="22"/>
  <c r="G7" i="22" s="1"/>
  <c r="AC7" i="22" s="1"/>
  <c r="D289" i="22"/>
  <c r="E7" i="22" s="1"/>
  <c r="G289" i="22"/>
  <c r="H7" i="22" s="1"/>
  <c r="E289" i="22"/>
  <c r="F7" i="22" s="1"/>
  <c r="L289" i="22"/>
  <c r="CP7" i="22" s="1"/>
  <c r="CR7" i="22" s="1"/>
  <c r="K235" i="22"/>
  <c r="D235" i="22"/>
  <c r="E6" i="22" s="1"/>
  <c r="F235" i="22"/>
  <c r="G6" i="22" s="1"/>
  <c r="L235" i="22"/>
  <c r="G235" i="22"/>
  <c r="H6" i="22" s="1"/>
  <c r="L6" i="22" s="1"/>
  <c r="AI6" i="22" s="1"/>
  <c r="E235" i="22"/>
  <c r="F6" i="22" s="1"/>
  <c r="AV73" i="17"/>
  <c r="AV67" i="17"/>
  <c r="AU67" i="17"/>
  <c r="AU73" i="17"/>
  <c r="AT73" i="17"/>
  <c r="AT67" i="17"/>
  <c r="AS73" i="17"/>
  <c r="AS67" i="17"/>
  <c r="AR67" i="17"/>
  <c r="AR73" i="17"/>
  <c r="AQ67" i="17"/>
  <c r="AQ73" i="17"/>
  <c r="AP73" i="17"/>
  <c r="AP67" i="17"/>
  <c r="AO73" i="17"/>
  <c r="AO67" i="17"/>
  <c r="AN73" i="17"/>
  <c r="AN67" i="17"/>
  <c r="AM73" i="17"/>
  <c r="AM67" i="17"/>
  <c r="AL67" i="17"/>
  <c r="C52" i="10" s="1"/>
  <c r="AL73" i="17"/>
  <c r="G64" i="18"/>
  <c r="L6" i="18" s="1"/>
  <c r="X7" i="4"/>
  <c r="X8" i="4"/>
  <c r="E65" i="12"/>
  <c r="E64" i="12"/>
  <c r="E63" i="12"/>
  <c r="X9" i="4"/>
  <c r="H64" i="18"/>
  <c r="L7" i="18" s="1"/>
  <c r="F63" i="12"/>
  <c r="F65" i="12"/>
  <c r="F64" i="12"/>
  <c r="V67" i="17"/>
  <c r="V73" i="17"/>
  <c r="G2881" i="22"/>
  <c r="H55" i="22" s="1"/>
  <c r="L55" i="22" s="1"/>
  <c r="AI55" i="22" s="1"/>
  <c r="F2881" i="22"/>
  <c r="G55" i="22" s="1"/>
  <c r="G883" i="22"/>
  <c r="H18" i="22" s="1"/>
  <c r="L18" i="22" s="1"/>
  <c r="AI18" i="22" s="1"/>
  <c r="F883" i="22"/>
  <c r="G18" i="22" s="1"/>
  <c r="CP46" i="22" l="1"/>
  <c r="CR46" i="22" s="1"/>
  <c r="AE14" i="6"/>
  <c r="CO63" i="22"/>
  <c r="CP64" i="22"/>
  <c r="CR64" i="22" s="1"/>
  <c r="CO59" i="22"/>
  <c r="CP56" i="22"/>
  <c r="CR56" i="22" s="1"/>
  <c r="AE22" i="6"/>
  <c r="AE11" i="6"/>
  <c r="CO24" i="22"/>
  <c r="AE18" i="6"/>
  <c r="AE15" i="6"/>
  <c r="CO8" i="22"/>
  <c r="AE12" i="6"/>
  <c r="CO47" i="22"/>
  <c r="CQ43" i="22"/>
  <c r="P45" i="5"/>
  <c r="U3528" i="22"/>
  <c r="K3529" i="22"/>
  <c r="CO67" i="22" s="1"/>
  <c r="CQ67" i="22" s="1"/>
  <c r="U2664" i="22"/>
  <c r="C2665" i="22" s="1"/>
  <c r="D51" i="22" s="1"/>
  <c r="L2665" i="22"/>
  <c r="CP51" i="22" s="1"/>
  <c r="CR51" i="22" s="1"/>
  <c r="U2610" i="22"/>
  <c r="K2611" i="22"/>
  <c r="CO50" i="22" s="1"/>
  <c r="L2611" i="22"/>
  <c r="CP50" i="22" s="1"/>
  <c r="CR50" i="22" s="1"/>
  <c r="U2556" i="22"/>
  <c r="K2557" i="22"/>
  <c r="CO49" i="22" s="1"/>
  <c r="L2557" i="22"/>
  <c r="CP49" i="22" s="1"/>
  <c r="CR49" i="22" s="1"/>
  <c r="U1962" i="22"/>
  <c r="K1963" i="22"/>
  <c r="CO38" i="22" s="1"/>
  <c r="L1963" i="22"/>
  <c r="CP38" i="22" s="1"/>
  <c r="CR38" i="22" s="1"/>
  <c r="U1908" i="22"/>
  <c r="L1909" i="22"/>
  <c r="CP37" i="22" s="1"/>
  <c r="CR37" i="22" s="1"/>
  <c r="K1909" i="22"/>
  <c r="CO37" i="22" s="1"/>
  <c r="U1692" i="22"/>
  <c r="K1693" i="22"/>
  <c r="CO33" i="22" s="1"/>
  <c r="L1693" i="22"/>
  <c r="CP33" i="22" s="1"/>
  <c r="CR33" i="22" s="1"/>
  <c r="U828" i="22"/>
  <c r="K829" i="22"/>
  <c r="CO17" i="22" s="1"/>
  <c r="L829" i="22"/>
  <c r="CP17" i="22" s="1"/>
  <c r="CR17" i="22" s="1"/>
  <c r="U558" i="22"/>
  <c r="K559" i="22"/>
  <c r="CO12" i="22" s="1"/>
  <c r="L559" i="22"/>
  <c r="CP12" i="22" s="1"/>
  <c r="CR12" i="22" s="1"/>
  <c r="U504" i="22"/>
  <c r="K505" i="22"/>
  <c r="CO11" i="22" s="1"/>
  <c r="L505" i="22"/>
  <c r="CP11" i="22" s="1"/>
  <c r="CR11" i="22" s="1"/>
  <c r="U126" i="22"/>
  <c r="L127" i="22"/>
  <c r="CP4" i="22" s="1"/>
  <c r="CR4" i="22" s="1"/>
  <c r="T4722" i="22"/>
  <c r="C4723" i="22"/>
  <c r="E19" i="13"/>
  <c r="E16" i="13"/>
  <c r="E14" i="13" s="1"/>
  <c r="E18" i="13"/>
  <c r="D19" i="13"/>
  <c r="D18" i="13"/>
  <c r="D16" i="13"/>
  <c r="D14" i="13" s="1"/>
  <c r="I68" i="22"/>
  <c r="P68" i="22"/>
  <c r="AA68" i="22"/>
  <c r="CQ68" i="22"/>
  <c r="Q68" i="22"/>
  <c r="J68" i="22"/>
  <c r="J67" i="22"/>
  <c r="AB66" i="22"/>
  <c r="X74" i="3"/>
  <c r="I68" i="5"/>
  <c r="I47" i="22"/>
  <c r="P47" i="22"/>
  <c r="K49" i="5" s="1"/>
  <c r="AA47" i="22"/>
  <c r="AC47" i="22"/>
  <c r="K47" i="22"/>
  <c r="J47" i="22"/>
  <c r="Q47" i="22"/>
  <c r="L49" i="5" s="1"/>
  <c r="I46" i="22"/>
  <c r="P46" i="22"/>
  <c r="K48" i="5" s="1"/>
  <c r="AA46" i="22"/>
  <c r="K46" i="22"/>
  <c r="AC46" i="22"/>
  <c r="J46" i="22"/>
  <c r="Q46" i="22"/>
  <c r="L48" i="5" s="1"/>
  <c r="I30" i="22"/>
  <c r="P30" i="22"/>
  <c r="K32" i="5" s="1"/>
  <c r="AA30" i="22"/>
  <c r="K30" i="22"/>
  <c r="AC30" i="22"/>
  <c r="Q30" i="22"/>
  <c r="L32" i="5" s="1"/>
  <c r="J30" i="22"/>
  <c r="I29" i="22"/>
  <c r="P29" i="22"/>
  <c r="K31" i="5" s="1"/>
  <c r="AA29" i="22"/>
  <c r="K29" i="22"/>
  <c r="AC29" i="22"/>
  <c r="Q29" i="22"/>
  <c r="L31" i="5" s="1"/>
  <c r="J29" i="22"/>
  <c r="AC23" i="22"/>
  <c r="V27" i="6" s="1"/>
  <c r="K23" i="22"/>
  <c r="I23" i="22"/>
  <c r="P23" i="22"/>
  <c r="K25" i="5" s="1"/>
  <c r="AA23" i="22"/>
  <c r="P25" i="5"/>
  <c r="CQ23" i="22"/>
  <c r="P18" i="5"/>
  <c r="CQ16" i="22"/>
  <c r="AC16" i="22"/>
  <c r="K16" i="22"/>
  <c r="I16" i="22"/>
  <c r="P16" i="22"/>
  <c r="K18" i="5" s="1"/>
  <c r="AA16" i="22"/>
  <c r="Q16" i="22"/>
  <c r="L18" i="5" s="1"/>
  <c r="J16" i="22"/>
  <c r="AC10" i="22"/>
  <c r="V14" i="6" s="1"/>
  <c r="K10" i="22"/>
  <c r="P10" i="22"/>
  <c r="K12" i="5" s="1"/>
  <c r="AA10" i="22"/>
  <c r="I10" i="22"/>
  <c r="J10" i="22"/>
  <c r="Q10" i="22"/>
  <c r="L12" i="5" s="1"/>
  <c r="K9" i="22"/>
  <c r="AC9" i="22"/>
  <c r="I9" i="22"/>
  <c r="AA9" i="22"/>
  <c r="P9" i="22"/>
  <c r="K11" i="5" s="1"/>
  <c r="J9" i="22"/>
  <c r="Q9" i="22"/>
  <c r="L11" i="5" s="1"/>
  <c r="AC5" i="22"/>
  <c r="K5" i="22"/>
  <c r="I5" i="22"/>
  <c r="P5" i="22"/>
  <c r="K7" i="5" s="1"/>
  <c r="AA5" i="22"/>
  <c r="P7" i="5"/>
  <c r="CQ5" i="22"/>
  <c r="J5" i="22"/>
  <c r="Q5" i="22"/>
  <c r="L7" i="5" s="1"/>
  <c r="P4" i="22"/>
  <c r="K6" i="5" s="1"/>
  <c r="AA4" i="22"/>
  <c r="I4" i="22"/>
  <c r="C15" i="14"/>
  <c r="C17" i="14"/>
  <c r="AC4" i="22"/>
  <c r="K4" i="22"/>
  <c r="C24" i="14"/>
  <c r="AI4" i="22"/>
  <c r="E56" i="19"/>
  <c r="G56" i="19" s="1"/>
  <c r="P116" i="12"/>
  <c r="K3637" i="22"/>
  <c r="CO69" i="22" s="1"/>
  <c r="U3636" i="22"/>
  <c r="L3313" i="22"/>
  <c r="CP63" i="22" s="1"/>
  <c r="CR63" i="22" s="1"/>
  <c r="U3312" i="22"/>
  <c r="AD62" i="22"/>
  <c r="Y70" i="3"/>
  <c r="J64" i="5"/>
  <c r="L2881" i="22"/>
  <c r="CP55" i="22" s="1"/>
  <c r="CR55" i="22" s="1"/>
  <c r="K2881" i="22"/>
  <c r="CO55" i="22" s="1"/>
  <c r="U2880" i="22"/>
  <c r="I56" i="5"/>
  <c r="X62" i="3"/>
  <c r="N54" i="22"/>
  <c r="CT54" i="22" s="1"/>
  <c r="AB54" i="22"/>
  <c r="O54" i="22"/>
  <c r="AH54" i="22"/>
  <c r="AD45" i="22"/>
  <c r="Y53" i="3"/>
  <c r="J47" i="5"/>
  <c r="AD44" i="22"/>
  <c r="Y52" i="3"/>
  <c r="J46" i="5"/>
  <c r="AD43" i="22"/>
  <c r="Y51" i="3"/>
  <c r="J45" i="5"/>
  <c r="AD35" i="22"/>
  <c r="Y43" i="3"/>
  <c r="J37" i="5"/>
  <c r="K1747" i="22"/>
  <c r="CO34" i="22" s="1"/>
  <c r="U1746" i="22"/>
  <c r="L1639" i="22"/>
  <c r="CP32" i="22" s="1"/>
  <c r="CR32" i="22" s="1"/>
  <c r="U1638" i="22"/>
  <c r="AD25" i="22"/>
  <c r="Y33" i="3"/>
  <c r="J27" i="5"/>
  <c r="L883" i="22"/>
  <c r="CP18" i="22" s="1"/>
  <c r="CR18" i="22" s="1"/>
  <c r="K883" i="22"/>
  <c r="CO18" i="22" s="1"/>
  <c r="U882" i="22"/>
  <c r="U64" i="17"/>
  <c r="F56" i="12"/>
  <c r="M116" i="12"/>
  <c r="O116" i="12"/>
  <c r="D38" i="10"/>
  <c r="D37" i="10"/>
  <c r="D48" i="10"/>
  <c r="D47" i="10"/>
  <c r="D46" i="10"/>
  <c r="D45" i="10"/>
  <c r="D44" i="10"/>
  <c r="D43" i="10"/>
  <c r="D42" i="10"/>
  <c r="D41" i="10"/>
  <c r="D40" i="10"/>
  <c r="D39" i="10"/>
  <c r="C110" i="8"/>
  <c r="J65" i="22"/>
  <c r="Q65" i="22"/>
  <c r="L67" i="5" s="1"/>
  <c r="J57" i="22"/>
  <c r="Q57" i="22"/>
  <c r="L59" i="5" s="1"/>
  <c r="I65" i="22"/>
  <c r="AA65" i="22"/>
  <c r="P65" i="22"/>
  <c r="K67" i="5" s="1"/>
  <c r="C19" i="15"/>
  <c r="D19" i="15" s="1"/>
  <c r="G18" i="13"/>
  <c r="G16" i="13"/>
  <c r="G14" i="13" s="1"/>
  <c r="F16" i="13"/>
  <c r="F14" i="13" s="1"/>
  <c r="F18" i="13"/>
  <c r="CQ72" i="22"/>
  <c r="D3799" i="22"/>
  <c r="E72" i="22" s="1"/>
  <c r="E3799" i="22"/>
  <c r="F72" i="22" s="1"/>
  <c r="C3799" i="22"/>
  <c r="D72" i="22" s="1"/>
  <c r="CQ71" i="22"/>
  <c r="D3745" i="22"/>
  <c r="E71" i="22" s="1"/>
  <c r="E3745" i="22"/>
  <c r="F71" i="22" s="1"/>
  <c r="C3745" i="22"/>
  <c r="D71" i="22" s="1"/>
  <c r="AA70" i="22"/>
  <c r="P70" i="22"/>
  <c r="I70" i="22"/>
  <c r="CQ70" i="22"/>
  <c r="J70" i="22"/>
  <c r="Q70" i="22"/>
  <c r="AC66" i="22"/>
  <c r="K66" i="22"/>
  <c r="N66" i="22" s="1"/>
  <c r="P68" i="5"/>
  <c r="CQ66" i="22"/>
  <c r="J66" i="22"/>
  <c r="Q66" i="22"/>
  <c r="L68" i="5" s="1"/>
  <c r="AC65" i="22"/>
  <c r="K65" i="22"/>
  <c r="P67" i="5"/>
  <c r="CQ65" i="22"/>
  <c r="AA64" i="22"/>
  <c r="P64" i="22"/>
  <c r="K66" i="5" s="1"/>
  <c r="I64" i="22"/>
  <c r="AC64" i="22"/>
  <c r="K64" i="22"/>
  <c r="J64" i="22"/>
  <c r="Q64" i="22"/>
  <c r="L66" i="5" s="1"/>
  <c r="K63" i="22"/>
  <c r="AC63" i="22"/>
  <c r="CQ62" i="22"/>
  <c r="P64" i="5"/>
  <c r="D3259" i="22"/>
  <c r="E62" i="22" s="1"/>
  <c r="E3259" i="22"/>
  <c r="F62" i="22" s="1"/>
  <c r="C3259" i="22"/>
  <c r="D62" i="22" s="1"/>
  <c r="P61" i="22"/>
  <c r="K63" i="5" s="1"/>
  <c r="AA61" i="22"/>
  <c r="I61" i="22"/>
  <c r="AC61" i="22"/>
  <c r="K61" i="22"/>
  <c r="Q61" i="22"/>
  <c r="L63" i="5" s="1"/>
  <c r="J61" i="22"/>
  <c r="P60" i="22"/>
  <c r="K62" i="5" s="1"/>
  <c r="AA60" i="22"/>
  <c r="I60" i="22"/>
  <c r="AC60" i="22"/>
  <c r="K60" i="22"/>
  <c r="Q60" i="22"/>
  <c r="L62" i="5" s="1"/>
  <c r="J60" i="22"/>
  <c r="AC59" i="22"/>
  <c r="K59" i="22"/>
  <c r="P59" i="22"/>
  <c r="K61" i="5" s="1"/>
  <c r="AA59" i="22"/>
  <c r="I59" i="22"/>
  <c r="Q59" i="22"/>
  <c r="L61" i="5" s="1"/>
  <c r="J59" i="22"/>
  <c r="K58" i="22"/>
  <c r="AC58" i="22"/>
  <c r="AA58" i="22"/>
  <c r="P58" i="22"/>
  <c r="K60" i="5" s="1"/>
  <c r="I58" i="22"/>
  <c r="J58" i="22"/>
  <c r="Q58" i="22"/>
  <c r="L60" i="5" s="1"/>
  <c r="K57" i="22"/>
  <c r="AC57" i="22"/>
  <c r="I57" i="22"/>
  <c r="P57" i="22"/>
  <c r="K59" i="5" s="1"/>
  <c r="AA57" i="22"/>
  <c r="CQ57" i="22"/>
  <c r="P59" i="5"/>
  <c r="AC56" i="22"/>
  <c r="K56" i="22"/>
  <c r="I56" i="22"/>
  <c r="AA56" i="22"/>
  <c r="P56" i="22"/>
  <c r="K58" i="5" s="1"/>
  <c r="CQ56" i="22"/>
  <c r="P58" i="5"/>
  <c r="J56" i="22"/>
  <c r="Q56" i="22"/>
  <c r="L58" i="5" s="1"/>
  <c r="P56" i="5"/>
  <c r="CQ54" i="22"/>
  <c r="K53" i="22"/>
  <c r="AC53" i="22"/>
  <c r="I53" i="22"/>
  <c r="P53" i="22"/>
  <c r="K55" i="5" s="1"/>
  <c r="AA53" i="22"/>
  <c r="Q53" i="22"/>
  <c r="L55" i="5" s="1"/>
  <c r="J53" i="22"/>
  <c r="P52" i="22"/>
  <c r="K54" i="5" s="1"/>
  <c r="I52" i="22"/>
  <c r="AA52" i="22"/>
  <c r="AC52" i="22"/>
  <c r="K52" i="22"/>
  <c r="Q52" i="22"/>
  <c r="L54" i="5" s="1"/>
  <c r="J52" i="22"/>
  <c r="AA51" i="22"/>
  <c r="P51" i="22"/>
  <c r="K53" i="5" s="1"/>
  <c r="I51" i="22"/>
  <c r="K51" i="22"/>
  <c r="AC51" i="22"/>
  <c r="Q51" i="22"/>
  <c r="L53" i="5" s="1"/>
  <c r="J51" i="22"/>
  <c r="K50" i="22"/>
  <c r="AC50" i="22"/>
  <c r="K49" i="22"/>
  <c r="AC49" i="22"/>
  <c r="I48" i="22"/>
  <c r="P48" i="22"/>
  <c r="K50" i="5" s="1"/>
  <c r="AA48" i="22"/>
  <c r="K48" i="22"/>
  <c r="AC48" i="22"/>
  <c r="P50" i="5"/>
  <c r="CQ48" i="22"/>
  <c r="J48" i="22"/>
  <c r="Q48" i="22"/>
  <c r="L50" i="5" s="1"/>
  <c r="CQ45" i="22"/>
  <c r="P47" i="5"/>
  <c r="E2341" i="22"/>
  <c r="F45" i="22" s="1"/>
  <c r="D2341" i="22"/>
  <c r="E45" i="22" s="1"/>
  <c r="P46" i="5"/>
  <c r="CQ44" i="22"/>
  <c r="E2287" i="22"/>
  <c r="F44" i="22" s="1"/>
  <c r="D2287" i="22"/>
  <c r="E44" i="22" s="1"/>
  <c r="E2233" i="22"/>
  <c r="F43" i="22" s="1"/>
  <c r="D2233" i="22"/>
  <c r="E43" i="22" s="1"/>
  <c r="C2233" i="22"/>
  <c r="D43" i="22" s="1"/>
  <c r="AC42" i="22"/>
  <c r="K42" i="22"/>
  <c r="AA42" i="22"/>
  <c r="P42" i="22"/>
  <c r="K44" i="5" s="1"/>
  <c r="I42" i="22"/>
  <c r="J42" i="22"/>
  <c r="Q42" i="22"/>
  <c r="L44" i="5" s="1"/>
  <c r="K41" i="22"/>
  <c r="AC41" i="22"/>
  <c r="I41" i="22"/>
  <c r="P41" i="22"/>
  <c r="K43" i="5" s="1"/>
  <c r="AA41" i="22"/>
  <c r="P43" i="5"/>
  <c r="CQ41" i="22"/>
  <c r="Q41" i="22"/>
  <c r="L43" i="5" s="1"/>
  <c r="J41" i="22"/>
  <c r="I40" i="22"/>
  <c r="P40" i="22"/>
  <c r="K42" i="5" s="1"/>
  <c r="AA40" i="22"/>
  <c r="K40" i="22"/>
  <c r="AC40" i="22"/>
  <c r="Q40" i="22"/>
  <c r="L42" i="5" s="1"/>
  <c r="J40" i="22"/>
  <c r="AC39" i="22"/>
  <c r="K39" i="22"/>
  <c r="AA39" i="22"/>
  <c r="P39" i="22"/>
  <c r="K41" i="5" s="1"/>
  <c r="I39" i="22"/>
  <c r="CQ39" i="22"/>
  <c r="P41" i="5"/>
  <c r="Q39" i="22"/>
  <c r="L41" i="5" s="1"/>
  <c r="J39" i="22"/>
  <c r="AC38" i="22"/>
  <c r="K38" i="22"/>
  <c r="AC37" i="22"/>
  <c r="K37" i="22"/>
  <c r="J37" i="22"/>
  <c r="P38" i="5"/>
  <c r="CQ36" i="22"/>
  <c r="AC36" i="22"/>
  <c r="K36" i="22"/>
  <c r="P37" i="5"/>
  <c r="CQ35" i="22"/>
  <c r="E1801" i="22"/>
  <c r="F35" i="22" s="1"/>
  <c r="C1801" i="22"/>
  <c r="D35" i="22" s="1"/>
  <c r="D1801" i="22"/>
  <c r="E35" i="22" s="1"/>
  <c r="AC34" i="22"/>
  <c r="K34" i="22"/>
  <c r="K33" i="22"/>
  <c r="AC33" i="22"/>
  <c r="K32" i="22"/>
  <c r="AC32" i="22"/>
  <c r="P34" i="5"/>
  <c r="CQ32" i="22"/>
  <c r="K31" i="22"/>
  <c r="AC31" i="22"/>
  <c r="AC28" i="22"/>
  <c r="V11" i="6" s="1"/>
  <c r="K28" i="22"/>
  <c r="P30" i="5"/>
  <c r="CQ28" i="22"/>
  <c r="I28" i="22"/>
  <c r="P28" i="22"/>
  <c r="K30" i="5" s="1"/>
  <c r="AA28" i="22"/>
  <c r="J28" i="22"/>
  <c r="Q28" i="22"/>
  <c r="L30" i="5" s="1"/>
  <c r="AC27" i="22"/>
  <c r="K27" i="22"/>
  <c r="I27" i="22"/>
  <c r="AA27" i="22"/>
  <c r="P27" i="22"/>
  <c r="K29" i="5" s="1"/>
  <c r="P29" i="5"/>
  <c r="CQ27" i="22"/>
  <c r="J27" i="22"/>
  <c r="Q27" i="22"/>
  <c r="L29" i="5" s="1"/>
  <c r="E1315" i="22"/>
  <c r="F26" i="22" s="1"/>
  <c r="C1315" i="22"/>
  <c r="D26" i="22" s="1"/>
  <c r="I26" i="22"/>
  <c r="AA26" i="22"/>
  <c r="P26" i="22"/>
  <c r="K28" i="5" s="1"/>
  <c r="K26" i="22"/>
  <c r="AC26" i="22"/>
  <c r="P27" i="5"/>
  <c r="CQ25" i="22"/>
  <c r="E1261" i="22"/>
  <c r="F25" i="22" s="1"/>
  <c r="D1261" i="22"/>
  <c r="E25" i="22" s="1"/>
  <c r="C1261" i="22"/>
  <c r="D25" i="22" s="1"/>
  <c r="AC24" i="22"/>
  <c r="K24" i="22"/>
  <c r="P24" i="22"/>
  <c r="K26" i="5" s="1"/>
  <c r="AA24" i="22"/>
  <c r="I24" i="22"/>
  <c r="J24" i="22"/>
  <c r="Q24" i="22"/>
  <c r="L26" i="5" s="1"/>
  <c r="E1153" i="22"/>
  <c r="F23" i="22" s="1"/>
  <c r="C1153" i="22"/>
  <c r="D23" i="22" s="1"/>
  <c r="K22" i="22"/>
  <c r="AC22" i="22"/>
  <c r="V26" i="6" s="1"/>
  <c r="I22" i="22"/>
  <c r="P22" i="22"/>
  <c r="K24" i="5" s="1"/>
  <c r="AA22" i="22"/>
  <c r="P24" i="5"/>
  <c r="CQ22" i="22"/>
  <c r="Q22" i="22"/>
  <c r="L24" i="5" s="1"/>
  <c r="J22" i="22"/>
  <c r="I21" i="22"/>
  <c r="AA21" i="22"/>
  <c r="P21" i="22"/>
  <c r="K23" i="5" s="1"/>
  <c r="K21" i="22"/>
  <c r="AC21" i="22"/>
  <c r="P23" i="5"/>
  <c r="CQ21" i="22"/>
  <c r="Q21" i="22"/>
  <c r="L23" i="5" s="1"/>
  <c r="J21" i="22"/>
  <c r="K20" i="22"/>
  <c r="AC20" i="22"/>
  <c r="I20" i="22"/>
  <c r="AA20" i="22"/>
  <c r="P20" i="22"/>
  <c r="K22" i="5" s="1"/>
  <c r="J20" i="22"/>
  <c r="Q20" i="22"/>
  <c r="L22" i="5" s="1"/>
  <c r="P19" i="22"/>
  <c r="K21" i="5" s="1"/>
  <c r="AA19" i="22"/>
  <c r="I19" i="22"/>
  <c r="AC19" i="22"/>
  <c r="K19" i="22"/>
  <c r="CQ19" i="22"/>
  <c r="P21" i="5"/>
  <c r="J19" i="22"/>
  <c r="Q19" i="22"/>
  <c r="L21" i="5" s="1"/>
  <c r="K17" i="22"/>
  <c r="AC17" i="22"/>
  <c r="AC15" i="22"/>
  <c r="K15" i="22"/>
  <c r="P15" i="22"/>
  <c r="K17" i="5" s="1"/>
  <c r="AA15" i="22"/>
  <c r="I15" i="22"/>
  <c r="CQ15" i="22"/>
  <c r="P17" i="5"/>
  <c r="J15" i="22"/>
  <c r="Q15" i="22"/>
  <c r="L17" i="5" s="1"/>
  <c r="AA14" i="22"/>
  <c r="P14" i="22"/>
  <c r="K16" i="5" s="1"/>
  <c r="I14" i="22"/>
  <c r="K14" i="22"/>
  <c r="AC14" i="22"/>
  <c r="V18" i="6" s="1"/>
  <c r="Q14" i="22"/>
  <c r="L16" i="5" s="1"/>
  <c r="J14" i="22"/>
  <c r="AA13" i="22"/>
  <c r="P13" i="22"/>
  <c r="K15" i="5" s="1"/>
  <c r="I13" i="22"/>
  <c r="AC13" i="22"/>
  <c r="K13" i="22"/>
  <c r="Q13" i="22"/>
  <c r="L15" i="5" s="1"/>
  <c r="J13" i="22"/>
  <c r="K12" i="22"/>
  <c r="AC12" i="22"/>
  <c r="V16" i="6" s="1"/>
  <c r="K11" i="22"/>
  <c r="AC11" i="22"/>
  <c r="V15" i="6" s="1"/>
  <c r="AA8" i="22"/>
  <c r="P8" i="22"/>
  <c r="K10" i="5" s="1"/>
  <c r="I8" i="22"/>
  <c r="AC8" i="22"/>
  <c r="V12" i="6" s="1"/>
  <c r="K8" i="22"/>
  <c r="J8" i="22"/>
  <c r="Q8" i="22"/>
  <c r="L10" i="5" s="1"/>
  <c r="P9" i="5"/>
  <c r="CQ7" i="22"/>
  <c r="I7" i="22"/>
  <c r="P7" i="22"/>
  <c r="K9" i="5" s="1"/>
  <c r="AA7" i="22"/>
  <c r="J7" i="22"/>
  <c r="Q7" i="22"/>
  <c r="L9" i="5" s="1"/>
  <c r="I6" i="22"/>
  <c r="P6" i="22"/>
  <c r="K8" i="5" s="1"/>
  <c r="AA6" i="22"/>
  <c r="U10" i="6" s="1"/>
  <c r="K6" i="22"/>
  <c r="AC6" i="22"/>
  <c r="V10" i="6" s="1"/>
  <c r="Q6" i="22"/>
  <c r="L8" i="5" s="1"/>
  <c r="J6" i="22"/>
  <c r="AV72" i="17"/>
  <c r="F107" i="12" s="1"/>
  <c r="AU72" i="17"/>
  <c r="F106" i="12" s="1"/>
  <c r="AT72" i="17"/>
  <c r="F105" i="12" s="1"/>
  <c r="AS72" i="17"/>
  <c r="F104" i="12" s="1"/>
  <c r="AR72" i="17"/>
  <c r="F103" i="12" s="1"/>
  <c r="AQ72" i="17"/>
  <c r="F102" i="12" s="1"/>
  <c r="AP72" i="17"/>
  <c r="F101" i="12" s="1"/>
  <c r="AO72" i="17"/>
  <c r="F100" i="12" s="1"/>
  <c r="AN72" i="17"/>
  <c r="F99" i="12" s="1"/>
  <c r="AM72" i="17"/>
  <c r="F98" i="12" s="1"/>
  <c r="AL72" i="17"/>
  <c r="F97" i="12" s="1"/>
  <c r="G15" i="19"/>
  <c r="L8" i="18"/>
  <c r="C28" i="16"/>
  <c r="J63" i="10"/>
  <c r="C62" i="10"/>
  <c r="C26" i="2"/>
  <c r="E21" i="19"/>
  <c r="G21" i="19" s="1"/>
  <c r="E15" i="19"/>
  <c r="L9" i="18"/>
  <c r="D26" i="2"/>
  <c r="G63" i="12"/>
  <c r="H63" i="12"/>
  <c r="G65" i="12"/>
  <c r="H65" i="12"/>
  <c r="G64" i="12"/>
  <c r="H64" i="12"/>
  <c r="V72" i="17"/>
  <c r="F81" i="12" s="1"/>
  <c r="AC55" i="22"/>
  <c r="K55" i="22"/>
  <c r="K18" i="22"/>
  <c r="AC18" i="22"/>
  <c r="V22" i="6" s="1"/>
  <c r="CO46" i="22"/>
  <c r="CO30" i="22"/>
  <c r="CO29" i="22"/>
  <c r="CP16" i="22"/>
  <c r="CR16" i="22" s="1"/>
  <c r="AE20" i="6"/>
  <c r="CO10" i="22"/>
  <c r="P12" i="5" s="1"/>
  <c r="CP10" i="22"/>
  <c r="CR10" i="22" s="1"/>
  <c r="CO9" i="22"/>
  <c r="CP9" i="22"/>
  <c r="CR9" i="22" s="1"/>
  <c r="AE9" i="6"/>
  <c r="CO4" i="22"/>
  <c r="F19" i="13"/>
  <c r="G19" i="13"/>
  <c r="CO64" i="22"/>
  <c r="CP65" i="22"/>
  <c r="CR65" i="22" s="1"/>
  <c r="CO61" i="22"/>
  <c r="CP61" i="22"/>
  <c r="CR61" i="22" s="1"/>
  <c r="CO60" i="22"/>
  <c r="CP59" i="22"/>
  <c r="CR59" i="22" s="1"/>
  <c r="CO58" i="22"/>
  <c r="CO53" i="22"/>
  <c r="CP53" i="22"/>
  <c r="CR53" i="22" s="1"/>
  <c r="CO52" i="22"/>
  <c r="CP52" i="22"/>
  <c r="CR52" i="22" s="1"/>
  <c r="CO51" i="22"/>
  <c r="CP48" i="22"/>
  <c r="CR48" i="22" s="1"/>
  <c r="CO40" i="22"/>
  <c r="CO42" i="22"/>
  <c r="CP42" i="22"/>
  <c r="CR42" i="22" s="1"/>
  <c r="CP41" i="22"/>
  <c r="CR41" i="22" s="1"/>
  <c r="CP40" i="22"/>
  <c r="CR40" i="22" s="1"/>
  <c r="CP28" i="22"/>
  <c r="CR28" i="22" s="1"/>
  <c r="CP19" i="22"/>
  <c r="CR19" i="22" s="1"/>
  <c r="CO26" i="22"/>
  <c r="CP24" i="22"/>
  <c r="CR24" i="22" s="1"/>
  <c r="AE28" i="6"/>
  <c r="CP22" i="22"/>
  <c r="CR22" i="22" s="1"/>
  <c r="AE26" i="6"/>
  <c r="AE23" i="6"/>
  <c r="CO13" i="22"/>
  <c r="CP21" i="22"/>
  <c r="CR21" i="22" s="1"/>
  <c r="AE25" i="6"/>
  <c r="CO20" i="22"/>
  <c r="AE24" i="6"/>
  <c r="AE21" i="6"/>
  <c r="CP15" i="22"/>
  <c r="CR15" i="22" s="1"/>
  <c r="CO14" i="22"/>
  <c r="CP14" i="22"/>
  <c r="CR14" i="22" s="1"/>
  <c r="AE17" i="6"/>
  <c r="AE16" i="6"/>
  <c r="CP8" i="22"/>
  <c r="CR8" i="22" s="1"/>
  <c r="CO6" i="22"/>
  <c r="CP6" i="22"/>
  <c r="CR6" i="22" s="1"/>
  <c r="AE10" i="6"/>
  <c r="U1854" i="22"/>
  <c r="D1855" i="22" s="1"/>
  <c r="E36" i="22" s="1"/>
  <c r="L1855" i="22"/>
  <c r="CP36" i="22" s="1"/>
  <c r="CR36" i="22" s="1"/>
  <c r="U1584" i="22"/>
  <c r="K1585" i="22"/>
  <c r="CO31" i="22" s="1"/>
  <c r="L1585" i="22"/>
  <c r="CP31" i="22" s="1"/>
  <c r="CR31" i="22" s="1"/>
  <c r="D3529" i="22" l="1"/>
  <c r="E67" i="22" s="1"/>
  <c r="C3529" i="22"/>
  <c r="D67" i="22" s="1"/>
  <c r="D2611" i="22"/>
  <c r="E50" i="22" s="1"/>
  <c r="E2611" i="22"/>
  <c r="F50" i="22" s="1"/>
  <c r="C2611" i="22"/>
  <c r="D50" i="22" s="1"/>
  <c r="E2557" i="22"/>
  <c r="F49" i="22" s="1"/>
  <c r="D2557" i="22"/>
  <c r="E49" i="22" s="1"/>
  <c r="C2557" i="22"/>
  <c r="D49" i="22" s="1"/>
  <c r="E1963" i="22"/>
  <c r="F38" i="22" s="1"/>
  <c r="D1963" i="22"/>
  <c r="E38" i="22" s="1"/>
  <c r="C1963" i="22"/>
  <c r="D38" i="22" s="1"/>
  <c r="D1909" i="22"/>
  <c r="E37" i="22" s="1"/>
  <c r="C1909" i="22"/>
  <c r="D37" i="22" s="1"/>
  <c r="E1693" i="22"/>
  <c r="F33" i="22" s="1"/>
  <c r="D1693" i="22"/>
  <c r="E33" i="22" s="1"/>
  <c r="C1693" i="22"/>
  <c r="D33" i="22" s="1"/>
  <c r="E829" i="22"/>
  <c r="F17" i="22" s="1"/>
  <c r="D829" i="22"/>
  <c r="E17" i="22" s="1"/>
  <c r="C829" i="22"/>
  <c r="D17" i="22" s="1"/>
  <c r="E559" i="22"/>
  <c r="F12" i="22" s="1"/>
  <c r="D559" i="22"/>
  <c r="E12" i="22" s="1"/>
  <c r="C559" i="22"/>
  <c r="D12" i="22" s="1"/>
  <c r="E505" i="22"/>
  <c r="F11" i="22" s="1"/>
  <c r="D505" i="22"/>
  <c r="E11" i="22" s="1"/>
  <c r="C505" i="22"/>
  <c r="D11" i="22" s="1"/>
  <c r="E127" i="22"/>
  <c r="F4" i="22" s="1"/>
  <c r="C127" i="22"/>
  <c r="D4" i="22" s="1"/>
  <c r="V13" i="6"/>
  <c r="U13" i="6"/>
  <c r="P65" i="5"/>
  <c r="CQ63" i="22"/>
  <c r="CQ59" i="22"/>
  <c r="P61" i="5"/>
  <c r="CQ24" i="22"/>
  <c r="P26" i="5"/>
  <c r="P10" i="5"/>
  <c r="CQ8" i="22"/>
  <c r="P49" i="5"/>
  <c r="CQ47" i="22"/>
  <c r="P52" i="5"/>
  <c r="CQ50" i="22"/>
  <c r="P51" i="5"/>
  <c r="CQ49" i="22"/>
  <c r="P40" i="5"/>
  <c r="CQ38" i="22"/>
  <c r="P14" i="5"/>
  <c r="CQ12" i="22"/>
  <c r="P13" i="5"/>
  <c r="CQ11" i="22"/>
  <c r="P36" i="22"/>
  <c r="K38" i="5" s="1"/>
  <c r="AA36" i="22"/>
  <c r="U19" i="6" s="1"/>
  <c r="I36" i="22"/>
  <c r="E29" i="15"/>
  <c r="F29" i="15" s="1"/>
  <c r="G29" i="15" s="1"/>
  <c r="H29" i="15" s="1"/>
  <c r="I29" i="15" s="1"/>
  <c r="E30" i="15"/>
  <c r="F30" i="15" s="1"/>
  <c r="G30" i="15" s="1"/>
  <c r="H30" i="15" s="1"/>
  <c r="I30" i="15" s="1"/>
  <c r="E31" i="15"/>
  <c r="F31" i="15" s="1"/>
  <c r="E32" i="15"/>
  <c r="F32" i="15" s="1"/>
  <c r="E33" i="15"/>
  <c r="F33" i="15" s="1"/>
  <c r="E34" i="15"/>
  <c r="F34" i="15" s="1"/>
  <c r="E35" i="15"/>
  <c r="F35" i="15" s="1"/>
  <c r="E36" i="15"/>
  <c r="F36" i="15" s="1"/>
  <c r="E37" i="15"/>
  <c r="F37" i="15" s="1"/>
  <c r="E38" i="15"/>
  <c r="F38" i="15" s="1"/>
  <c r="E39" i="15"/>
  <c r="F39" i="15" s="1"/>
  <c r="E40" i="15"/>
  <c r="F40" i="15" s="1"/>
  <c r="N68" i="22"/>
  <c r="AB68" i="22"/>
  <c r="AH68" i="22"/>
  <c r="O68" i="22"/>
  <c r="AJ68" i="22" s="1"/>
  <c r="O67" i="22"/>
  <c r="AJ67" i="22" s="1"/>
  <c r="AH67" i="22"/>
  <c r="H68" i="5"/>
  <c r="G68" i="5"/>
  <c r="V74" i="3"/>
  <c r="W74" i="3"/>
  <c r="AF66" i="22"/>
  <c r="I49" i="5"/>
  <c r="X55" i="3"/>
  <c r="N47" i="22"/>
  <c r="AB47" i="22"/>
  <c r="AD47" i="22"/>
  <c r="Y55" i="3"/>
  <c r="J49" i="5"/>
  <c r="O47" i="22"/>
  <c r="AH47" i="22"/>
  <c r="AB46" i="22"/>
  <c r="N46" i="22"/>
  <c r="X54" i="3"/>
  <c r="I48" i="5"/>
  <c r="J48" i="5"/>
  <c r="Y54" i="3"/>
  <c r="AD46" i="22"/>
  <c r="AH46" i="22"/>
  <c r="O46" i="22"/>
  <c r="I32" i="5"/>
  <c r="X38" i="3"/>
  <c r="N30" i="22"/>
  <c r="AB30" i="22"/>
  <c r="AD30" i="22"/>
  <c r="Y38" i="3"/>
  <c r="J32" i="5"/>
  <c r="O30" i="22"/>
  <c r="AH30" i="22"/>
  <c r="AB29" i="22"/>
  <c r="N29" i="22"/>
  <c r="X37" i="3"/>
  <c r="I31" i="5"/>
  <c r="J31" i="5"/>
  <c r="Y37" i="3"/>
  <c r="AD29" i="22"/>
  <c r="AH29" i="22"/>
  <c r="O29" i="22"/>
  <c r="AD23" i="22"/>
  <c r="Y31" i="3"/>
  <c r="J25" i="5"/>
  <c r="I25" i="5"/>
  <c r="X31" i="3"/>
  <c r="N23" i="22"/>
  <c r="AB23" i="22"/>
  <c r="AD16" i="22"/>
  <c r="Y24" i="3"/>
  <c r="J18" i="5"/>
  <c r="I18" i="5"/>
  <c r="X24" i="3"/>
  <c r="N16" i="22"/>
  <c r="AB16" i="22"/>
  <c r="O16" i="22"/>
  <c r="AH16" i="22"/>
  <c r="AD10" i="22"/>
  <c r="Y18" i="3"/>
  <c r="J12" i="5"/>
  <c r="I12" i="5"/>
  <c r="X18" i="3"/>
  <c r="N10" i="22"/>
  <c r="AB10" i="22"/>
  <c r="AH10" i="22"/>
  <c r="O10" i="22"/>
  <c r="AD9" i="22"/>
  <c r="Y17" i="3"/>
  <c r="J11" i="5"/>
  <c r="I11" i="5"/>
  <c r="X17" i="3"/>
  <c r="N9" i="22"/>
  <c r="AB9" i="22"/>
  <c r="O9" i="22"/>
  <c r="AH9" i="22"/>
  <c r="AD5" i="22"/>
  <c r="Y13" i="3"/>
  <c r="J7" i="5"/>
  <c r="I7" i="5"/>
  <c r="X13" i="3"/>
  <c r="N5" i="22"/>
  <c r="AB5" i="22"/>
  <c r="O5" i="22"/>
  <c r="AH5" i="22"/>
  <c r="I6" i="5"/>
  <c r="X12" i="3"/>
  <c r="N4" i="22"/>
  <c r="AB4" i="22"/>
  <c r="C16" i="14"/>
  <c r="V8" i="6"/>
  <c r="V33" i="6"/>
  <c r="C18" i="14"/>
  <c r="AD4" i="22"/>
  <c r="Y12" i="3"/>
  <c r="J6" i="5"/>
  <c r="G22" i="15"/>
  <c r="C14" i="15" s="1"/>
  <c r="C15" i="15" s="1"/>
  <c r="C16" i="15" s="1"/>
  <c r="C17" i="15" s="1"/>
  <c r="AE8" i="6"/>
  <c r="AE33" i="6"/>
  <c r="CQ69" i="22"/>
  <c r="E3637" i="22"/>
  <c r="F69" i="22" s="1"/>
  <c r="D3637" i="22"/>
  <c r="E69" i="22" s="1"/>
  <c r="C3637" i="22"/>
  <c r="D69" i="22" s="1"/>
  <c r="D3313" i="22"/>
  <c r="E63" i="22" s="1"/>
  <c r="C3313" i="22"/>
  <c r="D63" i="22" s="1"/>
  <c r="E3313" i="22"/>
  <c r="F63" i="22" s="1"/>
  <c r="P57" i="5"/>
  <c r="CQ55" i="22"/>
  <c r="C2881" i="22"/>
  <c r="D55" i="22" s="1"/>
  <c r="E2881" i="22"/>
  <c r="F55" i="22" s="1"/>
  <c r="D2881" i="22"/>
  <c r="E55" i="22" s="1"/>
  <c r="O746" i="23"/>
  <c r="O1642" i="23"/>
  <c r="H56" i="5"/>
  <c r="G56" i="5"/>
  <c r="W62" i="3"/>
  <c r="V16" i="4"/>
  <c r="V62" i="3"/>
  <c r="W17" i="4"/>
  <c r="W16" i="4"/>
  <c r="V17" i="4"/>
  <c r="AF54" i="22"/>
  <c r="M56" i="5"/>
  <c r="AJ54" i="22"/>
  <c r="CQ34" i="22"/>
  <c r="P36" i="5"/>
  <c r="E1747" i="22"/>
  <c r="F34" i="22" s="1"/>
  <c r="D1747" i="22"/>
  <c r="E34" i="22" s="1"/>
  <c r="C1747" i="22"/>
  <c r="D34" i="22" s="1"/>
  <c r="E1639" i="22"/>
  <c r="F32" i="22" s="1"/>
  <c r="D1639" i="22"/>
  <c r="E32" i="22" s="1"/>
  <c r="C1639" i="22"/>
  <c r="D32" i="22" s="1"/>
  <c r="P20" i="5"/>
  <c r="CQ18" i="22"/>
  <c r="C883" i="22"/>
  <c r="D18" i="22" s="1"/>
  <c r="E883" i="22"/>
  <c r="F18" i="22" s="1"/>
  <c r="D883" i="22"/>
  <c r="E18" i="22" s="1"/>
  <c r="AL66" i="17"/>
  <c r="AL68" i="17" s="1"/>
  <c r="AM66" i="17"/>
  <c r="AM68" i="17" s="1"/>
  <c r="AN66" i="17"/>
  <c r="AO66" i="17"/>
  <c r="AO68" i="17" s="1"/>
  <c r="AP66" i="17"/>
  <c r="AP68" i="17" s="1"/>
  <c r="AQ66" i="17"/>
  <c r="AS66" i="17"/>
  <c r="AS68" i="17" s="1"/>
  <c r="AU66" i="17"/>
  <c r="AU68" i="17" s="1"/>
  <c r="AV66" i="17"/>
  <c r="AV68" i="17" s="1"/>
  <c r="D107" i="12" s="1"/>
  <c r="AR66" i="17"/>
  <c r="AR68" i="17" s="1"/>
  <c r="C8" i="17"/>
  <c r="C7" i="17"/>
  <c r="V66" i="17"/>
  <c r="AT66" i="17"/>
  <c r="AX66" i="17"/>
  <c r="AX68" i="17" s="1"/>
  <c r="BA66" i="17"/>
  <c r="BA68" i="17" s="1"/>
  <c r="AY66" i="17"/>
  <c r="AY68" i="17" s="1"/>
  <c r="BC66" i="17"/>
  <c r="AZ66" i="17"/>
  <c r="BE66" i="17"/>
  <c r="BE68" i="17" s="1"/>
  <c r="C6" i="17"/>
  <c r="E18" i="19" s="1"/>
  <c r="G18" i="19" s="1"/>
  <c r="W66" i="17"/>
  <c r="W68" i="17" s="1"/>
  <c r="X66" i="17"/>
  <c r="X68" i="17" s="1"/>
  <c r="Y66" i="17"/>
  <c r="Z66" i="17"/>
  <c r="Z68" i="17" s="1"/>
  <c r="AA66" i="17"/>
  <c r="AA68" i="17" s="1"/>
  <c r="AB66" i="17"/>
  <c r="AC66" i="17"/>
  <c r="AC68" i="17" s="1"/>
  <c r="AD66" i="17"/>
  <c r="AD68" i="17" s="1"/>
  <c r="AE66" i="17"/>
  <c r="AF66" i="17"/>
  <c r="AF68" i="17" s="1"/>
  <c r="AG66" i="17"/>
  <c r="AG68" i="17" s="1"/>
  <c r="AH66" i="17"/>
  <c r="AI66" i="17"/>
  <c r="AI68" i="17" s="1"/>
  <c r="AJ66" i="17"/>
  <c r="AJ68" i="17" s="1"/>
  <c r="AK66" i="17"/>
  <c r="AW66" i="17"/>
  <c r="BB66" i="17"/>
  <c r="BB68" i="17" s="1"/>
  <c r="BD66" i="17"/>
  <c r="BD68" i="17" s="1"/>
  <c r="BE70" i="17"/>
  <c r="BE69" i="17"/>
  <c r="BC69" i="17"/>
  <c r="BD70" i="17"/>
  <c r="BD69" i="17"/>
  <c r="BC70" i="17"/>
  <c r="BB70" i="17"/>
  <c r="BB69" i="17"/>
  <c r="AZ69" i="17"/>
  <c r="AZ70" i="17"/>
  <c r="BA70" i="17"/>
  <c r="BA69" i="17"/>
  <c r="AY69" i="17"/>
  <c r="AY70" i="17"/>
  <c r="AX70" i="17"/>
  <c r="AX69" i="17"/>
  <c r="AV69" i="17"/>
  <c r="AV71" i="17" s="1"/>
  <c r="AW70" i="17"/>
  <c r="AW69" i="17"/>
  <c r="AV70" i="17"/>
  <c r="AU70" i="17"/>
  <c r="AU69" i="17"/>
  <c r="AT69" i="17"/>
  <c r="AT70" i="17"/>
  <c r="AS69" i="17"/>
  <c r="AS70" i="17"/>
  <c r="AR70" i="17"/>
  <c r="AR69" i="17"/>
  <c r="AP70" i="17"/>
  <c r="AQ69" i="17"/>
  <c r="AP69" i="17"/>
  <c r="AQ70" i="17"/>
  <c r="AN69" i="17"/>
  <c r="AN70" i="17"/>
  <c r="AO70" i="17"/>
  <c r="AO69" i="17"/>
  <c r="AM69" i="17"/>
  <c r="AM70" i="17"/>
  <c r="AL70" i="17"/>
  <c r="AL69" i="17"/>
  <c r="AL71" i="17" s="1"/>
  <c r="AJ70" i="17"/>
  <c r="AK69" i="17"/>
  <c r="AJ69" i="17"/>
  <c r="AK70" i="17"/>
  <c r="AI69" i="17"/>
  <c r="AI70" i="17"/>
  <c r="AH69" i="17"/>
  <c r="AH70" i="17"/>
  <c r="AG70" i="17"/>
  <c r="AG69" i="17"/>
  <c r="AF69" i="17"/>
  <c r="AF70" i="17"/>
  <c r="AE69" i="17"/>
  <c r="AE70" i="17"/>
  <c r="AD70" i="17"/>
  <c r="AD69" i="17"/>
  <c r="AC70" i="17"/>
  <c r="AC69" i="17"/>
  <c r="AB69" i="17"/>
  <c r="AB70" i="17"/>
  <c r="AA70" i="17"/>
  <c r="AA69" i="17"/>
  <c r="Z69" i="17"/>
  <c r="Z70" i="17"/>
  <c r="Y69" i="17"/>
  <c r="Y70" i="17"/>
  <c r="W69" i="17"/>
  <c r="V70" i="17"/>
  <c r="X69" i="17"/>
  <c r="W70" i="17"/>
  <c r="X70" i="17"/>
  <c r="V69" i="17"/>
  <c r="C116" i="12"/>
  <c r="O65" i="22"/>
  <c r="AH65" i="22"/>
  <c r="AH57" i="22"/>
  <c r="O57" i="22"/>
  <c r="I67" i="5"/>
  <c r="X73" i="3"/>
  <c r="N65" i="22"/>
  <c r="AB65" i="22"/>
  <c r="D17" i="15"/>
  <c r="C18" i="15"/>
  <c r="E28" i="19"/>
  <c r="G28" i="19" s="1"/>
  <c r="P72" i="22"/>
  <c r="AA72" i="22"/>
  <c r="I72" i="22"/>
  <c r="Q72" i="22"/>
  <c r="J72" i="22"/>
  <c r="I71" i="22"/>
  <c r="P71" i="22"/>
  <c r="AA71" i="22"/>
  <c r="Q71" i="22"/>
  <c r="J71" i="22"/>
  <c r="AB70" i="22"/>
  <c r="N70" i="22"/>
  <c r="AH70" i="22"/>
  <c r="O70" i="22"/>
  <c r="AJ70" i="22" s="1"/>
  <c r="AD66" i="22"/>
  <c r="Y74" i="3"/>
  <c r="J68" i="5"/>
  <c r="O66" i="22"/>
  <c r="AH66" i="22"/>
  <c r="AD65" i="22"/>
  <c r="Y73" i="3"/>
  <c r="J67" i="5"/>
  <c r="I66" i="5"/>
  <c r="X72" i="3"/>
  <c r="N64" i="22"/>
  <c r="CS64" i="22" s="1"/>
  <c r="AB64" i="22"/>
  <c r="AD64" i="22"/>
  <c r="Y72" i="3"/>
  <c r="J66" i="5"/>
  <c r="O64" i="22"/>
  <c r="AH64" i="22"/>
  <c r="AD63" i="22"/>
  <c r="Y71" i="3"/>
  <c r="J65" i="5"/>
  <c r="AA62" i="22"/>
  <c r="P62" i="22"/>
  <c r="K64" i="5" s="1"/>
  <c r="I62" i="22"/>
  <c r="J62" i="22"/>
  <c r="Q62" i="22"/>
  <c r="L64" i="5" s="1"/>
  <c r="I63" i="5"/>
  <c r="X69" i="3"/>
  <c r="N61" i="22"/>
  <c r="CS61" i="22" s="1"/>
  <c r="AB61" i="22"/>
  <c r="AD61" i="22"/>
  <c r="Y69" i="3"/>
  <c r="J63" i="5"/>
  <c r="O61" i="22"/>
  <c r="AH61" i="22"/>
  <c r="I62" i="5"/>
  <c r="X68" i="3"/>
  <c r="N60" i="22"/>
  <c r="CS60" i="22" s="1"/>
  <c r="AB60" i="22"/>
  <c r="AD60" i="22"/>
  <c r="Y68" i="3"/>
  <c r="J62" i="5"/>
  <c r="O60" i="22"/>
  <c r="AH60" i="22"/>
  <c r="AD59" i="22"/>
  <c r="Y67" i="3"/>
  <c r="J61" i="5"/>
  <c r="I61" i="5"/>
  <c r="X67" i="3"/>
  <c r="N59" i="22"/>
  <c r="AB59" i="22"/>
  <c r="O59" i="22"/>
  <c r="AH59" i="22"/>
  <c r="AD58" i="22"/>
  <c r="Y66" i="3"/>
  <c r="J60" i="5"/>
  <c r="I60" i="5"/>
  <c r="X66" i="3"/>
  <c r="N58" i="22"/>
  <c r="CS58" i="22" s="1"/>
  <c r="AB58" i="22"/>
  <c r="O58" i="22"/>
  <c r="AH58" i="22"/>
  <c r="J59" i="5"/>
  <c r="Y65" i="3"/>
  <c r="AD57" i="22"/>
  <c r="AB57" i="22"/>
  <c r="N57" i="22"/>
  <c r="X65" i="3"/>
  <c r="I59" i="5"/>
  <c r="AD56" i="22"/>
  <c r="Y64" i="3"/>
  <c r="J58" i="5"/>
  <c r="I58" i="5"/>
  <c r="X64" i="3"/>
  <c r="N56" i="22"/>
  <c r="AB56" i="22"/>
  <c r="O56" i="22"/>
  <c r="AH56" i="22"/>
  <c r="E62" i="19"/>
  <c r="G62" i="19" s="1"/>
  <c r="Q56" i="5"/>
  <c r="AD53" i="22"/>
  <c r="Y61" i="3"/>
  <c r="J55" i="5"/>
  <c r="I55" i="5"/>
  <c r="X61" i="3"/>
  <c r="N53" i="22"/>
  <c r="CS53" i="22" s="1"/>
  <c r="AB53" i="22"/>
  <c r="O53" i="22"/>
  <c r="AH53" i="22"/>
  <c r="AB52" i="22"/>
  <c r="N52" i="22"/>
  <c r="CS52" i="22" s="1"/>
  <c r="X60" i="3"/>
  <c r="I54" i="5"/>
  <c r="AD52" i="22"/>
  <c r="Y60" i="3"/>
  <c r="J54" i="5"/>
  <c r="AH52" i="22"/>
  <c r="O52" i="22"/>
  <c r="AB51" i="22"/>
  <c r="N51" i="22"/>
  <c r="CS51" i="22" s="1"/>
  <c r="X59" i="3"/>
  <c r="I53" i="5"/>
  <c r="AD51" i="22"/>
  <c r="Y59" i="3"/>
  <c r="J53" i="5"/>
  <c r="AH51" i="22"/>
  <c r="O51" i="22"/>
  <c r="AD50" i="22"/>
  <c r="Y58" i="3"/>
  <c r="J52" i="5"/>
  <c r="AD49" i="22"/>
  <c r="Y57" i="3"/>
  <c r="J51" i="5"/>
  <c r="I50" i="5"/>
  <c r="X56" i="3"/>
  <c r="N48" i="22"/>
  <c r="AB48" i="22"/>
  <c r="AD48" i="22"/>
  <c r="Y56" i="3"/>
  <c r="J50" i="5"/>
  <c r="O48" i="22"/>
  <c r="AH48" i="22"/>
  <c r="Q45" i="22"/>
  <c r="L47" i="5" s="1"/>
  <c r="J45" i="22"/>
  <c r="P45" i="22"/>
  <c r="K47" i="5" s="1"/>
  <c r="AA45" i="22"/>
  <c r="U28" i="6" s="1"/>
  <c r="I45" i="22"/>
  <c r="J44" i="22"/>
  <c r="Q44" i="22"/>
  <c r="L46" i="5" s="1"/>
  <c r="I44" i="22"/>
  <c r="AA44" i="22"/>
  <c r="U27" i="6" s="1"/>
  <c r="P44" i="22"/>
  <c r="K46" i="5" s="1"/>
  <c r="Q43" i="22"/>
  <c r="L45" i="5" s="1"/>
  <c r="J43" i="22"/>
  <c r="I43" i="22"/>
  <c r="AA43" i="22"/>
  <c r="U26" i="6" s="1"/>
  <c r="P43" i="22"/>
  <c r="K45" i="5" s="1"/>
  <c r="AD42" i="22"/>
  <c r="Y50" i="3"/>
  <c r="J44" i="5"/>
  <c r="I44" i="5"/>
  <c r="X50" i="3"/>
  <c r="N42" i="22"/>
  <c r="AB42" i="22"/>
  <c r="O42" i="22"/>
  <c r="AH42" i="22"/>
  <c r="AD41" i="22"/>
  <c r="Y49" i="3"/>
  <c r="J43" i="5"/>
  <c r="I43" i="5"/>
  <c r="X49" i="3"/>
  <c r="N41" i="22"/>
  <c r="AB41" i="22"/>
  <c r="O41" i="22"/>
  <c r="AH41" i="22"/>
  <c r="I42" i="5"/>
  <c r="X48" i="3"/>
  <c r="N40" i="22"/>
  <c r="AB40" i="22"/>
  <c r="AD40" i="22"/>
  <c r="Y48" i="3"/>
  <c r="J42" i="5"/>
  <c r="O40" i="22"/>
  <c r="AH40" i="22"/>
  <c r="AD39" i="22"/>
  <c r="Y47" i="3"/>
  <c r="J41" i="5"/>
  <c r="I41" i="5"/>
  <c r="X47" i="3"/>
  <c r="N39" i="22"/>
  <c r="AB39" i="22"/>
  <c r="O39" i="22"/>
  <c r="AH39" i="22"/>
  <c r="AD38" i="22"/>
  <c r="Y46" i="3"/>
  <c r="J40" i="5"/>
  <c r="AD37" i="22"/>
  <c r="Y45" i="3"/>
  <c r="J39" i="5"/>
  <c r="O37" i="22"/>
  <c r="AH37" i="22"/>
  <c r="AD36" i="22"/>
  <c r="Y44" i="3"/>
  <c r="J38" i="5"/>
  <c r="Q35" i="22"/>
  <c r="L37" i="5" s="1"/>
  <c r="J35" i="22"/>
  <c r="AA35" i="22"/>
  <c r="U18" i="6" s="1"/>
  <c r="P35" i="22"/>
  <c r="K37" i="5" s="1"/>
  <c r="I35" i="22"/>
  <c r="AD34" i="22"/>
  <c r="Y42" i="3"/>
  <c r="J36" i="5"/>
  <c r="AD33" i="22"/>
  <c r="Y41" i="3"/>
  <c r="J35" i="5"/>
  <c r="AD32" i="22"/>
  <c r="Y40" i="3"/>
  <c r="J34" i="5"/>
  <c r="AD31" i="22"/>
  <c r="Y39" i="3"/>
  <c r="J33" i="5"/>
  <c r="AD28" i="22"/>
  <c r="Y36" i="3"/>
  <c r="J30" i="5"/>
  <c r="I30" i="5"/>
  <c r="X36" i="3"/>
  <c r="N28" i="22"/>
  <c r="AB28" i="22"/>
  <c r="O28" i="22"/>
  <c r="AH28" i="22"/>
  <c r="AD27" i="22"/>
  <c r="Y35" i="3"/>
  <c r="J29" i="5"/>
  <c r="I29" i="5"/>
  <c r="X35" i="3"/>
  <c r="N27" i="22"/>
  <c r="AB27" i="22"/>
  <c r="O27" i="22"/>
  <c r="AH27" i="22"/>
  <c r="Q26" i="22"/>
  <c r="L28" i="5" s="1"/>
  <c r="J26" i="22"/>
  <c r="I28" i="5"/>
  <c r="X34" i="3"/>
  <c r="N26" i="22"/>
  <c r="AB26" i="22"/>
  <c r="AD26" i="22"/>
  <c r="Y34" i="3"/>
  <c r="J28" i="5"/>
  <c r="Q25" i="22"/>
  <c r="L27" i="5" s="1"/>
  <c r="J25" i="22"/>
  <c r="I25" i="22"/>
  <c r="AA25" i="22"/>
  <c r="U8" i="6" s="1"/>
  <c r="P25" i="22"/>
  <c r="K27" i="5" s="1"/>
  <c r="AD24" i="22"/>
  <c r="Y32" i="3"/>
  <c r="J26" i="5"/>
  <c r="I26" i="5"/>
  <c r="X32" i="3"/>
  <c r="N24" i="22"/>
  <c r="AB24" i="22"/>
  <c r="O24" i="22"/>
  <c r="AH24" i="22"/>
  <c r="Q23" i="22"/>
  <c r="L25" i="5" s="1"/>
  <c r="J23" i="22"/>
  <c r="AD22" i="22"/>
  <c r="Y26" i="6" s="1"/>
  <c r="Y30" i="3"/>
  <c r="J24" i="5"/>
  <c r="I24" i="5"/>
  <c r="X30" i="3"/>
  <c r="N22" i="22"/>
  <c r="AB22" i="22"/>
  <c r="O22" i="22"/>
  <c r="AH22" i="22"/>
  <c r="I23" i="5"/>
  <c r="X29" i="3"/>
  <c r="N21" i="22"/>
  <c r="AB21" i="22"/>
  <c r="AD21" i="22"/>
  <c r="Y29" i="3"/>
  <c r="J23" i="5"/>
  <c r="O21" i="22"/>
  <c r="AH21" i="22"/>
  <c r="AD20" i="22"/>
  <c r="Y28" i="3"/>
  <c r="J22" i="5"/>
  <c r="I22" i="5"/>
  <c r="X28" i="3"/>
  <c r="N20" i="22"/>
  <c r="AB20" i="22"/>
  <c r="O20" i="22"/>
  <c r="AH20" i="22"/>
  <c r="I21" i="5"/>
  <c r="X27" i="3"/>
  <c r="N19" i="22"/>
  <c r="AB19" i="22"/>
  <c r="AD19" i="22"/>
  <c r="Y27" i="3"/>
  <c r="J21" i="5"/>
  <c r="O19" i="22"/>
  <c r="AH19" i="22"/>
  <c r="AD17" i="22"/>
  <c r="Y25" i="3"/>
  <c r="J19" i="5"/>
  <c r="AD15" i="22"/>
  <c r="Y23" i="3"/>
  <c r="J17" i="5"/>
  <c r="I17" i="5"/>
  <c r="X23" i="3"/>
  <c r="N15" i="22"/>
  <c r="AB15" i="22"/>
  <c r="O15" i="22"/>
  <c r="AH15" i="22"/>
  <c r="I16" i="5"/>
  <c r="X22" i="3"/>
  <c r="N14" i="22"/>
  <c r="AB14" i="22"/>
  <c r="AD14" i="22"/>
  <c r="Y22" i="3"/>
  <c r="J16" i="5"/>
  <c r="O14" i="22"/>
  <c r="AH14" i="22"/>
  <c r="I15" i="5"/>
  <c r="X21" i="3"/>
  <c r="N13" i="22"/>
  <c r="AB13" i="22"/>
  <c r="AD13" i="22"/>
  <c r="Y17" i="6" s="1"/>
  <c r="Y21" i="3"/>
  <c r="J15" i="5"/>
  <c r="O13" i="22"/>
  <c r="AH13" i="22"/>
  <c r="J14" i="5"/>
  <c r="Y20" i="3"/>
  <c r="AD12" i="22"/>
  <c r="Y16" i="6" s="1"/>
  <c r="AD11" i="22"/>
  <c r="Y19" i="3"/>
  <c r="J13" i="5"/>
  <c r="AB8" i="22"/>
  <c r="N8" i="22"/>
  <c r="X16" i="3"/>
  <c r="I10" i="5"/>
  <c r="J10" i="5"/>
  <c r="Y16" i="3"/>
  <c r="AD8" i="22"/>
  <c r="AH8" i="22"/>
  <c r="O8" i="22"/>
  <c r="I9" i="5"/>
  <c r="X15" i="3"/>
  <c r="N7" i="22"/>
  <c r="AB7" i="22"/>
  <c r="O7" i="22"/>
  <c r="AH7" i="22"/>
  <c r="I8" i="5"/>
  <c r="X14" i="3"/>
  <c r="N6" i="22"/>
  <c r="CS6" i="22" s="1"/>
  <c r="AB6" i="22"/>
  <c r="AD6" i="22"/>
  <c r="Y14" i="3"/>
  <c r="J8" i="5"/>
  <c r="O6" i="22"/>
  <c r="AH6" i="22"/>
  <c r="D97" i="12"/>
  <c r="K5" i="19"/>
  <c r="J5" i="19"/>
  <c r="C17" i="13"/>
  <c r="C10" i="11"/>
  <c r="C68" i="10"/>
  <c r="C63" i="10"/>
  <c r="C13" i="9"/>
  <c r="C27" i="2"/>
  <c r="E24" i="19"/>
  <c r="G24" i="19" s="1"/>
  <c r="G30" i="2"/>
  <c r="F13" i="9"/>
  <c r="D27" i="2"/>
  <c r="AD55" i="22"/>
  <c r="Y63" i="3"/>
  <c r="J57" i="5"/>
  <c r="AD18" i="22"/>
  <c r="Y26" i="3"/>
  <c r="J20" i="5"/>
  <c r="P48" i="5"/>
  <c r="CS46" i="22"/>
  <c r="CQ46" i="22"/>
  <c r="CQ30" i="22"/>
  <c r="CS30" i="22"/>
  <c r="P32" i="5"/>
  <c r="CQ29" i="22"/>
  <c r="CS29" i="22"/>
  <c r="P31" i="5"/>
  <c r="CS10" i="22"/>
  <c r="CQ10" i="22"/>
  <c r="CQ9" i="22"/>
  <c r="CS9" i="22"/>
  <c r="P11" i="5"/>
  <c r="CQ4" i="22"/>
  <c r="P6" i="5"/>
  <c r="P66" i="5"/>
  <c r="CQ64" i="22"/>
  <c r="CQ61" i="22"/>
  <c r="P63" i="5"/>
  <c r="P62" i="5"/>
  <c r="CQ60" i="22"/>
  <c r="P60" i="5"/>
  <c r="CQ58" i="22"/>
  <c r="CQ53" i="22"/>
  <c r="P55" i="5"/>
  <c r="P54" i="5"/>
  <c r="CQ52" i="22"/>
  <c r="CQ51" i="22"/>
  <c r="P53" i="5"/>
  <c r="CQ40" i="22"/>
  <c r="P42" i="5"/>
  <c r="P44" i="5"/>
  <c r="CQ42" i="22"/>
  <c r="P39" i="5"/>
  <c r="CQ37" i="22"/>
  <c r="CQ33" i="22"/>
  <c r="P35" i="5"/>
  <c r="CQ26" i="22"/>
  <c r="P28" i="5"/>
  <c r="P15" i="5"/>
  <c r="CQ13" i="22"/>
  <c r="CQ20" i="22"/>
  <c r="P22" i="5"/>
  <c r="CQ17" i="22"/>
  <c r="P19" i="5"/>
  <c r="P16" i="5"/>
  <c r="CQ14" i="22"/>
  <c r="CQ6" i="22"/>
  <c r="P8" i="5"/>
  <c r="E1855" i="22"/>
  <c r="F36" i="22" s="1"/>
  <c r="C1855" i="22"/>
  <c r="D36" i="22" s="1"/>
  <c r="E1585" i="22"/>
  <c r="F31" i="22" s="1"/>
  <c r="D1585" i="22"/>
  <c r="E31" i="22" s="1"/>
  <c r="C1585" i="22"/>
  <c r="D31" i="22" s="1"/>
  <c r="P33" i="5"/>
  <c r="CQ31" i="22"/>
  <c r="U9" i="6"/>
  <c r="V20" i="6"/>
  <c r="V9" i="6"/>
  <c r="Q116" i="12"/>
  <c r="V23" i="6"/>
  <c r="V21" i="6"/>
  <c r="V28" i="6"/>
  <c r="U24" i="6"/>
  <c r="V25" i="6"/>
  <c r="V24" i="6"/>
  <c r="U23" i="6"/>
  <c r="V19" i="6"/>
  <c r="V17" i="6"/>
  <c r="G71" i="12"/>
  <c r="I67" i="22" l="1"/>
  <c r="P67" i="22"/>
  <c r="AA67" i="22"/>
  <c r="Q67" i="22"/>
  <c r="P50" i="22"/>
  <c r="K52" i="5" s="1"/>
  <c r="AA50" i="22"/>
  <c r="U12" i="6" s="1"/>
  <c r="I50" i="22"/>
  <c r="Q50" i="22"/>
  <c r="L52" i="5" s="1"/>
  <c r="J50" i="22"/>
  <c r="Q49" i="22"/>
  <c r="L51" i="5" s="1"/>
  <c r="J49" i="22"/>
  <c r="AA49" i="22"/>
  <c r="U11" i="6" s="1"/>
  <c r="I49" i="22"/>
  <c r="P49" i="22"/>
  <c r="K51" i="5" s="1"/>
  <c r="Q38" i="22"/>
  <c r="L40" i="5" s="1"/>
  <c r="J38" i="22"/>
  <c r="I38" i="22"/>
  <c r="P38" i="22"/>
  <c r="K40" i="5" s="1"/>
  <c r="AA38" i="22"/>
  <c r="Q37" i="22"/>
  <c r="L39" i="5" s="1"/>
  <c r="I37" i="22"/>
  <c r="AA37" i="22"/>
  <c r="U20" i="6" s="1"/>
  <c r="P37" i="22"/>
  <c r="K39" i="5" s="1"/>
  <c r="Q33" i="22"/>
  <c r="L35" i="5" s="1"/>
  <c r="J33" i="22"/>
  <c r="P33" i="22"/>
  <c r="K35" i="5" s="1"/>
  <c r="AA33" i="22"/>
  <c r="I33" i="22"/>
  <c r="J17" i="22"/>
  <c r="Q17" i="22"/>
  <c r="L19" i="5" s="1"/>
  <c r="I17" i="22"/>
  <c r="P17" i="22"/>
  <c r="K19" i="5" s="1"/>
  <c r="AA17" i="22"/>
  <c r="U21" i="6" s="1"/>
  <c r="J12" i="22"/>
  <c r="Q12" i="22"/>
  <c r="L14" i="5" s="1"/>
  <c r="I12" i="22"/>
  <c r="P12" i="22"/>
  <c r="K14" i="5" s="1"/>
  <c r="AA12" i="22"/>
  <c r="U16" i="6" s="1"/>
  <c r="Q11" i="22"/>
  <c r="L13" i="5" s="1"/>
  <c r="J11" i="22"/>
  <c r="AA11" i="22"/>
  <c r="P11" i="22"/>
  <c r="K13" i="5" s="1"/>
  <c r="I11" i="22"/>
  <c r="Q4" i="22"/>
  <c r="J4" i="22"/>
  <c r="G31" i="15"/>
  <c r="H31" i="15" s="1"/>
  <c r="I31" i="15" s="1"/>
  <c r="G32" i="15"/>
  <c r="G33" i="15"/>
  <c r="H33" i="15" s="1"/>
  <c r="I33" i="15" s="1"/>
  <c r="G34" i="15"/>
  <c r="H34" i="15" s="1"/>
  <c r="I34" i="15" s="1"/>
  <c r="G35" i="15"/>
  <c r="H35" i="15" s="1"/>
  <c r="I35" i="15" s="1"/>
  <c r="G36" i="15"/>
  <c r="H36" i="15" s="1"/>
  <c r="I36" i="15" s="1"/>
  <c r="G37" i="15"/>
  <c r="H37" i="15" s="1"/>
  <c r="I37" i="15" s="1"/>
  <c r="X13" i="6"/>
  <c r="Y27" i="6"/>
  <c r="Y13" i="6"/>
  <c r="AD13" i="6"/>
  <c r="CS42" i="22"/>
  <c r="CS40" i="22"/>
  <c r="Y11" i="6"/>
  <c r="CS20" i="22"/>
  <c r="Y24" i="6"/>
  <c r="Y25" i="6"/>
  <c r="Y19" i="6"/>
  <c r="CS14" i="22"/>
  <c r="Y18" i="6"/>
  <c r="CS13" i="22"/>
  <c r="Y15" i="6"/>
  <c r="Y12" i="6"/>
  <c r="X10" i="6"/>
  <c r="Y10" i="6"/>
  <c r="AD10" i="6"/>
  <c r="Y22" i="6"/>
  <c r="AH16" i="6"/>
  <c r="I38" i="5"/>
  <c r="X44" i="3"/>
  <c r="N36" i="22"/>
  <c r="AB36" i="22"/>
  <c r="X19" i="6" s="1"/>
  <c r="AM71" i="17"/>
  <c r="D98" i="12"/>
  <c r="AO71" i="17"/>
  <c r="D100" i="12"/>
  <c r="AP71" i="17"/>
  <c r="D101" i="12"/>
  <c r="AS71" i="17"/>
  <c r="D104" i="12"/>
  <c r="AU71" i="17"/>
  <c r="D106" i="12"/>
  <c r="D103" i="12"/>
  <c r="AR71" i="17"/>
  <c r="CS68" i="22"/>
  <c r="AF68" i="22"/>
  <c r="AC68" i="5"/>
  <c r="AB68" i="5"/>
  <c r="CS47" i="22"/>
  <c r="H49" i="5"/>
  <c r="G49" i="5"/>
  <c r="V55" i="3"/>
  <c r="W56" i="4"/>
  <c r="V56" i="4"/>
  <c r="W55" i="3"/>
  <c r="AF47" i="22"/>
  <c r="M49" i="5"/>
  <c r="AJ47" i="22"/>
  <c r="G48" i="5"/>
  <c r="H48" i="5"/>
  <c r="W55" i="4"/>
  <c r="V55" i="4"/>
  <c r="V54" i="3"/>
  <c r="W54" i="3"/>
  <c r="AF46" i="22"/>
  <c r="M48" i="5"/>
  <c r="AJ46" i="22"/>
  <c r="H32" i="5"/>
  <c r="G32" i="5"/>
  <c r="W38" i="3"/>
  <c r="V38" i="3"/>
  <c r="AF30" i="22"/>
  <c r="M32" i="5"/>
  <c r="AJ30" i="22"/>
  <c r="H31" i="5"/>
  <c r="G31" i="5"/>
  <c r="V37" i="3"/>
  <c r="W37" i="3"/>
  <c r="V39" i="4"/>
  <c r="V40" i="4"/>
  <c r="W39" i="4"/>
  <c r="W40" i="4"/>
  <c r="AF29" i="22"/>
  <c r="M31" i="5"/>
  <c r="AJ29" i="22"/>
  <c r="CS23" i="22"/>
  <c r="G25" i="5"/>
  <c r="H25" i="5"/>
  <c r="V31" i="3"/>
  <c r="W35" i="4"/>
  <c r="W31" i="3"/>
  <c r="V35" i="4"/>
  <c r="AF23" i="22"/>
  <c r="CS16" i="22"/>
  <c r="H18" i="5"/>
  <c r="G18" i="5"/>
  <c r="V28" i="4"/>
  <c r="W28" i="4"/>
  <c r="V24" i="3"/>
  <c r="W24" i="3"/>
  <c r="AF16" i="22"/>
  <c r="M18" i="5"/>
  <c r="AJ16" i="22"/>
  <c r="H12" i="5"/>
  <c r="G12" i="5"/>
  <c r="V18" i="3"/>
  <c r="V23" i="4"/>
  <c r="W23" i="4"/>
  <c r="W18" i="3"/>
  <c r="AF10" i="22"/>
  <c r="M12" i="5"/>
  <c r="AJ10" i="22"/>
  <c r="H11" i="5"/>
  <c r="G11" i="5"/>
  <c r="W22" i="4"/>
  <c r="V22" i="4"/>
  <c r="W17" i="3"/>
  <c r="W15" i="4"/>
  <c r="V17" i="3"/>
  <c r="V15" i="4"/>
  <c r="AF9" i="22"/>
  <c r="M11" i="5"/>
  <c r="AJ9" i="22"/>
  <c r="CS5" i="22"/>
  <c r="H7" i="5"/>
  <c r="G7" i="5"/>
  <c r="W13" i="3"/>
  <c r="W18" i="4"/>
  <c r="W19" i="4"/>
  <c r="V13" i="3"/>
  <c r="V18" i="4"/>
  <c r="V19" i="4"/>
  <c r="AF5" i="22"/>
  <c r="M7" i="5"/>
  <c r="AJ5" i="22"/>
  <c r="C20" i="14"/>
  <c r="C21" i="14"/>
  <c r="H6" i="5"/>
  <c r="G6" i="5"/>
  <c r="W8" i="4"/>
  <c r="W12" i="3"/>
  <c r="W7" i="4"/>
  <c r="V12" i="3"/>
  <c r="V8" i="4"/>
  <c r="V7" i="4"/>
  <c r="V9" i="4"/>
  <c r="W9" i="4"/>
  <c r="AF4" i="22"/>
  <c r="Y8" i="6"/>
  <c r="Y33" i="6"/>
  <c r="U23" i="5"/>
  <c r="Q69" i="22"/>
  <c r="J69" i="22"/>
  <c r="AA69" i="22"/>
  <c r="P69" i="22"/>
  <c r="I69" i="22"/>
  <c r="AA63" i="22"/>
  <c r="U25" i="6" s="1"/>
  <c r="P63" i="22"/>
  <c r="K65" i="5" s="1"/>
  <c r="I63" i="22"/>
  <c r="Q63" i="22"/>
  <c r="L65" i="5" s="1"/>
  <c r="J63" i="22"/>
  <c r="J55" i="22"/>
  <c r="Q55" i="22"/>
  <c r="L57" i="5" s="1"/>
  <c r="P55" i="22"/>
  <c r="K57" i="5" s="1"/>
  <c r="AA55" i="22"/>
  <c r="I55" i="22"/>
  <c r="C112" i="8"/>
  <c r="C111" i="8"/>
  <c r="AC56" i="5"/>
  <c r="AB56" i="5"/>
  <c r="J34" i="22"/>
  <c r="Q34" i="22"/>
  <c r="L36" i="5" s="1"/>
  <c r="I34" i="22"/>
  <c r="P34" i="22"/>
  <c r="K36" i="5" s="1"/>
  <c r="AA34" i="22"/>
  <c r="U17" i="6" s="1"/>
  <c r="J32" i="22"/>
  <c r="Q32" i="22"/>
  <c r="L34" i="5" s="1"/>
  <c r="P32" i="22"/>
  <c r="K34" i="5" s="1"/>
  <c r="AA32" i="22"/>
  <c r="U15" i="6" s="1"/>
  <c r="I32" i="22"/>
  <c r="J18" i="22"/>
  <c r="Q18" i="22"/>
  <c r="L20" i="5" s="1"/>
  <c r="I18" i="22"/>
  <c r="AA18" i="22"/>
  <c r="P18" i="22"/>
  <c r="K20" i="5" s="1"/>
  <c r="AN68" i="17"/>
  <c r="C51" i="12"/>
  <c r="D55" i="12"/>
  <c r="I55" i="12" s="1"/>
  <c r="AQ68" i="17"/>
  <c r="D56" i="12"/>
  <c r="I56" i="12" s="1"/>
  <c r="C52" i="12"/>
  <c r="D24" i="2"/>
  <c r="E20" i="19"/>
  <c r="G20" i="19" s="1"/>
  <c r="C13" i="17"/>
  <c r="C10" i="17"/>
  <c r="E9" i="19"/>
  <c r="G9" i="19" s="1"/>
  <c r="C26" i="16"/>
  <c r="C18" i="13"/>
  <c r="C53" i="10"/>
  <c r="C24" i="2"/>
  <c r="E19" i="19"/>
  <c r="G19" i="19" s="1"/>
  <c r="D8" i="19"/>
  <c r="C12" i="17"/>
  <c r="C11" i="17"/>
  <c r="G31" i="2"/>
  <c r="C9" i="17"/>
  <c r="V68" i="17"/>
  <c r="D49" i="12"/>
  <c r="I49" i="12" s="1"/>
  <c r="AT68" i="17"/>
  <c r="C53" i="12"/>
  <c r="D109" i="12"/>
  <c r="AX71" i="17"/>
  <c r="D112" i="12"/>
  <c r="BA71" i="17"/>
  <c r="D110" i="12"/>
  <c r="AY71" i="17"/>
  <c r="BC68" i="17"/>
  <c r="C56" i="12"/>
  <c r="AZ68" i="17"/>
  <c r="C55" i="12"/>
  <c r="D116" i="12"/>
  <c r="L116" i="12" s="1"/>
  <c r="BE71" i="17"/>
  <c r="W71" i="17"/>
  <c r="D82" i="12"/>
  <c r="D83" i="12"/>
  <c r="X71" i="17"/>
  <c r="Y68" i="17"/>
  <c r="D50" i="12"/>
  <c r="I50" i="12" s="1"/>
  <c r="D85" i="12"/>
  <c r="J97" i="12" s="1"/>
  <c r="Z71" i="17"/>
  <c r="AA71" i="17"/>
  <c r="D86" i="12"/>
  <c r="J98" i="12" s="1"/>
  <c r="AB68" i="17"/>
  <c r="D51" i="12"/>
  <c r="I51" i="12" s="1"/>
  <c r="D88" i="12"/>
  <c r="J100" i="12" s="1"/>
  <c r="AC71" i="17"/>
  <c r="AD71" i="17"/>
  <c r="D89" i="12"/>
  <c r="J101" i="12" s="1"/>
  <c r="AE68" i="17"/>
  <c r="D52" i="12"/>
  <c r="I52" i="12" s="1"/>
  <c r="D91" i="12"/>
  <c r="J103" i="12" s="1"/>
  <c r="AF71" i="17"/>
  <c r="D92" i="12"/>
  <c r="J104" i="12" s="1"/>
  <c r="AG71" i="17"/>
  <c r="AH68" i="17"/>
  <c r="F12" i="17"/>
  <c r="E8" i="19" s="1"/>
  <c r="D53" i="12"/>
  <c r="I53" i="12" s="1"/>
  <c r="C49" i="12"/>
  <c r="C51" i="10"/>
  <c r="D94" i="12"/>
  <c r="J106" i="12" s="1"/>
  <c r="AI71" i="17"/>
  <c r="D95" i="12"/>
  <c r="J107" i="12" s="1"/>
  <c r="AJ71" i="17"/>
  <c r="AK68" i="17"/>
  <c r="D54" i="12"/>
  <c r="I54" i="12" s="1"/>
  <c r="C50" i="12"/>
  <c r="AW68" i="17"/>
  <c r="C54" i="12"/>
  <c r="BB71" i="17"/>
  <c r="D113" i="12"/>
  <c r="D115" i="12"/>
  <c r="BD71" i="17"/>
  <c r="G116" i="12"/>
  <c r="M67" i="5"/>
  <c r="AJ65" i="22"/>
  <c r="M59" i="5"/>
  <c r="AJ57" i="22"/>
  <c r="CS65" i="22"/>
  <c r="H67" i="5"/>
  <c r="G67" i="5"/>
  <c r="W73" i="3"/>
  <c r="V71" i="4"/>
  <c r="V70" i="4"/>
  <c r="W71" i="4"/>
  <c r="W70" i="4"/>
  <c r="V73" i="3"/>
  <c r="AF65" i="22"/>
  <c r="N72" i="22"/>
  <c r="AB72" i="22"/>
  <c r="O72" i="22"/>
  <c r="AJ72" i="22" s="1"/>
  <c r="AH72" i="22"/>
  <c r="AB71" i="22"/>
  <c r="N71" i="22"/>
  <c r="AH71" i="22"/>
  <c r="O71" i="22"/>
  <c r="AJ71" i="22" s="1"/>
  <c r="CS70" i="22"/>
  <c r="AF70" i="22"/>
  <c r="CS66" i="22"/>
  <c r="M68" i="5"/>
  <c r="AJ66" i="22"/>
  <c r="H66" i="5"/>
  <c r="G66" i="5"/>
  <c r="V69" i="4"/>
  <c r="W69" i="4"/>
  <c r="W72" i="3"/>
  <c r="V72" i="3"/>
  <c r="AF64" i="22"/>
  <c r="M66" i="5"/>
  <c r="AJ64" i="22"/>
  <c r="I64" i="5"/>
  <c r="X70" i="3"/>
  <c r="N62" i="22"/>
  <c r="AB62" i="22"/>
  <c r="X24" i="6" s="1"/>
  <c r="O62" i="22"/>
  <c r="AH62" i="22"/>
  <c r="AD24" i="6" s="1"/>
  <c r="H63" i="5"/>
  <c r="G63" i="5"/>
  <c r="V66" i="4"/>
  <c r="W66" i="4"/>
  <c r="V67" i="4"/>
  <c r="W69" i="3"/>
  <c r="V69" i="3"/>
  <c r="W67" i="4"/>
  <c r="AF61" i="22"/>
  <c r="M63" i="5"/>
  <c r="AJ61" i="22"/>
  <c r="H62" i="5"/>
  <c r="G62" i="5"/>
  <c r="V68" i="3"/>
  <c r="W68" i="3"/>
  <c r="AF60" i="22"/>
  <c r="M62" i="5"/>
  <c r="AJ60" i="22"/>
  <c r="CS59" i="22"/>
  <c r="G61" i="5"/>
  <c r="H61" i="5"/>
  <c r="V67" i="3"/>
  <c r="V65" i="4"/>
  <c r="W67" i="3"/>
  <c r="W65" i="4"/>
  <c r="AF59" i="22"/>
  <c r="M61" i="5"/>
  <c r="AJ59" i="22"/>
  <c r="H60" i="5"/>
  <c r="G60" i="5"/>
  <c r="V64" i="4"/>
  <c r="V66" i="3"/>
  <c r="W66" i="3"/>
  <c r="W64" i="4"/>
  <c r="AF58" i="22"/>
  <c r="M60" i="5"/>
  <c r="AJ58" i="22"/>
  <c r="CS57" i="22"/>
  <c r="H59" i="5"/>
  <c r="G59" i="5"/>
  <c r="V65" i="3"/>
  <c r="W63" i="4"/>
  <c r="W65" i="3"/>
  <c r="V63" i="4"/>
  <c r="AF57" i="22"/>
  <c r="CS56" i="22"/>
  <c r="G58" i="5"/>
  <c r="H58" i="5"/>
  <c r="W64" i="3"/>
  <c r="W62" i="4"/>
  <c r="V62" i="4"/>
  <c r="V64" i="3"/>
  <c r="AF56" i="22"/>
  <c r="M58" i="5"/>
  <c r="AJ56" i="22"/>
  <c r="K8" i="19"/>
  <c r="J8" i="19"/>
  <c r="H55" i="5"/>
  <c r="G55" i="5"/>
  <c r="W60" i="4"/>
  <c r="V61" i="3"/>
  <c r="W61" i="3"/>
  <c r="V59" i="4"/>
  <c r="V60" i="4"/>
  <c r="W59" i="4"/>
  <c r="AF53" i="22"/>
  <c r="M55" i="5"/>
  <c r="AJ53" i="22"/>
  <c r="H54" i="5"/>
  <c r="G54" i="5"/>
  <c r="W10" i="4"/>
  <c r="W60" i="3"/>
  <c r="V60" i="3"/>
  <c r="V10" i="4"/>
  <c r="AF52" i="22"/>
  <c r="M54" i="5"/>
  <c r="AJ52" i="22"/>
  <c r="H53" i="5"/>
  <c r="G53" i="5"/>
  <c r="V59" i="3"/>
  <c r="W59" i="3"/>
  <c r="AF51" i="22"/>
  <c r="M53" i="5"/>
  <c r="AJ51" i="22"/>
  <c r="CS48" i="22"/>
  <c r="H50" i="5"/>
  <c r="G50" i="5"/>
  <c r="V56" i="3"/>
  <c r="W56" i="3"/>
  <c r="AF48" i="22"/>
  <c r="M50" i="5"/>
  <c r="AJ48" i="22"/>
  <c r="O45" i="22"/>
  <c r="AH45" i="22"/>
  <c r="AD28" i="6" s="1"/>
  <c r="I47" i="5"/>
  <c r="X53" i="3"/>
  <c r="N45" i="22"/>
  <c r="AB45" i="22"/>
  <c r="X28" i="6" s="1"/>
  <c r="O44" i="22"/>
  <c r="AH44" i="22"/>
  <c r="I46" i="5"/>
  <c r="X52" i="3"/>
  <c r="N44" i="22"/>
  <c r="AB44" i="22"/>
  <c r="X27" i="6" s="1"/>
  <c r="O43" i="22"/>
  <c r="AH43" i="22"/>
  <c r="AD26" i="6" s="1"/>
  <c r="I45" i="5"/>
  <c r="X51" i="3"/>
  <c r="N43" i="22"/>
  <c r="AB43" i="22"/>
  <c r="X26" i="6" s="1"/>
  <c r="H44" i="5"/>
  <c r="G44" i="5"/>
  <c r="W50" i="3"/>
  <c r="V50" i="3"/>
  <c r="AF42" i="22"/>
  <c r="M44" i="5"/>
  <c r="AJ42" i="22"/>
  <c r="CS41" i="22"/>
  <c r="H43" i="5"/>
  <c r="G43" i="5"/>
  <c r="W51" i="4"/>
  <c r="W50" i="4"/>
  <c r="V49" i="3"/>
  <c r="V50" i="4"/>
  <c r="V51" i="4"/>
  <c r="W49" i="3"/>
  <c r="AF41" i="22"/>
  <c r="M43" i="5"/>
  <c r="AJ41" i="22"/>
  <c r="H42" i="5"/>
  <c r="G42" i="5"/>
  <c r="V48" i="3"/>
  <c r="W48" i="3"/>
  <c r="V49" i="4"/>
  <c r="W49" i="4"/>
  <c r="AF40" i="22"/>
  <c r="M42" i="5"/>
  <c r="AJ40" i="22"/>
  <c r="CS39" i="22"/>
  <c r="H41" i="5"/>
  <c r="G41" i="5"/>
  <c r="W47" i="3"/>
  <c r="V47" i="3"/>
  <c r="AF39" i="22"/>
  <c r="M41" i="5"/>
  <c r="AJ39" i="22"/>
  <c r="M39" i="5"/>
  <c r="AJ37" i="22"/>
  <c r="H38" i="5"/>
  <c r="G38" i="5"/>
  <c r="V44" i="3"/>
  <c r="W44" i="3"/>
  <c r="AF36" i="22"/>
  <c r="O35" i="22"/>
  <c r="AH35" i="22"/>
  <c r="AD18" i="6" s="1"/>
  <c r="AB35" i="22"/>
  <c r="X18" i="6" s="1"/>
  <c r="N35" i="22"/>
  <c r="X43" i="3"/>
  <c r="I37" i="5"/>
  <c r="CS28" i="22"/>
  <c r="H30" i="5"/>
  <c r="G30" i="5"/>
  <c r="W36" i="3"/>
  <c r="W13" i="4"/>
  <c r="V14" i="4"/>
  <c r="V36" i="3"/>
  <c r="V13" i="4"/>
  <c r="W14" i="4"/>
  <c r="AF28" i="22"/>
  <c r="M30" i="5"/>
  <c r="AJ28" i="22"/>
  <c r="CS27" i="22"/>
  <c r="H29" i="5"/>
  <c r="G29" i="5"/>
  <c r="W11" i="4"/>
  <c r="W12" i="4"/>
  <c r="V11" i="4"/>
  <c r="W35" i="3"/>
  <c r="V35" i="3"/>
  <c r="V12" i="4"/>
  <c r="AF27" i="22"/>
  <c r="M29" i="5"/>
  <c r="AJ27" i="22"/>
  <c r="O26" i="22"/>
  <c r="AH26" i="22"/>
  <c r="AD9" i="6" s="1"/>
  <c r="H28" i="5"/>
  <c r="G28" i="5"/>
  <c r="W38" i="4"/>
  <c r="V38" i="4"/>
  <c r="W34" i="3"/>
  <c r="V34" i="3"/>
  <c r="AF26" i="22"/>
  <c r="O25" i="22"/>
  <c r="AH25" i="22"/>
  <c r="I27" i="5"/>
  <c r="X33" i="3"/>
  <c r="N25" i="22"/>
  <c r="AB25" i="22"/>
  <c r="X8" i="6" s="1"/>
  <c r="CS24" i="22"/>
  <c r="H26" i="5"/>
  <c r="G26" i="5"/>
  <c r="W32" i="3"/>
  <c r="V32" i="3"/>
  <c r="AF24" i="22"/>
  <c r="M26" i="5"/>
  <c r="AJ24" i="22"/>
  <c r="AH23" i="22"/>
  <c r="O23" i="22"/>
  <c r="CS22" i="22"/>
  <c r="G24" i="5"/>
  <c r="H24" i="5"/>
  <c r="W30" i="3"/>
  <c r="V34" i="4"/>
  <c r="V30" i="3"/>
  <c r="W34" i="4"/>
  <c r="AF22" i="22"/>
  <c r="M24" i="5"/>
  <c r="AJ22" i="22"/>
  <c r="CS21" i="22"/>
  <c r="G23" i="5"/>
  <c r="H23" i="5"/>
  <c r="W33" i="4"/>
  <c r="V33" i="4"/>
  <c r="W29" i="3"/>
  <c r="V29" i="3"/>
  <c r="AF21" i="22"/>
  <c r="M23" i="5"/>
  <c r="AJ21" i="22"/>
  <c r="G22" i="5"/>
  <c r="H22" i="5"/>
  <c r="W32" i="4"/>
  <c r="V32" i="4"/>
  <c r="V28" i="3"/>
  <c r="W28" i="3"/>
  <c r="AF20" i="22"/>
  <c r="M22" i="5"/>
  <c r="AJ20" i="22"/>
  <c r="CS19" i="22"/>
  <c r="H21" i="5"/>
  <c r="G21" i="5"/>
  <c r="V27" i="3"/>
  <c r="V31" i="4"/>
  <c r="W31" i="4"/>
  <c r="W27" i="3"/>
  <c r="AF19" i="22"/>
  <c r="M21" i="5"/>
  <c r="AJ19" i="22"/>
  <c r="CS15" i="22"/>
  <c r="H17" i="5"/>
  <c r="G17" i="5"/>
  <c r="V23" i="3"/>
  <c r="W23" i="3"/>
  <c r="AF15" i="22"/>
  <c r="M17" i="5"/>
  <c r="AJ15" i="22"/>
  <c r="H16" i="5"/>
  <c r="G16" i="5"/>
  <c r="W27" i="4"/>
  <c r="V27" i="4"/>
  <c r="V22" i="3"/>
  <c r="W22" i="3"/>
  <c r="AF14" i="22"/>
  <c r="M16" i="5"/>
  <c r="AJ14" i="22"/>
  <c r="H15" i="5"/>
  <c r="G15" i="5"/>
  <c r="V25" i="4"/>
  <c r="W25" i="4"/>
  <c r="W26" i="4"/>
  <c r="V26" i="4"/>
  <c r="W21" i="3"/>
  <c r="V21" i="3"/>
  <c r="AF13" i="22"/>
  <c r="M15" i="5"/>
  <c r="AJ13" i="22"/>
  <c r="CS8" i="22"/>
  <c r="H10" i="5"/>
  <c r="G10" i="5"/>
  <c r="V21" i="4"/>
  <c r="W21" i="4"/>
  <c r="V16" i="3"/>
  <c r="W16" i="3"/>
  <c r="AF8" i="22"/>
  <c r="M10" i="5"/>
  <c r="AJ8" i="22"/>
  <c r="CS7" i="22"/>
  <c r="H9" i="5"/>
  <c r="G9" i="5"/>
  <c r="V15" i="3"/>
  <c r="V20" i="4"/>
  <c r="W20" i="4"/>
  <c r="W15" i="3"/>
  <c r="AF7" i="22"/>
  <c r="M9" i="5"/>
  <c r="AJ7" i="22"/>
  <c r="H8" i="5"/>
  <c r="G8" i="5"/>
  <c r="W14" i="3"/>
  <c r="V14" i="3"/>
  <c r="AF6" i="22"/>
  <c r="M8" i="5"/>
  <c r="AJ6" i="22"/>
  <c r="L107" i="12"/>
  <c r="H107" i="12"/>
  <c r="L106" i="12"/>
  <c r="H106" i="12"/>
  <c r="L104" i="12"/>
  <c r="H104" i="12"/>
  <c r="L103" i="12"/>
  <c r="H103" i="12"/>
  <c r="L101" i="12"/>
  <c r="H101" i="12"/>
  <c r="L100" i="12"/>
  <c r="H100" i="12"/>
  <c r="L98" i="12"/>
  <c r="H98" i="12"/>
  <c r="L97" i="12"/>
  <c r="H97" i="12"/>
  <c r="AH33" i="6"/>
  <c r="Q36" i="22"/>
  <c r="L38" i="5" s="1"/>
  <c r="J36" i="22"/>
  <c r="J31" i="22"/>
  <c r="Q31" i="22"/>
  <c r="L33" i="5" s="1"/>
  <c r="AA31" i="22"/>
  <c r="U14" i="6" s="1"/>
  <c r="P31" i="22"/>
  <c r="K33" i="5" s="1"/>
  <c r="I31" i="22"/>
  <c r="G38" i="15"/>
  <c r="H38" i="15" s="1"/>
  <c r="I38" i="15" s="1"/>
  <c r="G39" i="15"/>
  <c r="H39" i="15" s="1"/>
  <c r="I39" i="15" s="1"/>
  <c r="G40" i="15"/>
  <c r="H40" i="15" s="1"/>
  <c r="I40" i="15" s="1"/>
  <c r="Y20" i="6"/>
  <c r="AD20" i="6"/>
  <c r="Y9" i="6"/>
  <c r="X9" i="6"/>
  <c r="Y14" i="6"/>
  <c r="Y28" i="6"/>
  <c r="X23" i="6"/>
  <c r="Y23" i="6"/>
  <c r="AD23" i="6"/>
  <c r="Y21" i="6"/>
  <c r="AB67" i="22" l="1"/>
  <c r="N67" i="22"/>
  <c r="N50" i="22"/>
  <c r="AB50" i="22"/>
  <c r="X12" i="6" s="1"/>
  <c r="X58" i="3"/>
  <c r="I52" i="5"/>
  <c r="AH50" i="22"/>
  <c r="AD12" i="6" s="1"/>
  <c r="O50" i="22"/>
  <c r="O49" i="22"/>
  <c r="AH49" i="22"/>
  <c r="AD11" i="6" s="1"/>
  <c r="N49" i="22"/>
  <c r="I51" i="5"/>
  <c r="AB49" i="22"/>
  <c r="X11" i="6" s="1"/>
  <c r="X57" i="3"/>
  <c r="O38" i="22"/>
  <c r="AH38" i="22"/>
  <c r="AB38" i="22"/>
  <c r="N38" i="22"/>
  <c r="X46" i="3"/>
  <c r="I40" i="5"/>
  <c r="AB37" i="22"/>
  <c r="X20" i="6" s="1"/>
  <c r="N37" i="22"/>
  <c r="X45" i="3"/>
  <c r="I39" i="5"/>
  <c r="AH33" i="22"/>
  <c r="O33" i="22"/>
  <c r="AB33" i="22"/>
  <c r="N33" i="22"/>
  <c r="I35" i="5"/>
  <c r="X41" i="3"/>
  <c r="AH17" i="22"/>
  <c r="AD21" i="6" s="1"/>
  <c r="O17" i="22"/>
  <c r="AB17" i="22"/>
  <c r="X21" i="6" s="1"/>
  <c r="N17" i="22"/>
  <c r="X25" i="3"/>
  <c r="I19" i="5"/>
  <c r="AH12" i="22"/>
  <c r="AD16" i="6" s="1"/>
  <c r="O12" i="22"/>
  <c r="AB12" i="22"/>
  <c r="X16" i="6" s="1"/>
  <c r="N12" i="22"/>
  <c r="X20" i="3"/>
  <c r="I14" i="5"/>
  <c r="AH11" i="22"/>
  <c r="O11" i="22"/>
  <c r="AB11" i="22"/>
  <c r="N11" i="22"/>
  <c r="X19" i="3"/>
  <c r="I13" i="5"/>
  <c r="C26" i="14"/>
  <c r="L6" i="5"/>
  <c r="C23" i="14"/>
  <c r="AH4" i="22"/>
  <c r="AD8" i="6" s="1"/>
  <c r="O4" i="22"/>
  <c r="H32" i="15"/>
  <c r="I32" i="15" s="1"/>
  <c r="D42" i="15" s="1"/>
  <c r="E29" i="19"/>
  <c r="G29" i="19" s="1"/>
  <c r="AC49" i="5"/>
  <c r="AB49" i="5"/>
  <c r="AC48" i="5"/>
  <c r="AB48" i="5"/>
  <c r="AC32" i="5"/>
  <c r="AB32" i="5"/>
  <c r="AC31" i="5"/>
  <c r="AB31" i="5"/>
  <c r="AC25" i="5"/>
  <c r="AB25" i="5"/>
  <c r="AC18" i="5"/>
  <c r="AB18" i="5"/>
  <c r="AC12" i="5"/>
  <c r="AB12" i="5"/>
  <c r="AC11" i="5"/>
  <c r="AB11" i="5"/>
  <c r="AC7" i="5"/>
  <c r="AB7" i="5"/>
  <c r="AC6" i="5"/>
  <c r="AB6" i="5"/>
  <c r="AH69" i="22"/>
  <c r="O69" i="22"/>
  <c r="AJ69" i="22" s="1"/>
  <c r="AB69" i="22"/>
  <c r="N69" i="22"/>
  <c r="I65" i="5"/>
  <c r="X71" i="3"/>
  <c r="N63" i="22"/>
  <c r="AB63" i="22"/>
  <c r="X25" i="6" s="1"/>
  <c r="O63" i="22"/>
  <c r="AH63" i="22"/>
  <c r="AD25" i="6" s="1"/>
  <c r="O55" i="22"/>
  <c r="AH55" i="22"/>
  <c r="I57" i="5"/>
  <c r="X63" i="3"/>
  <c r="N55" i="22"/>
  <c r="AB55" i="22"/>
  <c r="O34" i="22"/>
  <c r="AH34" i="22"/>
  <c r="AD17" i="6" s="1"/>
  <c r="I36" i="5"/>
  <c r="X42" i="3"/>
  <c r="N34" i="22"/>
  <c r="AB34" i="22"/>
  <c r="O32" i="22"/>
  <c r="AH32" i="22"/>
  <c r="AD15" i="6" s="1"/>
  <c r="I34" i="5"/>
  <c r="X40" i="3"/>
  <c r="N32" i="22"/>
  <c r="AB32" i="22"/>
  <c r="X15" i="6" s="1"/>
  <c r="O18" i="22"/>
  <c r="AH18" i="22"/>
  <c r="I20" i="5"/>
  <c r="X26" i="3"/>
  <c r="N18" i="22"/>
  <c r="AB18" i="22"/>
  <c r="U33" i="6"/>
  <c r="U22" i="6"/>
  <c r="K76" i="5"/>
  <c r="K77" i="5"/>
  <c r="AN71" i="17"/>
  <c r="D99" i="12"/>
  <c r="G51" i="12"/>
  <c r="H51" i="12"/>
  <c r="J51" i="12" s="1"/>
  <c r="E51" i="12"/>
  <c r="D102" i="12"/>
  <c r="AQ71" i="17"/>
  <c r="G52" i="12"/>
  <c r="H52" i="12"/>
  <c r="J52" i="12" s="1"/>
  <c r="E52" i="12"/>
  <c r="D18" i="11"/>
  <c r="G33" i="2"/>
  <c r="H19" i="2"/>
  <c r="D28" i="2"/>
  <c r="D22" i="9"/>
  <c r="G72" i="12"/>
  <c r="G73" i="12"/>
  <c r="C19" i="13"/>
  <c r="D71" i="10"/>
  <c r="F12" i="9"/>
  <c r="G12" i="9" s="1"/>
  <c r="D25" i="2"/>
  <c r="E23" i="19"/>
  <c r="G23" i="19" s="1"/>
  <c r="C28" i="2"/>
  <c r="D21" i="9"/>
  <c r="D17" i="11"/>
  <c r="F19" i="2"/>
  <c r="D20" i="9"/>
  <c r="B33" i="11"/>
  <c r="B75" i="10"/>
  <c r="J54" i="10"/>
  <c r="C16" i="13"/>
  <c r="C9" i="11"/>
  <c r="D9" i="11" s="1"/>
  <c r="D10" i="11" s="1"/>
  <c r="D11" i="11" s="1"/>
  <c r="C67" i="10"/>
  <c r="D67" i="10" s="1"/>
  <c r="D68" i="10" s="1"/>
  <c r="D69" i="10" s="1"/>
  <c r="D70" i="10" s="1"/>
  <c r="C54" i="10"/>
  <c r="C12" i="9"/>
  <c r="D12" i="9" s="1"/>
  <c r="C25" i="2"/>
  <c r="E22" i="19"/>
  <c r="G22" i="19" s="1"/>
  <c r="G29" i="2"/>
  <c r="V71" i="17"/>
  <c r="D81" i="12"/>
  <c r="AT71" i="17"/>
  <c r="D105" i="12"/>
  <c r="E53" i="12"/>
  <c r="H53" i="12"/>
  <c r="J53" i="12" s="1"/>
  <c r="G53" i="12"/>
  <c r="L109" i="12"/>
  <c r="H109" i="12"/>
  <c r="K109" i="12" s="1"/>
  <c r="J109" i="12"/>
  <c r="L112" i="12"/>
  <c r="H112" i="12"/>
  <c r="K112" i="12" s="1"/>
  <c r="J112" i="12"/>
  <c r="L110" i="12"/>
  <c r="H110" i="12"/>
  <c r="K110" i="12" s="1"/>
  <c r="J110" i="12"/>
  <c r="D114" i="12"/>
  <c r="BC71" i="17"/>
  <c r="G56" i="12"/>
  <c r="H56" i="12"/>
  <c r="J56" i="12" s="1"/>
  <c r="E56" i="12"/>
  <c r="AZ71" i="17"/>
  <c r="D111" i="12"/>
  <c r="E55" i="12"/>
  <c r="H55" i="12"/>
  <c r="J55" i="12" s="1"/>
  <c r="G55" i="12"/>
  <c r="H116" i="12"/>
  <c r="K116" i="12" s="1"/>
  <c r="J116" i="12"/>
  <c r="L82" i="12"/>
  <c r="H82" i="12"/>
  <c r="L83" i="12"/>
  <c r="H83" i="12"/>
  <c r="Y71" i="17"/>
  <c r="D84" i="12"/>
  <c r="L85" i="12"/>
  <c r="H85" i="12"/>
  <c r="K97" i="12" s="1"/>
  <c r="L86" i="12"/>
  <c r="H86" i="12"/>
  <c r="K98" i="12" s="1"/>
  <c r="D87" i="12"/>
  <c r="AB71" i="17"/>
  <c r="L88" i="12"/>
  <c r="H88" i="12"/>
  <c r="K100" i="12" s="1"/>
  <c r="L89" i="12"/>
  <c r="H89" i="12"/>
  <c r="K101" i="12" s="1"/>
  <c r="D90" i="12"/>
  <c r="AE71" i="17"/>
  <c r="L91" i="12"/>
  <c r="H91" i="12"/>
  <c r="K103" i="12" s="1"/>
  <c r="L92" i="12"/>
  <c r="H92" i="12"/>
  <c r="K104" i="12" s="1"/>
  <c r="D93" i="12"/>
  <c r="AH71" i="17"/>
  <c r="G49" i="12"/>
  <c r="H49" i="12"/>
  <c r="J49" i="12" s="1"/>
  <c r="E49" i="12"/>
  <c r="L94" i="12"/>
  <c r="H94" i="12"/>
  <c r="J94" i="12"/>
  <c r="L95" i="12"/>
  <c r="H95" i="12"/>
  <c r="J95" i="12"/>
  <c r="D96" i="12"/>
  <c r="AK71" i="17"/>
  <c r="G50" i="12"/>
  <c r="H50" i="12"/>
  <c r="J50" i="12" s="1"/>
  <c r="E50" i="12"/>
  <c r="D108" i="12"/>
  <c r="AW71" i="17"/>
  <c r="G54" i="12"/>
  <c r="H54" i="12"/>
  <c r="J54" i="12" s="1"/>
  <c r="E54" i="12"/>
  <c r="L113" i="12"/>
  <c r="H113" i="12"/>
  <c r="K113" i="12" s="1"/>
  <c r="J113" i="12"/>
  <c r="L115" i="12"/>
  <c r="H115" i="12"/>
  <c r="K115" i="12" s="1"/>
  <c r="J115" i="12"/>
  <c r="AC67" i="5"/>
  <c r="AB67" i="5"/>
  <c r="CS72" i="22"/>
  <c r="AF72" i="22"/>
  <c r="CS71" i="22"/>
  <c r="AF71" i="22"/>
  <c r="AC66" i="5"/>
  <c r="AB66" i="5"/>
  <c r="CS62" i="22"/>
  <c r="H64" i="5"/>
  <c r="G64" i="5"/>
  <c r="W70" i="3"/>
  <c r="W68" i="4"/>
  <c r="V68" i="4"/>
  <c r="V70" i="3"/>
  <c r="AF62" i="22"/>
  <c r="M64" i="5"/>
  <c r="AJ62" i="22"/>
  <c r="AC63" i="5"/>
  <c r="AB63" i="5"/>
  <c r="AC62" i="5"/>
  <c r="AB62" i="5"/>
  <c r="AC61" i="5"/>
  <c r="AB61" i="5"/>
  <c r="AC60" i="5"/>
  <c r="AB60" i="5"/>
  <c r="AC59" i="5"/>
  <c r="AB59" i="5"/>
  <c r="AC58" i="5"/>
  <c r="AB58" i="5"/>
  <c r="AC55" i="5"/>
  <c r="AB55" i="5"/>
  <c r="AC54" i="5"/>
  <c r="AB54" i="5"/>
  <c r="AC53" i="5"/>
  <c r="AB53" i="5"/>
  <c r="AC50" i="5"/>
  <c r="AB50" i="5"/>
  <c r="M47" i="5"/>
  <c r="AJ45" i="22"/>
  <c r="AF28" i="6" s="1"/>
  <c r="CS45" i="22"/>
  <c r="H47" i="5"/>
  <c r="G47" i="5"/>
  <c r="W54" i="4"/>
  <c r="V53" i="3"/>
  <c r="V54" i="4"/>
  <c r="W53" i="3"/>
  <c r="AF45" i="22"/>
  <c r="AA28" i="6" s="1"/>
  <c r="AB28" i="6" s="1"/>
  <c r="M46" i="5"/>
  <c r="AJ44" i="22"/>
  <c r="CS44" i="22"/>
  <c r="G46" i="5"/>
  <c r="H46" i="5"/>
  <c r="V53" i="4"/>
  <c r="W52" i="3"/>
  <c r="V52" i="3"/>
  <c r="W53" i="4"/>
  <c r="AF44" i="22"/>
  <c r="AA27" i="6" s="1"/>
  <c r="AB27" i="6" s="1"/>
  <c r="M45" i="5"/>
  <c r="AJ43" i="22"/>
  <c r="AF26" i="6" s="1"/>
  <c r="CS43" i="22"/>
  <c r="H45" i="5"/>
  <c r="G45" i="5"/>
  <c r="W51" i="3"/>
  <c r="V52" i="4"/>
  <c r="V51" i="3"/>
  <c r="W52" i="4"/>
  <c r="AF43" i="22"/>
  <c r="AA26" i="6" s="1"/>
  <c r="AB26" i="6" s="1"/>
  <c r="AC44" i="5"/>
  <c r="AB44" i="5"/>
  <c r="AC43" i="5"/>
  <c r="AB43" i="5"/>
  <c r="AC42" i="5"/>
  <c r="AB42" i="5"/>
  <c r="AC41" i="5"/>
  <c r="AB41" i="5"/>
  <c r="AC38" i="5"/>
  <c r="AB38" i="5"/>
  <c r="M37" i="5"/>
  <c r="AJ35" i="22"/>
  <c r="AF18" i="6" s="1"/>
  <c r="CS35" i="22"/>
  <c r="H37" i="5"/>
  <c r="G37" i="5"/>
  <c r="W45" i="4"/>
  <c r="W43" i="3"/>
  <c r="V43" i="3"/>
  <c r="V45" i="4"/>
  <c r="AF35" i="22"/>
  <c r="AA18" i="6" s="1"/>
  <c r="AB18" i="6" s="1"/>
  <c r="AC30" i="5"/>
  <c r="AB30" i="5"/>
  <c r="AC29" i="5"/>
  <c r="AB29" i="5"/>
  <c r="CS26" i="22"/>
  <c r="M28" i="5"/>
  <c r="AJ26" i="22"/>
  <c r="AF9" i="6" s="1"/>
  <c r="AC28" i="5"/>
  <c r="AB28" i="5"/>
  <c r="M27" i="5"/>
  <c r="AJ25" i="22"/>
  <c r="CS25" i="22"/>
  <c r="H27" i="5"/>
  <c r="G27" i="5"/>
  <c r="W37" i="4"/>
  <c r="V36" i="4"/>
  <c r="W36" i="4"/>
  <c r="V37" i="4"/>
  <c r="W33" i="3"/>
  <c r="V33" i="3"/>
  <c r="AF25" i="22"/>
  <c r="AA8" i="6" s="1"/>
  <c r="AB8" i="6" s="1"/>
  <c r="AC26" i="5"/>
  <c r="AB26" i="5"/>
  <c r="M25" i="5"/>
  <c r="AJ23" i="22"/>
  <c r="AF27" i="6" s="1"/>
  <c r="AC24" i="5"/>
  <c r="AB24" i="5"/>
  <c r="AC23" i="5"/>
  <c r="AB23" i="5"/>
  <c r="AC22" i="5"/>
  <c r="AB22" i="5"/>
  <c r="AC21" i="5"/>
  <c r="AB21" i="5"/>
  <c r="AC17" i="5"/>
  <c r="AB17" i="5"/>
  <c r="AC16" i="5"/>
  <c r="AB16" i="5"/>
  <c r="AC15" i="5"/>
  <c r="AB15" i="5"/>
  <c r="AC10" i="5"/>
  <c r="AB10" i="5"/>
  <c r="AC9" i="5"/>
  <c r="AB9" i="5"/>
  <c r="AC8" i="5"/>
  <c r="AB8" i="5"/>
  <c r="O36" i="22"/>
  <c r="AH36" i="22"/>
  <c r="AD19" i="6" s="1"/>
  <c r="O31" i="22"/>
  <c r="AH31" i="22"/>
  <c r="AD14" i="6" s="1"/>
  <c r="I33" i="5"/>
  <c r="X39" i="3"/>
  <c r="N31" i="22"/>
  <c r="AB31" i="22"/>
  <c r="X14" i="6" s="1"/>
  <c r="AF20" i="6"/>
  <c r="AA13" i="6"/>
  <c r="AB13" i="6" s="1"/>
  <c r="AF13" i="6"/>
  <c r="AA9" i="6"/>
  <c r="AB9" i="6" s="1"/>
  <c r="G8" i="19"/>
  <c r="AD27" i="6"/>
  <c r="AA24" i="6"/>
  <c r="AB24" i="6" s="1"/>
  <c r="AF24" i="6"/>
  <c r="AA23" i="6"/>
  <c r="AB23" i="6" s="1"/>
  <c r="AF23" i="6"/>
  <c r="AA19" i="6"/>
  <c r="AB19" i="6" s="1"/>
  <c r="AF10" i="6"/>
  <c r="AA10" i="6"/>
  <c r="AB10" i="6" s="1"/>
  <c r="AF67" i="22" l="1"/>
  <c r="CS67" i="22"/>
  <c r="AF50" i="22"/>
  <c r="AA12" i="6" s="1"/>
  <c r="AB12" i="6" s="1"/>
  <c r="V58" i="3"/>
  <c r="W58" i="3"/>
  <c r="G52" i="5"/>
  <c r="H52" i="5"/>
  <c r="CS50" i="22"/>
  <c r="AJ50" i="22"/>
  <c r="AF12" i="6" s="1"/>
  <c r="M52" i="5"/>
  <c r="AJ49" i="22"/>
  <c r="AF11" i="6" s="1"/>
  <c r="M51" i="5"/>
  <c r="V58" i="4"/>
  <c r="V57" i="3"/>
  <c r="W58" i="4"/>
  <c r="V57" i="4"/>
  <c r="W57" i="3"/>
  <c r="G51" i="5"/>
  <c r="H51" i="5"/>
  <c r="CS49" i="22"/>
  <c r="AF49" i="22"/>
  <c r="AA11" i="6" s="1"/>
  <c r="AB11" i="6" s="1"/>
  <c r="W57" i="4"/>
  <c r="M40" i="5"/>
  <c r="AJ38" i="22"/>
  <c r="V48" i="4"/>
  <c r="W46" i="3"/>
  <c r="G40" i="5"/>
  <c r="H40" i="5"/>
  <c r="CS38" i="22"/>
  <c r="V46" i="3"/>
  <c r="W48" i="4"/>
  <c r="AF38" i="22"/>
  <c r="AF37" i="22"/>
  <c r="AA20" i="6" s="1"/>
  <c r="AB20" i="6" s="1"/>
  <c r="V47" i="4"/>
  <c r="W47" i="4"/>
  <c r="W46" i="4"/>
  <c r="V45" i="3"/>
  <c r="V46" i="4"/>
  <c r="G39" i="5"/>
  <c r="W45" i="3"/>
  <c r="H39" i="5"/>
  <c r="CS37" i="22"/>
  <c r="AJ33" i="22"/>
  <c r="M35" i="5"/>
  <c r="AF33" i="22"/>
  <c r="W43" i="4"/>
  <c r="V41" i="3"/>
  <c r="V43" i="4"/>
  <c r="W41" i="3"/>
  <c r="G35" i="5"/>
  <c r="H35" i="5"/>
  <c r="CS33" i="22"/>
  <c r="M19" i="5"/>
  <c r="AJ17" i="22"/>
  <c r="V25" i="3"/>
  <c r="W25" i="3"/>
  <c r="V29" i="4"/>
  <c r="W29" i="4"/>
  <c r="G19" i="5"/>
  <c r="H19" i="5"/>
  <c r="AF17" i="22"/>
  <c r="W30" i="4"/>
  <c r="V30" i="4"/>
  <c r="CS17" i="22"/>
  <c r="AJ12" i="22"/>
  <c r="M14" i="5"/>
  <c r="G14" i="5"/>
  <c r="W20" i="3"/>
  <c r="H14" i="5"/>
  <c r="AF12" i="22"/>
  <c r="V20" i="3"/>
  <c r="CS12" i="22"/>
  <c r="M13" i="5"/>
  <c r="AJ11" i="22"/>
  <c r="W19" i="3"/>
  <c r="G13" i="5"/>
  <c r="AF11" i="22"/>
  <c r="V19" i="3"/>
  <c r="H13" i="5"/>
  <c r="W24" i="4"/>
  <c r="CS11" i="22"/>
  <c r="V24" i="4"/>
  <c r="AJ4" i="22"/>
  <c r="AF8" i="6" s="1"/>
  <c r="M6" i="5"/>
  <c r="C25" i="14"/>
  <c r="CS4" i="22"/>
  <c r="L76" i="5"/>
  <c r="L77" i="5"/>
  <c r="CS69" i="22"/>
  <c r="AF69" i="22"/>
  <c r="CS63" i="22"/>
  <c r="H65" i="5"/>
  <c r="G65" i="5"/>
  <c r="W71" i="3"/>
  <c r="V71" i="3"/>
  <c r="AF63" i="22"/>
  <c r="M65" i="5"/>
  <c r="AJ63" i="22"/>
  <c r="AF25" i="6" s="1"/>
  <c r="M57" i="5"/>
  <c r="AJ55" i="22"/>
  <c r="CS55" i="22"/>
  <c r="H57" i="5"/>
  <c r="G57" i="5"/>
  <c r="V63" i="3"/>
  <c r="W63" i="3"/>
  <c r="W61" i="4"/>
  <c r="V61" i="4"/>
  <c r="AF55" i="22"/>
  <c r="M36" i="5"/>
  <c r="AJ34" i="22"/>
  <c r="AF17" i="6" s="1"/>
  <c r="CS34" i="22"/>
  <c r="H36" i="5"/>
  <c r="G36" i="5"/>
  <c r="W44" i="4"/>
  <c r="V42" i="3"/>
  <c r="V44" i="4"/>
  <c r="W42" i="3"/>
  <c r="AF34" i="22"/>
  <c r="AA17" i="6" s="1"/>
  <c r="AB17" i="6" s="1"/>
  <c r="M34" i="5"/>
  <c r="AJ32" i="22"/>
  <c r="AF15" i="6" s="1"/>
  <c r="CS32" i="22"/>
  <c r="H34" i="5"/>
  <c r="G34" i="5"/>
  <c r="V42" i="4"/>
  <c r="W40" i="3"/>
  <c r="V40" i="3"/>
  <c r="W42" i="4"/>
  <c r="AF32" i="22"/>
  <c r="AA15" i="6" s="1"/>
  <c r="AB15" i="6" s="1"/>
  <c r="M20" i="5"/>
  <c r="AJ18" i="22"/>
  <c r="AD33" i="6"/>
  <c r="AD22" i="6"/>
  <c r="CS18" i="22"/>
  <c r="H20" i="5"/>
  <c r="G20" i="5"/>
  <c r="V26" i="3"/>
  <c r="W26" i="3"/>
  <c r="AF18" i="22"/>
  <c r="U22" i="5"/>
  <c r="X33" i="6"/>
  <c r="X22" i="6"/>
  <c r="L99" i="12"/>
  <c r="H99" i="12"/>
  <c r="K99" i="12" s="1"/>
  <c r="J99" i="12"/>
  <c r="L102" i="12"/>
  <c r="H102" i="12"/>
  <c r="K102" i="12" s="1"/>
  <c r="J102" i="12"/>
  <c r="G13" i="9"/>
  <c r="H12" i="9"/>
  <c r="D63" i="9"/>
  <c r="D13" i="9"/>
  <c r="E12" i="9"/>
  <c r="E63" i="9"/>
  <c r="C63" i="9"/>
  <c r="L81" i="12"/>
  <c r="H81" i="12"/>
  <c r="L105" i="12"/>
  <c r="H105" i="12"/>
  <c r="J105" i="12"/>
  <c r="L114" i="12"/>
  <c r="H114" i="12"/>
  <c r="J114" i="12"/>
  <c r="L111" i="12"/>
  <c r="H111" i="12"/>
  <c r="J111" i="12"/>
  <c r="L84" i="12"/>
  <c r="H84" i="12"/>
  <c r="L87" i="12"/>
  <c r="H87" i="12"/>
  <c r="L90" i="12"/>
  <c r="H90" i="12"/>
  <c r="L93" i="12"/>
  <c r="H93" i="12"/>
  <c r="J93" i="12"/>
  <c r="K106" i="12"/>
  <c r="K94" i="12"/>
  <c r="K107" i="12"/>
  <c r="K95" i="12"/>
  <c r="L96" i="12"/>
  <c r="H96" i="12"/>
  <c r="K96" i="12" s="1"/>
  <c r="J96" i="12"/>
  <c r="L108" i="12"/>
  <c r="H108" i="12"/>
  <c r="J108" i="12"/>
  <c r="AC64" i="5"/>
  <c r="AB64" i="5"/>
  <c r="AC47" i="5"/>
  <c r="AB47" i="5"/>
  <c r="AC46" i="5"/>
  <c r="AB46" i="5"/>
  <c r="AC45" i="5"/>
  <c r="AB45" i="5"/>
  <c r="AC37" i="5"/>
  <c r="AB37" i="5"/>
  <c r="AC27" i="5"/>
  <c r="AB27" i="5"/>
  <c r="CS36" i="22"/>
  <c r="M38" i="5"/>
  <c r="AJ36" i="22"/>
  <c r="AF19" i="6" s="1"/>
  <c r="M33" i="5"/>
  <c r="AJ31" i="22"/>
  <c r="AF14" i="6" s="1"/>
  <c r="CS31" i="22"/>
  <c r="H33" i="5"/>
  <c r="G33" i="5"/>
  <c r="V41" i="4"/>
  <c r="W39" i="3"/>
  <c r="V39" i="3"/>
  <c r="W41" i="4"/>
  <c r="AF31" i="22"/>
  <c r="AA14" i="6" s="1"/>
  <c r="AB14" i="6" s="1"/>
  <c r="X17" i="6"/>
  <c r="E7" i="19"/>
  <c r="G7" i="19" s="1"/>
  <c r="AB52" i="5" l="1"/>
  <c r="AC52" i="5"/>
  <c r="AB51" i="5"/>
  <c r="AC51" i="5"/>
  <c r="AB40" i="5"/>
  <c r="AC40" i="5"/>
  <c r="AB39" i="5"/>
  <c r="AC39" i="5"/>
  <c r="AB35" i="5"/>
  <c r="AC35" i="5"/>
  <c r="AB19" i="5"/>
  <c r="AC19" i="5"/>
  <c r="AC14" i="5"/>
  <c r="AB14" i="5"/>
  <c r="AB13" i="5"/>
  <c r="AC13" i="5"/>
  <c r="AA21" i="6"/>
  <c r="AB21" i="6" s="1"/>
  <c r="AF21" i="6"/>
  <c r="AF16" i="6"/>
  <c r="AA16" i="6"/>
  <c r="K105" i="12"/>
  <c r="K108" i="12"/>
  <c r="AC65" i="5"/>
  <c r="AB65" i="5"/>
  <c r="AA65" i="5"/>
  <c r="AC57" i="5"/>
  <c r="AB57" i="5"/>
  <c r="AA57" i="5"/>
  <c r="AC36" i="5"/>
  <c r="AB36" i="5"/>
  <c r="AA36" i="5"/>
  <c r="AC34" i="5"/>
  <c r="AB34" i="5"/>
  <c r="AA34" i="5"/>
  <c r="M77" i="5"/>
  <c r="M76" i="5"/>
  <c r="AF33" i="6"/>
  <c r="AF22" i="6"/>
  <c r="AA8" i="5"/>
  <c r="AA9" i="5"/>
  <c r="AA10" i="5"/>
  <c r="AA13" i="5"/>
  <c r="AA14" i="5"/>
  <c r="AA15" i="5"/>
  <c r="AA16" i="5"/>
  <c r="AA17" i="5"/>
  <c r="AA19" i="5"/>
  <c r="AA21" i="5"/>
  <c r="AA28" i="5"/>
  <c r="AA29" i="5"/>
  <c r="AA30" i="5"/>
  <c r="AA35" i="5"/>
  <c r="AA38" i="5"/>
  <c r="AA39" i="5"/>
  <c r="AA40" i="5"/>
  <c r="AA41" i="5"/>
  <c r="AA42" i="5"/>
  <c r="AA43" i="5"/>
  <c r="AA44" i="5"/>
  <c r="AA58" i="5"/>
  <c r="AA59" i="5"/>
  <c r="AA61" i="5"/>
  <c r="AA66" i="5"/>
  <c r="AA67" i="5"/>
  <c r="AA22" i="5"/>
  <c r="AA24" i="5"/>
  <c r="AA55" i="5"/>
  <c r="AA50" i="5"/>
  <c r="AA51" i="5"/>
  <c r="AA54" i="5"/>
  <c r="AA60" i="5"/>
  <c r="AA52" i="5"/>
  <c r="AA53" i="5"/>
  <c r="AA62" i="5"/>
  <c r="AA63" i="5"/>
  <c r="AA26" i="5"/>
  <c r="AA23" i="5"/>
  <c r="AA6" i="5"/>
  <c r="AA7" i="5"/>
  <c r="AA11" i="5"/>
  <c r="AA12" i="5"/>
  <c r="AA18" i="5"/>
  <c r="AA25" i="5"/>
  <c r="AA31" i="5"/>
  <c r="AA32" i="5"/>
  <c r="AA48" i="5"/>
  <c r="AA49" i="5"/>
  <c r="AA68" i="5"/>
  <c r="AA56" i="5"/>
  <c r="AC20" i="5"/>
  <c r="AB20" i="5"/>
  <c r="AA20" i="5"/>
  <c r="G77" i="5"/>
  <c r="G76" i="5"/>
  <c r="AA33" i="6"/>
  <c r="N19" i="2"/>
  <c r="AA22" i="6"/>
  <c r="AB22" i="6" s="1"/>
  <c r="H13" i="9"/>
  <c r="G14" i="9"/>
  <c r="E13" i="9"/>
  <c r="D14" i="9"/>
  <c r="D64" i="9"/>
  <c r="C65" i="9"/>
  <c r="E65" i="9"/>
  <c r="AC33" i="5"/>
  <c r="AB33" i="5"/>
  <c r="AA33" i="5"/>
  <c r="AA25" i="6"/>
  <c r="AB25" i="6" s="1"/>
  <c r="E61" i="19"/>
  <c r="G61" i="19" s="1"/>
  <c r="K114" i="12"/>
  <c r="K111" i="12"/>
  <c r="K93" i="12"/>
  <c r="E64" i="9"/>
  <c r="C64" i="9"/>
  <c r="AA64" i="5"/>
  <c r="AA47" i="5"/>
  <c r="AA46" i="5"/>
  <c r="AA45" i="5"/>
  <c r="AA37" i="5"/>
  <c r="AA27" i="5"/>
  <c r="AI16" i="6" l="1"/>
  <c r="AB16" i="6"/>
  <c r="Y7" i="5"/>
  <c r="Y8" i="5"/>
  <c r="Y9" i="5"/>
  <c r="Y10" i="5"/>
  <c r="Y11" i="5"/>
  <c r="Y12" i="5"/>
  <c r="Y13" i="5"/>
  <c r="Y14" i="5"/>
  <c r="Y15" i="5"/>
  <c r="Y16" i="5"/>
  <c r="H76" i="5"/>
  <c r="U24" i="5"/>
  <c r="U25" i="5"/>
  <c r="AB33" i="6"/>
  <c r="AI33" i="6"/>
  <c r="H14" i="9"/>
  <c r="G15" i="9"/>
  <c r="E14" i="9"/>
  <c r="D15" i="9"/>
  <c r="D65" i="9"/>
  <c r="W7" i="5" l="1"/>
  <c r="V7" i="5"/>
  <c r="U7" i="5"/>
  <c r="T7" i="5"/>
  <c r="W8" i="5"/>
  <c r="V8" i="5"/>
  <c r="U8" i="5"/>
  <c r="T8" i="5"/>
  <c r="W9" i="5"/>
  <c r="V9" i="5"/>
  <c r="U9" i="5"/>
  <c r="T9" i="5"/>
  <c r="W10" i="5"/>
  <c r="V10" i="5"/>
  <c r="U10" i="5"/>
  <c r="T10" i="5"/>
  <c r="W11" i="5"/>
  <c r="V11" i="5"/>
  <c r="U11" i="5"/>
  <c r="T11" i="5"/>
  <c r="W12" i="5"/>
  <c r="V12" i="5"/>
  <c r="U12" i="5"/>
  <c r="T12" i="5"/>
  <c r="W13" i="5"/>
  <c r="V13" i="5"/>
  <c r="U13" i="5"/>
  <c r="T13" i="5"/>
  <c r="W14" i="5"/>
  <c r="V14" i="5"/>
  <c r="U14" i="5"/>
  <c r="T14" i="5"/>
  <c r="W15" i="5"/>
  <c r="V15" i="5"/>
  <c r="U15" i="5"/>
  <c r="T15" i="5"/>
  <c r="W16" i="5"/>
  <c r="V16" i="5"/>
  <c r="U16" i="5"/>
  <c r="T16" i="5"/>
  <c r="E12" i="19"/>
  <c r="G12" i="19" s="1"/>
  <c r="G34" i="2"/>
  <c r="H15" i="9"/>
  <c r="D13" i="11"/>
  <c r="E26" i="19"/>
  <c r="G26" i="19" s="1"/>
  <c r="D29" i="2"/>
  <c r="C78" i="10"/>
  <c r="E49" i="19"/>
  <c r="G49" i="19" s="1"/>
  <c r="B6" i="10"/>
  <c r="E11" i="19"/>
  <c r="G11" i="19" s="1"/>
  <c r="C79" i="10"/>
  <c r="E13" i="19"/>
  <c r="G13" i="19" s="1"/>
  <c r="C80" i="10"/>
  <c r="B5" i="9"/>
  <c r="B5" i="10"/>
  <c r="B5" i="11"/>
  <c r="G28" i="2"/>
  <c r="D19" i="2"/>
  <c r="B32" i="11"/>
  <c r="B74" i="10"/>
  <c r="E15" i="9"/>
  <c r="F66" i="9"/>
  <c r="D12" i="11"/>
  <c r="C14" i="13"/>
  <c r="C35" i="2" s="1"/>
  <c r="D25" i="16"/>
  <c r="E25" i="19"/>
  <c r="G25" i="19" s="1"/>
  <c r="E27" i="19"/>
  <c r="G27" i="19" s="1"/>
  <c r="C29" i="2"/>
  <c r="C3" i="19" l="1"/>
  <c r="E3" i="19"/>
  <c r="K4" i="19"/>
  <c r="J4" i="19"/>
  <c r="F15" i="13"/>
  <c r="G15" i="13"/>
  <c r="D15" i="13"/>
  <c r="E15" i="13"/>
  <c r="C15" i="13"/>
  <c r="C34" i="2"/>
  <c r="D26" i="16"/>
  <c r="F38" i="16"/>
  <c r="C39" i="16"/>
  <c r="E39" i="16"/>
  <c r="J6" i="19"/>
  <c r="K6" i="19"/>
  <c r="D20" i="11" l="1"/>
  <c r="L19" i="2"/>
  <c r="E26" i="16"/>
  <c r="D27" i="16"/>
  <c r="D39" i="16"/>
  <c r="C40" i="16"/>
  <c r="E40" i="16"/>
  <c r="E27" i="16" l="1"/>
  <c r="D28" i="16"/>
  <c r="D40" i="16"/>
  <c r="E41" i="16" l="1"/>
  <c r="C41" i="16"/>
  <c r="E28" i="16"/>
  <c r="D29" i="16"/>
  <c r="E42" i="16" s="1"/>
  <c r="D41" i="16"/>
  <c r="C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<sst xmlns="http://schemas.openxmlformats.org/spreadsheetml/2006/main" count="4787" uniqueCount="1767">
  <si>
    <t>Calendar-Year Plan Loss Ratio Workbook — Commercial Auto</t>
  </si>
  <si>
    <t>Plan year 2027  |  one workbook per LOB; rows are BU x state  |  version 3.0.0  |  built 07/31/2026 by src/build_workbook.py (generator v3.0.0)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</si>
  <si>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</si>
  <si>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</si>
  <si>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</si>
  <si>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</si>
  <si>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</si>
  <si>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</si>
  <si>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</si>
  <si>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</si>
  <si>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</si>
  <si>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</si>
  <si>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</si>
  <si>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</si>
  <si>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</si>
  <si>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</si>
  <si>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</si>
  <si>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</si>
  <si>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</si>
  <si>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</si>
  <si>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</si>
  <si>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</si>
  <si>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</si>
  <si>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</si>
  <si>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</si>
  <si>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</si>
  <si>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</si>
  <si>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</si>
  <si>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</si>
  <si>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</si>
  <si>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</si>
  <si>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</si>
  <si>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</si>
  <si>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</si>
  <si>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</si>
  <si>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</si>
  <si>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</si>
  <si>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</si>
  <si>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</si>
  <si>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</si>
  <si>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</si>
  <si>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</si>
  <si>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</si>
  <si>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</si>
  <si>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</si>
  <si>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</si>
  <si>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</si>
  <si>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</si>
  <si>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</si>
  <si>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</si>
  <si>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</si>
  <si>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</si>
  <si>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</si>
  <si>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</si>
  <si>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</si>
  <si>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</si>
  <si>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</si>
  <si>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</si>
  <si>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</si>
  <si>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</si>
  <si>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</si>
  <si>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</si>
  <si>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</si>
  <si>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</si>
  <si>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</si>
  <si>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</si>
  <si>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</si>
  <si>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</si>
  <si>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</si>
  <si>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</si>
  <si>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</si>
  <si>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</si>
  <si>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</si>
  <si>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</si>
  <si>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</si>
  <si>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</si>
  <si>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</si>
  <si>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</si>
  <si>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</si>
  <si>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</si>
  <si>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</si>
  <si>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</si>
  <si>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</si>
  <si>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</si>
  <si>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</si>
  <si>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</si>
  <si>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</si>
  <si>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</si>
  <si>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</si>
  <si>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</si>
  <si>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</si>
  <si>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</si>
  <si>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</si>
  <si>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</si>
  <si>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v3.0.0 — 07/31/2026 — built from config/config.yaml (see DECISIONS.md in the repo for every judgment call).</t>
  </si>
  <si>
    <t>Calendar-Year Plan Loss Ratio — Commercial Auto</t>
  </si>
  <si>
    <t>Plan year 2027 | one workbook per LOB; combos are BU x state | generated by src/build_workbook.py v3.0.0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</si>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</sst>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4">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1.5487137322232676E-2</c:v>
                </c:pt>
                <c:pt idx="1">
                  <c:v>3.5486116094171766E-2</c:v>
                </c:pt>
                <c:pt idx="2">
                  <c:v>2.238759465565027E-2</c:v>
                </c:pt>
                <c:pt idx="3">
                  <c:v>2.6611524375771561E-2</c:v>
                </c:pt>
                <c:pt idx="4">
                  <c:v>3.3293612336888934E-2</c:v>
                </c:pt>
                <c:pt idx="5">
                  <c:v>2.3533500993189502E-2</c:v>
                </c:pt>
                <c:pt idx="6">
                  <c:v>1.7816451660406008E-2</c:v>
                </c:pt>
                <c:pt idx="7">
                  <c:v>1.6024182581820274E-2</c:v>
                </c:pt>
                <c:pt idx="8">
                  <c:v>1.1726834934112744E-2</c:v>
                </c:pt>
                <c:pt idx="9">
                  <c:v>2.6804591434884104E-2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10C-4C83-8E2E-5398C2106943}"/>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B15-4B73-B3FA-9AD8B45A7B4D}"/>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B15-4B73-B3FA-9AD8B45A7B4D}"/>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3B15-4B73-B3FA-9AD8B45A7B4D}"/>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3B15-4B73-B3FA-9AD8B45A7B4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EFE-4BEB-A81A-FDF56744E0E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EFE-4BEB-A81A-FDF56744E0E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EFE-4BEB-A81A-FDF56744E0E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EFE-4BEB-A81A-FDF56744E0E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555-456D-B38C-663E5B8EF8C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555-456D-B38C-663E5B8EF8C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AA3-4589-9777-B1D1E7DA351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AA3-4589-9777-B1D1E7DA351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AA3-4589-9777-B1D1E7DA351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AA3-4589-9777-B1D1E7DA351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C02C-4AD1-9AD6-C61BC2A7E86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EE1-4113-A691-462A8494A28D}"/>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EE1-4113-A691-462A8494A28D}"/>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DEE1-4113-A691-462A8494A28D}"/>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52D-493C-8A0E-AF3DEEFD994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52D-493C-8A0E-AF3DEEFD994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C5C6-4BCE-A600-60523A52D628}"/>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C5C6-4BCE-A600-60523A52D62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9C3-4228-8FFC-ED6CFBCC6197}"/>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9C3-4228-8FFC-ED6CFBCC6197}"/>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5C7-42BC-993F-BD702B2342E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E0DA-48A9-B857-0D6F79B4540D}"/>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E0DA-48A9-B857-0D6F79B4540D}"/>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E0DA-48A9-B857-0D6F79B4540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AD5-4CB1-A395-9C1EAB60F98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2031-4D1E-A1F1-346C4583BD80}"/>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2031-4D1E-A1F1-346C4583BD80}"/>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A4F3-4775-8C51-F468EA3BA2B6}"/>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4F3-4775-8C51-F468EA3BA2B6}"/>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4F3-4775-8C51-F468EA3BA2B6}"/>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4F3-4775-8C51-F468EA3BA2B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345-4657-B799-771B6A73982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345-4657-B799-771B6A73982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-7.9992975414017054E-3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32000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0.68799999999999994</v>
      </c>
      <c r="D13" s="11" t="s">
        <v>182</v>
      </c>
      <c r="E13" s="59">
        <v>0.05</v>
      </c>
      <c r="F13" s="60">
        <v>1</v>
      </c>
      <c r="G13" s="60">
        <v>0.99</v>
      </c>
      <c r="H13" s="61">
        <v>46295</v>
      </c>
      <c r="I13" s="60">
        <v>0.995</v>
      </c>
      <c r="J13" s="62"/>
      <c r="K13" s="62"/>
      <c r="L13" s="63">
        <v>84000</v>
      </c>
      <c r="M13" s="59"/>
      <c r="N13" s="64">
        <v>1</v>
      </c>
      <c r="O13" s="13"/>
      <c r="P13" s="11" t="s">
        <v>116</v>
      </c>
      <c r="Q13" s="59"/>
      <c r="R13" s="59"/>
      <c r="T13" s="65" t="str">
        <f t="shared" si="0"/>
        <v>ABD|CO</v>
      </c>
      <c r="V13" s="66">
        <f>IF($T13="","",INDEX(calc_cylr_p,2))</f>
        <v>0.68284320158399892</v>
      </c>
      <c r="W13" s="67">
        <f>IF($T13="","",(INDEX(calc_cylr_p,2)-INDEX(calc_lrcur,2))*100)</f>
        <v>-0.51567984160010294</v>
      </c>
      <c r="X13" s="68">
        <f>IF($T13="","",INDEX(calc_arate_p,2))</f>
        <v>0.98357003029225942</v>
      </c>
      <c r="Y13" s="68">
        <f>IF($T13="","",INDEX(calc_amod_p,2))</f>
        <v>1.0090838708965142</v>
      </c>
    </row>
    <row r="14" spans="1:25" x14ac:dyDescent="0.3">
      <c r="A14" s="11" t="s">
        <v>102</v>
      </c>
      <c r="B14" s="11" t="s">
        <v>184</v>
      </c>
      <c r="C14" s="29">
        <v>0.67200000000000004</v>
      </c>
      <c r="D14" s="11" t="s">
        <v>182</v>
      </c>
      <c r="E14" s="59">
        <v>0.05</v>
      </c>
      <c r="F14" s="60">
        <v>1</v>
      </c>
      <c r="G14" s="60">
        <v>0.99</v>
      </c>
      <c r="H14" s="61">
        <v>46295</v>
      </c>
      <c r="I14" s="60">
        <v>1.01</v>
      </c>
      <c r="J14" s="62"/>
      <c r="K14" s="62"/>
      <c r="L14" s="63">
        <v>68000</v>
      </c>
      <c r="M14" s="59"/>
      <c r="N14" s="64">
        <v>1</v>
      </c>
      <c r="O14" s="13"/>
      <c r="P14" s="11" t="s">
        <v>116</v>
      </c>
      <c r="Q14" s="59"/>
      <c r="R14" s="59"/>
      <c r="T14" s="65" t="str">
        <f t="shared" si="0"/>
        <v>ABD|DE</v>
      </c>
      <c r="V14" s="66">
        <f>IF($T14="","",INDEX(calc_cylr_p,3))</f>
        <v>0.67606204309261531</v>
      </c>
      <c r="W14" s="67">
        <f>IF($T14="","",(INDEX(calc_cylr_p,3)-INDEX(calc_lrcur,3))*100)</f>
        <v>0.4062043092615264</v>
      </c>
      <c r="X14" s="68">
        <f>IF($T14="","",INDEX(calc_arate_p,3))</f>
        <v>1</v>
      </c>
      <c r="Y14" s="68">
        <f>IF($T14="","",INDEX(calc_amod_p,3))</f>
        <v>1.0060447069830585</v>
      </c>
    </row>
    <row r="15" spans="1:25" x14ac:dyDescent="0.3">
      <c r="A15" s="11" t="s">
        <v>102</v>
      </c>
      <c r="B15" s="11" t="s">
        <v>185</v>
      </c>
      <c r="C15" s="29">
        <v>0.7</v>
      </c>
      <c r="D15" s="11" t="s">
        <v>182</v>
      </c>
      <c r="E15" s="59">
        <v>0.05</v>
      </c>
      <c r="F15" s="60">
        <v>1</v>
      </c>
      <c r="G15" s="60">
        <v>1</v>
      </c>
      <c r="H15" s="61">
        <v>46295</v>
      </c>
      <c r="I15" s="60">
        <v>1</v>
      </c>
      <c r="J15" s="62"/>
      <c r="K15" s="62"/>
      <c r="L15" s="63">
        <v>52000</v>
      </c>
      <c r="M15" s="59"/>
      <c r="N15" s="64">
        <v>1</v>
      </c>
      <c r="O15" s="13"/>
      <c r="P15" s="11" t="s">
        <v>113</v>
      </c>
      <c r="Q15" s="59"/>
      <c r="R15" s="59"/>
      <c r="T15" s="65" t="str">
        <f t="shared" si="0"/>
        <v>ABD|FL</v>
      </c>
      <c r="V15" s="66">
        <f>IF($T15="","",INDEX(calc_cylr_p,4))</f>
        <v>0.70104321907600597</v>
      </c>
      <c r="W15" s="67">
        <f>IF($T15="","",(INDEX(calc_cylr_p,4)-INDEX(calc_lrcur,4))*100)</f>
        <v>0.10432190760060189</v>
      </c>
      <c r="X15" s="68">
        <f>IF($T15="","",INDEX(calc_arate_p,4))</f>
        <v>1.0014903129657229</v>
      </c>
      <c r="Y15" s="68">
        <f>IF($T15="","",INDEX(calc_amod_p,4))</f>
        <v>1</v>
      </c>
    </row>
    <row r="16" spans="1:25" x14ac:dyDescent="0.3">
      <c r="A16" s="11" t="s">
        <v>102</v>
      </c>
      <c r="B16" s="11" t="s">
        <v>186</v>
      </c>
      <c r="C16" s="29">
        <v>0.68400000000000005</v>
      </c>
      <c r="D16" s="11" t="s">
        <v>182</v>
      </c>
      <c r="E16" s="59">
        <v>0.05</v>
      </c>
      <c r="F16" s="60">
        <v>1</v>
      </c>
      <c r="G16" s="60">
        <v>0.99</v>
      </c>
      <c r="H16" s="61">
        <v>46295</v>
      </c>
      <c r="I16" s="60">
        <v>1.0049999999999999</v>
      </c>
      <c r="J16" s="62"/>
      <c r="K16" s="62"/>
      <c r="L16" s="63">
        <v>36000</v>
      </c>
      <c r="M16" s="59"/>
      <c r="N16" s="64">
        <v>1</v>
      </c>
      <c r="O16" s="13"/>
      <c r="P16" s="11" t="s">
        <v>116</v>
      </c>
      <c r="Q16" s="59"/>
      <c r="R16" s="59"/>
      <c r="T16" s="65" t="str">
        <f t="shared" si="0"/>
        <v>ABD|GA</v>
      </c>
      <c r="V16" s="66">
        <f>IF($T16="","",INDEX(calc_cylr_p,5))</f>
        <v>0.69099906928643107</v>
      </c>
      <c r="W16" s="67">
        <f>IF($T16="","",(INDEX(calc_cylr_p,5)-INDEX(calc_lrcur,5))*100)</f>
        <v>0.69990692864310144</v>
      </c>
      <c r="X16" s="68">
        <f>IF($T16="","",INDEX(calc_arate_p,5))</f>
        <v>1.0031545741324919</v>
      </c>
      <c r="Y16" s="68">
        <f>IF($T16="","",INDEX(calc_amod_p,5))</f>
        <v>1.0070557254946793</v>
      </c>
    </row>
    <row r="17" spans="1:25" x14ac:dyDescent="0.3">
      <c r="A17" s="11" t="s">
        <v>102</v>
      </c>
      <c r="B17" s="11" t="s">
        <v>187</v>
      </c>
      <c r="C17" s="29">
        <v>0.66800000000000004</v>
      </c>
      <c r="D17" s="11" t="s">
        <v>182</v>
      </c>
      <c r="E17" s="59">
        <v>0.05</v>
      </c>
      <c r="F17" s="60">
        <v>1</v>
      </c>
      <c r="G17" s="60">
        <v>0.99</v>
      </c>
      <c r="H17" s="61">
        <v>46295</v>
      </c>
      <c r="I17" s="60">
        <v>0.98499999999999999</v>
      </c>
      <c r="J17" s="62">
        <v>0.98</v>
      </c>
      <c r="K17" s="62">
        <v>0.99</v>
      </c>
      <c r="L17" s="63">
        <v>88000</v>
      </c>
      <c r="M17" s="59"/>
      <c r="N17" s="64">
        <v>1</v>
      </c>
      <c r="O17" s="13"/>
      <c r="P17" s="11" t="s">
        <v>116</v>
      </c>
      <c r="Q17" s="59"/>
      <c r="R17" s="59"/>
      <c r="T17" s="65" t="str">
        <f t="shared" si="0"/>
        <v>ABD|IA</v>
      </c>
      <c r="V17" s="66">
        <f>IF($T17="","",INDEX(calc_cylr_p,6))</f>
        <v>0.67403923395226362</v>
      </c>
      <c r="W17" s="67">
        <f>IF($T17="","",(INDEX(calc_cylr_p,6)-INDEX(calc_lrcur,6))*100)</f>
        <v>0.60392339522635785</v>
      </c>
      <c r="X17" s="68">
        <f>IF($T17="","",INDEX(calc_arate_p,6))</f>
        <v>0.99694186360817705</v>
      </c>
      <c r="Y17" s="68">
        <f>IF($T17="","",INDEX(calc_amod_p,6))</f>
        <v>1.012136019383969</v>
      </c>
    </row>
    <row r="18" spans="1:25" x14ac:dyDescent="0.3">
      <c r="A18" s="11" t="s">
        <v>102</v>
      </c>
      <c r="B18" s="11" t="s">
        <v>188</v>
      </c>
      <c r="C18" s="29">
        <v>0.69599999999999995</v>
      </c>
      <c r="D18" s="11" t="s">
        <v>182</v>
      </c>
      <c r="E18" s="59">
        <v>0.05</v>
      </c>
      <c r="F18" s="60">
        <v>1</v>
      </c>
      <c r="G18" s="60">
        <v>0.99</v>
      </c>
      <c r="H18" s="61">
        <v>46295</v>
      </c>
      <c r="I18" s="60">
        <v>1</v>
      </c>
      <c r="J18" s="62"/>
      <c r="K18" s="62"/>
      <c r="L18" s="63">
        <v>72000</v>
      </c>
      <c r="M18" s="59"/>
      <c r="N18" s="64">
        <v>1</v>
      </c>
      <c r="O18" s="13"/>
      <c r="P18" s="11" t="s">
        <v>116</v>
      </c>
      <c r="Q18" s="59"/>
      <c r="R18" s="59"/>
      <c r="T18" s="65" t="str">
        <f t="shared" si="0"/>
        <v>ABD|IL</v>
      </c>
      <c r="V18" s="66">
        <f>IF($T18="","",INDEX(calc_cylr_p,7))</f>
        <v>0.70417963033669628</v>
      </c>
      <c r="W18" s="67">
        <f>IF($T18="","",(INDEX(calc_cylr_p,7)-INDEX(calc_lrcur,7))*100)</f>
        <v>0.81796303366963308</v>
      </c>
      <c r="X18" s="68">
        <f>IF($T18="","",INDEX(calc_arate_p,7))</f>
        <v>1.0036540803897682</v>
      </c>
      <c r="Y18" s="68">
        <f>IF($T18="","",INDEX(calc_amod_p,7))</f>
        <v>1.0080687780842468</v>
      </c>
    </row>
    <row r="19" spans="1:25" x14ac:dyDescent="0.3">
      <c r="A19" s="11" t="s">
        <v>102</v>
      </c>
      <c r="B19" s="11" t="s">
        <v>189</v>
      </c>
      <c r="C19" s="29">
        <v>0.68</v>
      </c>
      <c r="D19" s="11" t="s">
        <v>182</v>
      </c>
      <c r="E19" s="59">
        <v>0.05</v>
      </c>
      <c r="F19" s="60">
        <v>1</v>
      </c>
      <c r="G19" s="60">
        <v>0.99</v>
      </c>
      <c r="H19" s="61">
        <v>46295</v>
      </c>
      <c r="I19" s="60">
        <v>0.98</v>
      </c>
      <c r="J19" s="62"/>
      <c r="K19" s="62"/>
      <c r="L19" s="63">
        <v>56000</v>
      </c>
      <c r="M19" s="59"/>
      <c r="N19" s="64">
        <v>1</v>
      </c>
      <c r="O19" s="13"/>
      <c r="P19" s="11" t="s">
        <v>116</v>
      </c>
      <c r="Q19" s="59"/>
      <c r="R19" s="59"/>
      <c r="T19" s="65" t="str">
        <f t="shared" si="0"/>
        <v>ABD|IN</v>
      </c>
      <c r="V19" s="66">
        <f>IF($T19="","",INDEX(calc_cylr_p,8))</f>
        <v>0.69278966708479151</v>
      </c>
      <c r="W19" s="67">
        <f>IF($T19="","",(INDEX(calc_cylr_p,8)-INDEX(calc_lrcur,8))*100)</f>
        <v>1.2789667084791456</v>
      </c>
      <c r="X19" s="68">
        <f>IF($T19="","",INDEX(calc_arate_p,8))</f>
        <v>1.0065869068423174</v>
      </c>
      <c r="Y19" s="68">
        <f>IF($T19="","",INDEX(calc_amod_p,8))</f>
        <v>1.012141452489427</v>
      </c>
    </row>
    <row r="20" spans="1:25" x14ac:dyDescent="0.3">
      <c r="A20" s="11" t="s">
        <v>102</v>
      </c>
      <c r="B20" s="11" t="s">
        <v>190</v>
      </c>
      <c r="C20" s="29">
        <v>0.66400000000000003</v>
      </c>
      <c r="D20" s="11" t="s">
        <v>182</v>
      </c>
      <c r="E20" s="59">
        <v>0.05</v>
      </c>
      <c r="F20" s="60">
        <v>1</v>
      </c>
      <c r="G20" s="60">
        <v>0.99</v>
      </c>
      <c r="H20" s="61">
        <v>46295</v>
      </c>
      <c r="I20" s="60">
        <v>0.995</v>
      </c>
      <c r="J20" s="62"/>
      <c r="K20" s="62"/>
      <c r="L20" s="63">
        <v>40000</v>
      </c>
      <c r="M20" s="59"/>
      <c r="N20" s="64">
        <v>1</v>
      </c>
      <c r="O20" s="13"/>
      <c r="P20" s="11" t="s">
        <v>116</v>
      </c>
      <c r="Q20" s="59"/>
      <c r="R20" s="59"/>
      <c r="T20" s="65" t="str">
        <f t="shared" si="0"/>
        <v>ABD|KY</v>
      </c>
      <c r="V20" s="66">
        <f>IF($T20="","",INDEX(calc_cylr_p,9))</f>
        <v>0.67003169027528542</v>
      </c>
      <c r="W20" s="67">
        <f>IF($T20="","",(INDEX(calc_cylr_p,9)-INDEX(calc_lrcur,9))*100)</f>
        <v>0.6031690275285384</v>
      </c>
      <c r="X20" s="68">
        <f>IF($T20="","",INDEX(calc_arate_p,9))</f>
        <v>1</v>
      </c>
      <c r="Y20" s="68">
        <f>IF($T20="","",INDEX(calc_amod_p,9))</f>
        <v>1.0090838708965142</v>
      </c>
    </row>
    <row r="21" spans="1:25" x14ac:dyDescent="0.3">
      <c r="A21" s="11" t="s">
        <v>102</v>
      </c>
      <c r="B21" s="11" t="s">
        <v>191</v>
      </c>
      <c r="C21" s="29">
        <v>0.69199999999999995</v>
      </c>
      <c r="D21" s="11" t="s">
        <v>182</v>
      </c>
      <c r="E21" s="59">
        <v>0.05</v>
      </c>
      <c r="F21" s="60">
        <v>1</v>
      </c>
      <c r="G21" s="60">
        <v>0.99</v>
      </c>
      <c r="H21" s="61">
        <v>46295</v>
      </c>
      <c r="I21" s="60">
        <v>1.01</v>
      </c>
      <c r="J21" s="62"/>
      <c r="K21" s="62"/>
      <c r="L21" s="63">
        <v>92000</v>
      </c>
      <c r="M21" s="59"/>
      <c r="N21" s="64">
        <v>1</v>
      </c>
      <c r="O21" s="13"/>
      <c r="P21" s="11" t="s">
        <v>116</v>
      </c>
      <c r="Q21" s="59"/>
      <c r="R21" s="59"/>
      <c r="T21" s="65" t="str">
        <f t="shared" si="0"/>
        <v>ABD|MD</v>
      </c>
      <c r="V21" s="66">
        <f>IF($T21="","",INDEX(calc_cylr_p,10))</f>
        <v>0.70654786104285794</v>
      </c>
      <c r="W21" s="67">
        <f>IF($T21="","",(INDEX(calc_cylr_p,10)-INDEX(calc_lrcur,10))*100)</f>
        <v>1.454786104285799</v>
      </c>
      <c r="X21" s="68">
        <f>IF($T21="","",INDEX(calc_arate_p,10))</f>
        <v>1.0148882186796879</v>
      </c>
      <c r="Y21" s="68">
        <f>IF($T21="","",INDEX(calc_amod_p,10))</f>
        <v>1.0060447069830585</v>
      </c>
    </row>
    <row r="22" spans="1:25" x14ac:dyDescent="0.3">
      <c r="A22" s="11" t="s">
        <v>102</v>
      </c>
      <c r="B22" s="11" t="s">
        <v>192</v>
      </c>
      <c r="C22" s="29">
        <v>0.67600000000000005</v>
      </c>
      <c r="D22" s="11" t="s">
        <v>182</v>
      </c>
      <c r="E22" s="59">
        <v>0.05</v>
      </c>
      <c r="F22" s="60">
        <v>1</v>
      </c>
      <c r="G22" s="60">
        <v>0.99</v>
      </c>
      <c r="H22" s="61">
        <v>46295</v>
      </c>
      <c r="I22" s="60">
        <v>0.99</v>
      </c>
      <c r="J22" s="62"/>
      <c r="K22" s="62"/>
      <c r="L22" s="63">
        <v>76000</v>
      </c>
      <c r="M22" s="59"/>
      <c r="N22" s="64">
        <v>1</v>
      </c>
      <c r="O22" s="13"/>
      <c r="P22" s="11" t="s">
        <v>116</v>
      </c>
      <c r="Q22" s="59"/>
      <c r="R22" s="59"/>
      <c r="T22" s="65" t="str">
        <f t="shared" si="0"/>
        <v>ABD|MI</v>
      </c>
      <c r="V22" s="66">
        <f>IF($T22="","",INDEX(calc_cylr_p,11))</f>
        <v>0.68750903606949665</v>
      </c>
      <c r="W22" s="67">
        <f>IF($T22="","",(INDEX(calc_cylr_p,11)-INDEX(calc_lrcur,11))*100)</f>
        <v>1.1509036069496603</v>
      </c>
      <c r="X22" s="68">
        <f>IF($T22="","",INDEX(calc_arate_p,11))</f>
        <v>1.0068549492733754</v>
      </c>
      <c r="Y22" s="68">
        <f>IF($T22="","",INDEX(calc_amod_p,11))</f>
        <v>1.0101010101010099</v>
      </c>
    </row>
    <row r="23" spans="1:25" x14ac:dyDescent="0.3">
      <c r="A23" s="11" t="s">
        <v>102</v>
      </c>
      <c r="B23" s="11" t="s">
        <v>193</v>
      </c>
      <c r="C23" s="29">
        <v>0.66</v>
      </c>
      <c r="D23" s="11" t="s">
        <v>182</v>
      </c>
      <c r="E23" s="59">
        <v>0.05</v>
      </c>
      <c r="F23" s="60">
        <v>1</v>
      </c>
      <c r="G23" s="60">
        <v>0.99</v>
      </c>
      <c r="H23" s="61">
        <v>46295</v>
      </c>
      <c r="I23" s="60">
        <v>1.0049999999999999</v>
      </c>
      <c r="J23" s="62"/>
      <c r="K23" s="62"/>
      <c r="L23" s="63">
        <v>60000</v>
      </c>
      <c r="M23" s="59"/>
      <c r="N23" s="64">
        <v>1</v>
      </c>
      <c r="O23" s="13"/>
      <c r="P23" s="11" t="s">
        <v>116</v>
      </c>
      <c r="Q23" s="59"/>
      <c r="R23" s="59"/>
      <c r="T23" s="65" t="str">
        <f t="shared" si="0"/>
        <v>ABD|MN</v>
      </c>
      <c r="V23" s="66">
        <f>IF($T23="","",INDEX(calc_cylr_p,12))</f>
        <v>0.66465677882648833</v>
      </c>
      <c r="W23" s="67">
        <f>IF($T23="","",(INDEX(calc_cylr_p,12)-INDEX(calc_lrcur,12))*100)</f>
        <v>0.46567788264882948</v>
      </c>
      <c r="X23" s="68">
        <f>IF($T23="","",INDEX(calc_arate_p,12))</f>
        <v>1</v>
      </c>
      <c r="Y23" s="68">
        <f>IF($T23="","",INDEX(calc_amod_p,12))</f>
        <v>1.0070557254946793</v>
      </c>
    </row>
    <row r="24" spans="1:25" x14ac:dyDescent="0.3">
      <c r="A24" s="11" t="s">
        <v>102</v>
      </c>
      <c r="B24" s="11" t="s">
        <v>194</v>
      </c>
      <c r="C24" s="29">
        <v>0.68799999999999994</v>
      </c>
      <c r="D24" s="11" t="s">
        <v>182</v>
      </c>
      <c r="E24" s="59">
        <v>0.05</v>
      </c>
      <c r="F24" s="60">
        <v>1</v>
      </c>
      <c r="G24" s="60">
        <v>0.99</v>
      </c>
      <c r="H24" s="61">
        <v>46295</v>
      </c>
      <c r="I24" s="60">
        <v>0.98499999999999999</v>
      </c>
      <c r="J24" s="62"/>
      <c r="K24" s="62"/>
      <c r="L24" s="63">
        <v>44000</v>
      </c>
      <c r="M24" s="59"/>
      <c r="N24" s="64">
        <v>1</v>
      </c>
      <c r="O24" s="13"/>
      <c r="P24" s="11" t="s">
        <v>116</v>
      </c>
      <c r="Q24" s="59"/>
      <c r="R24" s="59"/>
      <c r="T24" s="65" t="str">
        <f t="shared" si="0"/>
        <v>ABD|NM</v>
      </c>
      <c r="V24" s="66">
        <f>IF($T24="","",INDEX(calc_cylr_p,13))</f>
        <v>0.69565069890180797</v>
      </c>
      <c r="W24" s="67">
        <f>IF($T24="","",(INDEX(calc_cylr_p,13)-INDEX(calc_lrcur,13))*100)</f>
        <v>0.76506989018080285</v>
      </c>
      <c r="X24" s="68">
        <f>IF($T24="","",INDEX(calc_arate_p,13))</f>
        <v>0.99999999999999978</v>
      </c>
      <c r="Y24" s="68">
        <f>IF($T24="","",INDEX(calc_amod_p,13))</f>
        <v>1.011120201892163</v>
      </c>
    </row>
    <row r="25" spans="1:25" x14ac:dyDescent="0.3">
      <c r="A25" s="11" t="s">
        <v>102</v>
      </c>
      <c r="B25" s="11" t="s">
        <v>195</v>
      </c>
      <c r="C25" s="29">
        <v>0.67200000000000004</v>
      </c>
      <c r="D25" s="11" t="s">
        <v>182</v>
      </c>
      <c r="E25" s="59">
        <v>0.05</v>
      </c>
      <c r="F25" s="60">
        <v>1</v>
      </c>
      <c r="G25" s="60">
        <v>0.99</v>
      </c>
      <c r="H25" s="61">
        <v>46295</v>
      </c>
      <c r="I25" s="60">
        <v>1</v>
      </c>
      <c r="J25" s="62"/>
      <c r="K25" s="62"/>
      <c r="L25" s="63">
        <v>96000</v>
      </c>
      <c r="M25" s="59"/>
      <c r="N25" s="64">
        <v>1</v>
      </c>
      <c r="O25" s="13"/>
      <c r="P25" s="11" t="s">
        <v>116</v>
      </c>
      <c r="Q25" s="59"/>
      <c r="R25" s="59"/>
      <c r="T25" s="65" t="str">
        <f t="shared" si="0"/>
        <v>ABD|NC</v>
      </c>
      <c r="V25" s="66">
        <f>IF($T25="","",INDEX(calc_cylr_p,14))</f>
        <v>0.66999554863771449</v>
      </c>
      <c r="W25" s="67">
        <f>IF($T25="","",(INDEX(calc_cylr_p,14)-INDEX(calc_lrcur,14))*100)</f>
        <v>-0.20044513622855531</v>
      </c>
      <c r="X25" s="68">
        <f>IF($T25="","",INDEX(calc_arate_p,14))</f>
        <v>0.9890368664800232</v>
      </c>
      <c r="Y25" s="68">
        <f>IF($T25="","",INDEX(calc_amod_p,14))</f>
        <v>1.0080687780842468</v>
      </c>
    </row>
    <row r="26" spans="1:25" x14ac:dyDescent="0.3">
      <c r="A26" s="11" t="s">
        <v>102</v>
      </c>
      <c r="B26" s="11" t="s">
        <v>196</v>
      </c>
      <c r="C26" s="29">
        <v>0.7</v>
      </c>
      <c r="D26" s="11" t="s">
        <v>182</v>
      </c>
      <c r="E26" s="59">
        <v>0.05</v>
      </c>
      <c r="F26" s="60">
        <v>1</v>
      </c>
      <c r="G26" s="60">
        <v>0.99</v>
      </c>
      <c r="H26" s="61">
        <v>46295</v>
      </c>
      <c r="I26" s="60">
        <v>0.98</v>
      </c>
      <c r="J26" s="62"/>
      <c r="K26" s="62"/>
      <c r="L26" s="63">
        <v>80000</v>
      </c>
      <c r="M26" s="59"/>
      <c r="N26" s="64">
        <v>1</v>
      </c>
      <c r="O26" s="13"/>
      <c r="P26" s="11" t="s">
        <v>116</v>
      </c>
      <c r="Q26" s="59"/>
      <c r="R26" s="59"/>
      <c r="T26" s="65" t="str">
        <f t="shared" si="0"/>
        <v>ABD|OH</v>
      </c>
      <c r="V26" s="66">
        <f>IF($T26="","",INDEX(calc_cylr_p,15))</f>
        <v>0.70849901674259885</v>
      </c>
      <c r="W26" s="67">
        <f>IF($T26="","",(INDEX(calc_cylr_p,15)-INDEX(calc_lrcur,15))*100)</f>
        <v>0.84990167425988972</v>
      </c>
      <c r="X26" s="68">
        <f>IF($T26="","",INDEX(calc_arate_p,15))</f>
        <v>1</v>
      </c>
      <c r="Y26" s="68">
        <f>IF($T26="","",INDEX(calc_amod_p,15))</f>
        <v>1.012141452489427</v>
      </c>
    </row>
    <row r="27" spans="1:25" x14ac:dyDescent="0.3">
      <c r="A27" s="11" t="s">
        <v>102</v>
      </c>
      <c r="B27" s="11" t="s">
        <v>197</v>
      </c>
      <c r="C27" s="29">
        <v>0.68400000000000005</v>
      </c>
      <c r="D27" s="11" t="s">
        <v>182</v>
      </c>
      <c r="E27" s="59">
        <v>0.05</v>
      </c>
      <c r="F27" s="60">
        <v>1</v>
      </c>
      <c r="G27" s="60">
        <v>0.99</v>
      </c>
      <c r="H27" s="61">
        <v>46295</v>
      </c>
      <c r="I27" s="60">
        <v>0.995</v>
      </c>
      <c r="J27" s="62"/>
      <c r="K27" s="62"/>
      <c r="L27" s="63">
        <v>64000</v>
      </c>
      <c r="M27" s="59"/>
      <c r="N27" s="64">
        <v>1</v>
      </c>
      <c r="O27" s="13"/>
      <c r="P27" s="11" t="s">
        <v>116</v>
      </c>
      <c r="Q27" s="59"/>
      <c r="R27" s="59"/>
      <c r="T27" s="65" t="str">
        <f t="shared" si="0"/>
        <v>ABD|PA</v>
      </c>
      <c r="V27" s="66">
        <f>IF($T27="","",INDEX(calc_cylr_p,16))</f>
        <v>0.6906365518548917</v>
      </c>
      <c r="W27" s="67">
        <f>IF($T27="","",(INDEX(calc_cylr_p,16)-INDEX(calc_lrcur,16))*100)</f>
        <v>0.6636551854891648</v>
      </c>
      <c r="X27" s="68">
        <f>IF($T27="","",INDEX(calc_arate_p,16))</f>
        <v>1.0006131207847948</v>
      </c>
      <c r="Y27" s="68">
        <f>IF($T27="","",INDEX(calc_amod_p,16))</f>
        <v>1.0090838708965142</v>
      </c>
    </row>
    <row r="28" spans="1:25" x14ac:dyDescent="0.3">
      <c r="A28" s="11" t="s">
        <v>102</v>
      </c>
      <c r="B28" s="11" t="s">
        <v>198</v>
      </c>
      <c r="C28" s="29">
        <v>0.66800000000000004</v>
      </c>
      <c r="D28" s="11" t="s">
        <v>182</v>
      </c>
      <c r="E28" s="59">
        <v>0.05</v>
      </c>
      <c r="F28" s="60">
        <v>1</v>
      </c>
      <c r="G28" s="60">
        <v>0.99</v>
      </c>
      <c r="H28" s="61">
        <v>46295</v>
      </c>
      <c r="I28" s="60">
        <v>1.01</v>
      </c>
      <c r="J28" s="62"/>
      <c r="K28" s="62"/>
      <c r="L28" s="63">
        <v>48000</v>
      </c>
      <c r="M28" s="59"/>
      <c r="N28" s="64">
        <v>1</v>
      </c>
      <c r="O28" s="13"/>
      <c r="P28" s="11" t="s">
        <v>116</v>
      </c>
      <c r="Q28" s="59"/>
      <c r="R28" s="59"/>
      <c r="T28" s="65" t="str">
        <f t="shared" si="0"/>
        <v>ABD|SC</v>
      </c>
      <c r="V28" s="66">
        <f>IF($T28="","",INDEX(calc_cylr_p,17))</f>
        <v>0.67312706663788335</v>
      </c>
      <c r="W28" s="67">
        <f>IF($T28="","",(INDEX(calc_cylr_p,17)-INDEX(calc_lrcur,17))*100)</f>
        <v>0.51270666378833152</v>
      </c>
      <c r="X28" s="68">
        <f>IF($T28="","",INDEX(calc_arate_p,17))</f>
        <v>1.0016207455429496</v>
      </c>
      <c r="Y28" s="68">
        <f>IF($T28="","",INDEX(calc_amod_p,17))</f>
        <v>1.0060447069830585</v>
      </c>
    </row>
    <row r="29" spans="1:25" x14ac:dyDescent="0.3">
      <c r="A29" s="11" t="s">
        <v>102</v>
      </c>
      <c r="B29" s="11" t="s">
        <v>199</v>
      </c>
      <c r="C29" s="29">
        <v>0.69599999999999995</v>
      </c>
      <c r="D29" s="11" t="s">
        <v>182</v>
      </c>
      <c r="E29" s="59">
        <v>0.05</v>
      </c>
      <c r="F29" s="60">
        <v>1</v>
      </c>
      <c r="G29" s="60">
        <v>0.99</v>
      </c>
      <c r="H29" s="61">
        <v>46295</v>
      </c>
      <c r="I29" s="60">
        <v>0.99</v>
      </c>
      <c r="J29" s="62"/>
      <c r="K29" s="62"/>
      <c r="L29" s="63">
        <v>32000</v>
      </c>
      <c r="M29" s="59"/>
      <c r="N29" s="64">
        <v>1</v>
      </c>
      <c r="O29" s="13"/>
      <c r="P29" s="11" t="s">
        <v>116</v>
      </c>
      <c r="Q29" s="59"/>
      <c r="R29" s="59"/>
      <c r="T29" s="65" t="str">
        <f t="shared" si="0"/>
        <v>ABD|TN</v>
      </c>
      <c r="V29" s="66">
        <f>IF($T29="","",INDEX(calc_cylr_p,18))</f>
        <v>0.70059767222396963</v>
      </c>
      <c r="W29" s="67">
        <f>IF($T29="","",(INDEX(calc_cylr_p,18)-INDEX(calc_lrcur,18))*100)</f>
        <v>0.45976722239696732</v>
      </c>
      <c r="X29" s="68">
        <f>IF($T29="","",INDEX(calc_arate_p,18))</f>
        <v>0.9965397923875432</v>
      </c>
      <c r="Y29" s="68">
        <f>IF($T29="","",INDEX(calc_amod_p,18))</f>
        <v>1.0101010101010099</v>
      </c>
    </row>
    <row r="30" spans="1:25" x14ac:dyDescent="0.3">
      <c r="A30" s="11" t="s">
        <v>102</v>
      </c>
      <c r="B30" s="11" t="s">
        <v>200</v>
      </c>
      <c r="C30" s="29">
        <v>0.68</v>
      </c>
      <c r="D30" s="11" t="s">
        <v>182</v>
      </c>
      <c r="E30" s="59">
        <v>0.05</v>
      </c>
      <c r="F30" s="60">
        <v>1</v>
      </c>
      <c r="G30" s="60">
        <v>0.99</v>
      </c>
      <c r="H30" s="61">
        <v>46295</v>
      </c>
      <c r="I30" s="60">
        <v>1.0049999999999999</v>
      </c>
      <c r="J30" s="62"/>
      <c r="K30" s="62"/>
      <c r="L30" s="63">
        <v>84000</v>
      </c>
      <c r="M30" s="59"/>
      <c r="N30" s="64">
        <v>1</v>
      </c>
      <c r="O30" s="13"/>
      <c r="P30" s="11" t="s">
        <v>116</v>
      </c>
      <c r="Q30" s="59"/>
      <c r="R30" s="59"/>
      <c r="T30" s="65" t="str">
        <f t="shared" si="0"/>
        <v>ABD|VA</v>
      </c>
      <c r="V30" s="66">
        <f>IF($T30="","",INDEX(calc_cylr_p,19))</f>
        <v>0.68889847952402505</v>
      </c>
      <c r="W30" s="67">
        <f>IF($T30="","",(INDEX(calc_cylr_p,19)-INDEX(calc_lrcur,19))*100)</f>
        <v>0.88984795240250047</v>
      </c>
      <c r="X30" s="68">
        <f>IF($T30="","",INDEX(calc_arate_p,19))</f>
        <v>1.005988023952096</v>
      </c>
      <c r="Y30" s="68">
        <f>IF($T30="","",INDEX(calc_amod_p,19))</f>
        <v>1.0070557254946793</v>
      </c>
    </row>
    <row r="31" spans="1:25" x14ac:dyDescent="0.3">
      <c r="A31" s="11" t="s">
        <v>102</v>
      </c>
      <c r="B31" s="11" t="s">
        <v>201</v>
      </c>
      <c r="C31" s="29">
        <v>0.66400000000000003</v>
      </c>
      <c r="D31" s="11" t="s">
        <v>182</v>
      </c>
      <c r="E31" s="59">
        <v>0.05</v>
      </c>
      <c r="F31" s="60">
        <v>1</v>
      </c>
      <c r="G31" s="60">
        <v>0.99</v>
      </c>
      <c r="H31" s="61">
        <v>46295</v>
      </c>
      <c r="I31" s="60">
        <v>0.98499999999999999</v>
      </c>
      <c r="J31" s="62"/>
      <c r="K31" s="62"/>
      <c r="L31" s="63">
        <v>68000</v>
      </c>
      <c r="M31" s="59"/>
      <c r="N31" s="64">
        <v>1</v>
      </c>
      <c r="O31" s="13"/>
      <c r="P31" s="11" t="s">
        <v>116</v>
      </c>
      <c r="Q31" s="59"/>
      <c r="R31" s="59"/>
      <c r="T31" s="65" t="str">
        <f t="shared" si="0"/>
        <v>ABD|WV</v>
      </c>
      <c r="V31" s="66">
        <f>IF($T31="","",INDEX(calc_cylr_p,20))</f>
        <v>0.67791245205773853</v>
      </c>
      <c r="W31" s="67">
        <f>IF($T31="","",(INDEX(calc_cylr_p,20)-INDEX(calc_lrcur,20))*100)</f>
        <v>1.39124520577385</v>
      </c>
      <c r="X31" s="68">
        <f>IF($T31="","",INDEX(calc_arate_p,20))</f>
        <v>1.0097241516173845</v>
      </c>
      <c r="Y31" s="68">
        <f>IF($T31="","",INDEX(calc_amod_p,20))</f>
        <v>1.011120201892163</v>
      </c>
    </row>
    <row r="32" spans="1:25" x14ac:dyDescent="0.3">
      <c r="A32" s="11" t="s">
        <v>102</v>
      </c>
      <c r="B32" s="11" t="s">
        <v>202</v>
      </c>
      <c r="C32" s="29">
        <v>0.69199999999999995</v>
      </c>
      <c r="D32" s="11" t="s">
        <v>182</v>
      </c>
      <c r="E32" s="59">
        <v>0.05</v>
      </c>
      <c r="F32" s="60">
        <v>1</v>
      </c>
      <c r="G32" s="60">
        <v>0.99</v>
      </c>
      <c r="H32" s="61">
        <v>46295</v>
      </c>
      <c r="I32" s="60">
        <v>1</v>
      </c>
      <c r="J32" s="62"/>
      <c r="K32" s="62"/>
      <c r="L32" s="63">
        <v>52000</v>
      </c>
      <c r="M32" s="59"/>
      <c r="N32" s="64">
        <v>1</v>
      </c>
      <c r="O32" s="13"/>
      <c r="P32" s="11" t="s">
        <v>116</v>
      </c>
      <c r="Q32" s="59"/>
      <c r="R32" s="59"/>
      <c r="T32" s="65" t="str">
        <f t="shared" si="0"/>
        <v>ABD|WI</v>
      </c>
      <c r="V32" s="66">
        <f>IF($T32="","",INDEX(calc_cylr_p,21))</f>
        <v>0.69758359443429874</v>
      </c>
      <c r="W32" s="67">
        <f>IF($T32="","",(INDEX(calc_cylr_p,21)-INDEX(calc_lrcur,21))*100)</f>
        <v>0.55835944342987887</v>
      </c>
      <c r="X32" s="68">
        <f>IF($T32="","",INDEX(calc_arate_p,21))</f>
        <v>1</v>
      </c>
      <c r="Y32" s="68">
        <f>IF($T32="","",INDEX(calc_amod_p,21))</f>
        <v>1.0080687780842468</v>
      </c>
    </row>
    <row r="33" spans="1:25" x14ac:dyDescent="0.3">
      <c r="A33" s="11" t="s">
        <v>203</v>
      </c>
      <c r="B33" s="11" t="s">
        <v>105</v>
      </c>
      <c r="C33" s="29">
        <v>0.67600000000000005</v>
      </c>
      <c r="D33" s="11" t="s">
        <v>182</v>
      </c>
      <c r="E33" s="59">
        <v>0.05</v>
      </c>
      <c r="F33" s="60">
        <v>1</v>
      </c>
      <c r="G33" s="60">
        <v>0.99</v>
      </c>
      <c r="H33" s="61">
        <v>46295</v>
      </c>
      <c r="I33" s="60">
        <v>0.98</v>
      </c>
      <c r="J33" s="62"/>
      <c r="K33" s="62"/>
      <c r="L33" s="63">
        <v>36000</v>
      </c>
      <c r="M33" s="59"/>
      <c r="N33" s="64">
        <v>1</v>
      </c>
      <c r="O33" s="13"/>
      <c r="P33" s="11" t="s">
        <v>116</v>
      </c>
      <c r="Q33" s="59"/>
      <c r="R33" s="59"/>
      <c r="T33" s="65" t="str">
        <f t="shared" si="0"/>
        <v>MM|AZ</v>
      </c>
      <c r="V33" s="66">
        <f>IF($T33="","",INDEX(calc_cylr_p,22))</f>
        <v>0.67836432187190643</v>
      </c>
      <c r="W33" s="67">
        <f>IF($T33="","",(INDEX(calc_cylr_p,22)-INDEX(calc_lrcur,22))*100)</f>
        <v>0.2364321871906383</v>
      </c>
      <c r="X33" s="68">
        <f>IF($T33="","",INDEX(calc_arate_p,22))</f>
        <v>0.99145975603886694</v>
      </c>
      <c r="Y33" s="68">
        <f>IF($T33="","",INDEX(calc_amod_p,22))</f>
        <v>1.012141452489427</v>
      </c>
    </row>
    <row r="34" spans="1:25" x14ac:dyDescent="0.3">
      <c r="A34" s="11" t="s">
        <v>203</v>
      </c>
      <c r="B34" s="11" t="s">
        <v>183</v>
      </c>
      <c r="C34" s="29">
        <v>0.66</v>
      </c>
      <c r="D34" s="11" t="s">
        <v>204</v>
      </c>
      <c r="E34" s="59">
        <v>0.08</v>
      </c>
      <c r="F34" s="60">
        <v>1</v>
      </c>
      <c r="G34" s="60">
        <v>0.99</v>
      </c>
      <c r="H34" s="61">
        <v>46295</v>
      </c>
      <c r="I34" s="60">
        <v>0.995</v>
      </c>
      <c r="J34" s="62"/>
      <c r="K34" s="62"/>
      <c r="L34" s="63">
        <v>88000</v>
      </c>
      <c r="M34" s="59">
        <v>0.01</v>
      </c>
      <c r="N34" s="64">
        <v>1</v>
      </c>
      <c r="O34" s="13"/>
      <c r="P34" s="11" t="s">
        <v>116</v>
      </c>
      <c r="Q34" s="59"/>
      <c r="R34" s="59"/>
      <c r="T34" s="65" t="str">
        <f t="shared" si="0"/>
        <v>MM|CO</v>
      </c>
      <c r="V34" s="66">
        <f>IF($T34="","",INDEX(calc_cylr_p,23))</f>
        <v>0.72901070303392856</v>
      </c>
      <c r="W34" s="67">
        <f>IF($T34="","",(INDEX(calc_cylr_p,23)-INDEX(calc_lrcur,23))*100)</f>
        <v>1.6210703033928464</v>
      </c>
      <c r="X34" s="68">
        <f>IF($T34="","",INDEX(calc_arate_p,23))</f>
        <v>1.0135354629128315</v>
      </c>
      <c r="Y34" s="68">
        <f>IF($T34="","",INDEX(calc_amod_p,23))</f>
        <v>1.0090838708965142</v>
      </c>
    </row>
    <row r="35" spans="1:25" x14ac:dyDescent="0.3">
      <c r="A35" s="11" t="s">
        <v>203</v>
      </c>
      <c r="B35" s="11" t="s">
        <v>184</v>
      </c>
      <c r="C35" s="29">
        <v>0.68799999999999994</v>
      </c>
      <c r="D35" s="11" t="s">
        <v>182</v>
      </c>
      <c r="E35" s="59">
        <v>0.05</v>
      </c>
      <c r="F35" s="60">
        <v>1</v>
      </c>
      <c r="G35" s="60">
        <v>0.99</v>
      </c>
      <c r="H35" s="61">
        <v>46295</v>
      </c>
      <c r="I35" s="60">
        <v>1.01</v>
      </c>
      <c r="J35" s="62"/>
      <c r="K35" s="62"/>
      <c r="L35" s="63">
        <v>72000</v>
      </c>
      <c r="M35" s="59"/>
      <c r="N35" s="64">
        <v>1.02</v>
      </c>
      <c r="O35" s="13" t="s">
        <v>205</v>
      </c>
      <c r="P35" s="11" t="s">
        <v>116</v>
      </c>
      <c r="Q35" s="59"/>
      <c r="R35" s="59"/>
      <c r="T35" s="65" t="str">
        <f t="shared" si="0"/>
        <v>MM|DE</v>
      </c>
      <c r="V35" s="66">
        <f>IF($T35="","",INDEX(calc_cylr_p,24))</f>
        <v>0.70285810110980573</v>
      </c>
      <c r="W35" s="67">
        <f>IF($T35="","",(INDEX(calc_cylr_p,24)-INDEX(calc_lrcur,24))*100)</f>
        <v>1.4858101109805788</v>
      </c>
      <c r="X35" s="68">
        <f>IF($T35="","",INDEX(calc_arate_p,24))</f>
        <v>0.99554699171046557</v>
      </c>
      <c r="Y35" s="68">
        <f>IF($T35="","",INDEX(calc_amod_p,24))</f>
        <v>1.0060447069830585</v>
      </c>
    </row>
    <row r="36" spans="1:25" x14ac:dyDescent="0.3">
      <c r="A36" s="11" t="s">
        <v>203</v>
      </c>
      <c r="B36" s="11" t="s">
        <v>185</v>
      </c>
      <c r="C36" s="29">
        <v>0.67200000000000004</v>
      </c>
      <c r="D36" s="11" t="s">
        <v>182</v>
      </c>
      <c r="E36" s="59">
        <v>0.05</v>
      </c>
      <c r="F36" s="60">
        <v>1</v>
      </c>
      <c r="G36" s="60">
        <v>0.99</v>
      </c>
      <c r="H36" s="61">
        <v>46295</v>
      </c>
      <c r="I36" s="60">
        <v>0.99</v>
      </c>
      <c r="J36" s="62"/>
      <c r="K36" s="62"/>
      <c r="L36" s="63">
        <v>56000</v>
      </c>
      <c r="M36" s="59"/>
      <c r="N36" s="64">
        <v>1</v>
      </c>
      <c r="O36" s="13"/>
      <c r="P36" s="11" t="s">
        <v>116</v>
      </c>
      <c r="Q36" s="59"/>
      <c r="R36" s="59"/>
      <c r="T36" s="65" t="str">
        <f t="shared" si="0"/>
        <v>MM|FL</v>
      </c>
      <c r="V36" s="66">
        <f>IF($T36="","",INDEX(calc_cylr_p,25))</f>
        <v>0.68162799543552677</v>
      </c>
      <c r="W36" s="67">
        <f>IF($T36="","",(INDEX(calc_cylr_p,25)-INDEX(calc_lrcur,25))*100)</f>
        <v>0.96279954355267261</v>
      </c>
      <c r="X36" s="68">
        <f>IF($T36="","",INDEX(calc_arate_p,25))</f>
        <v>1.00418410041841</v>
      </c>
      <c r="Y36" s="68">
        <f>IF($T36="","",INDEX(calc_amod_p,25))</f>
        <v>1.0101010101010099</v>
      </c>
    </row>
    <row r="37" spans="1:25" x14ac:dyDescent="0.3">
      <c r="A37" s="11" t="s">
        <v>203</v>
      </c>
      <c r="B37" s="11" t="s">
        <v>186</v>
      </c>
      <c r="C37" s="29">
        <v>0.7</v>
      </c>
      <c r="D37" s="11" t="s">
        <v>182</v>
      </c>
      <c r="E37" s="59">
        <v>0.05</v>
      </c>
      <c r="F37" s="60">
        <v>1</v>
      </c>
      <c r="G37" s="60">
        <v>0.99</v>
      </c>
      <c r="H37" s="61">
        <v>46295</v>
      </c>
      <c r="I37" s="60">
        <v>1.0049999999999999</v>
      </c>
      <c r="J37" s="62"/>
      <c r="K37" s="62"/>
      <c r="L37" s="63">
        <v>40000</v>
      </c>
      <c r="M37" s="59"/>
      <c r="N37" s="64">
        <v>1</v>
      </c>
      <c r="O37" s="13"/>
      <c r="P37" s="11" t="s">
        <v>116</v>
      </c>
      <c r="Q37" s="59"/>
      <c r="R37" s="59"/>
      <c r="T37" s="65" t="str">
        <f t="shared" si="0"/>
        <v>MM|GA</v>
      </c>
      <c r="V37" s="66">
        <f>IF($T37="","",INDEX(calc_cylr_p,26))</f>
        <v>0.70022128600105049</v>
      </c>
      <c r="W37" s="67">
        <f>IF($T37="","",(INDEX(calc_cylr_p,26)-INDEX(calc_lrcur,26))*100)</f>
        <v>2.2128600105053575E-2</v>
      </c>
      <c r="X37" s="68">
        <f>IF($T37="","",INDEX(calc_arate_p,26))</f>
        <v>0.99330761698144854</v>
      </c>
      <c r="Y37" s="68">
        <f>IF($T37="","",INDEX(calc_amod_p,26))</f>
        <v>1.0070557254946793</v>
      </c>
    </row>
    <row r="38" spans="1:25" x14ac:dyDescent="0.3">
      <c r="A38" s="11" t="s">
        <v>203</v>
      </c>
      <c r="B38" s="11" t="s">
        <v>187</v>
      </c>
      <c r="C38" s="29">
        <v>0.68400000000000005</v>
      </c>
      <c r="D38" s="11" t="s">
        <v>182</v>
      </c>
      <c r="E38" s="59">
        <v>0.05</v>
      </c>
      <c r="F38" s="60">
        <v>1</v>
      </c>
      <c r="G38" s="60">
        <v>0.99</v>
      </c>
      <c r="H38" s="61">
        <v>46295</v>
      </c>
      <c r="I38" s="60">
        <v>0.98499999999999999</v>
      </c>
      <c r="J38" s="62"/>
      <c r="K38" s="62"/>
      <c r="L38" s="63">
        <v>92000</v>
      </c>
      <c r="M38" s="59"/>
      <c r="N38" s="64">
        <v>1</v>
      </c>
      <c r="O38" s="13"/>
      <c r="P38" s="11" t="s">
        <v>116</v>
      </c>
      <c r="Q38" s="59"/>
      <c r="R38" s="59"/>
      <c r="T38" s="65" t="str">
        <f t="shared" si="0"/>
        <v>MM|IA</v>
      </c>
      <c r="V38" s="66">
        <f>IF($T38="","",INDEX(calc_cylr_p,27))</f>
        <v>0.6916062180942395</v>
      </c>
      <c r="W38" s="67">
        <f>IF($T38="","",(INDEX(calc_cylr_p,27)-INDEX(calc_lrcur,27))*100)</f>
        <v>0.76062180942394475</v>
      </c>
      <c r="X38" s="68">
        <f>IF($T38="","",INDEX(calc_arate_p,27))</f>
        <v>1</v>
      </c>
      <c r="Y38" s="68">
        <f>IF($T38="","",INDEX(calc_amod_p,27))</f>
        <v>1.011120201892163</v>
      </c>
    </row>
    <row r="39" spans="1:25" x14ac:dyDescent="0.3">
      <c r="A39" s="11" t="s">
        <v>203</v>
      </c>
      <c r="B39" s="11" t="s">
        <v>188</v>
      </c>
      <c r="C39" s="29">
        <v>0.66800000000000004</v>
      </c>
      <c r="D39" s="11" t="s">
        <v>182</v>
      </c>
      <c r="E39" s="59">
        <v>0.05</v>
      </c>
      <c r="F39" s="60">
        <v>1</v>
      </c>
      <c r="G39" s="60">
        <v>0.99</v>
      </c>
      <c r="H39" s="61">
        <v>46295</v>
      </c>
      <c r="I39" s="60">
        <v>1</v>
      </c>
      <c r="J39" s="62"/>
      <c r="K39" s="62"/>
      <c r="L39" s="63">
        <v>76000</v>
      </c>
      <c r="M39" s="59"/>
      <c r="N39" s="64">
        <v>1</v>
      </c>
      <c r="O39" s="13"/>
      <c r="P39" s="11" t="s">
        <v>116</v>
      </c>
      <c r="Q39" s="59"/>
      <c r="R39" s="59"/>
      <c r="T39" s="65" t="str">
        <f t="shared" si="0"/>
        <v>MM|IL</v>
      </c>
      <c r="V39" s="66">
        <f>IF($T39="","",INDEX(calc_cylr_p,28))</f>
        <v>0.6742002806360412</v>
      </c>
      <c r="W39" s="67">
        <f>IF($T39="","",(INDEX(calc_cylr_p,28)-INDEX(calc_lrcur,28))*100)</f>
        <v>0.62002806360411666</v>
      </c>
      <c r="X39" s="68">
        <f>IF($T39="","",INDEX(calc_arate_p,28))</f>
        <v>1.0012033694344162</v>
      </c>
      <c r="Y39" s="68">
        <f>IF($T39="","",INDEX(calc_amod_p,28))</f>
        <v>1.0080687780842468</v>
      </c>
    </row>
    <row r="40" spans="1:25" x14ac:dyDescent="0.3">
      <c r="A40" s="11" t="s">
        <v>203</v>
      </c>
      <c r="B40" s="11" t="s">
        <v>189</v>
      </c>
      <c r="C40" s="29">
        <v>0.69599999999999995</v>
      </c>
      <c r="D40" s="11" t="s">
        <v>182</v>
      </c>
      <c r="E40" s="59">
        <v>0.05</v>
      </c>
      <c r="F40" s="60">
        <v>1</v>
      </c>
      <c r="G40" s="60">
        <v>0.99</v>
      </c>
      <c r="H40" s="61">
        <v>46295</v>
      </c>
      <c r="I40" s="60">
        <v>0.98</v>
      </c>
      <c r="J40" s="62"/>
      <c r="K40" s="62"/>
      <c r="L40" s="63">
        <v>60000</v>
      </c>
      <c r="M40" s="59"/>
      <c r="N40" s="64">
        <v>1</v>
      </c>
      <c r="O40" s="13"/>
      <c r="P40" s="11" t="s">
        <v>116</v>
      </c>
      <c r="Q40" s="59"/>
      <c r="R40" s="59"/>
      <c r="T40" s="65" t="str">
        <f t="shared" si="0"/>
        <v>MM|IN</v>
      </c>
      <c r="V40" s="66">
        <f>IF($T40="","",INDEX(calc_cylr_p,29))</f>
        <v>0.70631901976800626</v>
      </c>
      <c r="W40" s="67">
        <f>IF($T40="","",(INDEX(calc_cylr_p,29)-INDEX(calc_lrcur,29))*100)</f>
        <v>1.031901976800631</v>
      </c>
      <c r="X40" s="68">
        <f>IF($T40="","",INDEX(calc_arate_p,29))</f>
        <v>1.0026525198938991</v>
      </c>
      <c r="Y40" s="68">
        <f>IF($T40="","",INDEX(calc_amod_p,29))</f>
        <v>1.012141452489427</v>
      </c>
    </row>
    <row r="41" spans="1:25" x14ac:dyDescent="0.3">
      <c r="A41" s="11" t="s">
        <v>203</v>
      </c>
      <c r="B41" s="11" t="s">
        <v>190</v>
      </c>
      <c r="C41" s="29">
        <v>0.68</v>
      </c>
      <c r="D41" s="11" t="s">
        <v>182</v>
      </c>
      <c r="E41" s="59">
        <v>0.05</v>
      </c>
      <c r="F41" s="60">
        <v>1</v>
      </c>
      <c r="G41" s="60">
        <v>0.99</v>
      </c>
      <c r="H41" s="61">
        <v>46295</v>
      </c>
      <c r="I41" s="60">
        <v>0.995</v>
      </c>
      <c r="J41" s="62"/>
      <c r="K41" s="62"/>
      <c r="L41" s="63">
        <v>44000</v>
      </c>
      <c r="M41" s="59"/>
      <c r="N41" s="64">
        <v>1</v>
      </c>
      <c r="O41" s="13"/>
      <c r="P41" s="11" t="s">
        <v>116</v>
      </c>
      <c r="Q41" s="59"/>
      <c r="R41" s="59"/>
      <c r="T41" s="65" t="str">
        <f t="shared" si="0"/>
        <v>MM|KY</v>
      </c>
      <c r="V41" s="66">
        <f>IF($T41="","",INDEX(calc_cylr_p,30))</f>
        <v>0.68532038173246401</v>
      </c>
      <c r="W41" s="67">
        <f>IF($T41="","",(INDEX(calc_cylr_p,30)-INDEX(calc_lrcur,30))*100)</f>
        <v>0.53203817324639635</v>
      </c>
      <c r="X41" s="68">
        <f>IF($T41="","",INDEX(calc_arate_p,30))</f>
        <v>0.99875156054931336</v>
      </c>
      <c r="Y41" s="68">
        <f>IF($T41="","",INDEX(calc_amod_p,30))</f>
        <v>1.0090838708965142</v>
      </c>
    </row>
    <row r="42" spans="1:25" x14ac:dyDescent="0.3">
      <c r="A42" s="11" t="s">
        <v>203</v>
      </c>
      <c r="B42" s="11" t="s">
        <v>191</v>
      </c>
      <c r="C42" s="29">
        <v>0.66400000000000003</v>
      </c>
      <c r="D42" s="11" t="s">
        <v>182</v>
      </c>
      <c r="E42" s="59">
        <v>0.05</v>
      </c>
      <c r="F42" s="60">
        <v>1</v>
      </c>
      <c r="G42" s="60">
        <v>0.99</v>
      </c>
      <c r="H42" s="61">
        <v>46295</v>
      </c>
      <c r="I42" s="60">
        <v>1.01</v>
      </c>
      <c r="J42" s="62"/>
      <c r="K42" s="62"/>
      <c r="L42" s="63">
        <v>96000</v>
      </c>
      <c r="M42" s="59"/>
      <c r="N42" s="64">
        <v>1</v>
      </c>
      <c r="O42" s="13"/>
      <c r="P42" s="11" t="s">
        <v>116</v>
      </c>
      <c r="Q42" s="59"/>
      <c r="R42" s="59"/>
      <c r="T42" s="65" t="str">
        <f t="shared" si="0"/>
        <v>MM|MD</v>
      </c>
      <c r="V42" s="66">
        <f>IF($T42="","",INDEX(calc_cylr_p,31))</f>
        <v>0.66965499670318029</v>
      </c>
      <c r="W42" s="67">
        <f>IF($T42="","",(INDEX(calc_cylr_p,31)-INDEX(calc_lrcur,31))*100)</f>
        <v>0.56549967031802595</v>
      </c>
      <c r="X42" s="68">
        <f>IF($T42="","",INDEX(calc_arate_p,31))</f>
        <v>1.0024570024570025</v>
      </c>
      <c r="Y42" s="68">
        <f>IF($T42="","",INDEX(calc_amod_p,31))</f>
        <v>1.0060447069830585</v>
      </c>
    </row>
    <row r="43" spans="1:25" x14ac:dyDescent="0.3">
      <c r="A43" s="11" t="s">
        <v>203</v>
      </c>
      <c r="B43" s="11" t="s">
        <v>192</v>
      </c>
      <c r="C43" s="29">
        <v>0.69199999999999995</v>
      </c>
      <c r="D43" s="11" t="s">
        <v>182</v>
      </c>
      <c r="E43" s="59">
        <v>0.05</v>
      </c>
      <c r="F43" s="60">
        <v>1</v>
      </c>
      <c r="G43" s="60">
        <v>0.99</v>
      </c>
      <c r="H43" s="61">
        <v>46295</v>
      </c>
      <c r="I43" s="60">
        <v>0.99</v>
      </c>
      <c r="J43" s="62"/>
      <c r="K43" s="62"/>
      <c r="L43" s="63">
        <v>80000</v>
      </c>
      <c r="M43" s="59"/>
      <c r="N43" s="64">
        <v>1</v>
      </c>
      <c r="O43" s="13"/>
      <c r="P43" s="11" t="s">
        <v>116</v>
      </c>
      <c r="Q43" s="59"/>
      <c r="R43" s="59"/>
      <c r="T43" s="65" t="str">
        <f t="shared" si="0"/>
        <v>MM|MI</v>
      </c>
      <c r="V43" s="66">
        <f>IF($T43="","",INDEX(calc_cylr_p,32))</f>
        <v>0.70247099514301414</v>
      </c>
      <c r="W43" s="67">
        <f>IF($T43="","",(INDEX(calc_cylr_p,32)-INDEX(calc_lrcur,32))*100)</f>
        <v>1.0470995143014195</v>
      </c>
      <c r="X43" s="68">
        <f>IF($T43="","",INDEX(calc_arate_p,32))</f>
        <v>1.0049801809126939</v>
      </c>
      <c r="Y43" s="68">
        <f>IF($T43="","",INDEX(calc_amod_p,32))</f>
        <v>1.0101010101010099</v>
      </c>
    </row>
    <row r="44" spans="1:25" x14ac:dyDescent="0.3">
      <c r="A44" s="11" t="s">
        <v>203</v>
      </c>
      <c r="B44" s="11" t="s">
        <v>193</v>
      </c>
      <c r="C44" s="29">
        <v>0.67600000000000005</v>
      </c>
      <c r="D44" s="11" t="s">
        <v>182</v>
      </c>
      <c r="E44" s="59">
        <v>0.05</v>
      </c>
      <c r="F44" s="60">
        <v>1</v>
      </c>
      <c r="G44" s="60">
        <v>0.99</v>
      </c>
      <c r="H44" s="61">
        <v>46295</v>
      </c>
      <c r="I44" s="60">
        <v>1.0049999999999999</v>
      </c>
      <c r="J44" s="62"/>
      <c r="K44" s="62"/>
      <c r="L44" s="63">
        <v>64000</v>
      </c>
      <c r="M44" s="59"/>
      <c r="N44" s="64">
        <v>1</v>
      </c>
      <c r="O44" s="13"/>
      <c r="P44" s="11" t="s">
        <v>116</v>
      </c>
      <c r="Q44" s="59"/>
      <c r="R44" s="59"/>
      <c r="T44" s="65" t="str">
        <f t="shared" ref="T44:T80" si="1">IF(OR($A44="",$B44=""),"",$A44&amp;"|"&amp;$B44)</f>
        <v>MM|MN</v>
      </c>
      <c r="V44" s="66">
        <f>IF($T44="","",INDEX(calc_cylr_p,33))</f>
        <v>0.68076967043440317</v>
      </c>
      <c r="W44" s="67">
        <f>IF($T44="","",(INDEX(calc_cylr_p,33)-INDEX(calc_lrcur,33))*100)</f>
        <v>0.47696704344031282</v>
      </c>
      <c r="X44" s="68">
        <f>IF($T44="","",INDEX(calc_arate_p,33))</f>
        <v>1</v>
      </c>
      <c r="Y44" s="68">
        <f>IF($T44="","",INDEX(calc_amod_p,33))</f>
        <v>1.0070557254946793</v>
      </c>
    </row>
    <row r="45" spans="1:25" x14ac:dyDescent="0.3">
      <c r="A45" s="11" t="s">
        <v>203</v>
      </c>
      <c r="B45" s="11" t="s">
        <v>194</v>
      </c>
      <c r="C45" s="29">
        <v>0.66</v>
      </c>
      <c r="D45" s="11" t="s">
        <v>182</v>
      </c>
      <c r="E45" s="59">
        <v>0.05</v>
      </c>
      <c r="F45" s="60">
        <v>1</v>
      </c>
      <c r="G45" s="60">
        <v>0.99</v>
      </c>
      <c r="H45" s="61">
        <v>46295</v>
      </c>
      <c r="I45" s="60">
        <v>0.98499999999999999</v>
      </c>
      <c r="J45" s="62"/>
      <c r="K45" s="62"/>
      <c r="L45" s="63">
        <v>48000</v>
      </c>
      <c r="M45" s="59"/>
      <c r="N45" s="64">
        <v>1</v>
      </c>
      <c r="O45" s="13"/>
      <c r="P45" s="11" t="s">
        <v>116</v>
      </c>
      <c r="Q45" s="59"/>
      <c r="R45" s="59"/>
      <c r="T45" s="65" t="str">
        <f t="shared" si="1"/>
        <v>MM|NM</v>
      </c>
      <c r="V45" s="66">
        <f>IF($T45="","",INDEX(calc_cylr_p,34))</f>
        <v>0.66877241699954093</v>
      </c>
      <c r="W45" s="67">
        <f>IF($T45="","",(INDEX(calc_cylr_p,34)-INDEX(calc_lrcur,34))*100)</f>
        <v>0.87724169995408996</v>
      </c>
      <c r="X45" s="68">
        <f>IF($T45="","",INDEX(calc_arate_p,34))</f>
        <v>1.0021474588403723</v>
      </c>
      <c r="Y45" s="68">
        <f>IF($T45="","",INDEX(calc_amod_p,34))</f>
        <v>1.011120201892163</v>
      </c>
    </row>
    <row r="46" spans="1:25" x14ac:dyDescent="0.3">
      <c r="A46" s="11" t="s">
        <v>203</v>
      </c>
      <c r="B46" s="11" t="s">
        <v>195</v>
      </c>
      <c r="C46" s="29">
        <v>0.68799999999999994</v>
      </c>
      <c r="D46" s="11" t="s">
        <v>182</v>
      </c>
      <c r="E46" s="59">
        <v>0.05</v>
      </c>
      <c r="F46" s="60">
        <v>1</v>
      </c>
      <c r="G46" s="60">
        <v>0.99</v>
      </c>
      <c r="H46" s="61">
        <v>46295</v>
      </c>
      <c r="I46" s="60">
        <v>1</v>
      </c>
      <c r="J46" s="62"/>
      <c r="K46" s="62"/>
      <c r="L46" s="63">
        <v>32000</v>
      </c>
      <c r="M46" s="59"/>
      <c r="N46" s="64">
        <v>1</v>
      </c>
      <c r="O46" s="13"/>
      <c r="P46" s="11" t="s">
        <v>116</v>
      </c>
      <c r="Q46" s="59"/>
      <c r="R46" s="59"/>
      <c r="T46" s="65" t="str">
        <f t="shared" si="1"/>
        <v>MM|NC</v>
      </c>
      <c r="V46" s="66">
        <f>IF($T46="","",INDEX(calc_cylr_p,35))</f>
        <v>0.70745571626105475</v>
      </c>
      <c r="W46" s="67">
        <f>IF($T46="","",(INDEX(calc_cylr_p,35)-INDEX(calc_lrcur,35))*100)</f>
        <v>1.9455716261054801</v>
      </c>
      <c r="X46" s="68">
        <f>IF($T46="","",INDEX(calc_arate_p,35))</f>
        <v>1.020048115477145</v>
      </c>
      <c r="Y46" s="68">
        <f>IF($T46="","",INDEX(calc_amod_p,35))</f>
        <v>1.0080687780842468</v>
      </c>
    </row>
    <row r="47" spans="1:25" x14ac:dyDescent="0.3">
      <c r="A47" s="11" t="s">
        <v>203</v>
      </c>
      <c r="B47" s="11" t="s">
        <v>196</v>
      </c>
      <c r="C47" s="29">
        <v>0.67200000000000004</v>
      </c>
      <c r="D47" s="11" t="s">
        <v>182</v>
      </c>
      <c r="E47" s="59">
        <v>0.05</v>
      </c>
      <c r="F47" s="60">
        <v>1</v>
      </c>
      <c r="G47" s="60">
        <v>0.99</v>
      </c>
      <c r="H47" s="61">
        <v>46295</v>
      </c>
      <c r="I47" s="60">
        <v>0.98</v>
      </c>
      <c r="J47" s="62"/>
      <c r="K47" s="62"/>
      <c r="L47" s="63">
        <v>84000</v>
      </c>
      <c r="M47" s="59"/>
      <c r="N47" s="64">
        <v>1</v>
      </c>
      <c r="O47" s="13"/>
      <c r="P47" s="11" t="s">
        <v>116</v>
      </c>
      <c r="Q47" s="59"/>
      <c r="R47" s="59"/>
      <c r="T47" s="65" t="str">
        <f t="shared" si="1"/>
        <v>MM|OH</v>
      </c>
      <c r="V47" s="66">
        <f>IF($T47="","",INDEX(calc_cylr_p,36))</f>
        <v>0.68015905607289495</v>
      </c>
      <c r="W47" s="67">
        <f>IF($T47="","",(INDEX(calc_cylr_p,36)-INDEX(calc_lrcur,36))*100)</f>
        <v>0.81590560728949102</v>
      </c>
      <c r="X47" s="68">
        <f>IF($T47="","",INDEX(calc_arate_p,36))</f>
        <v>1</v>
      </c>
      <c r="Y47" s="68">
        <f>IF($T47="","",INDEX(calc_amod_p,36))</f>
        <v>1.012141452489427</v>
      </c>
    </row>
    <row r="48" spans="1:25" x14ac:dyDescent="0.3">
      <c r="A48" s="11" t="s">
        <v>203</v>
      </c>
      <c r="B48" s="11" t="s">
        <v>197</v>
      </c>
      <c r="C48" s="29">
        <v>0.7</v>
      </c>
      <c r="D48" s="11" t="s">
        <v>182</v>
      </c>
      <c r="E48" s="59">
        <v>0.05</v>
      </c>
      <c r="F48" s="60">
        <v>1</v>
      </c>
      <c r="G48" s="60">
        <v>0.99</v>
      </c>
      <c r="H48" s="61">
        <v>46295</v>
      </c>
      <c r="I48" s="60">
        <v>0.995</v>
      </c>
      <c r="J48" s="62"/>
      <c r="K48" s="62"/>
      <c r="L48" s="63">
        <v>68000</v>
      </c>
      <c r="M48" s="59"/>
      <c r="N48" s="64">
        <v>1</v>
      </c>
      <c r="O48" s="13"/>
      <c r="P48" s="11" t="s">
        <v>116</v>
      </c>
      <c r="Q48" s="59"/>
      <c r="R48" s="59"/>
      <c r="T48" s="65" t="str">
        <f t="shared" si="1"/>
        <v>MM|PA</v>
      </c>
      <c r="V48" s="66">
        <f>IF($T48="","",INDEX(calc_cylr_p,37))</f>
        <v>0.70635870962755976</v>
      </c>
      <c r="W48" s="67">
        <f>IF($T48="","",(INDEX(calc_cylr_p,37)-INDEX(calc_lrcur,37))*100)</f>
        <v>0.63587096275597998</v>
      </c>
      <c r="X48" s="68">
        <f>IF($T48="","",INDEX(calc_arate_p,37))</f>
        <v>0.99999999999999978</v>
      </c>
      <c r="Y48" s="68">
        <f>IF($T48="","",INDEX(calc_amod_p,37))</f>
        <v>1.0090838708965142</v>
      </c>
    </row>
    <row r="49" spans="1:25" x14ac:dyDescent="0.3">
      <c r="A49" s="11" t="s">
        <v>203</v>
      </c>
      <c r="B49" s="11" t="s">
        <v>198</v>
      </c>
      <c r="C49" s="29">
        <v>0.68400000000000005</v>
      </c>
      <c r="D49" s="11" t="s">
        <v>182</v>
      </c>
      <c r="E49" s="59">
        <v>0.05</v>
      </c>
      <c r="F49" s="60">
        <v>1</v>
      </c>
      <c r="G49" s="60">
        <v>0.99</v>
      </c>
      <c r="H49" s="61">
        <v>46295</v>
      </c>
      <c r="I49" s="60">
        <v>1.01</v>
      </c>
      <c r="J49" s="62"/>
      <c r="K49" s="62"/>
      <c r="L49" s="63">
        <v>52000</v>
      </c>
      <c r="M49" s="59"/>
      <c r="N49" s="64">
        <v>1</v>
      </c>
      <c r="O49" s="13"/>
      <c r="P49" s="11" t="s">
        <v>116</v>
      </c>
      <c r="Q49" s="59"/>
      <c r="R49" s="59"/>
      <c r="T49" s="65" t="str">
        <f t="shared" si="1"/>
        <v>MM|SC</v>
      </c>
      <c r="V49" s="66">
        <f>IF($T49="","",INDEX(calc_cylr_p,38))</f>
        <v>0.68584476665355687</v>
      </c>
      <c r="W49" s="67">
        <f>IF($T49="","",(INDEX(calc_cylr_p,38)-INDEX(calc_lrcur,38))*100)</f>
        <v>0.18447666535568175</v>
      </c>
      <c r="X49" s="68">
        <f>IF($T49="","",INDEX(calc_arate_p,38))</f>
        <v>0.99667243444695852</v>
      </c>
      <c r="Y49" s="68">
        <f>IF($T49="","",INDEX(calc_amod_p,38))</f>
        <v>1.0060447069830585</v>
      </c>
    </row>
    <row r="50" spans="1:25" x14ac:dyDescent="0.3">
      <c r="A50" s="11" t="s">
        <v>203</v>
      </c>
      <c r="B50" s="11" t="s">
        <v>199</v>
      </c>
      <c r="C50" s="29">
        <v>0.66800000000000004</v>
      </c>
      <c r="D50" s="11" t="s">
        <v>182</v>
      </c>
      <c r="E50" s="59">
        <v>0.05</v>
      </c>
      <c r="F50" s="60">
        <v>1</v>
      </c>
      <c r="G50" s="60">
        <v>0.99</v>
      </c>
      <c r="H50" s="61">
        <v>46295</v>
      </c>
      <c r="I50" s="60">
        <v>0.99</v>
      </c>
      <c r="J50" s="62"/>
      <c r="K50" s="62"/>
      <c r="L50" s="63">
        <v>36000</v>
      </c>
      <c r="M50" s="59"/>
      <c r="N50" s="64">
        <v>1</v>
      </c>
      <c r="O50" s="13"/>
      <c r="P50" s="11" t="s">
        <v>116</v>
      </c>
      <c r="Q50" s="59"/>
      <c r="R50" s="59"/>
      <c r="T50" s="65" t="str">
        <f t="shared" si="1"/>
        <v>MM|TN</v>
      </c>
      <c r="V50" s="66">
        <f>IF($T50="","",INDEX(calc_cylr_p,39))</f>
        <v>0.67474747474747465</v>
      </c>
      <c r="W50" s="67">
        <f>IF($T50="","",(INDEX(calc_cylr_p,39)-INDEX(calc_lrcur,39))*100)</f>
        <v>0.67474747474746133</v>
      </c>
      <c r="X50" s="68">
        <f>IF($T50="","",INDEX(calc_arate_p,39))</f>
        <v>1</v>
      </c>
      <c r="Y50" s="68">
        <f>IF($T50="","",INDEX(calc_amod_p,39))</f>
        <v>1.0101010101010099</v>
      </c>
    </row>
    <row r="51" spans="1:25" x14ac:dyDescent="0.3">
      <c r="A51" s="11" t="s">
        <v>203</v>
      </c>
      <c r="B51" s="11" t="s">
        <v>200</v>
      </c>
      <c r="C51" s="29">
        <v>0.69599999999999995</v>
      </c>
      <c r="D51" s="11" t="s">
        <v>182</v>
      </c>
      <c r="E51" s="59">
        <v>0.05</v>
      </c>
      <c r="F51" s="60">
        <v>1</v>
      </c>
      <c r="G51" s="60">
        <v>0.99</v>
      </c>
      <c r="H51" s="61">
        <v>46295</v>
      </c>
      <c r="I51" s="60">
        <v>1.0049999999999999</v>
      </c>
      <c r="J51" s="62"/>
      <c r="K51" s="62"/>
      <c r="L51" s="63">
        <v>88000</v>
      </c>
      <c r="M51" s="59"/>
      <c r="N51" s="64">
        <v>1</v>
      </c>
      <c r="O51" s="13"/>
      <c r="P51" s="11" t="s">
        <v>116</v>
      </c>
      <c r="Q51" s="59"/>
      <c r="R51" s="59"/>
      <c r="T51" s="65" t="str">
        <f t="shared" si="1"/>
        <v>MM|VA</v>
      </c>
      <c r="V51" s="66">
        <f>IF($T51="","",INDEX(calc_cylr_p,40))</f>
        <v>0.70215280051123874</v>
      </c>
      <c r="W51" s="67">
        <f>IF($T51="","",(INDEX(calc_cylr_p,40)-INDEX(calc_lrcur,40))*100)</f>
        <v>0.61528005112387874</v>
      </c>
      <c r="X51" s="68">
        <f>IF($T51="","",INDEX(calc_arate_p,40))</f>
        <v>1.0017720023626697</v>
      </c>
      <c r="Y51" s="68">
        <f>IF($T51="","",INDEX(calc_amod_p,40))</f>
        <v>1.0070557254946793</v>
      </c>
    </row>
    <row r="52" spans="1:25" x14ac:dyDescent="0.3">
      <c r="A52" s="11" t="s">
        <v>203</v>
      </c>
      <c r="B52" s="11" t="s">
        <v>201</v>
      </c>
      <c r="C52" s="29">
        <v>0.68</v>
      </c>
      <c r="D52" s="11" t="s">
        <v>182</v>
      </c>
      <c r="E52" s="59">
        <v>0.05</v>
      </c>
      <c r="F52" s="60">
        <v>1</v>
      </c>
      <c r="G52" s="60">
        <v>0.99</v>
      </c>
      <c r="H52" s="61">
        <v>46295</v>
      </c>
      <c r="I52" s="60">
        <v>0.98499999999999999</v>
      </c>
      <c r="J52" s="62"/>
      <c r="K52" s="62"/>
      <c r="L52" s="63">
        <v>72000</v>
      </c>
      <c r="M52" s="59"/>
      <c r="N52" s="64">
        <v>1</v>
      </c>
      <c r="O52" s="13"/>
      <c r="P52" s="11" t="s">
        <v>116</v>
      </c>
      <c r="Q52" s="59"/>
      <c r="R52" s="59"/>
      <c r="T52" s="65" t="str">
        <f t="shared" si="1"/>
        <v>MM|WV</v>
      </c>
      <c r="V52" s="66">
        <f>IF($T52="","",INDEX(calc_cylr_p,41))</f>
        <v>0.688311531983821</v>
      </c>
      <c r="W52" s="67">
        <f>IF($T52="","",(INDEX(calc_cylr_p,41)-INDEX(calc_lrcur,41))*100)</f>
        <v>0.83115319838209523</v>
      </c>
      <c r="X52" s="68">
        <f>IF($T52="","",INDEX(calc_arate_p,41))</f>
        <v>1.0010905125408942</v>
      </c>
      <c r="Y52" s="68">
        <f>IF($T52="","",INDEX(calc_amod_p,41))</f>
        <v>1.011120201892163</v>
      </c>
    </row>
    <row r="53" spans="1:25" x14ac:dyDescent="0.3">
      <c r="A53" s="11" t="s">
        <v>203</v>
      </c>
      <c r="B53" s="11" t="s">
        <v>202</v>
      </c>
      <c r="C53" s="29">
        <v>0.66400000000000003</v>
      </c>
      <c r="D53" s="11" t="s">
        <v>182</v>
      </c>
      <c r="E53" s="59">
        <v>0.05</v>
      </c>
      <c r="F53" s="60">
        <v>1</v>
      </c>
      <c r="G53" s="60">
        <v>0.99</v>
      </c>
      <c r="H53" s="61">
        <v>46295</v>
      </c>
      <c r="I53" s="60">
        <v>1</v>
      </c>
      <c r="J53" s="62"/>
      <c r="K53" s="62"/>
      <c r="L53" s="63">
        <v>56000</v>
      </c>
      <c r="M53" s="59"/>
      <c r="N53" s="64">
        <v>1</v>
      </c>
      <c r="O53" s="13"/>
      <c r="P53" s="11" t="s">
        <v>116</v>
      </c>
      <c r="Q53" s="59"/>
      <c r="R53" s="59"/>
      <c r="T53" s="65" t="str">
        <f t="shared" si="1"/>
        <v>MM|WI</v>
      </c>
      <c r="V53" s="66">
        <f>IF($T53="","",INDEX(calc_cylr_p,42))</f>
        <v>0.6582946611480901</v>
      </c>
      <c r="W53" s="67">
        <f>IF($T53="","",(INDEX(calc_cylr_p,42)-INDEX(calc_lrcur,42))*100)</f>
        <v>-0.57053388519099357</v>
      </c>
      <c r="X53" s="68">
        <f>IF($T53="","",INDEX(calc_arate_p,42))</f>
        <v>0.98347220325092199</v>
      </c>
      <c r="Y53" s="68">
        <f>IF($T53="","",INDEX(calc_amod_p,42))</f>
        <v>1.0080687780842468</v>
      </c>
    </row>
    <row r="54" spans="1:25" x14ac:dyDescent="0.3">
      <c r="A54" s="11" t="s">
        <v>206</v>
      </c>
      <c r="B54" s="11" t="s">
        <v>105</v>
      </c>
      <c r="C54" s="29">
        <v>0.69199999999999995</v>
      </c>
      <c r="D54" s="11" t="s">
        <v>182</v>
      </c>
      <c r="E54" s="59">
        <v>0.05</v>
      </c>
      <c r="F54" s="60">
        <v>1</v>
      </c>
      <c r="G54" s="60">
        <v>0.99</v>
      </c>
      <c r="H54" s="61">
        <v>46295</v>
      </c>
      <c r="I54" s="60">
        <v>0.98</v>
      </c>
      <c r="J54" s="62"/>
      <c r="K54" s="62"/>
      <c r="L54" s="63">
        <v>40000</v>
      </c>
      <c r="M54" s="59"/>
      <c r="N54" s="64">
        <v>1</v>
      </c>
      <c r="O54" s="13"/>
      <c r="P54" s="11" t="s">
        <v>116</v>
      </c>
      <c r="Q54" s="59"/>
      <c r="R54" s="59"/>
      <c r="T54" s="65" t="str">
        <f t="shared" si="1"/>
        <v>SBA|AZ</v>
      </c>
      <c r="V54" s="66">
        <f>IF($T54="","",INDEX(calc_cylr_p,43))</f>
        <v>0.70378546910878326</v>
      </c>
      <c r="W54" s="67">
        <f>IF($T54="","",(INDEX(calc_cylr_p,43)-INDEX(calc_lrcur,43))*100)</f>
        <v>1.1785469108783309</v>
      </c>
      <c r="X54" s="68">
        <f>IF($T54="","",INDEX(calc_arate_p,43))</f>
        <v>1.0048309178743959</v>
      </c>
      <c r="Y54" s="68">
        <f>IF($T54="","",INDEX(calc_amod_p,43))</f>
        <v>1.012141452489427</v>
      </c>
    </row>
    <row r="55" spans="1:25" x14ac:dyDescent="0.3">
      <c r="A55" s="11" t="s">
        <v>206</v>
      </c>
      <c r="B55" s="11" t="s">
        <v>183</v>
      </c>
      <c r="C55" s="29">
        <v>0.67600000000000005</v>
      </c>
      <c r="D55" s="11" t="s">
        <v>182</v>
      </c>
      <c r="E55" s="59">
        <v>0.05</v>
      </c>
      <c r="F55" s="60">
        <v>1</v>
      </c>
      <c r="G55" s="60">
        <v>0.99</v>
      </c>
      <c r="H55" s="61">
        <v>46295</v>
      </c>
      <c r="I55" s="60">
        <v>0.995</v>
      </c>
      <c r="J55" s="62"/>
      <c r="K55" s="62"/>
      <c r="L55" s="63">
        <v>92000</v>
      </c>
      <c r="M55" s="59"/>
      <c r="N55" s="64">
        <v>1</v>
      </c>
      <c r="O55" s="13"/>
      <c r="P55" s="11" t="s">
        <v>116</v>
      </c>
      <c r="Q55" s="59"/>
      <c r="R55" s="59"/>
      <c r="T55" s="65" t="str">
        <f t="shared" si="1"/>
        <v>SBA|CO</v>
      </c>
      <c r="V55" s="66">
        <f>IF($T55="","",INDEX(calc_cylr_p,44))</f>
        <v>0.68771244104002549</v>
      </c>
      <c r="W55" s="67">
        <f>IF($T55="","",(INDEX(calc_cylr_p,44)-INDEX(calc_lrcur,44))*100)</f>
        <v>1.1712441040025445</v>
      </c>
      <c r="X55" s="68">
        <f>IF($T55="","",INDEX(calc_arate_p,44))</f>
        <v>1.0081680280046676</v>
      </c>
      <c r="Y55" s="68">
        <f>IF($T55="","",INDEX(calc_amod_p,44))</f>
        <v>1.0090838708965142</v>
      </c>
    </row>
    <row r="56" spans="1:25" x14ac:dyDescent="0.3">
      <c r="A56" s="11" t="s">
        <v>206</v>
      </c>
      <c r="B56" s="11" t="s">
        <v>184</v>
      </c>
      <c r="C56" s="29">
        <v>0.66</v>
      </c>
      <c r="D56" s="11" t="s">
        <v>182</v>
      </c>
      <c r="E56" s="59">
        <v>0.05</v>
      </c>
      <c r="F56" s="60">
        <v>1</v>
      </c>
      <c r="G56" s="60">
        <v>0.99</v>
      </c>
      <c r="H56" s="61">
        <v>46295</v>
      </c>
      <c r="I56" s="60">
        <v>1.01</v>
      </c>
      <c r="J56" s="62"/>
      <c r="K56" s="62"/>
      <c r="L56" s="63">
        <v>76000</v>
      </c>
      <c r="M56" s="59"/>
      <c r="N56" s="64">
        <v>1</v>
      </c>
      <c r="O56" s="13"/>
      <c r="P56" s="11" t="s">
        <v>116</v>
      </c>
      <c r="Q56" s="59"/>
      <c r="R56" s="59"/>
      <c r="T56" s="65" t="str">
        <f t="shared" si="1"/>
        <v>SBA|DE</v>
      </c>
      <c r="V56" s="66">
        <f>IF($T56="","",INDEX(calc_cylr_p,45))</f>
        <v>0.66398950660881861</v>
      </c>
      <c r="W56" s="67">
        <f>IF($T56="","",(INDEX(calc_cylr_p,45)-INDEX(calc_lrcur,45))*100)</f>
        <v>0.39895066088185827</v>
      </c>
      <c r="X56" s="68">
        <f>IF($T56="","",INDEX(calc_arate_p,45))</f>
        <v>1</v>
      </c>
      <c r="Y56" s="68">
        <f>IF($T56="","",INDEX(calc_amod_p,45))</f>
        <v>1.0060447069830585</v>
      </c>
    </row>
    <row r="57" spans="1:25" x14ac:dyDescent="0.3">
      <c r="A57" s="11" t="s">
        <v>206</v>
      </c>
      <c r="B57" s="11" t="s">
        <v>185</v>
      </c>
      <c r="C57" s="29">
        <v>0.68799999999999994</v>
      </c>
      <c r="D57" s="11" t="s">
        <v>182</v>
      </c>
      <c r="E57" s="59">
        <v>0.05</v>
      </c>
      <c r="F57" s="60">
        <v>1</v>
      </c>
      <c r="G57" s="60">
        <v>0.99</v>
      </c>
      <c r="H57" s="61">
        <v>46295</v>
      </c>
      <c r="I57" s="60">
        <v>0.99</v>
      </c>
      <c r="J57" s="62"/>
      <c r="K57" s="62"/>
      <c r="L57" s="63">
        <v>60000</v>
      </c>
      <c r="M57" s="59"/>
      <c r="N57" s="64">
        <v>1</v>
      </c>
      <c r="O57" s="13"/>
      <c r="P57" s="11" t="s">
        <v>116</v>
      </c>
      <c r="Q57" s="59"/>
      <c r="R57" s="59"/>
      <c r="T57" s="65" t="str">
        <f t="shared" si="1"/>
        <v>SBA|FL</v>
      </c>
      <c r="V57" s="66">
        <f>IF($T57="","",INDEX(calc_cylr_p,46))</f>
        <v>0.69405357611757834</v>
      </c>
      <c r="W57" s="67">
        <f>IF($T57="","",(INDEX(calc_cylr_p,46)-INDEX(calc_lrcur,46))*100)</f>
        <v>0.60535761175783964</v>
      </c>
      <c r="X57" s="68">
        <f>IF($T57="","",INDEX(calc_arate_p,46))</f>
        <v>0.99871081447151555</v>
      </c>
      <c r="Y57" s="68">
        <f>IF($T57="","",INDEX(calc_amod_p,46))</f>
        <v>1.0101010101010099</v>
      </c>
    </row>
    <row r="58" spans="1:25" x14ac:dyDescent="0.3">
      <c r="A58" s="11" t="s">
        <v>206</v>
      </c>
      <c r="B58" s="11" t="s">
        <v>186</v>
      </c>
      <c r="C58" s="29">
        <v>0.67200000000000004</v>
      </c>
      <c r="D58" s="11" t="s">
        <v>182</v>
      </c>
      <c r="E58" s="59">
        <v>0.05</v>
      </c>
      <c r="F58" s="60">
        <v>1</v>
      </c>
      <c r="G58" s="60">
        <v>0.99</v>
      </c>
      <c r="H58" s="61">
        <v>46295</v>
      </c>
      <c r="I58" s="60">
        <v>1.0049999999999999</v>
      </c>
      <c r="J58" s="62"/>
      <c r="K58" s="62"/>
      <c r="L58" s="63">
        <v>44000</v>
      </c>
      <c r="M58" s="59"/>
      <c r="N58" s="64">
        <v>1</v>
      </c>
      <c r="O58" s="13"/>
      <c r="P58" s="11" t="s">
        <v>116</v>
      </c>
      <c r="Q58" s="59"/>
      <c r="R58" s="59"/>
      <c r="T58" s="65" t="str">
        <f t="shared" si="1"/>
        <v>SBA|GA</v>
      </c>
      <c r="V58" s="66">
        <f>IF($T58="","",INDEX(calc_cylr_p,47))</f>
        <v>0.67674144753242449</v>
      </c>
      <c r="W58" s="67">
        <f>IF($T58="","",(INDEX(calc_cylr_p,47)-INDEX(calc_lrcur,47))*100)</f>
        <v>0.47414475324244476</v>
      </c>
      <c r="X58" s="68">
        <f>IF($T58="","",INDEX(calc_arate_p,47))</f>
        <v>1</v>
      </c>
      <c r="Y58" s="68">
        <f>IF($T58="","",INDEX(calc_amod_p,47))</f>
        <v>1.0070557254946793</v>
      </c>
    </row>
    <row r="59" spans="1:25" x14ac:dyDescent="0.3">
      <c r="A59" s="11" t="s">
        <v>206</v>
      </c>
      <c r="B59" s="11" t="s">
        <v>187</v>
      </c>
      <c r="C59" s="29">
        <v>0.7</v>
      </c>
      <c r="D59" s="11" t="s">
        <v>182</v>
      </c>
      <c r="E59" s="59">
        <v>0.05</v>
      </c>
      <c r="F59" s="60">
        <v>1</v>
      </c>
      <c r="G59" s="60">
        <v>0.99</v>
      </c>
      <c r="H59" s="61">
        <v>46295</v>
      </c>
      <c r="I59" s="60">
        <v>0.98499999999999999</v>
      </c>
      <c r="J59" s="62"/>
      <c r="K59" s="62"/>
      <c r="L59" s="63">
        <v>96000</v>
      </c>
      <c r="M59" s="59"/>
      <c r="N59" s="64">
        <v>1</v>
      </c>
      <c r="O59" s="13"/>
      <c r="P59" s="11" t="s">
        <v>116</v>
      </c>
      <c r="Q59" s="59"/>
      <c r="R59" s="59"/>
      <c r="T59" s="65" t="str">
        <f t="shared" si="1"/>
        <v>SBA|IA</v>
      </c>
      <c r="V59" s="66">
        <f>IF($T59="","",INDEX(calc_cylr_p,48))</f>
        <v>0.70778414132451406</v>
      </c>
      <c r="W59" s="67">
        <f>IF($T59="","",(INDEX(calc_cylr_p,48)-INDEX(calc_lrcur,48))*100)</f>
        <v>0.77841413245141045</v>
      </c>
      <c r="X59" s="68">
        <f>IF($T59="","",INDEX(calc_arate_p,48))</f>
        <v>1</v>
      </c>
      <c r="Y59" s="68">
        <f>IF($T59="","",INDEX(calc_amod_p,48))</f>
        <v>1.011120201892163</v>
      </c>
    </row>
    <row r="60" spans="1:25" x14ac:dyDescent="0.3">
      <c r="A60" s="11" t="s">
        <v>206</v>
      </c>
      <c r="B60" s="11" t="s">
        <v>188</v>
      </c>
      <c r="C60" s="29">
        <v>0.68400000000000005</v>
      </c>
      <c r="D60" s="11" t="s">
        <v>182</v>
      </c>
      <c r="E60" s="59">
        <v>6.5000000000000002E-2</v>
      </c>
      <c r="F60" s="60">
        <v>1</v>
      </c>
      <c r="G60" s="60">
        <v>0.99</v>
      </c>
      <c r="H60" s="61">
        <v>46295</v>
      </c>
      <c r="I60" s="60">
        <v>1</v>
      </c>
      <c r="J60" s="62"/>
      <c r="K60" s="62"/>
      <c r="L60" s="63">
        <v>80000</v>
      </c>
      <c r="M60" s="59"/>
      <c r="N60" s="64">
        <v>1</v>
      </c>
      <c r="O60" s="13"/>
      <c r="P60" s="11" t="s">
        <v>116</v>
      </c>
      <c r="Q60" s="59"/>
      <c r="R60" s="59"/>
      <c r="T60" s="65" t="str">
        <f t="shared" si="1"/>
        <v>SBA|IL</v>
      </c>
      <c r="V60" s="66">
        <f>IF($T60="","",INDEX(calc_cylr_p,49))</f>
        <v>0.65241305188373733</v>
      </c>
      <c r="W60" s="67">
        <f>IF($T60="","",(INDEX(calc_cylr_p,49)-INDEX(calc_lrcur,49))*100)</f>
        <v>-3.1586948116262725</v>
      </c>
      <c r="X60" s="68">
        <f>IF($T60="","",INDEX(calc_arate_p,49))</f>
        <v>0.94618568894145472</v>
      </c>
      <c r="Y60" s="68">
        <f>IF($T60="","",INDEX(calc_amod_p,49))</f>
        <v>1.0080687780842468</v>
      </c>
    </row>
    <row r="61" spans="1:25" x14ac:dyDescent="0.3">
      <c r="A61" s="11" t="s">
        <v>206</v>
      </c>
      <c r="B61" s="11" t="s">
        <v>189</v>
      </c>
      <c r="C61" s="29">
        <v>0.66800000000000004</v>
      </c>
      <c r="D61" s="11" t="s">
        <v>182</v>
      </c>
      <c r="E61" s="59">
        <v>0.05</v>
      </c>
      <c r="F61" s="60">
        <v>1</v>
      </c>
      <c r="G61" s="60">
        <v>0.99</v>
      </c>
      <c r="H61" s="61">
        <v>46295</v>
      </c>
      <c r="I61" s="60">
        <v>0.98</v>
      </c>
      <c r="J61" s="62"/>
      <c r="K61" s="62"/>
      <c r="L61" s="63">
        <v>64000</v>
      </c>
      <c r="M61" s="59"/>
      <c r="N61" s="64">
        <v>1</v>
      </c>
      <c r="O61" s="13"/>
      <c r="P61" s="11" t="s">
        <v>116</v>
      </c>
      <c r="Q61" s="59"/>
      <c r="R61" s="59"/>
      <c r="T61" s="65" t="str">
        <f t="shared" si="1"/>
        <v>SBA|IN</v>
      </c>
      <c r="V61" s="66">
        <f>IF($T61="","",INDEX(calc_cylr_p,50))</f>
        <v>0.67539898504284501</v>
      </c>
      <c r="W61" s="67">
        <f>IF($T61="","",(INDEX(calc_cylr_p,50)-INDEX(calc_lrcur,50))*100)</f>
        <v>0.73989850428449744</v>
      </c>
      <c r="X61" s="68">
        <f>IF($T61="","",INDEX(calc_arate_p,50))</f>
        <v>0.99894764948874615</v>
      </c>
      <c r="Y61" s="68">
        <f>IF($T61="","",INDEX(calc_amod_p,50))</f>
        <v>1.012141452489427</v>
      </c>
    </row>
    <row r="62" spans="1:25" x14ac:dyDescent="0.3">
      <c r="A62" s="11" t="s">
        <v>206</v>
      </c>
      <c r="B62" s="11" t="s">
        <v>190</v>
      </c>
      <c r="C62" s="29">
        <v>0.69599999999999995</v>
      </c>
      <c r="D62" s="11" t="s">
        <v>182</v>
      </c>
      <c r="E62" s="59">
        <v>0.05</v>
      </c>
      <c r="F62" s="60">
        <v>1</v>
      </c>
      <c r="G62" s="60">
        <v>0.99</v>
      </c>
      <c r="H62" s="61">
        <v>46295</v>
      </c>
      <c r="I62" s="60">
        <v>0.995</v>
      </c>
      <c r="J62" s="62"/>
      <c r="K62" s="62"/>
      <c r="L62" s="63">
        <v>48000</v>
      </c>
      <c r="M62" s="59"/>
      <c r="N62" s="64">
        <v>1</v>
      </c>
      <c r="O62" s="13"/>
      <c r="P62" s="11" t="s">
        <v>116</v>
      </c>
      <c r="Q62" s="59">
        <v>0.1</v>
      </c>
      <c r="R62" s="59"/>
      <c r="T62" s="65" t="str">
        <f t="shared" si="1"/>
        <v>SBA|KY</v>
      </c>
      <c r="V62" s="66">
        <f>IF($T62="","",INDEX(calc_cylr_p,51))</f>
        <v>0.65444889210961887</v>
      </c>
      <c r="W62" s="67">
        <f>IF($T62="","",(INDEX(calc_cylr_p,51)-INDEX(calc_lrcur,51))*100)</f>
        <v>-4.1551107890381083</v>
      </c>
      <c r="X62" s="68">
        <f>IF($T62="","",INDEX(calc_arate_p,51))</f>
        <v>0.94030013234140641</v>
      </c>
      <c r="Y62" s="68">
        <f>IF($T62="","",INDEX(calc_amod_p,51))</f>
        <v>1</v>
      </c>
    </row>
    <row r="63" spans="1:25" x14ac:dyDescent="0.3">
      <c r="A63" s="11" t="s">
        <v>206</v>
      </c>
      <c r="B63" s="11" t="s">
        <v>191</v>
      </c>
      <c r="C63" s="29">
        <v>0.68</v>
      </c>
      <c r="D63" s="11" t="s">
        <v>182</v>
      </c>
      <c r="E63" s="59">
        <v>0.05</v>
      </c>
      <c r="F63" s="60">
        <v>1</v>
      </c>
      <c r="G63" s="60">
        <v>0.99</v>
      </c>
      <c r="H63" s="61">
        <v>46295</v>
      </c>
      <c r="I63" s="60">
        <v>1.01</v>
      </c>
      <c r="J63" s="62"/>
      <c r="K63" s="62"/>
      <c r="L63" s="63">
        <v>32000</v>
      </c>
      <c r="M63" s="59"/>
      <c r="N63" s="64">
        <v>1</v>
      </c>
      <c r="O63" s="13"/>
      <c r="P63" s="11" t="s">
        <v>116</v>
      </c>
      <c r="Q63" s="59"/>
      <c r="R63" s="59"/>
      <c r="T63" s="65" t="str">
        <f t="shared" si="1"/>
        <v>SBA|MD</v>
      </c>
      <c r="V63" s="66">
        <f>IF($T63="","",INDEX(calc_cylr_p,52))</f>
        <v>0.68473364132006942</v>
      </c>
      <c r="W63" s="67">
        <f>IF($T63="","",(INDEX(calc_cylr_p,52)-INDEX(calc_lrcur,52))*100)</f>
        <v>0.47336413200693706</v>
      </c>
      <c r="X63" s="68">
        <f>IF($T63="","",INDEX(calc_arate_p,52))</f>
        <v>1.0009110233829333</v>
      </c>
      <c r="Y63" s="68">
        <f>IF($T63="","",INDEX(calc_amod_p,52))</f>
        <v>1.0060447069830585</v>
      </c>
    </row>
    <row r="64" spans="1:25" x14ac:dyDescent="0.3">
      <c r="A64" s="11" t="s">
        <v>206</v>
      </c>
      <c r="B64" s="11" t="s">
        <v>192</v>
      </c>
      <c r="C64" s="29">
        <v>0.66400000000000003</v>
      </c>
      <c r="D64" s="11" t="s">
        <v>182</v>
      </c>
      <c r="E64" s="59">
        <v>0.05</v>
      </c>
      <c r="F64" s="60">
        <v>1</v>
      </c>
      <c r="G64" s="60">
        <v>0.99</v>
      </c>
      <c r="H64" s="61">
        <v>46295</v>
      </c>
      <c r="I64" s="60">
        <v>0.99</v>
      </c>
      <c r="J64" s="62"/>
      <c r="K64" s="62"/>
      <c r="L64" s="63">
        <v>84000</v>
      </c>
      <c r="M64" s="59"/>
      <c r="N64" s="64">
        <v>1</v>
      </c>
      <c r="O64" s="13"/>
      <c r="P64" s="11" t="s">
        <v>116</v>
      </c>
      <c r="Q64" s="59"/>
      <c r="R64" s="59"/>
      <c r="T64" s="65" t="str">
        <f t="shared" si="1"/>
        <v>SBA|MI</v>
      </c>
      <c r="V64" s="66">
        <f>IF($T64="","",INDEX(calc_cylr_p,53))</f>
        <v>0.67214327428460185</v>
      </c>
      <c r="W64" s="67">
        <f>IF($T64="","",(INDEX(calc_cylr_p,53)-INDEX(calc_lrcur,53))*100)</f>
        <v>0.81432742846018202</v>
      </c>
      <c r="X64" s="68">
        <f>IF($T64="","",INDEX(calc_arate_p,53))</f>
        <v>1.0021413276231264</v>
      </c>
      <c r="Y64" s="68">
        <f>IF($T64="","",INDEX(calc_amod_p,53))</f>
        <v>1.0101010101010099</v>
      </c>
    </row>
    <row r="65" spans="1:25" x14ac:dyDescent="0.3">
      <c r="A65" s="11" t="s">
        <v>206</v>
      </c>
      <c r="B65" s="11" t="s">
        <v>193</v>
      </c>
      <c r="C65" s="29">
        <v>0.69199999999999995</v>
      </c>
      <c r="D65" s="11" t="s">
        <v>182</v>
      </c>
      <c r="E65" s="59">
        <v>0.05</v>
      </c>
      <c r="F65" s="60">
        <v>1</v>
      </c>
      <c r="G65" s="60">
        <v>0.99</v>
      </c>
      <c r="H65" s="61">
        <v>46295</v>
      </c>
      <c r="I65" s="60">
        <v>1.0049999999999999</v>
      </c>
      <c r="J65" s="62"/>
      <c r="K65" s="62"/>
      <c r="L65" s="63">
        <v>68000</v>
      </c>
      <c r="M65" s="59"/>
      <c r="N65" s="64">
        <v>1</v>
      </c>
      <c r="O65" s="13"/>
      <c r="P65" s="11" t="s">
        <v>116</v>
      </c>
      <c r="Q65" s="59"/>
      <c r="R65" s="59"/>
      <c r="T65" s="65" t="str">
        <f t="shared" si="1"/>
        <v>SBA|MN</v>
      </c>
      <c r="V65" s="66">
        <f>IF($T65="","",INDEX(calc_cylr_p,54))</f>
        <v>0.68912985121613646</v>
      </c>
      <c r="W65" s="67">
        <f>IF($T65="","",(INDEX(calc_cylr_p,54)-INDEX(calc_lrcur,54))*100)</f>
        <v>-0.28701487838634909</v>
      </c>
      <c r="X65" s="68">
        <f>IF($T65="","",INDEX(calc_arate_p,54))</f>
        <v>0.9888751545117429</v>
      </c>
      <c r="Y65" s="68">
        <f>IF($T65="","",INDEX(calc_amod_p,54))</f>
        <v>1.0070557254946793</v>
      </c>
    </row>
    <row r="66" spans="1:25" x14ac:dyDescent="0.3">
      <c r="A66" s="11" t="s">
        <v>206</v>
      </c>
      <c r="B66" s="11" t="s">
        <v>194</v>
      </c>
      <c r="C66" s="29">
        <v>0.67600000000000005</v>
      </c>
      <c r="D66" s="11" t="s">
        <v>182</v>
      </c>
      <c r="E66" s="59">
        <v>0.05</v>
      </c>
      <c r="F66" s="60">
        <v>1</v>
      </c>
      <c r="G66" s="60">
        <v>0.99</v>
      </c>
      <c r="H66" s="61">
        <v>46295</v>
      </c>
      <c r="I66" s="60">
        <v>0.98499999999999999</v>
      </c>
      <c r="J66" s="62"/>
      <c r="K66" s="62"/>
      <c r="L66" s="63">
        <v>52000</v>
      </c>
      <c r="M66" s="59"/>
      <c r="N66" s="64">
        <v>1</v>
      </c>
      <c r="O66" s="13"/>
      <c r="P66" s="11" t="s">
        <v>116</v>
      </c>
      <c r="Q66" s="59"/>
      <c r="R66" s="59"/>
      <c r="T66" s="65" t="str">
        <f t="shared" si="1"/>
        <v>SBA|NM</v>
      </c>
      <c r="V66" s="66">
        <f>IF($T66="","",INDEX(calc_cylr_p,55))</f>
        <v>0.68838792576517649</v>
      </c>
      <c r="W66" s="67">
        <f>IF($T66="","",(INDEX(calc_cylr_p,55)-INDEX(calc_lrcur,55))*100)</f>
        <v>1.2387925765176444</v>
      </c>
      <c r="X66" s="68">
        <f>IF($T66="","",INDEX(calc_arate_p,55))</f>
        <v>1.0071258907363418</v>
      </c>
      <c r="Y66" s="68">
        <f>IF($T66="","",INDEX(calc_amod_p,55))</f>
        <v>1.011120201892163</v>
      </c>
    </row>
    <row r="67" spans="1:25" x14ac:dyDescent="0.3">
      <c r="A67" s="11" t="s">
        <v>206</v>
      </c>
      <c r="B67" s="11" t="s">
        <v>195</v>
      </c>
      <c r="C67" s="29">
        <v>0.66</v>
      </c>
      <c r="D67" s="11" t="s">
        <v>182</v>
      </c>
      <c r="E67" s="59">
        <v>0.05</v>
      </c>
      <c r="F67" s="60">
        <v>1</v>
      </c>
      <c r="G67" s="60">
        <v>0.99</v>
      </c>
      <c r="H67" s="61">
        <v>46295</v>
      </c>
      <c r="I67" s="60">
        <v>1</v>
      </c>
      <c r="J67" s="62"/>
      <c r="K67" s="62"/>
      <c r="L67" s="63">
        <v>36000</v>
      </c>
      <c r="M67" s="59"/>
      <c r="N67" s="64">
        <v>1</v>
      </c>
      <c r="O67" s="13"/>
      <c r="P67" s="11" t="s">
        <v>116</v>
      </c>
      <c r="Q67" s="59"/>
      <c r="R67" s="59"/>
      <c r="T67" s="65" t="str">
        <f t="shared" si="1"/>
        <v>SBA|NC</v>
      </c>
      <c r="V67" s="66">
        <f>IF($T67="","",INDEX(calc_cylr_p,56))</f>
        <v>0.66755238610908785</v>
      </c>
      <c r="W67" s="67">
        <f>IF($T67="","",(INDEX(calc_cylr_p,56)-INDEX(calc_lrcur,56))*100)</f>
        <v>0.75523861090878164</v>
      </c>
      <c r="X67" s="68">
        <f>IF($T67="","",INDEX(calc_arate_p,56))</f>
        <v>1.0033472231709817</v>
      </c>
      <c r="Y67" s="68">
        <f>IF($T67="","",INDEX(calc_amod_p,56))</f>
        <v>1.0080687780842468</v>
      </c>
    </row>
    <row r="68" spans="1:25" x14ac:dyDescent="0.3">
      <c r="A68" s="11" t="s">
        <v>206</v>
      </c>
      <c r="B68" s="11" t="s">
        <v>196</v>
      </c>
      <c r="C68" s="29">
        <v>0.68799999999999994</v>
      </c>
      <c r="D68" s="11" t="s">
        <v>182</v>
      </c>
      <c r="E68" s="59">
        <v>0.05</v>
      </c>
      <c r="F68" s="60">
        <v>1</v>
      </c>
      <c r="G68" s="60">
        <v>0.99</v>
      </c>
      <c r="H68" s="61">
        <v>46295</v>
      </c>
      <c r="I68" s="60">
        <v>0.98</v>
      </c>
      <c r="J68" s="62"/>
      <c r="K68" s="62"/>
      <c r="L68" s="63">
        <v>88000</v>
      </c>
      <c r="M68" s="59"/>
      <c r="N68" s="64">
        <v>1</v>
      </c>
      <c r="O68" s="13"/>
      <c r="P68" s="11" t="s">
        <v>116</v>
      </c>
      <c r="Q68" s="59"/>
      <c r="R68" s="59"/>
      <c r="T68" s="65" t="str">
        <f t="shared" si="1"/>
        <v>SBA|OH</v>
      </c>
      <c r="V68" s="66">
        <f>IF($T68="","",INDEX(calc_cylr_p,57))</f>
        <v>0.6963533193127257</v>
      </c>
      <c r="W68" s="67">
        <f>IF($T68="","",(INDEX(calc_cylr_p,57)-INDEX(calc_lrcur,57))*100)</f>
        <v>0.83533193127257599</v>
      </c>
      <c r="X68" s="68">
        <f>IF($T68="","",INDEX(calc_arate_p,57))</f>
        <v>1</v>
      </c>
      <c r="Y68" s="68">
        <f>IF($T68="","",INDEX(calc_amod_p,57))</f>
        <v>1.012141452489427</v>
      </c>
    </row>
    <row r="69" spans="1:25" x14ac:dyDescent="0.3">
      <c r="A69" s="11" t="s">
        <v>206</v>
      </c>
      <c r="B69" s="11" t="s">
        <v>197</v>
      </c>
      <c r="C69" s="29">
        <v>0.67200000000000004</v>
      </c>
      <c r="D69" s="11" t="s">
        <v>182</v>
      </c>
      <c r="E69" s="59">
        <v>0.05</v>
      </c>
      <c r="F69" s="60">
        <v>1</v>
      </c>
      <c r="G69" s="60">
        <v>0.99</v>
      </c>
      <c r="H69" s="61">
        <v>46295</v>
      </c>
      <c r="I69" s="60">
        <v>0.995</v>
      </c>
      <c r="J69" s="62"/>
      <c r="K69" s="62"/>
      <c r="L69" s="63">
        <v>72000</v>
      </c>
      <c r="M69" s="59"/>
      <c r="N69" s="64">
        <v>1</v>
      </c>
      <c r="O69" s="13"/>
      <c r="P69" s="11" t="s">
        <v>116</v>
      </c>
      <c r="Q69" s="59"/>
      <c r="R69" s="59"/>
      <c r="T69" s="65" t="str">
        <f t="shared" si="1"/>
        <v>SBA|PA</v>
      </c>
      <c r="V69" s="66">
        <f>IF($T69="","",INDEX(calc_cylr_p,58))</f>
        <v>0.68312195035430145</v>
      </c>
      <c r="W69" s="67">
        <f>IF($T69="","",(INDEX(calc_cylr_p,58)-INDEX(calc_lrcur,58))*100)</f>
        <v>1.1121950354301413</v>
      </c>
      <c r="X69" s="68">
        <f>IF($T69="","",INDEX(calc_arate_p,58))</f>
        <v>1.0073994349522402</v>
      </c>
      <c r="Y69" s="68">
        <f>IF($T69="","",INDEX(calc_amod_p,58))</f>
        <v>1.0090838708965142</v>
      </c>
    </row>
    <row r="70" spans="1:25" x14ac:dyDescent="0.3">
      <c r="A70" s="11" t="s">
        <v>206</v>
      </c>
      <c r="B70" s="11" t="s">
        <v>198</v>
      </c>
      <c r="C70" s="29">
        <v>0.7</v>
      </c>
      <c r="D70" s="11" t="s">
        <v>182</v>
      </c>
      <c r="E70" s="59">
        <v>0.05</v>
      </c>
      <c r="F70" s="60">
        <v>1</v>
      </c>
      <c r="G70" s="60">
        <v>0.99</v>
      </c>
      <c r="H70" s="61">
        <v>46295</v>
      </c>
      <c r="I70" s="60">
        <v>1.01</v>
      </c>
      <c r="J70" s="62"/>
      <c r="K70" s="62"/>
      <c r="L70" s="63">
        <v>56000</v>
      </c>
      <c r="M70" s="59"/>
      <c r="N70" s="64">
        <v>1</v>
      </c>
      <c r="O70" s="13"/>
      <c r="P70" s="11" t="s">
        <v>116</v>
      </c>
      <c r="Q70" s="59"/>
      <c r="R70" s="59"/>
      <c r="T70" s="65" t="str">
        <f t="shared" si="1"/>
        <v>SBA|SC</v>
      </c>
      <c r="V70" s="66">
        <f>IF($T70="","",INDEX(calc_cylr_p,59))</f>
        <v>0.7160710947349489</v>
      </c>
      <c r="W70" s="67">
        <f>IF($T70="","",(INDEX(calc_cylr_p,59)-INDEX(calc_lrcur,59))*100)</f>
        <v>1.6071094734948943</v>
      </c>
      <c r="X70" s="68">
        <f>IF($T70="","",INDEX(calc_arate_p,59))</f>
        <v>1.0168123739071957</v>
      </c>
      <c r="Y70" s="68">
        <f>IF($T70="","",INDEX(calc_amod_p,59))</f>
        <v>1.0060447069830585</v>
      </c>
    </row>
    <row r="71" spans="1:25" x14ac:dyDescent="0.3">
      <c r="A71" s="11" t="s">
        <v>206</v>
      </c>
      <c r="B71" s="11" t="s">
        <v>199</v>
      </c>
      <c r="C71" s="29">
        <v>0.68400000000000005</v>
      </c>
      <c r="D71" s="11" t="s">
        <v>182</v>
      </c>
      <c r="E71" s="59">
        <v>0.05</v>
      </c>
      <c r="F71" s="60">
        <v>1</v>
      </c>
      <c r="G71" s="60">
        <v>0.99</v>
      </c>
      <c r="H71" s="61">
        <v>46295</v>
      </c>
      <c r="I71" s="60">
        <v>0.99</v>
      </c>
      <c r="J71" s="62"/>
      <c r="K71" s="62"/>
      <c r="L71" s="63">
        <v>40000</v>
      </c>
      <c r="M71" s="59"/>
      <c r="N71" s="64">
        <v>1</v>
      </c>
      <c r="O71" s="13"/>
      <c r="P71" s="11" t="s">
        <v>116</v>
      </c>
      <c r="Q71" s="59"/>
      <c r="R71" s="59"/>
      <c r="T71" s="65" t="str">
        <f t="shared" si="1"/>
        <v>SBA|TN</v>
      </c>
      <c r="V71" s="66">
        <f>IF($T71="","",INDEX(calc_cylr_p,60))</f>
        <v>0.69090909090909081</v>
      </c>
      <c r="W71" s="67">
        <f>IF($T71="","",(INDEX(calc_cylr_p,60)-INDEX(calc_lrcur,60))*100)</f>
        <v>0.69090909090907537</v>
      </c>
      <c r="X71" s="68">
        <f>IF($T71="","",INDEX(calc_arate_p,60))</f>
        <v>1</v>
      </c>
      <c r="Y71" s="68">
        <f>IF($T71="","",INDEX(calc_amod_p,60))</f>
        <v>1.0101010101010099</v>
      </c>
    </row>
    <row r="72" spans="1:25" x14ac:dyDescent="0.3">
      <c r="A72" s="11" t="s">
        <v>206</v>
      </c>
      <c r="B72" s="11" t="s">
        <v>200</v>
      </c>
      <c r="C72" s="29">
        <v>0.66800000000000004</v>
      </c>
      <c r="D72" s="11" t="s">
        <v>182</v>
      </c>
      <c r="E72" s="59">
        <v>0.05</v>
      </c>
      <c r="F72" s="60">
        <v>1</v>
      </c>
      <c r="G72" s="60">
        <v>0.99</v>
      </c>
      <c r="H72" s="61">
        <v>46295</v>
      </c>
      <c r="I72" s="60">
        <v>1.0049999999999999</v>
      </c>
      <c r="J72" s="62"/>
      <c r="K72" s="62"/>
      <c r="L72" s="63">
        <v>92000</v>
      </c>
      <c r="M72" s="59"/>
      <c r="N72" s="64">
        <v>1</v>
      </c>
      <c r="O72" s="13"/>
      <c r="P72" s="11" t="s">
        <v>116</v>
      </c>
      <c r="Q72" s="59"/>
      <c r="R72" s="59"/>
      <c r="T72" s="65" t="str">
        <f t="shared" si="1"/>
        <v>SBA|VA</v>
      </c>
      <c r="V72" s="66">
        <f>IF($T72="","",INDEX(calc_cylr_p,61))</f>
        <v>0.67271322463044592</v>
      </c>
      <c r="W72" s="67">
        <f>IF($T72="","",(INDEX(calc_cylr_p,61)-INDEX(calc_lrcur,61))*100)</f>
        <v>0.4713224630445878</v>
      </c>
      <c r="X72" s="68">
        <f>IF($T72="","",INDEX(calc_arate_p,61))</f>
        <v>1.0000000000000002</v>
      </c>
      <c r="Y72" s="68">
        <f>IF($T72="","",INDEX(calc_amod_p,61))</f>
        <v>1.0070557254946793</v>
      </c>
    </row>
    <row r="73" spans="1:25" x14ac:dyDescent="0.3">
      <c r="A73" s="11" t="s">
        <v>206</v>
      </c>
      <c r="B73" s="11" t="s">
        <v>201</v>
      </c>
      <c r="C73" s="29">
        <v>0.69599999999999995</v>
      </c>
      <c r="D73" s="11" t="s">
        <v>182</v>
      </c>
      <c r="E73" s="59">
        <v>0.05</v>
      </c>
      <c r="F73" s="60">
        <v>1</v>
      </c>
      <c r="G73" s="60">
        <v>0.99</v>
      </c>
      <c r="H73" s="61">
        <v>46295</v>
      </c>
      <c r="I73" s="60">
        <v>0.98499999999999999</v>
      </c>
      <c r="J73" s="62"/>
      <c r="K73" s="62"/>
      <c r="L73" s="63">
        <v>76000</v>
      </c>
      <c r="M73" s="59"/>
      <c r="N73" s="64">
        <v>1</v>
      </c>
      <c r="O73" s="13"/>
      <c r="P73" s="11" t="s">
        <v>116</v>
      </c>
      <c r="Q73" s="59"/>
      <c r="R73" s="59"/>
      <c r="T73" s="65" t="str">
        <f t="shared" si="1"/>
        <v>SBA|WV</v>
      </c>
      <c r="V73" s="66">
        <f>IF($T73="","",INDEX(calc_cylr_p,62))</f>
        <v>0.69217723921251628</v>
      </c>
      <c r="W73" s="67">
        <f>IF($T73="","",(INDEX(calc_cylr_p,62)-INDEX(calc_lrcur,62))*100)</f>
        <v>-0.382276078748367</v>
      </c>
      <c r="X73" s="68">
        <f>IF($T73="","",INDEX(calc_arate_p,62))</f>
        <v>0.98357003029225942</v>
      </c>
      <c r="Y73" s="68">
        <f>IF($T73="","",INDEX(calc_amod_p,62))</f>
        <v>1.011120201892163</v>
      </c>
    </row>
    <row r="74" spans="1:25" x14ac:dyDescent="0.3">
      <c r="A74" s="11" t="s">
        <v>206</v>
      </c>
      <c r="B74" s="11" t="s">
        <v>202</v>
      </c>
      <c r="C74" s="29">
        <v>0.68</v>
      </c>
      <c r="D74" s="11" t="s">
        <v>182</v>
      </c>
      <c r="E74" s="59">
        <v>0.05</v>
      </c>
      <c r="F74" s="60">
        <v>1</v>
      </c>
      <c r="G74" s="60">
        <v>0.99</v>
      </c>
      <c r="H74" s="61">
        <v>46295</v>
      </c>
      <c r="I74" s="60">
        <v>1</v>
      </c>
      <c r="J74" s="62"/>
      <c r="K74" s="62"/>
      <c r="L74" s="63">
        <v>60000</v>
      </c>
      <c r="M74" s="59"/>
      <c r="N74" s="64">
        <v>1</v>
      </c>
      <c r="O74" s="13"/>
      <c r="P74" s="11" t="s">
        <v>116</v>
      </c>
      <c r="Q74" s="59"/>
      <c r="R74" s="59"/>
      <c r="T74" s="65" t="str">
        <f t="shared" si="1"/>
        <v>SBA|WI</v>
      </c>
      <c r="V74" s="66">
        <f>IF($T74="","",INDEX(calc_cylr_p,63))</f>
        <v>0.6854867690972879</v>
      </c>
      <c r="W74" s="67">
        <f>IF($T74="","",(INDEX(calc_cylr_p,63)-INDEX(calc_lrcur,63))*100)</f>
        <v>0.54867690972878469</v>
      </c>
      <c r="X74" s="68">
        <f>IF($T74="","",INDEX(calc_arate_p,63))</f>
        <v>1</v>
      </c>
      <c r="Y74" s="68">
        <f>IF($T74="","",INDEX(calc_amod_p,63))</f>
        <v>1.0080687780842468</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0.65241305188373733</v>
      </c>
      <c r="W10" s="76">
        <f t="shared" si="9"/>
        <v>-3.1586948116262725</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0.70285810110980573</v>
      </c>
      <c r="W11" s="76">
        <f t="shared" si="9"/>
        <v>1.4858101109805788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0.70285810110980573</v>
      </c>
      <c r="W12" s="76">
        <f t="shared" si="9"/>
        <v>1.4858101109805788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0.68162799543552677</v>
      </c>
      <c r="W13" s="76">
        <f t="shared" si="9"/>
        <v>0.96279954355267261</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0.68162799543552677</v>
      </c>
      <c r="W14" s="76">
        <f t="shared" si="9"/>
        <v>0.96279954355267261</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0.67403923395226362</v>
      </c>
      <c r="W15" s="76">
        <f t="shared" si="9"/>
        <v>0.60392339522635785</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0.65444889210961887</v>
      </c>
      <c r="W16" s="76">
        <f t="shared" si="9"/>
        <v>-4.1551107890381083</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0.65444889210961887</v>
      </c>
      <c r="W17" s="76">
        <f t="shared" si="9"/>
        <v>-4.1551107890381083</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0.68284320158399892</v>
      </c>
      <c r="W18" s="76">
        <f t="shared" si="9"/>
        <v>-0.51567984160010294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0.68284320158399892</v>
      </c>
      <c r="W19" s="76">
        <f t="shared" si="9"/>
        <v>-0.51567984160010294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0.70104321907600597</v>
      </c>
      <c r="W20" s="76">
        <f t="shared" si="9"/>
        <v>0.10432190760060189</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0.69099906928643107</v>
      </c>
      <c r="W21" s="76">
        <f t="shared" si="9"/>
        <v>0.69990692864310144</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0.67403923395226362</v>
      </c>
      <c r="W22" s="76">
        <f t="shared" si="9"/>
        <v>0.60392339522635785</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0.70417963033669628</v>
      </c>
      <c r="W23" s="76">
        <f t="shared" si="9"/>
        <v>0.81796303366963308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0.69278966708479151</v>
      </c>
      <c r="W24" s="76">
        <f t="shared" si="9"/>
        <v>1.2789667084791456</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0.70654786104285794</v>
      </c>
      <c r="W25" s="76">
        <f t="shared" si="9"/>
        <v>1.454786104285799</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0.70654786104285794</v>
      </c>
      <c r="W26" s="76">
        <f t="shared" si="9"/>
        <v>1.454786104285799</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0.68750903606949665</v>
      </c>
      <c r="W27" s="76">
        <f t="shared" si="9"/>
        <v>1.1509036069496603</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0.69565069890180797</v>
      </c>
      <c r="W28" s="76">
        <f t="shared" si="9"/>
        <v>0.76506989018080285</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0.66999554863771449</v>
      </c>
      <c r="W29" s="76">
        <f t="shared" si="9"/>
        <v>-0.20044513622855531</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0.66999554863771449</v>
      </c>
      <c r="W30" s="76">
        <f t="shared" si="9"/>
        <v>-0.20044513622855531</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0.6906365518548917</v>
      </c>
      <c r="W31" s="76">
        <f t="shared" si="9"/>
        <v>0.6636551854891648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0.67312706663788335</v>
      </c>
      <c r="W32" s="76">
        <f t="shared" si="9"/>
        <v>0.51270666378833152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0.70059767222396963</v>
      </c>
      <c r="W33" s="76">
        <f t="shared" si="9"/>
        <v>0.45976722239696732</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0.68889847952402505</v>
      </c>
      <c r="W34" s="76">
        <f t="shared" si="9"/>
        <v>0.88984795240250047</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0.67791245205773853</v>
      </c>
      <c r="W35" s="76">
        <f t="shared" si="9"/>
        <v>1.39124520577385</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0.67836432187190643</v>
      </c>
      <c r="W36" s="76">
        <f t="shared" si="9"/>
        <v>0.2364321871906383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0.67836432187190643</v>
      </c>
      <c r="W37" s="76">
        <f t="shared" si="9"/>
        <v>0.2364321871906383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0.72901070303392856</v>
      </c>
      <c r="W38" s="76">
        <f t="shared" si="9"/>
        <v>1.6210703033928464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0.70022128600105049</v>
      </c>
      <c r="W39" s="76">
        <f t="shared" si="9"/>
        <v>2.2128600105053575E-2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0.70022128600105049</v>
      </c>
      <c r="W40" s="76">
        <f t="shared" si="9"/>
        <v>2.2128600105053575E-2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0.6742002806360412</v>
      </c>
      <c r="W41" s="76">
        <f t="shared" si="9"/>
        <v>0.62002806360411666</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0.70631901976800626</v>
      </c>
      <c r="W42" s="76">
        <f t="shared" si="9"/>
        <v>1.031901976800631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0.68532038173246401</v>
      </c>
      <c r="W43" s="76">
        <f t="shared" si="9"/>
        <v>0.53203817324639635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0.66965499670318029</v>
      </c>
      <c r="W44" s="76">
        <f t="shared" si="9"/>
        <v>0.56549967031802595</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0.70247099514301414</v>
      </c>
      <c r="W45" s="76">
        <f t="shared" si="9"/>
        <v>1.0470995143014195</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0.66877241699954093</v>
      </c>
      <c r="W46" s="76">
        <f t="shared" si="9"/>
        <v>0.87724169995408996</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0.66877241699954093</v>
      </c>
      <c r="W47" s="76">
        <f t="shared" si="9"/>
        <v>0.87724169995408996</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0.70745571626105475</v>
      </c>
      <c r="W48" s="76">
        <f t="shared" si="9"/>
        <v>1.9455716261054801</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0.70635870962755976</v>
      </c>
      <c r="W49" s="76">
        <f t="shared" si="9"/>
        <v>0.63587096275597998</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0.68584476665355687</v>
      </c>
      <c r="W50" s="76">
        <f t="shared" si="9"/>
        <v>0.18447666535568175</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0.68584476665355687</v>
      </c>
      <c r="W51" s="76">
        <f t="shared" si="9"/>
        <v>0.18447666535568175</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0.70215280051123874</v>
      </c>
      <c r="W52" s="76">
        <f t="shared" si="9"/>
        <v>0.61528005112387874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0.688311531983821</v>
      </c>
      <c r="W53" s="76">
        <f t="shared" si="9"/>
        <v>0.83115319838209523</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0.6582946611480901</v>
      </c>
      <c r="W54" s="76">
        <f t="shared" si="9"/>
        <v>-0.57053388519099357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0.70378546910878326</v>
      </c>
      <c r="W55" s="76">
        <f t="shared" si="9"/>
        <v>1.1785469108783309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0.68771244104002549</v>
      </c>
      <c r="W56" s="76">
        <f t="shared" si="9"/>
        <v>1.1712441040025445</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0.69405357611757834</v>
      </c>
      <c r="W57" s="76">
        <f t="shared" si="9"/>
        <v>0.60535761175783964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0.69405357611757834</v>
      </c>
      <c r="W58" s="76">
        <f t="shared" si="9"/>
        <v>0.60535761175783964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0.67539898504284501</v>
      </c>
      <c r="W59" s="76">
        <f t="shared" si="9"/>
        <v>0.73989850428449744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0.67539898504284501</v>
      </c>
      <c r="W60" s="76">
        <f t="shared" si="9"/>
        <v>0.73989850428449744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0.68473364132006942</v>
      </c>
      <c r="W61" s="76">
        <f t="shared" si="9"/>
        <v>0.47336413200693706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0.67214327428460185</v>
      </c>
      <c r="W62" s="76">
        <f t="shared" si="9"/>
        <v>0.81432742846018202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0.68912985121613646</v>
      </c>
      <c r="W63" s="76">
        <f t="shared" si="9"/>
        <v>-0.28701487838634909</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0.68838792576517649</v>
      </c>
      <c r="W64" s="76">
        <f t="shared" si="9"/>
        <v>1.2387925765176444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0.66755238610908785</v>
      </c>
      <c r="W65" s="76">
        <f t="shared" si="9"/>
        <v>0.75523861090878164</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0.68312195035430145</v>
      </c>
      <c r="W66" s="76">
        <f t="shared" si="9"/>
        <v>1.1121950354301413</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0.68312195035430145</v>
      </c>
      <c r="W67" s="76">
        <f t="shared" si="9"/>
        <v>1.1121950354301413</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0.7160710947349489</v>
      </c>
      <c r="W68" s="76">
        <f t="shared" si="9"/>
        <v>1.6071094734948943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0.67271322463044592</v>
      </c>
      <c r="W69" s="76">
        <f t="shared" si="9"/>
        <v>0.4713224630445878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0.69217723921251628</v>
      </c>
      <c r="W70" s="76">
        <f t="shared" si="9"/>
        <v>-0.382276078748367</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0.69217723921251628</v>
      </c>
      <c r="W71" s="76">
        <f t="shared" ref="W71:W134" si="20">IF(OR($J71="",COUNTIF(lr_key,$J71)=0),"",(INDEX(calc_cylr_p,MATCH($J71,lr_key,0))-INDEX(calc_lrcur,MATCH($J71,lr_key,0)))*100)</f>
        <v>-0.382276078748367</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32000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0.68799999999999994</v>
      </c>
      <c r="E7" s="52" t="str">
        <f>IF($C7="","",INDEX(lr_basis,2)&amp;"")</f>
        <v>current</v>
      </c>
      <c r="F7" s="80">
        <f>IF($C7="","",INDEX(calc_lrcur,2))</f>
        <v>0.68799999999999994</v>
      </c>
      <c r="G7" s="81">
        <f>IF($C7="","",INDEX(calc_cylr_p,2))</f>
        <v>0.68284320158399892</v>
      </c>
      <c r="H7" s="82">
        <f>IF($C7="","",(INDEX(calc_cylr_p,2)-INDEX(calc_lrcur,2))*100)</f>
        <v>-0.51567984160010294</v>
      </c>
      <c r="I7" s="83">
        <f>IF($C7="","",INDEX(calc_arate_p,2))</f>
        <v>0.98357003029225942</v>
      </c>
      <c r="J7" s="83">
        <f>IF($C7="","",INDEX(calc_amod_p,2))</f>
        <v>1.0090838708965142</v>
      </c>
      <c r="K7" s="84">
        <f>IF($C7="","",INDEX(calc_echg,2))</f>
        <v>1.6704422869471269E-2</v>
      </c>
      <c r="L7" s="84">
        <f>IF($C7="","",INDEX(calc_carry,2))</f>
        <v>2.2776224555298263E-2</v>
      </c>
      <c r="M7" s="80">
        <f>IF($C7="","",INDEX(calc_cylr_p1,2))</f>
        <v>0.66540085490558076</v>
      </c>
      <c r="N7" s="85">
        <f>IF($C7="","",N(INDEX(lr_ep,2)))</f>
        <v>84000</v>
      </c>
      <c r="O7" s="86">
        <f t="shared" si="0"/>
        <v>2.0895522388059702E-2</v>
      </c>
      <c r="P7" s="80">
        <f>IF($C7="","",INDEX(calc_cylr_prog,2))</f>
        <v>0.68284320158399892</v>
      </c>
      <c r="Q7" s="87" t="str">
        <f>IF($C7="","",IF(INDEX(calc_netmode,2)=0,"—",INDEX(calc_proggap,2)))</f>
        <v>—</v>
      </c>
      <c r="T7" s="89" t="str">
        <f t="shared" ref="T7:T16" si="4">IF($Y7=0,"",INDEX($C$6:$C$74,$Y7))</f>
        <v>MM|NC</v>
      </c>
      <c r="U7" s="90">
        <f t="shared" ref="U7:U16" si="5">IF($Y7=0,"",INDEX($G$6:$G$74,$Y7))</f>
        <v>0.70745571626105475</v>
      </c>
      <c r="V7" s="87">
        <f t="shared" ref="V7:V16" si="6">IF($Y7=0,"",INDEX($H$6:$H$74,$Y7))</f>
        <v>1.9455716261054801</v>
      </c>
      <c r="W7" s="91">
        <f t="shared" ref="W7:W16" si="7">IF($Y7=0,"",INDEX($AC$6:$AC$74,$Y7))</f>
        <v>1.5487137322232676E-2</v>
      </c>
      <c r="Y7" s="43">
        <f>IF(COUNT($AB$6:$AB$74)&lt;1,0,MATCH(LARGE($AB$6:$AB$74,1),$AB$6:$AB$74,0))</f>
        <v>35</v>
      </c>
      <c r="AA7" s="88">
        <f t="shared" si="1"/>
        <v>59</v>
      </c>
      <c r="AB7" s="6">
        <f t="shared" si="2"/>
        <v>-0.51567983460010292</v>
      </c>
      <c r="AC7" s="76">
        <f t="shared" si="3"/>
        <v>-1.0775399675226031E-2</v>
      </c>
    </row>
    <row r="8" spans="1:29" x14ac:dyDescent="0.3">
      <c r="A8" s="79" t="str">
        <f>IF(INDEX(lr_key,3)="","",INDEX(lr_bu,3))</f>
        <v>ABD</v>
      </c>
      <c r="B8" s="79" t="str">
        <f>IF(INDEX(lr_key,3)="","",INDEX(lr_state,3))</f>
        <v>DE</v>
      </c>
      <c r="C8" s="23" t="str">
        <f>INDEX(lr_key,3)</f>
        <v>ABD|DE</v>
      </c>
      <c r="D8" s="80">
        <f>IF($C8="","",N(INDEX(lr_lrproj,3)))</f>
        <v>0.67200000000000004</v>
      </c>
      <c r="E8" s="52" t="str">
        <f>IF($C8="","",INDEX(lr_basis,3)&amp;"")</f>
        <v>current</v>
      </c>
      <c r="F8" s="80">
        <f>IF($C8="","",INDEX(calc_lrcur,3))</f>
        <v>0.67200000000000004</v>
      </c>
      <c r="G8" s="81">
        <f>IF($C8="","",INDEX(calc_cylr_p,3))</f>
        <v>0.67606204309261531</v>
      </c>
      <c r="H8" s="82">
        <f>IF($C8="","",(INDEX(calc_cylr_p,3)-INDEX(calc_lrcur,3))*100)</f>
        <v>0.4062043092615264</v>
      </c>
      <c r="I8" s="83">
        <f>IF($C8="","",INDEX(calc_arate_p,3))</f>
        <v>1</v>
      </c>
      <c r="J8" s="83">
        <f>IF($C8="","",INDEX(calc_amod_p,3))</f>
        <v>1.0060447069830585</v>
      </c>
      <c r="K8" s="84">
        <f>IF($C8="","",INDEX(calc_echg,3))</f>
        <v>0</v>
      </c>
      <c r="L8" s="84">
        <f>IF($C8="","",INDEX(calc_carry,3))</f>
        <v>0</v>
      </c>
      <c r="M8" s="80">
        <f>IF($C8="","",INDEX(calc_cylr_p1,3))</f>
        <v>0.66712153187467016</v>
      </c>
      <c r="N8" s="85">
        <f>IF($C8="","",N(INDEX(lr_ep,3)))</f>
        <v>68000</v>
      </c>
      <c r="O8" s="86">
        <f t="shared" si="0"/>
        <v>1.6915422885572139E-2</v>
      </c>
      <c r="P8" s="80">
        <f>IF($C8="","",INDEX(calc_cylr_prog,3))</f>
        <v>0.67606204309261531</v>
      </c>
      <c r="Q8" s="87" t="str">
        <f>IF($C8="","",IF(INDEX(calc_netmode,3)=0,"—",INDEX(calc_proggap,3)))</f>
        <v>—</v>
      </c>
      <c r="T8" s="89" t="str">
        <f t="shared" si="4"/>
        <v>MM|CO</v>
      </c>
      <c r="U8" s="90">
        <f t="shared" si="5"/>
        <v>0.72901070303392856</v>
      </c>
      <c r="V8" s="87">
        <f t="shared" si="6"/>
        <v>1.6210703033928464</v>
      </c>
      <c r="W8" s="91">
        <f t="shared" si="7"/>
        <v>3.5486116094171766E-2</v>
      </c>
      <c r="Y8" s="43">
        <f>IF(COUNT($AB$6:$AB$74)&lt;2,0,MATCH(LARGE($AB$6:$AB$74,2),$AB$6:$AB$74,0))</f>
        <v>23</v>
      </c>
      <c r="AA8" s="88">
        <f t="shared" si="1"/>
        <v>50</v>
      </c>
      <c r="AB8" s="6">
        <f t="shared" si="2"/>
        <v>0.40620431726152639</v>
      </c>
      <c r="AC8" s="76">
        <f t="shared" si="3"/>
        <v>6.8711176691004464E-3</v>
      </c>
    </row>
    <row r="9" spans="1:29" x14ac:dyDescent="0.3">
      <c r="A9" s="79" t="str">
        <f>IF(INDEX(lr_key,4)="","",INDEX(lr_bu,4))</f>
        <v>ABD</v>
      </c>
      <c r="B9" s="79" t="str">
        <f>IF(INDEX(lr_key,4)="","",INDEX(lr_state,4))</f>
        <v>FL</v>
      </c>
      <c r="C9" s="23" t="str">
        <f>INDEX(lr_key,4)</f>
        <v>ABD|FL</v>
      </c>
      <c r="D9" s="80">
        <f>IF($C9="","",N(INDEX(lr_lrproj,4)))</f>
        <v>0.7</v>
      </c>
      <c r="E9" s="52" t="str">
        <f>IF($C9="","",INDEX(lr_basis,4)&amp;"")</f>
        <v>current</v>
      </c>
      <c r="F9" s="80">
        <f>IF($C9="","",INDEX(calc_lrcur,4))</f>
        <v>0.7</v>
      </c>
      <c r="G9" s="81">
        <f>IF($C9="","",INDEX(calc_cylr_p,4))</f>
        <v>0.70104321907600597</v>
      </c>
      <c r="H9" s="82">
        <f>IF($C9="","",(INDEX(calc_cylr_p,4)-INDEX(calc_lrcur,4))*100)</f>
        <v>0.10432190760060189</v>
      </c>
      <c r="I9" s="83">
        <f>IF($C9="","",INDEX(calc_arate_p,4))</f>
        <v>1.0014903129657229</v>
      </c>
      <c r="J9" s="83">
        <f>IF($C9="","",INDEX(calc_amod_p,4))</f>
        <v>1</v>
      </c>
      <c r="K9" s="84">
        <f>IF($C9="","",INDEX(calc_echg,4))</f>
        <v>-1.4880952380953438E-3</v>
      </c>
      <c r="L9" s="84">
        <f>IF($C9="","",INDEX(calc_carry,4))</f>
        <v>1.4903129657228842E-3</v>
      </c>
      <c r="M9" s="80">
        <f>IF($C9="","",INDEX(calc_cylr_p1,4))</f>
        <v>0.7</v>
      </c>
      <c r="N9" s="85">
        <f>IF($C9="","",N(INDEX(lr_ep,4)))</f>
        <v>52000</v>
      </c>
      <c r="O9" s="86">
        <f t="shared" si="0"/>
        <v>1.2935323383084577E-2</v>
      </c>
      <c r="P9" s="80">
        <f>IF($C9="","",INDEX(calc_cylr_prog,4))</f>
        <v>0.70104321907600597</v>
      </c>
      <c r="Q9" s="87" t="str">
        <f>IF($C9="","",IF(INDEX(calc_netmode,4)=0,"—",INDEX(calc_proggap,4)))</f>
        <v>—</v>
      </c>
      <c r="T9" s="89" t="str">
        <f t="shared" si="4"/>
        <v>SBA|SC</v>
      </c>
      <c r="U9" s="90">
        <f t="shared" si="5"/>
        <v>0.7160710947349489</v>
      </c>
      <c r="V9" s="87">
        <f t="shared" si="6"/>
        <v>1.6071094734948943</v>
      </c>
      <c r="W9" s="91">
        <f t="shared" si="7"/>
        <v>2.238759465565027E-2</v>
      </c>
      <c r="Y9" s="43">
        <f>IF(COUNT($AB$6:$AB$74)&lt;3,0,MATCH(LARGE($AB$6:$AB$74,3),$AB$6:$AB$74,0))</f>
        <v>59</v>
      </c>
      <c r="AA9" s="88">
        <f t="shared" si="1"/>
        <v>54</v>
      </c>
      <c r="AB9" s="6">
        <f t="shared" si="2"/>
        <v>0.10432191660060189</v>
      </c>
      <c r="AC9" s="76">
        <f t="shared" si="3"/>
        <v>1.3494376107540543E-3</v>
      </c>
    </row>
    <row r="10" spans="1:29" x14ac:dyDescent="0.3">
      <c r="A10" s="79" t="str">
        <f>IF(INDEX(lr_key,5)="","",INDEX(lr_bu,5))</f>
        <v>ABD</v>
      </c>
      <c r="B10" s="79" t="str">
        <f>IF(INDEX(lr_key,5)="","",INDEX(lr_state,5))</f>
        <v>GA</v>
      </c>
      <c r="C10" s="23" t="str">
        <f>INDEX(lr_key,5)</f>
        <v>ABD|GA</v>
      </c>
      <c r="D10" s="80">
        <f>IF($C10="","",N(INDEX(lr_lrproj,5)))</f>
        <v>0.68400000000000005</v>
      </c>
      <c r="E10" s="52" t="str">
        <f>IF($C10="","",INDEX(lr_basis,5)&amp;"")</f>
        <v>current</v>
      </c>
      <c r="F10" s="80">
        <f>IF($C10="","",INDEX(calc_lrcur,5))</f>
        <v>0.68400000000000005</v>
      </c>
      <c r="G10" s="81">
        <f>IF($C10="","",INDEX(calc_cylr_p,5))</f>
        <v>0.69099906928643107</v>
      </c>
      <c r="H10" s="82">
        <f>IF($C10="","",(INDEX(calc_cylr_p,5)-INDEX(calc_lrcur,5))*100)</f>
        <v>0.69990692864310144</v>
      </c>
      <c r="I10" s="83">
        <f>IF($C10="","",INDEX(calc_arate_p,5))</f>
        <v>1.0031545741324919</v>
      </c>
      <c r="J10" s="83">
        <f>IF($C10="","",INDEX(calc_amod_p,5))</f>
        <v>1.0070557254946793</v>
      </c>
      <c r="K10" s="84">
        <f>IF($C10="","",INDEX(calc_echg,5))</f>
        <v>-3.1446540880502027E-3</v>
      </c>
      <c r="L10" s="84">
        <f>IF($C10="","",INDEX(calc_carry,5))</f>
        <v>3.154574132492094E-3</v>
      </c>
      <c r="M10" s="80">
        <f>IF($C10="","",INDEX(calc_cylr_p1,5))</f>
        <v>0.68196465292800068</v>
      </c>
      <c r="N10" s="85">
        <f>IF($C10="","",N(INDEX(lr_ep,5)))</f>
        <v>36000</v>
      </c>
      <c r="O10" s="86">
        <f t="shared" si="0"/>
        <v>8.9552238805970154E-3</v>
      </c>
      <c r="P10" s="80">
        <f>IF($C10="","",INDEX(calc_cylr_prog,5))</f>
        <v>0.69099906928643107</v>
      </c>
      <c r="Q10" s="87" t="str">
        <f>IF($C10="","",IF(INDEX(calc_netmode,5)=0,"—",INDEX(calc_proggap,5)))</f>
        <v>—</v>
      </c>
      <c r="T10" s="89" t="str">
        <f t="shared" si="4"/>
        <v>MM|DE</v>
      </c>
      <c r="U10" s="90">
        <f t="shared" si="5"/>
        <v>0.70285810110980573</v>
      </c>
      <c r="V10" s="87">
        <f t="shared" si="6"/>
        <v>1.4858101109805788</v>
      </c>
      <c r="W10" s="91">
        <f t="shared" si="7"/>
        <v>2.6611524375771561E-2</v>
      </c>
      <c r="Y10" s="43">
        <f>IF(COUNT($AB$6:$AB$74)&lt;4,0,MATCH(LARGE($AB$6:$AB$74,4),$AB$6:$AB$74,0))</f>
        <v>24</v>
      </c>
      <c r="AA10" s="88">
        <f t="shared" si="1"/>
        <v>29</v>
      </c>
      <c r="AB10" s="6">
        <f t="shared" si="2"/>
        <v>0.69990693864310149</v>
      </c>
      <c r="AC10" s="76">
        <f t="shared" si="3"/>
        <v>6.2678232415800134E-3</v>
      </c>
    </row>
    <row r="11" spans="1:29" x14ac:dyDescent="0.3">
      <c r="A11" s="79" t="str">
        <f>IF(INDEX(lr_key,6)="","",INDEX(lr_bu,6))</f>
        <v>ABD</v>
      </c>
      <c r="B11" s="79" t="str">
        <f>IF(INDEX(lr_key,6)="","",INDEX(lr_state,6))</f>
        <v>IA</v>
      </c>
      <c r="C11" s="23" t="str">
        <f>INDEX(lr_key,6)</f>
        <v>ABD|IA</v>
      </c>
      <c r="D11" s="80">
        <f>IF($C11="","",N(INDEX(lr_lrproj,6)))</f>
        <v>0.66800000000000004</v>
      </c>
      <c r="E11" s="52" t="str">
        <f>IF($C11="","",INDEX(lr_basis,6)&amp;"")</f>
        <v>current</v>
      </c>
      <c r="F11" s="80">
        <f>IF($C11="","",INDEX(calc_lrcur,6))</f>
        <v>0.66800000000000004</v>
      </c>
      <c r="G11" s="81">
        <f>IF($C11="","",INDEX(calc_cylr_p,6))</f>
        <v>0.67403923395226362</v>
      </c>
      <c r="H11" s="82">
        <f>IF($C11="","",(INDEX(calc_cylr_p,6)-INDEX(calc_lrcur,6))*100)</f>
        <v>0.60392339522635785</v>
      </c>
      <c r="I11" s="83">
        <f>IF($C11="","",INDEX(calc_arate_p,6))</f>
        <v>0.99694186360817705</v>
      </c>
      <c r="J11" s="83">
        <f>IF($C11="","",INDEX(calc_amod_p,6))</f>
        <v>1.012136019383969</v>
      </c>
      <c r="K11" s="84">
        <f>IF($C11="","",INDEX(calc_echg,6))</f>
        <v>3.0675172780434412E-3</v>
      </c>
      <c r="L11" s="84">
        <f>IF($C11="","",INDEX(calc_carry,6))</f>
        <v>3.3357934459420369E-2</v>
      </c>
      <c r="M11" s="80">
        <f>IF($C11="","",INDEX(calc_cylr_p1,6))</f>
        <v>0.65327521131815269</v>
      </c>
      <c r="N11" s="85">
        <f>IF($C11="","",N(INDEX(lr_ep,6)))</f>
        <v>88000</v>
      </c>
      <c r="O11" s="86">
        <f t="shared" si="0"/>
        <v>2.1890547263681594E-2</v>
      </c>
      <c r="P11" s="80">
        <f>IF($C11="","",INDEX(calc_cylr_prog,6))</f>
        <v>0.67403923395226362</v>
      </c>
      <c r="Q11" s="87" t="str">
        <f>IF($C11="","",IF(INDEX(calc_netmode,6)=0,"—",INDEX(calc_proggap,6)))</f>
        <v>—</v>
      </c>
      <c r="T11" s="89" t="str">
        <f t="shared" si="4"/>
        <v>ABD|MD</v>
      </c>
      <c r="U11" s="90">
        <f t="shared" si="5"/>
        <v>0.70654786104285794</v>
      </c>
      <c r="V11" s="87">
        <f t="shared" si="6"/>
        <v>1.454786104285799</v>
      </c>
      <c r="W11" s="91">
        <f t="shared" si="7"/>
        <v>3.3293612336888934E-2</v>
      </c>
      <c r="Y11" s="43">
        <f>IF(COUNT($AB$6:$AB$74)&lt;5,0,MATCH(LARGE($AB$6:$AB$74,5),$AB$6:$AB$74,0))</f>
        <v>10</v>
      </c>
      <c r="AA11" s="88">
        <f t="shared" si="1"/>
        <v>37</v>
      </c>
      <c r="AB11" s="6">
        <f t="shared" si="2"/>
        <v>0.60392340622635787</v>
      </c>
      <c r="AC11" s="76">
        <f t="shared" si="3"/>
        <v>1.3220213626845646E-2</v>
      </c>
    </row>
    <row r="12" spans="1:29" x14ac:dyDescent="0.3">
      <c r="A12" s="79" t="str">
        <f>IF(INDEX(lr_key,7)="","",INDEX(lr_bu,7))</f>
        <v>ABD</v>
      </c>
      <c r="B12" s="79" t="str">
        <f>IF(INDEX(lr_key,7)="","",INDEX(lr_state,7))</f>
        <v>IL</v>
      </c>
      <c r="C12" s="23" t="str">
        <f>INDEX(lr_key,7)</f>
        <v>ABD|IL</v>
      </c>
      <c r="D12" s="80">
        <f>IF($C12="","",N(INDEX(lr_lrproj,7)))</f>
        <v>0.69599999999999995</v>
      </c>
      <c r="E12" s="52" t="str">
        <f>IF($C12="","",INDEX(lr_basis,7)&amp;"")</f>
        <v>current</v>
      </c>
      <c r="F12" s="80">
        <f>IF($C12="","",INDEX(calc_lrcur,7))</f>
        <v>0.69599999999999995</v>
      </c>
      <c r="G12" s="81">
        <f>IF($C12="","",INDEX(calc_cylr_p,7))</f>
        <v>0.70417963033669628</v>
      </c>
      <c r="H12" s="82">
        <f>IF($C12="","",(INDEX(calc_cylr_p,7)-INDEX(calc_lrcur,7))*100)</f>
        <v>0.81796303366963308</v>
      </c>
      <c r="I12" s="83">
        <f>IF($C12="","",INDEX(calc_arate_p,7))</f>
        <v>1.0036540803897682</v>
      </c>
      <c r="J12" s="83">
        <f>IF($C12="","",INDEX(calc_amod_p,7))</f>
        <v>1.0080687780842468</v>
      </c>
      <c r="K12" s="84">
        <f>IF($C12="","",INDEX(calc_echg,7))</f>
        <v>-3.640776699028847E-3</v>
      </c>
      <c r="L12" s="84">
        <f>IF($C12="","",INDEX(calc_carry,7))</f>
        <v>3.6540803897684437E-3</v>
      </c>
      <c r="M12" s="80">
        <f>IF($C12="","",INDEX(calc_cylr_p1,7))</f>
        <v>0.69693643420029583</v>
      </c>
      <c r="N12" s="85">
        <f>IF($C12="","",N(INDEX(lr_ep,7)))</f>
        <v>72000</v>
      </c>
      <c r="O12" s="86">
        <f t="shared" si="0"/>
        <v>1.7910447761194031E-2</v>
      </c>
      <c r="P12" s="80">
        <f>IF($C12="","",INDEX(calc_cylr_prog,7))</f>
        <v>0.70417963033669628</v>
      </c>
      <c r="Q12" s="87" t="str">
        <f>IF($C12="","",IF(INDEX(calc_netmode,7)=0,"—",INDEX(calc_proggap,7)))</f>
        <v>—</v>
      </c>
      <c r="T12" s="89" t="str">
        <f t="shared" si="4"/>
        <v>ABD|WV</v>
      </c>
      <c r="U12" s="90">
        <f t="shared" si="5"/>
        <v>0.67791245205773853</v>
      </c>
      <c r="V12" s="87">
        <f t="shared" si="6"/>
        <v>1.39124520577385</v>
      </c>
      <c r="W12" s="91">
        <f t="shared" si="7"/>
        <v>2.3533500993189502E-2</v>
      </c>
      <c r="Y12" s="43">
        <f>IF(COUNT($AB$6:$AB$74)&lt;6,0,MATCH(LARGE($AB$6:$AB$74,6),$AB$6:$AB$74,0))</f>
        <v>20</v>
      </c>
      <c r="AA12" s="88">
        <f t="shared" si="1"/>
        <v>21</v>
      </c>
      <c r="AB12" s="6">
        <f t="shared" si="2"/>
        <v>0.81796304566963307</v>
      </c>
      <c r="AC12" s="76">
        <f t="shared" si="3"/>
        <v>1.4650084185127758E-2</v>
      </c>
    </row>
    <row r="13" spans="1:29" x14ac:dyDescent="0.3">
      <c r="A13" s="79" t="str">
        <f>IF(INDEX(lr_key,8)="","",INDEX(lr_bu,8))</f>
        <v>ABD</v>
      </c>
      <c r="B13" s="79" t="str">
        <f>IF(INDEX(lr_key,8)="","",INDEX(lr_state,8))</f>
        <v>IN</v>
      </c>
      <c r="C13" s="23" t="str">
        <f>INDEX(lr_key,8)</f>
        <v>ABD|IN</v>
      </c>
      <c r="D13" s="80">
        <f>IF($C13="","",N(INDEX(lr_lrproj,8)))</f>
        <v>0.68</v>
      </c>
      <c r="E13" s="52" t="str">
        <f>IF($C13="","",INDEX(lr_basis,8)&amp;"")</f>
        <v>current</v>
      </c>
      <c r="F13" s="80">
        <f>IF($C13="","",INDEX(calc_lrcur,8))</f>
        <v>0.68</v>
      </c>
      <c r="G13" s="81">
        <f>IF($C13="","",INDEX(calc_cylr_p,8))</f>
        <v>0.69278966708479151</v>
      </c>
      <c r="H13" s="82">
        <f>IF($C13="","",(INDEX(calc_cylr_p,8)-INDEX(calc_lrcur,8))*100)</f>
        <v>1.2789667084791456</v>
      </c>
      <c r="I13" s="83">
        <f>IF($C13="","",INDEX(calc_arate_p,8))</f>
        <v>1.0065869068423174</v>
      </c>
      <c r="J13" s="83">
        <f>IF($C13="","",INDEX(calc_amod_p,8))</f>
        <v>1.012141452489427</v>
      </c>
      <c r="K13" s="84">
        <f>IF($C13="","",INDEX(calc_echg,8))</f>
        <v>-6.54380341880334E-3</v>
      </c>
      <c r="L13" s="84">
        <f>IF($C13="","",INDEX(calc_carry,8))</f>
        <v>6.5869068423176635E-3</v>
      </c>
      <c r="M13" s="80">
        <f>IF($C13="","",INDEX(calc_cylr_p1,8))</f>
        <v>0.69292750242382473</v>
      </c>
      <c r="N13" s="85">
        <f>IF($C13="","",N(INDEX(lr_ep,8)))</f>
        <v>56000</v>
      </c>
      <c r="O13" s="86">
        <f t="shared" si="0"/>
        <v>1.3930348258706468E-2</v>
      </c>
      <c r="P13" s="80">
        <f>IF($C13="","",INDEX(calc_cylr_prog,8))</f>
        <v>0.69278966708479151</v>
      </c>
      <c r="Q13" s="87" t="str">
        <f>IF($C13="","",IF(INDEX(calc_netmode,8)=0,"—",INDEX(calc_proggap,8)))</f>
        <v>—</v>
      </c>
      <c r="T13" s="89" t="str">
        <f t="shared" si="4"/>
        <v>ABD|IN</v>
      </c>
      <c r="U13" s="90">
        <f t="shared" si="5"/>
        <v>0.69278966708479151</v>
      </c>
      <c r="V13" s="87">
        <f t="shared" si="6"/>
        <v>1.2789667084791456</v>
      </c>
      <c r="W13" s="91">
        <f t="shared" si="7"/>
        <v>1.7816451660406008E-2</v>
      </c>
      <c r="Y13" s="43">
        <f>IF(COUNT($AB$6:$AB$74)&lt;7,0,MATCH(LARGE($AB$6:$AB$74,7),$AB$6:$AB$74,0))</f>
        <v>8</v>
      </c>
      <c r="AA13" s="88">
        <f t="shared" si="1"/>
        <v>7</v>
      </c>
      <c r="AB13" s="6">
        <f t="shared" si="2"/>
        <v>1.2789667214791456</v>
      </c>
      <c r="AC13" s="76">
        <f t="shared" si="3"/>
        <v>1.7816451660406008E-2</v>
      </c>
    </row>
    <row r="14" spans="1:29" x14ac:dyDescent="0.3">
      <c r="A14" s="79" t="str">
        <f>IF(INDEX(lr_key,9)="","",INDEX(lr_bu,9))</f>
        <v>ABD</v>
      </c>
      <c r="B14" s="79" t="str">
        <f>IF(INDEX(lr_key,9)="","",INDEX(lr_state,9))</f>
        <v>KY</v>
      </c>
      <c r="C14" s="23" t="str">
        <f>INDEX(lr_key,9)</f>
        <v>ABD|KY</v>
      </c>
      <c r="D14" s="80">
        <f>IF($C14="","",N(INDEX(lr_lrproj,9)))</f>
        <v>0.66400000000000003</v>
      </c>
      <c r="E14" s="52" t="str">
        <f>IF($C14="","",INDEX(lr_basis,9)&amp;"")</f>
        <v>current</v>
      </c>
      <c r="F14" s="80">
        <f>IF($C14="","",INDEX(calc_lrcur,9))</f>
        <v>0.66400000000000003</v>
      </c>
      <c r="G14" s="81">
        <f>IF($C14="","",INDEX(calc_cylr_p,9))</f>
        <v>0.67003169027528542</v>
      </c>
      <c r="H14" s="82">
        <f>IF($C14="","",(INDEX(calc_cylr_p,9)-INDEX(calc_lrcur,9))*100)</f>
        <v>0.6031690275285384</v>
      </c>
      <c r="I14" s="83">
        <f>IF($C14="","",INDEX(calc_arate_p,9))</f>
        <v>1</v>
      </c>
      <c r="J14" s="83">
        <f>IF($C14="","",INDEX(calc_amod_p,9))</f>
        <v>1.0090838708965142</v>
      </c>
      <c r="K14" s="84">
        <f>IF($C14="","",INDEX(calc_echg,9))</f>
        <v>0</v>
      </c>
      <c r="L14" s="84">
        <f>IF($C14="","",INDEX(calc_carry,9))</f>
        <v>0</v>
      </c>
      <c r="M14" s="80">
        <f>IF($C14="","",INDEX(calc_cylr_p1,9))</f>
        <v>0.66778757211931683</v>
      </c>
      <c r="N14" s="85">
        <f>IF($C14="","",N(INDEX(lr_ep,9)))</f>
        <v>40000</v>
      </c>
      <c r="O14" s="86">
        <f t="shared" si="0"/>
        <v>9.9502487562189053E-3</v>
      </c>
      <c r="P14" s="80">
        <f>IF($C14="","",INDEX(calc_cylr_prog,9))</f>
        <v>0.67003169027528542</v>
      </c>
      <c r="Q14" s="87" t="str">
        <f>IF($C14="","",IF(INDEX(calc_netmode,9)=0,"—",INDEX(calc_proggap,9)))</f>
        <v>—</v>
      </c>
      <c r="T14" s="89" t="str">
        <f t="shared" si="4"/>
        <v>SBA|NM</v>
      </c>
      <c r="U14" s="90">
        <f t="shared" si="5"/>
        <v>0.68838792576517649</v>
      </c>
      <c r="V14" s="87">
        <f t="shared" si="6"/>
        <v>1.2387925765176444</v>
      </c>
      <c r="W14" s="91">
        <f t="shared" si="7"/>
        <v>1.6024182581820274E-2</v>
      </c>
      <c r="Y14" s="43">
        <f>IF(COUNT($AB$6:$AB$74)&lt;8,0,MATCH(LARGE($AB$6:$AB$74,8),$AB$6:$AB$74,0))</f>
        <v>55</v>
      </c>
      <c r="AA14" s="88">
        <f t="shared" si="1"/>
        <v>38</v>
      </c>
      <c r="AB14" s="6">
        <f t="shared" si="2"/>
        <v>0.60316904152853845</v>
      </c>
      <c r="AC14" s="76">
        <f t="shared" si="3"/>
        <v>6.0016818659556059E-3</v>
      </c>
    </row>
    <row r="15" spans="1:29" x14ac:dyDescent="0.3">
      <c r="A15" s="79" t="str">
        <f>IF(INDEX(lr_key,10)="","",INDEX(lr_bu,10))</f>
        <v>ABD</v>
      </c>
      <c r="B15" s="79" t="str">
        <f>IF(INDEX(lr_key,10)="","",INDEX(lr_state,10))</f>
        <v>MD</v>
      </c>
      <c r="C15" s="23" t="str">
        <f>INDEX(lr_key,10)</f>
        <v>ABD|MD</v>
      </c>
      <c r="D15" s="80">
        <f>IF($C15="","",N(INDEX(lr_lrproj,10)))</f>
        <v>0.69199999999999995</v>
      </c>
      <c r="E15" s="52" t="str">
        <f>IF($C15="","",INDEX(lr_basis,10)&amp;"")</f>
        <v>current</v>
      </c>
      <c r="F15" s="80">
        <f>IF($C15="","",INDEX(calc_lrcur,10))</f>
        <v>0.69199999999999995</v>
      </c>
      <c r="G15" s="81">
        <f>IF($C15="","",INDEX(calc_cylr_p,10))</f>
        <v>0.70654786104285794</v>
      </c>
      <c r="H15" s="82">
        <f>IF($C15="","",(INDEX(calc_cylr_p,10)-INDEX(calc_lrcur,10))*100)</f>
        <v>1.454786104285799</v>
      </c>
      <c r="I15" s="83">
        <f>IF($C15="","",INDEX(calc_arate_p,10))</f>
        <v>1.0148882186796879</v>
      </c>
      <c r="J15" s="83">
        <f>IF($C15="","",INDEX(calc_amod_p,10))</f>
        <v>1.0060447069830585</v>
      </c>
      <c r="K15" s="84">
        <f>IF($C15="","",INDEX(calc_echg,10))</f>
        <v>-1.4669811320754622E-2</v>
      </c>
      <c r="L15" s="84">
        <f>IF($C15="","",INDEX(calc_carry,10))</f>
        <v>4.4066254966729002E-2</v>
      </c>
      <c r="M15" s="80">
        <f>IF($C15="","",INDEX(calc_cylr_p1,10))</f>
        <v>0.66777772964368387</v>
      </c>
      <c r="N15" s="85">
        <f>IF($C15="","",N(INDEX(lr_ep,10)))</f>
        <v>92000</v>
      </c>
      <c r="O15" s="86">
        <f t="shared" si="0"/>
        <v>2.2885572139303482E-2</v>
      </c>
      <c r="P15" s="80">
        <f>IF($C15="","",INDEX(calc_cylr_prog,10))</f>
        <v>0.70654786104285794</v>
      </c>
      <c r="Q15" s="87" t="str">
        <f>IF($C15="","",IF(INDEX(calc_netmode,10)=0,"—",INDEX(calc_proggap,10)))</f>
        <v>—</v>
      </c>
      <c r="T15" s="89" t="str">
        <f t="shared" si="4"/>
        <v>SBA|AZ</v>
      </c>
      <c r="U15" s="90">
        <f t="shared" si="5"/>
        <v>0.70378546910878326</v>
      </c>
      <c r="V15" s="87">
        <f t="shared" si="6"/>
        <v>1.1785469108783309</v>
      </c>
      <c r="W15" s="91">
        <f t="shared" si="7"/>
        <v>1.1726834934112744E-2</v>
      </c>
      <c r="Y15" s="43">
        <f>IF(COUNT($AB$6:$AB$74)&lt;9,0,MATCH(LARGE($AB$6:$AB$74,9),$AB$6:$AB$74,0))</f>
        <v>43</v>
      </c>
      <c r="AA15" s="88">
        <f t="shared" si="1"/>
        <v>5</v>
      </c>
      <c r="AB15" s="6">
        <f t="shared" si="2"/>
        <v>1.4547861192857989</v>
      </c>
      <c r="AC15" s="76">
        <f t="shared" si="3"/>
        <v>3.3293612336888934E-2</v>
      </c>
    </row>
    <row r="16" spans="1:29" x14ac:dyDescent="0.3">
      <c r="A16" s="79" t="str">
        <f>IF(INDEX(lr_key,11)="","",INDEX(lr_bu,11))</f>
        <v>ABD</v>
      </c>
      <c r="B16" s="79" t="str">
        <f>IF(INDEX(lr_key,11)="","",INDEX(lr_state,11))</f>
        <v>MI</v>
      </c>
      <c r="C16" s="23" t="str">
        <f>INDEX(lr_key,11)</f>
        <v>ABD|MI</v>
      </c>
      <c r="D16" s="80">
        <f>IF($C16="","",N(INDEX(lr_lrproj,11)))</f>
        <v>0.67600000000000005</v>
      </c>
      <c r="E16" s="52" t="str">
        <f>IF($C16="","",INDEX(lr_basis,11)&amp;"")</f>
        <v>current</v>
      </c>
      <c r="F16" s="80">
        <f>IF($C16="","",INDEX(calc_lrcur,11))</f>
        <v>0.67600000000000005</v>
      </c>
      <c r="G16" s="81">
        <f>IF($C16="","",INDEX(calc_cylr_p,11))</f>
        <v>0.68750903606949665</v>
      </c>
      <c r="H16" s="82">
        <f>IF($C16="","",(INDEX(calc_cylr_p,11)-INDEX(calc_lrcur,11))*100)</f>
        <v>1.1509036069496603</v>
      </c>
      <c r="I16" s="83">
        <f>IF($C16="","",INDEX(calc_arate_p,11))</f>
        <v>1.0068549492733754</v>
      </c>
      <c r="J16" s="83">
        <f>IF($C16="","",INDEX(calc_amod_p,11))</f>
        <v>1.0101010101010099</v>
      </c>
      <c r="K16" s="84">
        <f>IF($C16="","",INDEX(calc_echg,11))</f>
        <v>-6.8082788671023353E-3</v>
      </c>
      <c r="L16" s="84">
        <f>IF($C16="","",INDEX(calc_carry,11))</f>
        <v>6.8549492733751549E-3</v>
      </c>
      <c r="M16" s="80">
        <f>IF($C16="","",INDEX(calc_cylr_p1,11))</f>
        <v>0.6828282828282829</v>
      </c>
      <c r="N16" s="85">
        <f>IF($C16="","",N(INDEX(lr_ep,11)))</f>
        <v>76000</v>
      </c>
      <c r="O16" s="86">
        <f t="shared" si="0"/>
        <v>1.8905472636815919E-2</v>
      </c>
      <c r="P16" s="80">
        <f>IF($C16="","",INDEX(calc_cylr_prog,11))</f>
        <v>0.68750903606949665</v>
      </c>
      <c r="Q16" s="87" t="str">
        <f>IF($C16="","",IF(INDEX(calc_netmode,11)=0,"—",INDEX(calc_proggap,11)))</f>
        <v>—</v>
      </c>
      <c r="T16" s="89" t="str">
        <f t="shared" si="4"/>
        <v>SBA|CO</v>
      </c>
      <c r="U16" s="90">
        <f t="shared" si="5"/>
        <v>0.68771244104002549</v>
      </c>
      <c r="V16" s="87">
        <f t="shared" si="6"/>
        <v>1.1712441040025445</v>
      </c>
      <c r="W16" s="91">
        <f t="shared" si="7"/>
        <v>2.6804591434884104E-2</v>
      </c>
      <c r="Y16" s="43">
        <f>IF(COUNT($AB$6:$AB$74)&lt;10,0,MATCH(LARGE($AB$6:$AB$74,10),$AB$6:$AB$74,0))</f>
        <v>44</v>
      </c>
      <c r="AA16" s="88">
        <f t="shared" si="1"/>
        <v>11</v>
      </c>
      <c r="AB16" s="6">
        <f t="shared" si="2"/>
        <v>1.1509036229496603</v>
      </c>
      <c r="AC16" s="76">
        <f t="shared" si="3"/>
        <v>2.1758376648799548E-2</v>
      </c>
    </row>
    <row r="17" spans="1:29" x14ac:dyDescent="0.3">
      <c r="A17" s="79" t="str">
        <f>IF(INDEX(lr_key,12)="","",INDEX(lr_bu,12))</f>
        <v>ABD</v>
      </c>
      <c r="B17" s="79" t="str">
        <f>IF(INDEX(lr_key,12)="","",INDEX(lr_state,12))</f>
        <v>MN</v>
      </c>
      <c r="C17" s="23" t="str">
        <f>INDEX(lr_key,12)</f>
        <v>ABD|MN</v>
      </c>
      <c r="D17" s="80">
        <f>IF($C17="","",N(INDEX(lr_lrproj,12)))</f>
        <v>0.66</v>
      </c>
      <c r="E17" s="52" t="str">
        <f>IF($C17="","",INDEX(lr_basis,12)&amp;"")</f>
        <v>current</v>
      </c>
      <c r="F17" s="80">
        <f>IF($C17="","",INDEX(calc_lrcur,12))</f>
        <v>0.66</v>
      </c>
      <c r="G17" s="81">
        <f>IF($C17="","",INDEX(calc_cylr_p,12))</f>
        <v>0.66465677882648833</v>
      </c>
      <c r="H17" s="82">
        <f>IF($C17="","",(INDEX(calc_cylr_p,12)-INDEX(calc_lrcur,12))*100)</f>
        <v>0.46567788264882948</v>
      </c>
      <c r="I17" s="83">
        <f>IF($C17="","",INDEX(calc_arate_p,12))</f>
        <v>1</v>
      </c>
      <c r="J17" s="83">
        <f>IF($C17="","",INDEX(calc_amod_p,12))</f>
        <v>1.0070557254946793</v>
      </c>
      <c r="K17" s="84">
        <f>IF($C17="","",INDEX(calc_echg,12))</f>
        <v>0</v>
      </c>
      <c r="L17" s="84">
        <f>IF($C17="","",INDEX(calc_carry,12))</f>
        <v>0</v>
      </c>
      <c r="M17" s="80">
        <f>IF($C17="","",INDEX(calc_cylr_p1,12))</f>
        <v>0.65803606861473762</v>
      </c>
      <c r="N17" s="85">
        <f>IF($C17="","",N(INDEX(lr_ep,12)))</f>
        <v>60000</v>
      </c>
      <c r="O17" s="86">
        <f t="shared" si="0"/>
        <v>1.4925373134328358E-2</v>
      </c>
      <c r="P17" s="80">
        <f>IF($C17="","",INDEX(calc_cylr_prog,12))</f>
        <v>0.66465677882648833</v>
      </c>
      <c r="Q17" s="87" t="str">
        <f>IF($C17="","",IF(INDEX(calc_netmode,12)=0,"—",INDEX(calc_proggap,12)))</f>
        <v>—</v>
      </c>
      <c r="AA17" s="88">
        <f t="shared" si="1"/>
        <v>48</v>
      </c>
      <c r="AB17" s="6">
        <f t="shared" si="2"/>
        <v>0.4656778996488295</v>
      </c>
      <c r="AC17" s="76">
        <f t="shared" si="3"/>
        <v>6.9504161589377536E-3</v>
      </c>
    </row>
    <row r="18" spans="1:29" x14ac:dyDescent="0.3">
      <c r="A18" s="79" t="str">
        <f>IF(INDEX(lr_key,13)="","",INDEX(lr_bu,13))</f>
        <v>ABD</v>
      </c>
      <c r="B18" s="79" t="str">
        <f>IF(INDEX(lr_key,13)="","",INDEX(lr_state,13))</f>
        <v>NM</v>
      </c>
      <c r="C18" s="23" t="str">
        <f>INDEX(lr_key,13)</f>
        <v>ABD|NM</v>
      </c>
      <c r="D18" s="80">
        <f>IF($C18="","",N(INDEX(lr_lrproj,13)))</f>
        <v>0.68799999999999994</v>
      </c>
      <c r="E18" s="52" t="str">
        <f>IF($C18="","",INDEX(lr_basis,13)&amp;"")</f>
        <v>current</v>
      </c>
      <c r="F18" s="80">
        <f>IF($C18="","",INDEX(calc_lrcur,13))</f>
        <v>0.68799999999999994</v>
      </c>
      <c r="G18" s="81">
        <f>IF($C18="","",INDEX(calc_cylr_p,13))</f>
        <v>0.69565069890180797</v>
      </c>
      <c r="H18" s="82">
        <f>IF($C18="","",(INDEX(calc_cylr_p,13)-INDEX(calc_lrcur,13))*100)</f>
        <v>0.76506989018080285</v>
      </c>
      <c r="I18" s="83">
        <f>IF($C18="","",INDEX(calc_arate_p,13))</f>
        <v>0.99999999999999978</v>
      </c>
      <c r="J18" s="83">
        <f>IF($C18="","",INDEX(calc_amod_p,13))</f>
        <v>1.011120201892163</v>
      </c>
      <c r="K18" s="84">
        <f>IF($C18="","",INDEX(calc_echg,13))</f>
        <v>0</v>
      </c>
      <c r="L18" s="84">
        <f>IF($C18="","",INDEX(calc_carry,13))</f>
        <v>0</v>
      </c>
      <c r="M18" s="80">
        <f>IF($C18="","",INDEX(calc_cylr_p1,13))</f>
        <v>0.69800108390350857</v>
      </c>
      <c r="N18" s="85">
        <f>IF($C18="","",N(INDEX(lr_ep,13)))</f>
        <v>44000</v>
      </c>
      <c r="O18" s="86">
        <f t="shared" si="0"/>
        <v>1.0945273631840797E-2</v>
      </c>
      <c r="P18" s="80">
        <f>IF($C18="","",INDEX(calc_cylr_prog,13))</f>
        <v>0.69565069890180797</v>
      </c>
      <c r="Q18" s="87" t="str">
        <f>IF($C18="","",IF(INDEX(calc_netmode,13)=0,"—",INDEX(calc_proggap,13)))</f>
        <v>—</v>
      </c>
      <c r="T18" s="51" t="s">
        <v>270</v>
      </c>
      <c r="AA18" s="88">
        <f t="shared" si="1"/>
        <v>25</v>
      </c>
      <c r="AB18" s="6">
        <f t="shared" si="2"/>
        <v>0.76506990818080289</v>
      </c>
      <c r="AC18" s="76">
        <f t="shared" si="3"/>
        <v>8.3738992955112758E-3</v>
      </c>
    </row>
    <row r="19" spans="1:29" x14ac:dyDescent="0.3">
      <c r="A19" s="79" t="str">
        <f>IF(INDEX(lr_key,14)="","",INDEX(lr_bu,14))</f>
        <v>ABD</v>
      </c>
      <c r="B19" s="79" t="str">
        <f>IF(INDEX(lr_key,14)="","",INDEX(lr_state,14))</f>
        <v>NC</v>
      </c>
      <c r="C19" s="23" t="str">
        <f>INDEX(lr_key,14)</f>
        <v>ABD|NC</v>
      </c>
      <c r="D19" s="80">
        <f>IF($C19="","",N(INDEX(lr_lrproj,14)))</f>
        <v>0.67200000000000004</v>
      </c>
      <c r="E19" s="52" t="str">
        <f>IF($C19="","",INDEX(lr_basis,14)&amp;"")</f>
        <v>current</v>
      </c>
      <c r="F19" s="80">
        <f>IF($C19="","",INDEX(calc_lrcur,14))</f>
        <v>0.67200000000000004</v>
      </c>
      <c r="G19" s="81">
        <f>IF($C19="","",INDEX(calc_cylr_p,14))</f>
        <v>0.66999554863771449</v>
      </c>
      <c r="H19" s="82">
        <f>IF($C19="","",(INDEX(calc_cylr_p,14)-INDEX(calc_lrcur,14))*100)</f>
        <v>-0.20044513622855531</v>
      </c>
      <c r="I19" s="83">
        <f>IF($C19="","",INDEX(calc_arate_p,14))</f>
        <v>0.9890368664800232</v>
      </c>
      <c r="J19" s="83">
        <f>IF($C19="","",INDEX(calc_amod_p,14))</f>
        <v>1.0080687780842468</v>
      </c>
      <c r="K19" s="84">
        <f>IF($C19="","",INDEX(calc_echg,14))</f>
        <v>1.108465608465603E-2</v>
      </c>
      <c r="L19" s="84">
        <f>IF($C19="","",INDEX(calc_carry,14))</f>
        <v>2.7362045056124051E-2</v>
      </c>
      <c r="M19" s="80">
        <f>IF($C19="","",INDEX(calc_cylr_p1,14))</f>
        <v>0.64780182273482856</v>
      </c>
      <c r="N19" s="85">
        <f>IF($C19="","",N(INDEX(lr_ep,14)))</f>
        <v>96000</v>
      </c>
      <c r="O19" s="86">
        <f t="shared" si="0"/>
        <v>2.3880597014925373E-2</v>
      </c>
      <c r="P19" s="80">
        <f>IF($C19="","",INDEX(calc_cylr_prog,14))</f>
        <v>0.66999554863771449</v>
      </c>
      <c r="Q19" s="87" t="str">
        <f>IF($C19="","",IF(INDEX(calc_netmode,14)=0,"—",INDEX(calc_proggap,14)))</f>
        <v>—</v>
      </c>
      <c r="AA19" s="88">
        <f t="shared" si="1"/>
        <v>56</v>
      </c>
      <c r="AB19" s="6">
        <f t="shared" si="2"/>
        <v>-0.20044511722855532</v>
      </c>
      <c r="AC19" s="76">
        <f t="shared" si="3"/>
        <v>-4.7867495218759477E-3</v>
      </c>
    </row>
    <row r="20" spans="1:29" x14ac:dyDescent="0.3">
      <c r="A20" s="79" t="str">
        <f>IF(INDEX(lr_key,15)="","",INDEX(lr_bu,15))</f>
        <v>ABD</v>
      </c>
      <c r="B20" s="79" t="str">
        <f>IF(INDEX(lr_key,15)="","",INDEX(lr_state,15))</f>
        <v>OH</v>
      </c>
      <c r="C20" s="23" t="str">
        <f>INDEX(lr_key,15)</f>
        <v>ABD|OH</v>
      </c>
      <c r="D20" s="80">
        <f>IF($C20="","",N(INDEX(lr_lrproj,15)))</f>
        <v>0.7</v>
      </c>
      <c r="E20" s="52" t="str">
        <f>IF($C20="","",INDEX(lr_basis,15)&amp;"")</f>
        <v>current</v>
      </c>
      <c r="F20" s="80">
        <f>IF($C20="","",INDEX(calc_lrcur,15))</f>
        <v>0.7</v>
      </c>
      <c r="G20" s="81">
        <f>IF($C20="","",INDEX(calc_cylr_p,15))</f>
        <v>0.70849901674259885</v>
      </c>
      <c r="H20" s="82">
        <f>IF($C20="","",(INDEX(calc_cylr_p,15)-INDEX(calc_lrcur,15))*100)</f>
        <v>0.84990167425988972</v>
      </c>
      <c r="I20" s="83">
        <f>IF($C20="","",INDEX(calc_arate_p,15))</f>
        <v>1</v>
      </c>
      <c r="J20" s="83">
        <f>IF($C20="","",INDEX(calc_amod_p,15))</f>
        <v>1.012141452489427</v>
      </c>
      <c r="K20" s="84">
        <f>IF($C20="","",INDEX(calc_echg,15))</f>
        <v>0</v>
      </c>
      <c r="L20" s="84">
        <f>IF($C20="","",INDEX(calc_carry,15))</f>
        <v>0</v>
      </c>
      <c r="M20" s="80">
        <f>IF($C20="","",INDEX(calc_cylr_p1,15))</f>
        <v>0.713307723083349</v>
      </c>
      <c r="N20" s="85">
        <f>IF($C20="","",N(INDEX(lr_ep,15)))</f>
        <v>80000</v>
      </c>
      <c r="O20" s="86">
        <f t="shared" si="0"/>
        <v>1.9900497512437811E-2</v>
      </c>
      <c r="P20" s="80">
        <f>IF($C20="","",INDEX(calc_cylr_prog,15))</f>
        <v>0.70849901674259885</v>
      </c>
      <c r="Q20" s="87" t="str">
        <f>IF($C20="","",IF(INDEX(calc_netmode,15)=0,"—",INDEX(calc_proggap,15)))</f>
        <v>—</v>
      </c>
      <c r="T20" s="10" t="s">
        <v>271</v>
      </c>
      <c r="AA20" s="88">
        <f t="shared" si="1"/>
        <v>18</v>
      </c>
      <c r="AB20" s="6">
        <f t="shared" si="2"/>
        <v>0.84990169425988971</v>
      </c>
      <c r="AC20" s="76">
        <f t="shared" si="3"/>
        <v>1.6913466154425665E-2</v>
      </c>
    </row>
    <row r="21" spans="1:29" x14ac:dyDescent="0.3">
      <c r="A21" s="79" t="str">
        <f>IF(INDEX(lr_key,16)="","",INDEX(lr_bu,16))</f>
        <v>ABD</v>
      </c>
      <c r="B21" s="79" t="str">
        <f>IF(INDEX(lr_key,16)="","",INDEX(lr_state,16))</f>
        <v>PA</v>
      </c>
      <c r="C21" s="23" t="str">
        <f>INDEX(lr_key,16)</f>
        <v>ABD|PA</v>
      </c>
      <c r="D21" s="80">
        <f>IF($C21="","",N(INDEX(lr_lrproj,16)))</f>
        <v>0.68400000000000005</v>
      </c>
      <c r="E21" s="52" t="str">
        <f>IF($C21="","",INDEX(lr_basis,16)&amp;"")</f>
        <v>current</v>
      </c>
      <c r="F21" s="80">
        <f>IF($C21="","",INDEX(calc_lrcur,16))</f>
        <v>0.68400000000000005</v>
      </c>
      <c r="G21" s="81">
        <f>IF($C21="","",INDEX(calc_cylr_p,16))</f>
        <v>0.6906365518548917</v>
      </c>
      <c r="H21" s="82">
        <f>IF($C21="","",(INDEX(calc_cylr_p,16)-INDEX(calc_lrcur,16))*100)</f>
        <v>0.6636551854891648</v>
      </c>
      <c r="I21" s="83">
        <f>IF($C21="","",INDEX(calc_arate_p,16))</f>
        <v>1.0006131207847948</v>
      </c>
      <c r="J21" s="83">
        <f>IF($C21="","",INDEX(calc_amod_p,16))</f>
        <v>1.0090838708965142</v>
      </c>
      <c r="K21" s="84">
        <f>IF($C21="","",INDEX(calc_echg,16))</f>
        <v>-6.1274509803932453E-4</v>
      </c>
      <c r="L21" s="84">
        <f>IF($C21="","",INDEX(calc_carry,16))</f>
        <v>6.1312078479458521E-4</v>
      </c>
      <c r="M21" s="80">
        <f>IF($C21="","",INDEX(calc_cylr_p1,16))</f>
        <v>0.68790165561688676</v>
      </c>
      <c r="N21" s="85">
        <f>IF($C21="","",N(INDEX(lr_ep,16)))</f>
        <v>64000</v>
      </c>
      <c r="O21" s="86">
        <f t="shared" si="0"/>
        <v>1.5920398009950248E-2</v>
      </c>
      <c r="P21" s="80">
        <f>IF($C21="","",INDEX(calc_cylr_prog,16))</f>
        <v>0.6906365518548917</v>
      </c>
      <c r="Q21" s="87" t="str">
        <f>IF($C21="","",IF(INDEX(calc_netmode,16)=0,"—",INDEX(calc_proggap,16)))</f>
        <v>—</v>
      </c>
      <c r="T21" s="20" t="s">
        <v>142</v>
      </c>
      <c r="U21" s="46">
        <f>IF(SUM(calc_ep)=0,"n/a",SUM(calc_w_lrcur)/SUM(calc_ep))</f>
        <v>0.68121154228855718</v>
      </c>
      <c r="AA21" s="88">
        <f t="shared" si="1"/>
        <v>32</v>
      </c>
      <c r="AB21" s="6">
        <f t="shared" si="2"/>
        <v>0.66365520648916476</v>
      </c>
      <c r="AC21" s="76">
        <f t="shared" si="3"/>
        <v>1.0565654694354863E-2</v>
      </c>
    </row>
    <row r="22" spans="1:29" x14ac:dyDescent="0.3">
      <c r="A22" s="79" t="str">
        <f>IF(INDEX(lr_key,17)="","",INDEX(lr_bu,17))</f>
        <v>ABD</v>
      </c>
      <c r="B22" s="79" t="str">
        <f>IF(INDEX(lr_key,17)="","",INDEX(lr_state,17))</f>
        <v>SC</v>
      </c>
      <c r="C22" s="23" t="str">
        <f>INDEX(lr_key,17)</f>
        <v>ABD|SC</v>
      </c>
      <c r="D22" s="80">
        <f>IF($C22="","",N(INDEX(lr_lrproj,17)))</f>
        <v>0.66800000000000004</v>
      </c>
      <c r="E22" s="52" t="str">
        <f>IF($C22="","",INDEX(lr_basis,17)&amp;"")</f>
        <v>current</v>
      </c>
      <c r="F22" s="80">
        <f>IF($C22="","",INDEX(calc_lrcur,17))</f>
        <v>0.66800000000000004</v>
      </c>
      <c r="G22" s="81">
        <f>IF($C22="","",INDEX(calc_cylr_p,17))</f>
        <v>0.67312706663788335</v>
      </c>
      <c r="H22" s="82">
        <f>IF($C22="","",(INDEX(calc_cylr_p,17)-INDEX(calc_lrcur,17))*100)</f>
        <v>0.51270666378833152</v>
      </c>
      <c r="I22" s="83">
        <f>IF($C22="","",INDEX(calc_arate_p,17))</f>
        <v>1.0016207455429496</v>
      </c>
      <c r="J22" s="83">
        <f>IF($C22="","",INDEX(calc_amod_p,17))</f>
        <v>1.0060447069830585</v>
      </c>
      <c r="K22" s="84">
        <f>IF($C22="","",INDEX(calc_echg,17))</f>
        <v>-1.6181229773460926E-3</v>
      </c>
      <c r="L22" s="84">
        <f>IF($C22="","",INDEX(calc_carry,17))</f>
        <v>1.6207455429497752E-3</v>
      </c>
      <c r="M22" s="80">
        <f>IF($C22="","",INDEX(calc_cylr_p1,17))</f>
        <v>0.66315057037541603</v>
      </c>
      <c r="N22" s="85">
        <f>IF($C22="","",N(INDEX(lr_ep,17)))</f>
        <v>48000</v>
      </c>
      <c r="O22" s="86">
        <f t="shared" si="0"/>
        <v>1.1940298507462687E-2</v>
      </c>
      <c r="P22" s="80">
        <f>IF($C22="","",INDEX(calc_cylr_prog,17))</f>
        <v>0.67312706663788335</v>
      </c>
      <c r="Q22" s="87" t="str">
        <f>IF($C22="","",IF(INDEX(calc_netmode,17)=0,"—",INDEX(calc_proggap,17)))</f>
        <v>—</v>
      </c>
      <c r="T22" s="20" t="s">
        <v>272</v>
      </c>
      <c r="U22" s="50">
        <f>IF(SUM(calc_ep)=0,"n/a",SUM(calc_w_arate)/SUM(calc_ep))</f>
        <v>0.99900474008271289</v>
      </c>
      <c r="AA22" s="88">
        <f t="shared" si="1"/>
        <v>43</v>
      </c>
      <c r="AB22" s="6">
        <f t="shared" si="2"/>
        <v>0.51270668578833156</v>
      </c>
      <c r="AC22" s="76">
        <f t="shared" si="3"/>
        <v>6.121870612397988E-3</v>
      </c>
    </row>
    <row r="23" spans="1:29" x14ac:dyDescent="0.3">
      <c r="A23" s="79" t="str">
        <f>IF(INDEX(lr_key,18)="","",INDEX(lr_bu,18))</f>
        <v>ABD</v>
      </c>
      <c r="B23" s="79" t="str">
        <f>IF(INDEX(lr_key,18)="","",INDEX(lr_state,18))</f>
        <v>TN</v>
      </c>
      <c r="C23" s="23" t="str">
        <f>INDEX(lr_key,18)</f>
        <v>ABD|TN</v>
      </c>
      <c r="D23" s="80">
        <f>IF($C23="","",N(INDEX(lr_lrproj,18)))</f>
        <v>0.69599999999999995</v>
      </c>
      <c r="E23" s="52" t="str">
        <f>IF($C23="","",INDEX(lr_basis,18)&amp;"")</f>
        <v>current</v>
      </c>
      <c r="F23" s="80">
        <f>IF($C23="","",INDEX(calc_lrcur,18))</f>
        <v>0.69599999999999995</v>
      </c>
      <c r="G23" s="81">
        <f>IF($C23="","",INDEX(calc_cylr_p,18))</f>
        <v>0.70059767222396963</v>
      </c>
      <c r="H23" s="82">
        <f>IF($C23="","",(INDEX(calc_cylr_p,18)-INDEX(calc_lrcur,18))*100)</f>
        <v>0.45976722239696732</v>
      </c>
      <c r="I23" s="83">
        <f>IF($C23="","",INDEX(calc_arate_p,18))</f>
        <v>0.9965397923875432</v>
      </c>
      <c r="J23" s="83">
        <f>IF($C23="","",INDEX(calc_amod_p,18))</f>
        <v>1.0101010101010099</v>
      </c>
      <c r="K23" s="84">
        <f>IF($C23="","",INDEX(calc_echg,18))</f>
        <v>3.4722222222223209E-3</v>
      </c>
      <c r="L23" s="84">
        <f>IF($C23="","",INDEX(calc_carry,18))</f>
        <v>2.9619377162629634E-2</v>
      </c>
      <c r="M23" s="80">
        <f>IF($C23="","",INDEX(calc_cylr_p1,18))</f>
        <v>0.68044336359970159</v>
      </c>
      <c r="N23" s="85">
        <f>IF($C23="","",N(INDEX(lr_ep,18)))</f>
        <v>32000</v>
      </c>
      <c r="O23" s="86">
        <f t="shared" si="0"/>
        <v>7.9601990049751239E-3</v>
      </c>
      <c r="P23" s="80">
        <f>IF($C23="","",INDEX(calc_cylr_prog,18))</f>
        <v>0.70059767222396963</v>
      </c>
      <c r="Q23" s="87" t="str">
        <f>IF($C23="","",IF(INDEX(calc_netmode,18)=0,"—",INDEX(calc_proggap,18)))</f>
        <v>—</v>
      </c>
      <c r="T23" s="20" t="s">
        <v>273</v>
      </c>
      <c r="U23" s="50">
        <f>IF(SUM(calc_ep)=0,"n/a",SUM(calc_w_amod)/SUM(calc_ep))</f>
        <v>1.0086072577361547</v>
      </c>
      <c r="AA23" s="88">
        <f t="shared" si="1"/>
        <v>49</v>
      </c>
      <c r="AB23" s="6">
        <f t="shared" si="2"/>
        <v>0.45976724539696734</v>
      </c>
      <c r="AC23" s="76">
        <f t="shared" si="3"/>
        <v>3.6598385862445159E-3</v>
      </c>
    </row>
    <row r="24" spans="1:29" x14ac:dyDescent="0.3">
      <c r="A24" s="79" t="str">
        <f>IF(INDEX(lr_key,19)="","",INDEX(lr_bu,19))</f>
        <v>ABD</v>
      </c>
      <c r="B24" s="79" t="str">
        <f>IF(INDEX(lr_key,19)="","",INDEX(lr_state,19))</f>
        <v>VA</v>
      </c>
      <c r="C24" s="23" t="str">
        <f>INDEX(lr_key,19)</f>
        <v>ABD|VA</v>
      </c>
      <c r="D24" s="80">
        <f>IF($C24="","",N(INDEX(lr_lrproj,19)))</f>
        <v>0.68</v>
      </c>
      <c r="E24" s="52" t="str">
        <f>IF($C24="","",INDEX(lr_basis,19)&amp;"")</f>
        <v>current</v>
      </c>
      <c r="F24" s="80">
        <f>IF($C24="","",INDEX(calc_lrcur,19))</f>
        <v>0.68</v>
      </c>
      <c r="G24" s="81">
        <f>IF($C24="","",INDEX(calc_cylr_p,19))</f>
        <v>0.68889847952402505</v>
      </c>
      <c r="H24" s="82">
        <f>IF($C24="","",(INDEX(calc_cylr_p,19)-INDEX(calc_lrcur,19))*100)</f>
        <v>0.88984795240250047</v>
      </c>
      <c r="I24" s="83">
        <f>IF($C24="","",INDEX(calc_arate_p,19))</f>
        <v>1.005988023952096</v>
      </c>
      <c r="J24" s="83">
        <f>IF($C24="","",INDEX(calc_amod_p,19))</f>
        <v>1.0070557254946793</v>
      </c>
      <c r="K24" s="84">
        <f>IF($C24="","",INDEX(calc_echg,19))</f>
        <v>-5.9523809523810423E-3</v>
      </c>
      <c r="L24" s="84">
        <f>IF($C24="","",INDEX(calc_carry,19))</f>
        <v>5.9880239520959666E-3</v>
      </c>
      <c r="M24" s="80">
        <f>IF($C24="","",INDEX(calc_cylr_p1,19))</f>
        <v>0.67797655554245695</v>
      </c>
      <c r="N24" s="85">
        <f>IF($C24="","",N(INDEX(lr_ep,19)))</f>
        <v>84000</v>
      </c>
      <c r="O24" s="86">
        <f t="shared" si="0"/>
        <v>2.0895522388059702E-2</v>
      </c>
      <c r="P24" s="80">
        <f>IF($C24="","",INDEX(calc_cylr_prog,19))</f>
        <v>0.68889847952402505</v>
      </c>
      <c r="Q24" s="87" t="str">
        <f>IF($C24="","",IF(INDEX(calc_netmode,19)=0,"—",INDEX(calc_proggap,19)))</f>
        <v>—</v>
      </c>
      <c r="T24" s="20" t="s">
        <v>274</v>
      </c>
      <c r="U24" s="87">
        <f>IF(OR(SUM(calc_ep)=0,NOT(ISNUMBER($G$76))),"n/a",($G$76-$U$21*$U$22*$U$23)*100)</f>
        <v>2.5438152436985106E-2</v>
      </c>
      <c r="AA24" s="88">
        <f t="shared" si="1"/>
        <v>16</v>
      </c>
      <c r="AB24" s="6">
        <f t="shared" si="2"/>
        <v>0.88984797640250046</v>
      </c>
      <c r="AC24" s="76">
        <f t="shared" si="3"/>
        <v>1.8593837811395533E-2</v>
      </c>
    </row>
    <row r="25" spans="1:29" x14ac:dyDescent="0.3">
      <c r="A25" s="79" t="str">
        <f>IF(INDEX(lr_key,20)="","",INDEX(lr_bu,20))</f>
        <v>ABD</v>
      </c>
      <c r="B25" s="79" t="str">
        <f>IF(INDEX(lr_key,20)="","",INDEX(lr_state,20))</f>
        <v>WV</v>
      </c>
      <c r="C25" s="23" t="str">
        <f>INDEX(lr_key,20)</f>
        <v>ABD|WV</v>
      </c>
      <c r="D25" s="80">
        <f>IF($C25="","",N(INDEX(lr_lrproj,20)))</f>
        <v>0.66400000000000003</v>
      </c>
      <c r="E25" s="52" t="str">
        <f>IF($C25="","",INDEX(lr_basis,20)&amp;"")</f>
        <v>current</v>
      </c>
      <c r="F25" s="80">
        <f>IF($C25="","",INDEX(calc_lrcur,20))</f>
        <v>0.66400000000000003</v>
      </c>
      <c r="G25" s="81">
        <f>IF($C25="","",INDEX(calc_cylr_p,20))</f>
        <v>0.67791245205773853</v>
      </c>
      <c r="H25" s="82">
        <f>IF($C25="","",(INDEX(calc_cylr_p,20)-INDEX(calc_lrcur,20))*100)</f>
        <v>1.39124520577385</v>
      </c>
      <c r="I25" s="83">
        <f>IF($C25="","",INDEX(calc_arate_p,20))</f>
        <v>1.0097241516173845</v>
      </c>
      <c r="J25" s="83">
        <f>IF($C25="","",INDEX(calc_amod_p,20))</f>
        <v>1.011120201892163</v>
      </c>
      <c r="K25" s="84">
        <f>IF($C25="","",INDEX(calc_echg,20))</f>
        <v>-9.630503144654079E-3</v>
      </c>
      <c r="L25" s="84">
        <f>IF($C25="","",INDEX(calc_carry,20))</f>
        <v>9.7241516173847131E-3</v>
      </c>
      <c r="M25" s="80">
        <f>IF($C25="","",INDEX(calc_cylr_p1,20))</f>
        <v>0.67365220888361887</v>
      </c>
      <c r="N25" s="85">
        <f>IF($C25="","",N(INDEX(lr_ep,20)))</f>
        <v>68000</v>
      </c>
      <c r="O25" s="86">
        <f t="shared" si="0"/>
        <v>1.6915422885572139E-2</v>
      </c>
      <c r="P25" s="80">
        <f>IF($C25="","",INDEX(calc_cylr_prog,20))</f>
        <v>0.67791245205773853</v>
      </c>
      <c r="Q25" s="87" t="str">
        <f>IF($C25="","",IF(INDEX(calc_netmode,20)=0,"—",INDEX(calc_proggap,20)))</f>
        <v>—</v>
      </c>
      <c r="T25" s="18" t="s">
        <v>275</v>
      </c>
      <c r="U25" s="92">
        <f>$G$76</f>
        <v>0.68664546901652468</v>
      </c>
      <c r="AA25" s="88">
        <f t="shared" si="1"/>
        <v>6</v>
      </c>
      <c r="AB25" s="6">
        <f t="shared" si="2"/>
        <v>1.3912452307738501</v>
      </c>
      <c r="AC25" s="76">
        <f t="shared" si="3"/>
        <v>2.3533500993189502E-2</v>
      </c>
    </row>
    <row r="26" spans="1:29" x14ac:dyDescent="0.3">
      <c r="A26" s="79" t="str">
        <f>IF(INDEX(lr_key,21)="","",INDEX(lr_bu,21))</f>
        <v>ABD</v>
      </c>
      <c r="B26" s="79" t="str">
        <f>IF(INDEX(lr_key,21)="","",INDEX(lr_state,21))</f>
        <v>WI</v>
      </c>
      <c r="C26" s="23" t="str">
        <f>INDEX(lr_key,21)</f>
        <v>ABD|WI</v>
      </c>
      <c r="D26" s="80">
        <f>IF($C26="","",N(INDEX(lr_lrproj,21)))</f>
        <v>0.69199999999999995</v>
      </c>
      <c r="E26" s="52" t="str">
        <f>IF($C26="","",INDEX(lr_basis,21)&amp;"")</f>
        <v>current</v>
      </c>
      <c r="F26" s="80">
        <f>IF($C26="","",INDEX(calc_lrcur,21))</f>
        <v>0.69199999999999995</v>
      </c>
      <c r="G26" s="81">
        <f>IF($C26="","",INDEX(calc_cylr_p,21))</f>
        <v>0.69758359443429874</v>
      </c>
      <c r="H26" s="82">
        <f>IF($C26="","",(INDEX(calc_cylr_p,21)-INDEX(calc_lrcur,21))*100)</f>
        <v>0.55835944342987887</v>
      </c>
      <c r="I26" s="83">
        <f>IF($C26="","",INDEX(calc_arate_p,21))</f>
        <v>1</v>
      </c>
      <c r="J26" s="83">
        <f>IF($C26="","",INDEX(calc_amod_p,21))</f>
        <v>1.0080687780842468</v>
      </c>
      <c r="K26" s="84">
        <f>IF($C26="","",INDEX(calc_echg,21))</f>
        <v>0</v>
      </c>
      <c r="L26" s="84">
        <f>IF($C26="","",INDEX(calc_carry,21))</f>
        <v>0</v>
      </c>
      <c r="M26" s="80">
        <f>IF($C26="","",INDEX(calc_cylr_p1,21))</f>
        <v>0.69293105239454711</v>
      </c>
      <c r="N26" s="85">
        <f>IF($C26="","",N(INDEX(lr_ep,21)))</f>
        <v>52000</v>
      </c>
      <c r="O26" s="86">
        <f t="shared" si="0"/>
        <v>1.2935323383084577E-2</v>
      </c>
      <c r="P26" s="80">
        <f>IF($C26="","",INDEX(calc_cylr_prog,21))</f>
        <v>0.69758359443429874</v>
      </c>
      <c r="Q26" s="87" t="str">
        <f>IF($C26="","",IF(INDEX(calc_netmode,21)=0,"—",INDEX(calc_proggap,21)))</f>
        <v>—</v>
      </c>
      <c r="AA26" s="88">
        <f t="shared" si="1"/>
        <v>40</v>
      </c>
      <c r="AB26" s="6">
        <f t="shared" si="2"/>
        <v>0.55835946942987891</v>
      </c>
      <c r="AC26" s="76">
        <f t="shared" si="3"/>
        <v>7.2225599647646023E-3</v>
      </c>
    </row>
    <row r="27" spans="1:29" x14ac:dyDescent="0.3">
      <c r="A27" s="79" t="str">
        <f>IF(INDEX(lr_key,22)="","",INDEX(lr_bu,22))</f>
        <v>MM</v>
      </c>
      <c r="B27" s="79" t="str">
        <f>IF(INDEX(lr_key,22)="","",INDEX(lr_state,22))</f>
        <v>AZ</v>
      </c>
      <c r="C27" s="23" t="str">
        <f>INDEX(lr_key,22)</f>
        <v>MM|AZ</v>
      </c>
      <c r="D27" s="80">
        <f>IF($C27="","",N(INDEX(lr_lrproj,22)))</f>
        <v>0.67600000000000005</v>
      </c>
      <c r="E27" s="52" t="str">
        <f>IF($C27="","",INDEX(lr_basis,22)&amp;"")</f>
        <v>current</v>
      </c>
      <c r="F27" s="80">
        <f>IF($C27="","",INDEX(calc_lrcur,22))</f>
        <v>0.67600000000000005</v>
      </c>
      <c r="G27" s="81">
        <f>IF($C27="","",INDEX(calc_cylr_p,22))</f>
        <v>0.67836432187190643</v>
      </c>
      <c r="H27" s="82">
        <f>IF($C27="","",(INDEX(calc_cylr_p,22)-INDEX(calc_lrcur,22))*100)</f>
        <v>0.2364321871906383</v>
      </c>
      <c r="I27" s="83">
        <f>IF($C27="","",INDEX(calc_arate_p,22))</f>
        <v>0.99145975603886694</v>
      </c>
      <c r="J27" s="83">
        <f>IF($C27="","",INDEX(calc_amod_p,22))</f>
        <v>1.012141452489427</v>
      </c>
      <c r="K27" s="84">
        <f>IF($C27="","",INDEX(calc_echg,22))</f>
        <v>8.6138079827400293E-3</v>
      </c>
      <c r="L27" s="84">
        <f>IF($C27="","",INDEX(calc_carry,22))</f>
        <v>3.0980443536527513E-2</v>
      </c>
      <c r="M27" s="80">
        <f>IF($C27="","",INDEX(calc_cylr_p1,22))</f>
        <v>0.66244563906796095</v>
      </c>
      <c r="N27" s="85">
        <f>IF($C27="","",N(INDEX(lr_ep,22)))</f>
        <v>36000</v>
      </c>
      <c r="O27" s="86">
        <f t="shared" si="0"/>
        <v>8.9552238805970154E-3</v>
      </c>
      <c r="P27" s="80">
        <f>IF($C27="","",INDEX(calc_cylr_prog,22))</f>
        <v>0.67836432187190643</v>
      </c>
      <c r="Q27" s="87" t="str">
        <f>IF($C27="","",IF(INDEX(calc_netmode,22)=0,"—",INDEX(calc_proggap,22)))</f>
        <v>—</v>
      </c>
      <c r="T27" s="51" t="s">
        <v>276</v>
      </c>
      <c r="AA27" s="88">
        <f t="shared" si="1"/>
        <v>52</v>
      </c>
      <c r="AB27" s="6">
        <f t="shared" si="2"/>
        <v>0.23643221419063831</v>
      </c>
      <c r="AC27" s="76">
        <f t="shared" si="3"/>
        <v>2.1173031688713879E-3</v>
      </c>
    </row>
    <row r="28" spans="1:29" x14ac:dyDescent="0.3">
      <c r="A28" s="79" t="str">
        <f>IF(INDEX(lr_key,23)="","",INDEX(lr_bu,23))</f>
        <v>MM</v>
      </c>
      <c r="B28" s="79" t="str">
        <f>IF(INDEX(lr_key,23)="","",INDEX(lr_state,23))</f>
        <v>CO</v>
      </c>
      <c r="C28" s="23" t="str">
        <f>INDEX(lr_key,23)</f>
        <v>MM|CO</v>
      </c>
      <c r="D28" s="80">
        <f>IF($C28="","",N(INDEX(lr_lrproj,23)))</f>
        <v>0.66</v>
      </c>
      <c r="E28" s="52" t="str">
        <f>IF($C28="","",INDEX(lr_basis,23)&amp;"")</f>
        <v>proposed</v>
      </c>
      <c r="F28" s="80">
        <f>IF($C28="","",INDEX(calc_lrcur,23))</f>
        <v>0.7128000000000001</v>
      </c>
      <c r="G28" s="81">
        <f>IF($C28="","",INDEX(calc_cylr_p,23))</f>
        <v>0.72901070303392856</v>
      </c>
      <c r="H28" s="82">
        <f>IF($C28="","",(INDEX(calc_cylr_p,23)-INDEX(calc_lrcur,23))*100)</f>
        <v>1.6210703033928464</v>
      </c>
      <c r="I28" s="83">
        <f>IF($C28="","",INDEX(calc_arate_p,23))</f>
        <v>1.0135354629128315</v>
      </c>
      <c r="J28" s="83">
        <f>IF($C28="","",INDEX(calc_amod_p,23))</f>
        <v>1.0090838708965142</v>
      </c>
      <c r="K28" s="84">
        <f>IF($C28="","",INDEX(calc_echg,23))</f>
        <v>-1.3354700854700807E-2</v>
      </c>
      <c r="L28" s="84">
        <f>IF($C28="","",INDEX(calc_carry,23))</f>
        <v>1.3535462912831697E-2</v>
      </c>
      <c r="M28" s="80">
        <f>IF($C28="","",INDEX(calc_cylr_p1,23))</f>
        <v>0.72403459521192093</v>
      </c>
      <c r="N28" s="85">
        <f>IF($C28="","",N(INDEX(lr_ep,23)))</f>
        <v>88000</v>
      </c>
      <c r="O28" s="86">
        <f t="shared" si="0"/>
        <v>2.1890547263681594E-2</v>
      </c>
      <c r="P28" s="80">
        <f>IF($C28="","",INDEX(calc_cylr_prog,23))</f>
        <v>0.72901070303392856</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1.6210703313928465</v>
      </c>
      <c r="AC28" s="76">
        <f t="shared" si="3"/>
        <v>3.5486116094171766E-2</v>
      </c>
    </row>
    <row r="29" spans="1:29" x14ac:dyDescent="0.3">
      <c r="A29" s="79" t="str">
        <f>IF(INDEX(lr_key,24)="","",INDEX(lr_bu,24))</f>
        <v>MM</v>
      </c>
      <c r="B29" s="79" t="str">
        <f>IF(INDEX(lr_key,24)="","",INDEX(lr_state,24))</f>
        <v>DE</v>
      </c>
      <c r="C29" s="23" t="str">
        <f>INDEX(lr_key,24)</f>
        <v>MM|DE</v>
      </c>
      <c r="D29" s="80">
        <f>IF($C29="","",N(INDEX(lr_lrproj,24)))</f>
        <v>0.68799999999999994</v>
      </c>
      <c r="E29" s="52" t="str">
        <f>IF($C29="","",INDEX(lr_basis,24)&amp;"")</f>
        <v>current</v>
      </c>
      <c r="F29" s="80">
        <f>IF($C29="","",INDEX(calc_lrcur,24))</f>
        <v>0.68799999999999994</v>
      </c>
      <c r="G29" s="81">
        <f>IF($C29="","",INDEX(calc_cylr_p,24))</f>
        <v>0.70285810110980573</v>
      </c>
      <c r="H29" s="82">
        <f>IF($C29="","",(INDEX(calc_cylr_p,24)-INDEX(calc_lrcur,24))*100)</f>
        <v>1.4858101109805788</v>
      </c>
      <c r="I29" s="83">
        <f>IF($C29="","",INDEX(calc_arate_p,24))</f>
        <v>0.99554699171046557</v>
      </c>
      <c r="J29" s="83">
        <f>IF($C29="","",INDEX(calc_amod_p,24))</f>
        <v>1.0060447069830585</v>
      </c>
      <c r="K29" s="84">
        <f>IF($C29="","",INDEX(calc_echg,24))</f>
        <v>4.4729262672811299E-3</v>
      </c>
      <c r="L29" s="84">
        <f>IF($C29="","",INDEX(calc_carry,24))</f>
        <v>2.3332654725072954E-2</v>
      </c>
      <c r="M29" s="80">
        <f>IF($C29="","",INDEX(calc_cylr_p1,24))</f>
        <v>0.67774953241749425</v>
      </c>
      <c r="N29" s="85">
        <f>IF($C29="","",N(INDEX(lr_ep,24)))</f>
        <v>72000</v>
      </c>
      <c r="O29" s="86">
        <f t="shared" si="0"/>
        <v>1.7910447761194031E-2</v>
      </c>
      <c r="P29" s="80">
        <f>IF($C29="","",INDEX(calc_cylr_prog,24))</f>
        <v>0.70285810110980573</v>
      </c>
      <c r="Q29" s="87" t="str">
        <f>IF($C29="","",IF(INDEX(calc_netmode,24)=0,"—",INDEX(calc_proggap,24)))</f>
        <v>—</v>
      </c>
      <c r="AA29" s="88">
        <f t="shared" si="1"/>
        <v>4</v>
      </c>
      <c r="AB29" s="6">
        <f t="shared" si="2"/>
        <v>1.4858101399805788</v>
      </c>
      <c r="AC29" s="76">
        <f t="shared" si="3"/>
        <v>2.6611524375771561E-2</v>
      </c>
    </row>
    <row r="30" spans="1:29" x14ac:dyDescent="0.3">
      <c r="A30" s="79" t="str">
        <f>IF(INDEX(lr_key,25)="","",INDEX(lr_bu,25))</f>
        <v>MM</v>
      </c>
      <c r="B30" s="79" t="str">
        <f>IF(INDEX(lr_key,25)="","",INDEX(lr_state,25))</f>
        <v>FL</v>
      </c>
      <c r="C30" s="23" t="str">
        <f>INDEX(lr_key,25)</f>
        <v>MM|FL</v>
      </c>
      <c r="D30" s="80">
        <f>IF($C30="","",N(INDEX(lr_lrproj,25)))</f>
        <v>0.67200000000000004</v>
      </c>
      <c r="E30" s="52" t="str">
        <f>IF($C30="","",INDEX(lr_basis,25)&amp;"")</f>
        <v>current</v>
      </c>
      <c r="F30" s="80">
        <f>IF($C30="","",INDEX(calc_lrcur,25))</f>
        <v>0.67200000000000004</v>
      </c>
      <c r="G30" s="81">
        <f>IF($C30="","",INDEX(calc_cylr_p,25))</f>
        <v>0.68162799543552677</v>
      </c>
      <c r="H30" s="82">
        <f>IF($C30="","",(INDEX(calc_cylr_p,25)-INDEX(calc_lrcur,25))*100)</f>
        <v>0.96279954355267261</v>
      </c>
      <c r="I30" s="83">
        <f>IF($C30="","",INDEX(calc_arate_p,25))</f>
        <v>1.00418410041841</v>
      </c>
      <c r="J30" s="83">
        <f>IF($C30="","",INDEX(calc_amod_p,25))</f>
        <v>1.0101010101010099</v>
      </c>
      <c r="K30" s="84">
        <f>IF($C30="","",INDEX(calc_echg,25))</f>
        <v>-4.1666666666666519E-3</v>
      </c>
      <c r="L30" s="84">
        <f>IF($C30="","",INDEX(calc_carry,25))</f>
        <v>5.1715481171548117E-2</v>
      </c>
      <c r="M30" s="80">
        <f>IF($C30="","",INDEX(calc_cylr_p1,25))</f>
        <v>0.64811064174526922</v>
      </c>
      <c r="N30" s="85">
        <f>IF($C30="","",N(INDEX(lr_ep,25)))</f>
        <v>56000</v>
      </c>
      <c r="O30" s="86">
        <f t="shared" si="0"/>
        <v>1.3930348258706468E-2</v>
      </c>
      <c r="P30" s="80">
        <f>IF($C30="","",INDEX(calc_cylr_prog,25))</f>
        <v>0.68162799543552677</v>
      </c>
      <c r="Q30" s="87" t="str">
        <f>IF($C30="","",IF(INDEX(calc_netmode,25)=0,"—",INDEX(calc_proggap,25)))</f>
        <v>—</v>
      </c>
      <c r="AA30" s="88">
        <f t="shared" si="1"/>
        <v>15</v>
      </c>
      <c r="AB30" s="6">
        <f t="shared" si="2"/>
        <v>0.96279957355267265</v>
      </c>
      <c r="AC30" s="76">
        <f t="shared" si="3"/>
        <v>1.3412132945012355E-2</v>
      </c>
    </row>
    <row r="31" spans="1:29" x14ac:dyDescent="0.3">
      <c r="A31" s="79" t="str">
        <f>IF(INDEX(lr_key,26)="","",INDEX(lr_bu,26))</f>
        <v>MM</v>
      </c>
      <c r="B31" s="79" t="str">
        <f>IF(INDEX(lr_key,26)="","",INDEX(lr_state,26))</f>
        <v>GA</v>
      </c>
      <c r="C31" s="23" t="str">
        <f>INDEX(lr_key,26)</f>
        <v>MM|GA</v>
      </c>
      <c r="D31" s="80">
        <f>IF($C31="","",N(INDEX(lr_lrproj,26)))</f>
        <v>0.7</v>
      </c>
      <c r="E31" s="52" t="str">
        <f>IF($C31="","",INDEX(lr_basis,26)&amp;"")</f>
        <v>current</v>
      </c>
      <c r="F31" s="80">
        <f>IF($C31="","",INDEX(calc_lrcur,26))</f>
        <v>0.7</v>
      </c>
      <c r="G31" s="81">
        <f>IF($C31="","",INDEX(calc_cylr_p,26))</f>
        <v>0.70022128600105049</v>
      </c>
      <c r="H31" s="82">
        <f>IF($C31="","",(INDEX(calc_cylr_p,26)-INDEX(calc_lrcur,26))*100)</f>
        <v>2.2128600105053575E-2</v>
      </c>
      <c r="I31" s="83">
        <f>IF($C31="","",INDEX(calc_arate_p,26))</f>
        <v>0.99330761698144854</v>
      </c>
      <c r="J31" s="83">
        <f>IF($C31="","",INDEX(calc_amod_p,26))</f>
        <v>1.0070557254946793</v>
      </c>
      <c r="K31" s="84">
        <f>IF($C31="","",INDEX(calc_echg,26))</f>
        <v>6.7374727668845225E-3</v>
      </c>
      <c r="L31" s="84">
        <f>IF($C31="","",INDEX(calc_carry,26))</f>
        <v>2.9590936879521301E-2</v>
      </c>
      <c r="M31" s="80">
        <f>IF($C31="","",INDEX(calc_cylr_p1,26))</f>
        <v>0.67332208304773777</v>
      </c>
      <c r="N31" s="85">
        <f>IF($C31="","",N(INDEX(lr_ep,26)))</f>
        <v>40000</v>
      </c>
      <c r="O31" s="86">
        <f t="shared" si="0"/>
        <v>9.9502487562189053E-3</v>
      </c>
      <c r="P31" s="80">
        <f>IF($C31="","",INDEX(calc_cylr_prog,26))</f>
        <v>0.70022128600105049</v>
      </c>
      <c r="Q31" s="87" t="str">
        <f>IF($C31="","",IF(INDEX(calc_netmode,26)=0,"—",INDEX(calc_proggap,26)))</f>
        <v>—</v>
      </c>
      <c r="AA31" s="88">
        <f t="shared" si="1"/>
        <v>55</v>
      </c>
      <c r="AB31" s="6">
        <f t="shared" si="2"/>
        <v>2.2128631105053576E-2</v>
      </c>
      <c r="AC31" s="76">
        <f t="shared" si="3"/>
        <v>2.2018507567217487E-4</v>
      </c>
    </row>
    <row r="32" spans="1:29" x14ac:dyDescent="0.3">
      <c r="A32" s="79" t="str">
        <f>IF(INDEX(lr_key,27)="","",INDEX(lr_bu,27))</f>
        <v>MM</v>
      </c>
      <c r="B32" s="79" t="str">
        <f>IF(INDEX(lr_key,27)="","",INDEX(lr_state,27))</f>
        <v>IA</v>
      </c>
      <c r="C32" s="23" t="str">
        <f>INDEX(lr_key,27)</f>
        <v>MM|IA</v>
      </c>
      <c r="D32" s="80">
        <f>IF($C32="","",N(INDEX(lr_lrproj,27)))</f>
        <v>0.68400000000000005</v>
      </c>
      <c r="E32" s="52" t="str">
        <f>IF($C32="","",INDEX(lr_basis,27)&amp;"")</f>
        <v>current</v>
      </c>
      <c r="F32" s="80">
        <f>IF($C32="","",INDEX(calc_lrcur,27))</f>
        <v>0.68400000000000005</v>
      </c>
      <c r="G32" s="81">
        <f>IF($C32="","",INDEX(calc_cylr_p,27))</f>
        <v>0.6916062180942395</v>
      </c>
      <c r="H32" s="82">
        <f>IF($C32="","",(INDEX(calc_cylr_p,27)-INDEX(calc_lrcur,27))*100)</f>
        <v>0.76062180942394475</v>
      </c>
      <c r="I32" s="83">
        <f>IF($C32="","",INDEX(calc_arate_p,27))</f>
        <v>1</v>
      </c>
      <c r="J32" s="83">
        <f>IF($C32="","",INDEX(calc_amod_p,27))</f>
        <v>1.011120201892163</v>
      </c>
      <c r="K32" s="84">
        <f>IF($C32="","",INDEX(calc_echg,27))</f>
        <v>0</v>
      </c>
      <c r="L32" s="84">
        <f>IF($C32="","",INDEX(calc_carry,27))</f>
        <v>0</v>
      </c>
      <c r="M32" s="80">
        <f>IF($C32="","",INDEX(calc_cylr_p1,27))</f>
        <v>0.69394293806686047</v>
      </c>
      <c r="N32" s="85">
        <f>IF($C32="","",N(INDEX(lr_ep,27)))</f>
        <v>92000</v>
      </c>
      <c r="O32" s="86">
        <f t="shared" si="0"/>
        <v>2.2885572139303482E-2</v>
      </c>
      <c r="P32" s="80">
        <f>IF($C32="","",INDEX(calc_cylr_prog,27))</f>
        <v>0.6916062180942395</v>
      </c>
      <c r="Q32" s="87" t="str">
        <f>IF($C32="","",IF(INDEX(calc_netmode,27)=0,"—",INDEX(calc_proggap,27)))</f>
        <v>—</v>
      </c>
      <c r="AA32" s="88">
        <f t="shared" si="1"/>
        <v>26</v>
      </c>
      <c r="AB32" s="6">
        <f t="shared" si="2"/>
        <v>0.76062184142394473</v>
      </c>
      <c r="AC32" s="76">
        <f t="shared" si="3"/>
        <v>1.7407265290299234E-2</v>
      </c>
    </row>
    <row r="33" spans="1:29" x14ac:dyDescent="0.3">
      <c r="A33" s="79" t="str">
        <f>IF(INDEX(lr_key,28)="","",INDEX(lr_bu,28))</f>
        <v>MM</v>
      </c>
      <c r="B33" s="79" t="str">
        <f>IF(INDEX(lr_key,28)="","",INDEX(lr_state,28))</f>
        <v>IL</v>
      </c>
      <c r="C33" s="23" t="str">
        <f>INDEX(lr_key,28)</f>
        <v>MM|IL</v>
      </c>
      <c r="D33" s="80">
        <f>IF($C33="","",N(INDEX(lr_lrproj,28)))</f>
        <v>0.66800000000000004</v>
      </c>
      <c r="E33" s="52" t="str">
        <f>IF($C33="","",INDEX(lr_basis,28)&amp;"")</f>
        <v>current</v>
      </c>
      <c r="F33" s="80">
        <f>IF($C33="","",INDEX(calc_lrcur,28))</f>
        <v>0.66800000000000004</v>
      </c>
      <c r="G33" s="81">
        <f>IF($C33="","",INDEX(calc_cylr_p,28))</f>
        <v>0.6742002806360412</v>
      </c>
      <c r="H33" s="82">
        <f>IF($C33="","",(INDEX(calc_cylr_p,28)-INDEX(calc_lrcur,28))*100)</f>
        <v>0.62002806360411666</v>
      </c>
      <c r="I33" s="83">
        <f>IF($C33="","",INDEX(calc_arate_p,28))</f>
        <v>1.0012033694344162</v>
      </c>
      <c r="J33" s="83">
        <f>IF($C33="","",INDEX(calc_amod_p,28))</f>
        <v>1.0080687780842468</v>
      </c>
      <c r="K33" s="84">
        <f>IF($C33="","",INDEX(calc_echg,28))</f>
        <v>-1.2019230769230171E-3</v>
      </c>
      <c r="L33" s="84">
        <f>IF($C33="","",INDEX(calc_carry,28))</f>
        <v>1.2033694344164569E-3</v>
      </c>
      <c r="M33" s="80">
        <f>IF($C33="","",INDEX(calc_cylr_p1,28))</f>
        <v>0.66889876156005412</v>
      </c>
      <c r="N33" s="85">
        <f>IF($C33="","",N(INDEX(lr_ep,28)))</f>
        <v>76000</v>
      </c>
      <c r="O33" s="86">
        <f t="shared" si="0"/>
        <v>1.8905472636815919E-2</v>
      </c>
      <c r="P33" s="80">
        <f>IF($C33="","",INDEX(calc_cylr_prog,28))</f>
        <v>0.6742002806360412</v>
      </c>
      <c r="Q33" s="87" t="str">
        <f>IF($C33="","",IF(INDEX(calc_netmode,28)=0,"—",INDEX(calc_proggap,28)))</f>
        <v>—</v>
      </c>
      <c r="AA33" s="88">
        <f t="shared" si="1"/>
        <v>34</v>
      </c>
      <c r="AB33" s="6">
        <f t="shared" si="2"/>
        <v>0.62002809660411662</v>
      </c>
      <c r="AC33" s="76">
        <f t="shared" si="3"/>
        <v>1.1721923590525587E-2</v>
      </c>
    </row>
    <row r="34" spans="1:29" x14ac:dyDescent="0.3">
      <c r="A34" s="79" t="str">
        <f>IF(INDEX(lr_key,29)="","",INDEX(lr_bu,29))</f>
        <v>MM</v>
      </c>
      <c r="B34" s="79" t="str">
        <f>IF(INDEX(lr_key,29)="","",INDEX(lr_state,29))</f>
        <v>IN</v>
      </c>
      <c r="C34" s="23" t="str">
        <f>INDEX(lr_key,29)</f>
        <v>MM|IN</v>
      </c>
      <c r="D34" s="80">
        <f>IF($C34="","",N(INDEX(lr_lrproj,29)))</f>
        <v>0.69599999999999995</v>
      </c>
      <c r="E34" s="52" t="str">
        <f>IF($C34="","",INDEX(lr_basis,29)&amp;"")</f>
        <v>current</v>
      </c>
      <c r="F34" s="80">
        <f>IF($C34="","",INDEX(calc_lrcur,29))</f>
        <v>0.69599999999999995</v>
      </c>
      <c r="G34" s="81">
        <f>IF($C34="","",INDEX(calc_cylr_p,29))</f>
        <v>0.70631901976800626</v>
      </c>
      <c r="H34" s="82">
        <f>IF($C34="","",(INDEX(calc_cylr_p,29)-INDEX(calc_lrcur,29))*100)</f>
        <v>1.031901976800631</v>
      </c>
      <c r="I34" s="83">
        <f>IF($C34="","",INDEX(calc_arate_p,29))</f>
        <v>1.0026525198938991</v>
      </c>
      <c r="J34" s="83">
        <f>IF($C34="","",INDEX(calc_amod_p,29))</f>
        <v>1.012141452489427</v>
      </c>
      <c r="K34" s="84">
        <f>IF($C34="","",INDEX(calc_echg,29))</f>
        <v>-2.6455026455026731E-3</v>
      </c>
      <c r="L34" s="84">
        <f>IF($C34="","",INDEX(calc_carry,29))</f>
        <v>2.6525198938991412E-3</v>
      </c>
      <c r="M34" s="80">
        <f>IF($C34="","",INDEX(calc_cylr_p1,29))</f>
        <v>0.70923167895144423</v>
      </c>
      <c r="N34" s="85">
        <f>IF($C34="","",N(INDEX(lr_ep,29)))</f>
        <v>60000</v>
      </c>
      <c r="O34" s="86">
        <f t="shared" si="0"/>
        <v>1.4925373134328358E-2</v>
      </c>
      <c r="P34" s="80">
        <f>IF($C34="","",INDEX(calc_cylr_prog,29))</f>
        <v>0.70631901976800626</v>
      </c>
      <c r="Q34" s="87" t="str">
        <f>IF($C34="","",IF(INDEX(calc_netmode,29)=0,"—",INDEX(calc_proggap,29)))</f>
        <v>—</v>
      </c>
      <c r="AA34" s="88">
        <f t="shared" si="1"/>
        <v>14</v>
      </c>
      <c r="AB34" s="6">
        <f t="shared" si="2"/>
        <v>1.0319020108006309</v>
      </c>
      <c r="AC34" s="76">
        <f t="shared" si="3"/>
        <v>1.5401522041800463E-2</v>
      </c>
    </row>
    <row r="35" spans="1:29" x14ac:dyDescent="0.3">
      <c r="A35" s="79" t="str">
        <f>IF(INDEX(lr_key,30)="","",INDEX(lr_bu,30))</f>
        <v>MM</v>
      </c>
      <c r="B35" s="79" t="str">
        <f>IF(INDEX(lr_key,30)="","",INDEX(lr_state,30))</f>
        <v>KY</v>
      </c>
      <c r="C35" s="23" t="str">
        <f>INDEX(lr_key,30)</f>
        <v>MM|KY</v>
      </c>
      <c r="D35" s="80">
        <f>IF($C35="","",N(INDEX(lr_lrproj,30)))</f>
        <v>0.68</v>
      </c>
      <c r="E35" s="52" t="str">
        <f>IF($C35="","",INDEX(lr_basis,30)&amp;"")</f>
        <v>current</v>
      </c>
      <c r="F35" s="80">
        <f>IF($C35="","",INDEX(calc_lrcur,30))</f>
        <v>0.68</v>
      </c>
      <c r="G35" s="81">
        <f>IF($C35="","",INDEX(calc_cylr_p,30))</f>
        <v>0.68532038173246401</v>
      </c>
      <c r="H35" s="82">
        <f>IF($C35="","",(INDEX(calc_cylr_p,30)-INDEX(calc_lrcur,30))*100)</f>
        <v>0.53203817324639635</v>
      </c>
      <c r="I35" s="83">
        <f>IF($C35="","",INDEX(calc_arate_p,30))</f>
        <v>0.99875156054931336</v>
      </c>
      <c r="J35" s="83">
        <f>IF($C35="","",INDEX(calc_amod_p,30))</f>
        <v>1.0090838708965142</v>
      </c>
      <c r="K35" s="84">
        <f>IF($C35="","",INDEX(calc_echg,30))</f>
        <v>1.2499999999999734E-3</v>
      </c>
      <c r="L35" s="84">
        <f>IF($C35="","",INDEX(calc_carry,30))</f>
        <v>2.7465667915106184E-2</v>
      </c>
      <c r="M35" s="80">
        <f>IF($C35="","",INDEX(calc_cylr_p1,30))</f>
        <v>0.66476679360133428</v>
      </c>
      <c r="N35" s="85">
        <f>IF($C35="","",N(INDEX(lr_ep,30)))</f>
        <v>44000</v>
      </c>
      <c r="O35" s="86">
        <f t="shared" si="0"/>
        <v>1.0945273631840797E-2</v>
      </c>
      <c r="P35" s="80">
        <f>IF($C35="","",INDEX(calc_cylr_prog,30))</f>
        <v>0.68532038173246401</v>
      </c>
      <c r="Q35" s="87" t="str">
        <f>IF($C35="","",IF(INDEX(calc_netmode,30)=0,"—",INDEX(calc_proggap,30)))</f>
        <v>—</v>
      </c>
      <c r="AA35" s="88">
        <f t="shared" si="1"/>
        <v>42</v>
      </c>
      <c r="AB35" s="6">
        <f t="shared" si="2"/>
        <v>0.53203820824639636</v>
      </c>
      <c r="AC35" s="76">
        <f t="shared" si="3"/>
        <v>5.8233033887665278E-3</v>
      </c>
    </row>
    <row r="36" spans="1:29" x14ac:dyDescent="0.3">
      <c r="A36" s="79" t="str">
        <f>IF(INDEX(lr_key,31)="","",INDEX(lr_bu,31))</f>
        <v>MM</v>
      </c>
      <c r="B36" s="79" t="str">
        <f>IF(INDEX(lr_key,31)="","",INDEX(lr_state,31))</f>
        <v>MD</v>
      </c>
      <c r="C36" s="23" t="str">
        <f>INDEX(lr_key,31)</f>
        <v>MM|MD</v>
      </c>
      <c r="D36" s="80">
        <f>IF($C36="","",N(INDEX(lr_lrproj,31)))</f>
        <v>0.66400000000000003</v>
      </c>
      <c r="E36" s="52" t="str">
        <f>IF($C36="","",INDEX(lr_basis,31)&amp;"")</f>
        <v>current</v>
      </c>
      <c r="F36" s="80">
        <f>IF($C36="","",INDEX(calc_lrcur,31))</f>
        <v>0.66400000000000003</v>
      </c>
      <c r="G36" s="81">
        <f>IF($C36="","",INDEX(calc_cylr_p,31))</f>
        <v>0.66965499670318029</v>
      </c>
      <c r="H36" s="82">
        <f>IF($C36="","",(INDEX(calc_cylr_p,31)-INDEX(calc_lrcur,31))*100)</f>
        <v>0.56549967031802595</v>
      </c>
      <c r="I36" s="83">
        <f>IF($C36="","",INDEX(calc_arate_p,31))</f>
        <v>1.0024570024570025</v>
      </c>
      <c r="J36" s="83">
        <f>IF($C36="","",INDEX(calc_amod_p,31))</f>
        <v>1.0060447069830585</v>
      </c>
      <c r="K36" s="84">
        <f>IF($C36="","",INDEX(calc_echg,31))</f>
        <v>-2.4509803921570761E-3</v>
      </c>
      <c r="L36" s="84">
        <f>IF($C36="","",INDEX(calc_carry,31))</f>
        <v>2.4570024570023108E-3</v>
      </c>
      <c r="M36" s="80">
        <f>IF($C36="","",INDEX(calc_cylr_p1,31))</f>
        <v>0.65917960887616234</v>
      </c>
      <c r="N36" s="85">
        <f>IF($C36="","",N(INDEX(lr_ep,31)))</f>
        <v>96000</v>
      </c>
      <c r="O36" s="86">
        <f t="shared" si="0"/>
        <v>2.3880597014925373E-2</v>
      </c>
      <c r="P36" s="80">
        <f>IF($C36="","",INDEX(calc_cylr_prog,31))</f>
        <v>0.66965499670318029</v>
      </c>
      <c r="Q36" s="87" t="str">
        <f>IF($C36="","",IF(INDEX(calc_netmode,31)=0,"—",INDEX(calc_proggap,31)))</f>
        <v>—</v>
      </c>
      <c r="AA36" s="88">
        <f t="shared" si="1"/>
        <v>39</v>
      </c>
      <c r="AB36" s="6">
        <f t="shared" si="2"/>
        <v>0.56549970631802593</v>
      </c>
      <c r="AC36" s="76">
        <f t="shared" si="3"/>
        <v>1.3504469738937933E-2</v>
      </c>
    </row>
    <row r="37" spans="1:29" x14ac:dyDescent="0.3">
      <c r="A37" s="79" t="str">
        <f>IF(INDEX(lr_key,32)="","",INDEX(lr_bu,32))</f>
        <v>MM</v>
      </c>
      <c r="B37" s="79" t="str">
        <f>IF(INDEX(lr_key,32)="","",INDEX(lr_state,32))</f>
        <v>MI</v>
      </c>
      <c r="C37" s="23" t="str">
        <f>INDEX(lr_key,32)</f>
        <v>MM|MI</v>
      </c>
      <c r="D37" s="80">
        <f>IF($C37="","",N(INDEX(lr_lrproj,32)))</f>
        <v>0.69199999999999995</v>
      </c>
      <c r="E37" s="52" t="str">
        <f>IF($C37="","",INDEX(lr_basis,32)&amp;"")</f>
        <v>current</v>
      </c>
      <c r="F37" s="80">
        <f>IF($C37="","",INDEX(calc_lrcur,32))</f>
        <v>0.69199999999999995</v>
      </c>
      <c r="G37" s="81">
        <f>IF($C37="","",INDEX(calc_cylr_p,32))</f>
        <v>0.70247099514301414</v>
      </c>
      <c r="H37" s="82">
        <f>IF($C37="","",(INDEX(calc_cylr_p,32)-INDEX(calc_lrcur,32))*100)</f>
        <v>1.0470995143014195</v>
      </c>
      <c r="I37" s="83">
        <f>IF($C37="","",INDEX(calc_arate_p,32))</f>
        <v>1.0049801809126939</v>
      </c>
      <c r="J37" s="83">
        <f>IF($C37="","",INDEX(calc_amod_p,32))</f>
        <v>1.0101010101010099</v>
      </c>
      <c r="K37" s="84">
        <f>IF($C37="","",INDEX(calc_echg,32))</f>
        <v>-4.9555016181225264E-3</v>
      </c>
      <c r="L37" s="84">
        <f>IF($C37="","",INDEX(calc_carry,32))</f>
        <v>4.9801809126941432E-3</v>
      </c>
      <c r="M37" s="80">
        <f>IF($C37="","",INDEX(calc_cylr_p1,32))</f>
        <v>0.69898989898989872</v>
      </c>
      <c r="N37" s="85">
        <f>IF($C37="","",N(INDEX(lr_ep,32)))</f>
        <v>80000</v>
      </c>
      <c r="O37" s="86">
        <f t="shared" si="0"/>
        <v>1.9900497512437811E-2</v>
      </c>
      <c r="P37" s="80">
        <f>IF($C37="","",INDEX(calc_cylr_prog,32))</f>
        <v>0.70247099514301414</v>
      </c>
      <c r="Q37" s="87" t="str">
        <f>IF($C37="","",IF(INDEX(calc_netmode,32)=0,"—",INDEX(calc_proggap,32)))</f>
        <v>—</v>
      </c>
      <c r="AA37" s="88">
        <f t="shared" si="1"/>
        <v>13</v>
      </c>
      <c r="AB37" s="6">
        <f t="shared" si="2"/>
        <v>1.0470995513014194</v>
      </c>
      <c r="AC37" s="76">
        <f t="shared" si="3"/>
        <v>2.0837801279630239E-2</v>
      </c>
    </row>
    <row r="38" spans="1:29" x14ac:dyDescent="0.3">
      <c r="A38" s="79" t="str">
        <f>IF(INDEX(lr_key,33)="","",INDEX(lr_bu,33))</f>
        <v>MM</v>
      </c>
      <c r="B38" s="79" t="str">
        <f>IF(INDEX(lr_key,33)="","",INDEX(lr_state,33))</f>
        <v>MN</v>
      </c>
      <c r="C38" s="23" t="str">
        <f>INDEX(lr_key,33)</f>
        <v>MM|MN</v>
      </c>
      <c r="D38" s="80">
        <f>IF($C38="","",N(INDEX(lr_lrproj,33)))</f>
        <v>0.67600000000000005</v>
      </c>
      <c r="E38" s="52" t="str">
        <f>IF($C38="","",INDEX(lr_basis,33)&amp;"")</f>
        <v>current</v>
      </c>
      <c r="F38" s="80">
        <f>IF($C38="","",INDEX(calc_lrcur,33))</f>
        <v>0.67600000000000005</v>
      </c>
      <c r="G38" s="81">
        <f>IF($C38="","",INDEX(calc_cylr_p,33))</f>
        <v>0.68076967043440317</v>
      </c>
      <c r="H38" s="82">
        <f>IF($C38="","",(INDEX(calc_cylr_p,33)-INDEX(calc_lrcur,33))*100)</f>
        <v>0.47696704344031282</v>
      </c>
      <c r="I38" s="83">
        <f>IF($C38="","",INDEX(calc_arate_p,33))</f>
        <v>1</v>
      </c>
      <c r="J38" s="83">
        <f>IF($C38="","",INDEX(calc_amod_p,33))</f>
        <v>1.0070557254946793</v>
      </c>
      <c r="K38" s="84">
        <f>IF($C38="","",INDEX(calc_echg,33))</f>
        <v>0</v>
      </c>
      <c r="L38" s="84">
        <f>IF($C38="","",INDEX(calc_carry,33))</f>
        <v>0</v>
      </c>
      <c r="M38" s="80">
        <f>IF($C38="","",INDEX(calc_cylr_p1,33))</f>
        <v>0.67398845815691311</v>
      </c>
      <c r="N38" s="85">
        <f>IF($C38="","",N(INDEX(lr_ep,33)))</f>
        <v>64000</v>
      </c>
      <c r="O38" s="86">
        <f t="shared" ref="O38:O74" si="8">IF($C38="","",IF(SUM($N$6:$N$74)=0,0,N($N38)/SUM($N$6:$N$74)))</f>
        <v>1.5920398009950248E-2</v>
      </c>
      <c r="P38" s="80">
        <f>IF($C38="","",INDEX(calc_cylr_prog,33))</f>
        <v>0.68076967043440317</v>
      </c>
      <c r="Q38" s="87" t="str">
        <f>IF($C38="","",IF(INDEX(calc_netmode,33)=0,"—",INDEX(calc_proggap,33)))</f>
        <v>—</v>
      </c>
      <c r="AA38" s="88">
        <f t="shared" ref="AA38:AA74" si="9">IF($C38="","",RANK($H38,$H$6:$H$74))</f>
        <v>44</v>
      </c>
      <c r="AB38" s="6">
        <f t="shared" ref="AB38:AB74" si="10">IF($C38="","",$H38+ROW()/1000000000)</f>
        <v>0.4769670814403128</v>
      </c>
      <c r="AC38" s="76">
        <f t="shared" ref="AC38:AC74" si="11">IF(OR($C38="",$O38=""),"",N($O38)*$H38)</f>
        <v>7.5935051691990094E-3</v>
      </c>
    </row>
    <row r="39" spans="1:29" x14ac:dyDescent="0.3">
      <c r="A39" s="79" t="str">
        <f>IF(INDEX(lr_key,34)="","",INDEX(lr_bu,34))</f>
        <v>MM</v>
      </c>
      <c r="B39" s="79" t="str">
        <f>IF(INDEX(lr_key,34)="","",INDEX(lr_state,34))</f>
        <v>NM</v>
      </c>
      <c r="C39" s="23" t="str">
        <f>INDEX(lr_key,34)</f>
        <v>MM|NM</v>
      </c>
      <c r="D39" s="80">
        <f>IF($C39="","",N(INDEX(lr_lrproj,34)))</f>
        <v>0.66</v>
      </c>
      <c r="E39" s="52" t="str">
        <f>IF($C39="","",INDEX(lr_basis,34)&amp;"")</f>
        <v>current</v>
      </c>
      <c r="F39" s="80">
        <f>IF($C39="","",INDEX(calc_lrcur,34))</f>
        <v>0.66</v>
      </c>
      <c r="G39" s="81">
        <f>IF($C39="","",INDEX(calc_cylr_p,34))</f>
        <v>0.66877241699954093</v>
      </c>
      <c r="H39" s="82">
        <f>IF($C39="","",(INDEX(calc_cylr_p,34)-INDEX(calc_lrcur,34))*100)</f>
        <v>0.87724169995408996</v>
      </c>
      <c r="I39" s="83">
        <f>IF($C39="","",INDEX(calc_arate_p,34))</f>
        <v>1.0021474588403723</v>
      </c>
      <c r="J39" s="83">
        <f>IF($C39="","",INDEX(calc_amod_p,34))</f>
        <v>1.011120201892163</v>
      </c>
      <c r="K39" s="84">
        <f>IF($C39="","",INDEX(calc_echg,34))</f>
        <v>-2.1428571428572241E-3</v>
      </c>
      <c r="L39" s="84">
        <f>IF($C39="","",INDEX(calc_carry,34))</f>
        <v>4.0980672870436718E-2</v>
      </c>
      <c r="M39" s="80">
        <f>IF($C39="","",INDEX(calc_cylr_p1,34))</f>
        <v>0.6446152231499116</v>
      </c>
      <c r="N39" s="85">
        <f>IF($C39="","",N(INDEX(lr_ep,34)))</f>
        <v>48000</v>
      </c>
      <c r="O39" s="86">
        <f t="shared" si="8"/>
        <v>1.1940298507462687E-2</v>
      </c>
      <c r="P39" s="80">
        <f>IF($C39="","",INDEX(calc_cylr_prog,34))</f>
        <v>0.66877241699954093</v>
      </c>
      <c r="Q39" s="87" t="str">
        <f>IF($C39="","",IF(INDEX(calc_netmode,34)=0,"—",INDEX(calc_proggap,34)))</f>
        <v>—</v>
      </c>
      <c r="AA39" s="88">
        <f t="shared" si="9"/>
        <v>17</v>
      </c>
      <c r="AB39" s="6">
        <f t="shared" si="10"/>
        <v>0.87724173895408997</v>
      </c>
      <c r="AC39" s="76">
        <f t="shared" si="11"/>
        <v>1.0474527760645851E-2</v>
      </c>
    </row>
    <row r="40" spans="1:29" x14ac:dyDescent="0.3">
      <c r="A40" s="79" t="str">
        <f>IF(INDEX(lr_key,35)="","",INDEX(lr_bu,35))</f>
        <v>MM</v>
      </c>
      <c r="B40" s="79" t="str">
        <f>IF(INDEX(lr_key,35)="","",INDEX(lr_state,35))</f>
        <v>NC</v>
      </c>
      <c r="C40" s="23" t="str">
        <f>INDEX(lr_key,35)</f>
        <v>MM|NC</v>
      </c>
      <c r="D40" s="80">
        <f>IF($C40="","",N(INDEX(lr_lrproj,35)))</f>
        <v>0.68799999999999994</v>
      </c>
      <c r="E40" s="52" t="str">
        <f>IF($C40="","",INDEX(lr_basis,35)&amp;"")</f>
        <v>current</v>
      </c>
      <c r="F40" s="80">
        <f>IF($C40="","",INDEX(calc_lrcur,35))</f>
        <v>0.68799999999999994</v>
      </c>
      <c r="G40" s="81">
        <f>IF($C40="","",INDEX(calc_cylr_p,35))</f>
        <v>0.70745571626105475</v>
      </c>
      <c r="H40" s="82">
        <f>IF($C40="","",(INDEX(calc_cylr_p,35)-INDEX(calc_lrcur,35))*100)</f>
        <v>1.9455716261054801</v>
      </c>
      <c r="I40" s="83">
        <f>IF($C40="","",INDEX(calc_arate_p,35))</f>
        <v>1.020048115477145</v>
      </c>
      <c r="J40" s="83">
        <f>IF($C40="","",INDEX(calc_amod_p,35))</f>
        <v>1.0080687780842468</v>
      </c>
      <c r="K40" s="84">
        <f>IF($C40="","",INDEX(calc_echg,35))</f>
        <v>-1.9654088050314433E-2</v>
      </c>
      <c r="L40" s="84">
        <f>IF($C40="","",INDEX(calc_carry,35))</f>
        <v>2.0048115477145245E-2</v>
      </c>
      <c r="M40" s="80">
        <f>IF($C40="","",INDEX(calc_cylr_p1,35))</f>
        <v>0.68892567058879817</v>
      </c>
      <c r="N40" s="85">
        <f>IF($C40="","",N(INDEX(lr_ep,35)))</f>
        <v>32000</v>
      </c>
      <c r="O40" s="86">
        <f t="shared" si="8"/>
        <v>7.9601990049751239E-3</v>
      </c>
      <c r="P40" s="80">
        <f>IF($C40="","",INDEX(calc_cylr_prog,35))</f>
        <v>0.70745571626105475</v>
      </c>
      <c r="Q40" s="87" t="str">
        <f>IF($C40="","",IF(INDEX(calc_netmode,35)=0,"—",INDEX(calc_proggap,35)))</f>
        <v>—</v>
      </c>
      <c r="AA40" s="88">
        <f t="shared" si="9"/>
        <v>1</v>
      </c>
      <c r="AB40" s="6">
        <f t="shared" si="10"/>
        <v>1.94557166610548</v>
      </c>
      <c r="AC40" s="76">
        <f t="shared" si="11"/>
        <v>1.5487137322232676E-2</v>
      </c>
    </row>
    <row r="41" spans="1:29" x14ac:dyDescent="0.3">
      <c r="A41" s="79" t="str">
        <f>IF(INDEX(lr_key,36)="","",INDEX(lr_bu,36))</f>
        <v>MM</v>
      </c>
      <c r="B41" s="79" t="str">
        <f>IF(INDEX(lr_key,36)="","",INDEX(lr_state,36))</f>
        <v>OH</v>
      </c>
      <c r="C41" s="23" t="str">
        <f>INDEX(lr_key,36)</f>
        <v>MM|OH</v>
      </c>
      <c r="D41" s="80">
        <f>IF($C41="","",N(INDEX(lr_lrproj,36)))</f>
        <v>0.67200000000000004</v>
      </c>
      <c r="E41" s="52" t="str">
        <f>IF($C41="","",INDEX(lr_basis,36)&amp;"")</f>
        <v>current</v>
      </c>
      <c r="F41" s="80">
        <f>IF($C41="","",INDEX(calc_lrcur,36))</f>
        <v>0.67200000000000004</v>
      </c>
      <c r="G41" s="81">
        <f>IF($C41="","",INDEX(calc_cylr_p,36))</f>
        <v>0.68015905607289495</v>
      </c>
      <c r="H41" s="82">
        <f>IF($C41="","",(INDEX(calc_cylr_p,36)-INDEX(calc_lrcur,36))*100)</f>
        <v>0.81590560728949102</v>
      </c>
      <c r="I41" s="83">
        <f>IF($C41="","",INDEX(calc_arate_p,36))</f>
        <v>1</v>
      </c>
      <c r="J41" s="83">
        <f>IF($C41="","",INDEX(calc_amod_p,36))</f>
        <v>1.012141452489427</v>
      </c>
      <c r="K41" s="84">
        <f>IF($C41="","",INDEX(calc_echg,36))</f>
        <v>0</v>
      </c>
      <c r="L41" s="84">
        <f>IF($C41="","",INDEX(calc_carry,36))</f>
        <v>0</v>
      </c>
      <c r="M41" s="80">
        <f>IF($C41="","",INDEX(calc_cylr_p1,36))</f>
        <v>0.68477541416001519</v>
      </c>
      <c r="N41" s="85">
        <f>IF($C41="","",N(INDEX(lr_ep,36)))</f>
        <v>84000</v>
      </c>
      <c r="O41" s="86">
        <f t="shared" si="8"/>
        <v>2.0895522388059702E-2</v>
      </c>
      <c r="P41" s="80">
        <f>IF($C41="","",INDEX(calc_cylr_prog,36))</f>
        <v>0.68015905607289495</v>
      </c>
      <c r="Q41" s="87" t="str">
        <f>IF($C41="","",IF(INDEX(calc_netmode,36)=0,"—",INDEX(calc_proggap,36)))</f>
        <v>—</v>
      </c>
      <c r="AA41" s="88">
        <f t="shared" si="9"/>
        <v>22</v>
      </c>
      <c r="AB41" s="6">
        <f t="shared" si="10"/>
        <v>0.81590564828949097</v>
      </c>
      <c r="AC41" s="76">
        <f t="shared" si="11"/>
        <v>1.7048773883661005E-2</v>
      </c>
    </row>
    <row r="42" spans="1:29" x14ac:dyDescent="0.3">
      <c r="A42" s="79" t="str">
        <f>IF(INDEX(lr_key,37)="","",INDEX(lr_bu,37))</f>
        <v>MM</v>
      </c>
      <c r="B42" s="79" t="str">
        <f>IF(INDEX(lr_key,37)="","",INDEX(lr_state,37))</f>
        <v>PA</v>
      </c>
      <c r="C42" s="23" t="str">
        <f>INDEX(lr_key,37)</f>
        <v>MM|PA</v>
      </c>
      <c r="D42" s="80">
        <f>IF($C42="","",N(INDEX(lr_lrproj,37)))</f>
        <v>0.7</v>
      </c>
      <c r="E42" s="52" t="str">
        <f>IF($C42="","",INDEX(lr_basis,37)&amp;"")</f>
        <v>current</v>
      </c>
      <c r="F42" s="80">
        <f>IF($C42="","",INDEX(calc_lrcur,37))</f>
        <v>0.7</v>
      </c>
      <c r="G42" s="81">
        <f>IF($C42="","",INDEX(calc_cylr_p,37))</f>
        <v>0.70635870962755976</v>
      </c>
      <c r="H42" s="82">
        <f>IF($C42="","",(INDEX(calc_cylr_p,37)-INDEX(calc_lrcur,37))*100)</f>
        <v>0.63587096275597998</v>
      </c>
      <c r="I42" s="83">
        <f>IF($C42="","",INDEX(calc_arate_p,37))</f>
        <v>0.99999999999999978</v>
      </c>
      <c r="J42" s="83">
        <f>IF($C42="","",INDEX(calc_amod_p,37))</f>
        <v>1.0090838708965142</v>
      </c>
      <c r="K42" s="84">
        <f>IF($C42="","",INDEX(calc_echg,37))</f>
        <v>0</v>
      </c>
      <c r="L42" s="84">
        <f>IF($C42="","",INDEX(calc_carry,37))</f>
        <v>0</v>
      </c>
      <c r="M42" s="80">
        <f>IF($C42="","",INDEX(calc_cylr_p1,37))</f>
        <v>0.70399292241494227</v>
      </c>
      <c r="N42" s="85">
        <f>IF($C42="","",N(INDEX(lr_ep,37)))</f>
        <v>68000</v>
      </c>
      <c r="O42" s="86">
        <f t="shared" si="8"/>
        <v>1.6915422885572139E-2</v>
      </c>
      <c r="P42" s="80">
        <f>IF($C42="","",INDEX(calc_cylr_prog,37))</f>
        <v>0.70635870962755976</v>
      </c>
      <c r="Q42" s="87" t="str">
        <f>IF($C42="","",IF(INDEX(calc_netmode,37)=0,"—",INDEX(calc_proggap,37)))</f>
        <v>—</v>
      </c>
      <c r="AA42" s="88">
        <f t="shared" si="9"/>
        <v>33</v>
      </c>
      <c r="AB42" s="6">
        <f t="shared" si="10"/>
        <v>0.63587100475598002</v>
      </c>
      <c r="AC42" s="76">
        <f t="shared" si="11"/>
        <v>1.0756026235673294E-2</v>
      </c>
    </row>
    <row r="43" spans="1:29" x14ac:dyDescent="0.3">
      <c r="A43" s="79" t="str">
        <f>IF(INDEX(lr_key,38)="","",INDEX(lr_bu,38))</f>
        <v>MM</v>
      </c>
      <c r="B43" s="79" t="str">
        <f>IF(INDEX(lr_key,38)="","",INDEX(lr_state,38))</f>
        <v>SC</v>
      </c>
      <c r="C43" s="23" t="str">
        <f>INDEX(lr_key,38)</f>
        <v>MM|SC</v>
      </c>
      <c r="D43" s="80">
        <f>IF($C43="","",N(INDEX(lr_lrproj,38)))</f>
        <v>0.68400000000000005</v>
      </c>
      <c r="E43" s="52" t="str">
        <f>IF($C43="","",INDEX(lr_basis,38)&amp;"")</f>
        <v>current</v>
      </c>
      <c r="F43" s="80">
        <f>IF($C43="","",INDEX(calc_lrcur,38))</f>
        <v>0.68400000000000005</v>
      </c>
      <c r="G43" s="81">
        <f>IF($C43="","",INDEX(calc_cylr_p,38))</f>
        <v>0.68584476665355687</v>
      </c>
      <c r="H43" s="82">
        <f>IF($C43="","",(INDEX(calc_cylr_p,38)-INDEX(calc_lrcur,38))*100)</f>
        <v>0.18447666535568175</v>
      </c>
      <c r="I43" s="83">
        <f>IF($C43="","",INDEX(calc_arate_p,38))</f>
        <v>0.99667243444695852</v>
      </c>
      <c r="J43" s="83">
        <f>IF($C43="","",INDEX(calc_amod_p,38))</f>
        <v>1.0060447069830585</v>
      </c>
      <c r="K43" s="84">
        <f>IF($C43="","",INDEX(calc_echg,38))</f>
        <v>3.3386752136752573E-3</v>
      </c>
      <c r="L43" s="84">
        <f>IF($C43="","",INDEX(calc_carry,38))</f>
        <v>2.9756422201517641E-2</v>
      </c>
      <c r="M43" s="80">
        <f>IF($C43="","",INDEX(calc_cylr_p1,38))</f>
        <v>0.65721841616904275</v>
      </c>
      <c r="N43" s="85">
        <f>IF($C43="","",N(INDEX(lr_ep,38)))</f>
        <v>52000</v>
      </c>
      <c r="O43" s="86">
        <f t="shared" si="8"/>
        <v>1.2935323383084577E-2</v>
      </c>
      <c r="P43" s="80">
        <f>IF($C43="","",INDEX(calc_cylr_prog,38))</f>
        <v>0.68584476665355687</v>
      </c>
      <c r="Q43" s="87" t="str">
        <f>IF($C43="","",IF(INDEX(calc_netmode,38)=0,"—",INDEX(calc_proggap,38)))</f>
        <v>—</v>
      </c>
      <c r="AA43" s="88">
        <f t="shared" si="9"/>
        <v>53</v>
      </c>
      <c r="AB43" s="6">
        <f t="shared" si="10"/>
        <v>0.18447670835568175</v>
      </c>
      <c r="AC43" s="76">
        <f t="shared" si="11"/>
        <v>2.3862653230088183E-3</v>
      </c>
    </row>
    <row r="44" spans="1:29" x14ac:dyDescent="0.3">
      <c r="A44" s="79" t="str">
        <f>IF(INDEX(lr_key,39)="","",INDEX(lr_bu,39))</f>
        <v>MM</v>
      </c>
      <c r="B44" s="79" t="str">
        <f>IF(INDEX(lr_key,39)="","",INDEX(lr_state,39))</f>
        <v>TN</v>
      </c>
      <c r="C44" s="23" t="str">
        <f>INDEX(lr_key,39)</f>
        <v>MM|TN</v>
      </c>
      <c r="D44" s="80">
        <f>IF($C44="","",N(INDEX(lr_lrproj,39)))</f>
        <v>0.66800000000000004</v>
      </c>
      <c r="E44" s="52" t="str">
        <f>IF($C44="","",INDEX(lr_basis,39)&amp;"")</f>
        <v>current</v>
      </c>
      <c r="F44" s="80">
        <f>IF($C44="","",INDEX(calc_lrcur,39))</f>
        <v>0.66800000000000004</v>
      </c>
      <c r="G44" s="81">
        <f>IF($C44="","",INDEX(calc_cylr_p,39))</f>
        <v>0.67474747474747465</v>
      </c>
      <c r="H44" s="82">
        <f>IF($C44="","",(INDEX(calc_cylr_p,39)-INDEX(calc_lrcur,39))*100)</f>
        <v>0.67474747474746133</v>
      </c>
      <c r="I44" s="83">
        <f>IF($C44="","",INDEX(calc_arate_p,39))</f>
        <v>1</v>
      </c>
      <c r="J44" s="83">
        <f>IF($C44="","",INDEX(calc_amod_p,39))</f>
        <v>1.0101010101010099</v>
      </c>
      <c r="K44" s="84">
        <f>IF($C44="","",INDEX(calc_echg,39))</f>
        <v>0</v>
      </c>
      <c r="L44" s="84">
        <f>IF($C44="","",INDEX(calc_carry,39))</f>
        <v>0</v>
      </c>
      <c r="M44" s="80">
        <f>IF($C44="","",INDEX(calc_cylr_p1,39))</f>
        <v>0.67474747474747465</v>
      </c>
      <c r="N44" s="85">
        <f>IF($C44="","",N(INDEX(lr_ep,39)))</f>
        <v>36000</v>
      </c>
      <c r="O44" s="86">
        <f t="shared" si="8"/>
        <v>8.9552238805970154E-3</v>
      </c>
      <c r="P44" s="80">
        <f>IF($C44="","",INDEX(calc_cylr_prog,39))</f>
        <v>0.67474747474747465</v>
      </c>
      <c r="Q44" s="87" t="str">
        <f>IF($C44="","",IF(INDEX(calc_netmode,39)=0,"—",INDEX(calc_proggap,39)))</f>
        <v>—</v>
      </c>
      <c r="AA44" s="88">
        <f t="shared" si="9"/>
        <v>31</v>
      </c>
      <c r="AB44" s="6">
        <f t="shared" si="10"/>
        <v>0.67474751874746131</v>
      </c>
      <c r="AC44" s="76">
        <f t="shared" si="11"/>
        <v>6.0425146992309975E-3</v>
      </c>
    </row>
    <row r="45" spans="1:29" x14ac:dyDescent="0.3">
      <c r="A45" s="79" t="str">
        <f>IF(INDEX(lr_key,40)="","",INDEX(lr_bu,40))</f>
        <v>MM</v>
      </c>
      <c r="B45" s="79" t="str">
        <f>IF(INDEX(lr_key,40)="","",INDEX(lr_state,40))</f>
        <v>VA</v>
      </c>
      <c r="C45" s="23" t="str">
        <f>INDEX(lr_key,40)</f>
        <v>MM|VA</v>
      </c>
      <c r="D45" s="80">
        <f>IF($C45="","",N(INDEX(lr_lrproj,40)))</f>
        <v>0.69599999999999995</v>
      </c>
      <c r="E45" s="52" t="str">
        <f>IF($C45="","",INDEX(lr_basis,40)&amp;"")</f>
        <v>current</v>
      </c>
      <c r="F45" s="80">
        <f>IF($C45="","",INDEX(calc_lrcur,40))</f>
        <v>0.69599999999999995</v>
      </c>
      <c r="G45" s="81">
        <f>IF($C45="","",INDEX(calc_cylr_p,40))</f>
        <v>0.70215280051123874</v>
      </c>
      <c r="H45" s="82">
        <f>IF($C45="","",(INDEX(calc_cylr_p,40)-INDEX(calc_lrcur,40))*100)</f>
        <v>0.61528005112387874</v>
      </c>
      <c r="I45" s="83">
        <f>IF($C45="","",INDEX(calc_arate_p,40))</f>
        <v>1.0017720023626697</v>
      </c>
      <c r="J45" s="83">
        <f>IF($C45="","",INDEX(calc_amod_p,40))</f>
        <v>1.0070557254946793</v>
      </c>
      <c r="K45" s="84">
        <f>IF($C45="","",INDEX(calc_echg,40))</f>
        <v>-1.768867924528128E-3</v>
      </c>
      <c r="L45" s="84">
        <f>IF($C45="","",INDEX(calc_carry,40))</f>
        <v>1.7720023626699444E-3</v>
      </c>
      <c r="M45" s="80">
        <f>IF($C45="","",INDEX(calc_cylr_p1,40))</f>
        <v>0.69392894508463221</v>
      </c>
      <c r="N45" s="85">
        <f>IF($C45="","",N(INDEX(lr_ep,40)))</f>
        <v>88000</v>
      </c>
      <c r="O45" s="86">
        <f t="shared" si="8"/>
        <v>2.1890547263681594E-2</v>
      </c>
      <c r="P45" s="80">
        <f>IF($C45="","",INDEX(calc_cylr_prog,40))</f>
        <v>0.70215280051123874</v>
      </c>
      <c r="Q45" s="87" t="str">
        <f>IF($C45="","",IF(INDEX(calc_netmode,40)=0,"—",INDEX(calc_proggap,40)))</f>
        <v>—</v>
      </c>
      <c r="AA45" s="88">
        <f t="shared" si="9"/>
        <v>35</v>
      </c>
      <c r="AB45" s="6">
        <f t="shared" si="10"/>
        <v>0.61528009612387868</v>
      </c>
      <c r="AC45" s="76">
        <f t="shared" si="11"/>
        <v>1.3468817039527695E-2</v>
      </c>
    </row>
    <row r="46" spans="1:29" x14ac:dyDescent="0.3">
      <c r="A46" s="79" t="str">
        <f>IF(INDEX(lr_key,41)="","",INDEX(lr_bu,41))</f>
        <v>MM</v>
      </c>
      <c r="B46" s="79" t="str">
        <f>IF(INDEX(lr_key,41)="","",INDEX(lr_state,41))</f>
        <v>WV</v>
      </c>
      <c r="C46" s="23" t="str">
        <f>INDEX(lr_key,41)</f>
        <v>MM|WV</v>
      </c>
      <c r="D46" s="80">
        <f>IF($C46="","",N(INDEX(lr_lrproj,41)))</f>
        <v>0.68</v>
      </c>
      <c r="E46" s="52" t="str">
        <f>IF($C46="","",INDEX(lr_basis,41)&amp;"")</f>
        <v>current</v>
      </c>
      <c r="F46" s="80">
        <f>IF($C46="","",INDEX(calc_lrcur,41))</f>
        <v>0.68</v>
      </c>
      <c r="G46" s="81">
        <f>IF($C46="","",INDEX(calc_cylr_p,41))</f>
        <v>0.688311531983821</v>
      </c>
      <c r="H46" s="82">
        <f>IF($C46="","",(INDEX(calc_cylr_p,41)-INDEX(calc_lrcur,41))*100)</f>
        <v>0.83115319838209523</v>
      </c>
      <c r="I46" s="83">
        <f>IF($C46="","",INDEX(calc_arate_p,41))</f>
        <v>1.0010905125408942</v>
      </c>
      <c r="J46" s="83">
        <f>IF($C46="","",INDEX(calc_amod_p,41))</f>
        <v>1.011120201892163</v>
      </c>
      <c r="K46" s="84">
        <f>IF($C46="","",INDEX(calc_echg,41))</f>
        <v>-1.0893246187363426E-3</v>
      </c>
      <c r="L46" s="84">
        <f>IF($C46="","",INDEX(calc_carry,41))</f>
        <v>1.0905125408939842E-3</v>
      </c>
      <c r="M46" s="80">
        <f>IF($C46="","",INDEX(calc_cylr_p1,41))</f>
        <v>0.68988479223021226</v>
      </c>
      <c r="N46" s="85">
        <f>IF($C46="","",N(INDEX(lr_ep,41)))</f>
        <v>72000</v>
      </c>
      <c r="O46" s="86">
        <f t="shared" si="8"/>
        <v>1.7910447761194031E-2</v>
      </c>
      <c r="P46" s="80">
        <f>IF($C46="","",INDEX(calc_cylr_prog,41))</f>
        <v>0.688311531983821</v>
      </c>
      <c r="Q46" s="87" t="str">
        <f>IF($C46="","",IF(INDEX(calc_netmode,41)=0,"—",INDEX(calc_proggap,41)))</f>
        <v>—</v>
      </c>
      <c r="AA46" s="88">
        <f t="shared" si="9"/>
        <v>20</v>
      </c>
      <c r="AB46" s="6">
        <f t="shared" si="10"/>
        <v>0.83115324438209526</v>
      </c>
      <c r="AC46" s="76">
        <f t="shared" si="11"/>
        <v>1.4886325941171856E-2</v>
      </c>
    </row>
    <row r="47" spans="1:29" x14ac:dyDescent="0.3">
      <c r="A47" s="79" t="str">
        <f>IF(INDEX(lr_key,42)="","",INDEX(lr_bu,42))</f>
        <v>MM</v>
      </c>
      <c r="B47" s="79" t="str">
        <f>IF(INDEX(lr_key,42)="","",INDEX(lr_state,42))</f>
        <v>WI</v>
      </c>
      <c r="C47" s="23" t="str">
        <f>INDEX(lr_key,42)</f>
        <v>MM|WI</v>
      </c>
      <c r="D47" s="80">
        <f>IF($C47="","",N(INDEX(lr_lrproj,42)))</f>
        <v>0.66400000000000003</v>
      </c>
      <c r="E47" s="52" t="str">
        <f>IF($C47="","",INDEX(lr_basis,42)&amp;"")</f>
        <v>current</v>
      </c>
      <c r="F47" s="80">
        <f>IF($C47="","",INDEX(calc_lrcur,42))</f>
        <v>0.66400000000000003</v>
      </c>
      <c r="G47" s="81">
        <f>IF($C47="","",INDEX(calc_cylr_p,42))</f>
        <v>0.6582946611480901</v>
      </c>
      <c r="H47" s="82">
        <f>IF($C47="","",(INDEX(calc_cylr_p,42)-INDEX(calc_lrcur,42))*100)</f>
        <v>-0.57053388519099357</v>
      </c>
      <c r="I47" s="83">
        <f>IF($C47="","",INDEX(calc_arate_p,42))</f>
        <v>0.98347220325092199</v>
      </c>
      <c r="J47" s="83">
        <f>IF($C47="","",INDEX(calc_amod_p,42))</f>
        <v>1.0080687780842468</v>
      </c>
      <c r="K47" s="84">
        <f>IF($C47="","",INDEX(calc_echg,42))</f>
        <v>1.6805555555555518E-2</v>
      </c>
      <c r="L47" s="84">
        <f>IF($C47="","",INDEX(calc_carry,42))</f>
        <v>2.2674498019396472E-2</v>
      </c>
      <c r="M47" s="80">
        <f>IF($C47="","",INDEX(calc_cylr_p1,42))</f>
        <v>0.63940594820769303</v>
      </c>
      <c r="N47" s="85">
        <f>IF($C47="","",N(INDEX(lr_ep,42)))</f>
        <v>56000</v>
      </c>
      <c r="O47" s="86">
        <f t="shared" si="8"/>
        <v>1.3930348258706468E-2</v>
      </c>
      <c r="P47" s="80">
        <f>IF($C47="","",INDEX(calc_cylr_prog,42))</f>
        <v>0.6582946611480901</v>
      </c>
      <c r="Q47" s="87" t="str">
        <f>IF($C47="","",IF(INDEX(calc_netmode,42)=0,"—",INDEX(calc_proggap,42)))</f>
        <v>—</v>
      </c>
      <c r="AA47" s="88">
        <f t="shared" si="9"/>
        <v>60</v>
      </c>
      <c r="AB47" s="6">
        <f t="shared" si="10"/>
        <v>-0.57053383819099357</v>
      </c>
      <c r="AC47" s="76">
        <f t="shared" si="11"/>
        <v>-7.9477357141033936E-3</v>
      </c>
    </row>
    <row r="48" spans="1:29" x14ac:dyDescent="0.3">
      <c r="A48" s="79" t="str">
        <f>IF(INDEX(lr_key,43)="","",INDEX(lr_bu,43))</f>
        <v>SBA</v>
      </c>
      <c r="B48" s="79" t="str">
        <f>IF(INDEX(lr_key,43)="","",INDEX(lr_state,43))</f>
        <v>AZ</v>
      </c>
      <c r="C48" s="23" t="str">
        <f>INDEX(lr_key,43)</f>
        <v>SBA|AZ</v>
      </c>
      <c r="D48" s="80">
        <f>IF($C48="","",N(INDEX(lr_lrproj,43)))</f>
        <v>0.69199999999999995</v>
      </c>
      <c r="E48" s="52" t="str">
        <f>IF($C48="","",INDEX(lr_basis,43)&amp;"")</f>
        <v>current</v>
      </c>
      <c r="F48" s="80">
        <f>IF($C48="","",INDEX(calc_lrcur,43))</f>
        <v>0.69199999999999995</v>
      </c>
      <c r="G48" s="81">
        <f>IF($C48="","",INDEX(calc_cylr_p,43))</f>
        <v>0.70378546910878326</v>
      </c>
      <c r="H48" s="82">
        <f>IF($C48="","",(INDEX(calc_cylr_p,43)-INDEX(calc_lrcur,43))*100)</f>
        <v>1.1785469108783309</v>
      </c>
      <c r="I48" s="83">
        <f>IF($C48="","",INDEX(calc_arate_p,43))</f>
        <v>1.0048309178743959</v>
      </c>
      <c r="J48" s="83">
        <f>IF($C48="","",INDEX(calc_amod_p,43))</f>
        <v>1.012141452489427</v>
      </c>
      <c r="K48" s="84">
        <f>IF($C48="","",INDEX(calc_echg,43))</f>
        <v>-4.8076923076921796E-3</v>
      </c>
      <c r="L48" s="84">
        <f>IF($C48="","",INDEX(calc_carry,43))</f>
        <v>4.8309178743961567E-3</v>
      </c>
      <c r="M48" s="80">
        <f>IF($C48="","",INDEX(calc_cylr_p1,43))</f>
        <v>0.70515563481953925</v>
      </c>
      <c r="N48" s="85">
        <f>IF($C48="","",N(INDEX(lr_ep,43)))</f>
        <v>40000</v>
      </c>
      <c r="O48" s="86">
        <f t="shared" si="8"/>
        <v>9.9502487562189053E-3</v>
      </c>
      <c r="P48" s="80">
        <f>IF($C48="","",INDEX(calc_cylr_prog,43))</f>
        <v>0.70378546910878326</v>
      </c>
      <c r="Q48" s="87" t="str">
        <f>IF($C48="","",IF(INDEX(calc_netmode,43)=0,"—",INDEX(calc_proggap,43)))</f>
        <v>—</v>
      </c>
      <c r="AA48" s="88">
        <f t="shared" si="9"/>
        <v>9</v>
      </c>
      <c r="AB48" s="6">
        <f t="shared" si="10"/>
        <v>1.1785469588783308</v>
      </c>
      <c r="AC48" s="76">
        <f t="shared" si="11"/>
        <v>1.1726834934112744E-2</v>
      </c>
    </row>
    <row r="49" spans="1:29" x14ac:dyDescent="0.3">
      <c r="A49" s="79" t="str">
        <f>IF(INDEX(lr_key,44)="","",INDEX(lr_bu,44))</f>
        <v>SBA</v>
      </c>
      <c r="B49" s="79" t="str">
        <f>IF(INDEX(lr_key,44)="","",INDEX(lr_state,44))</f>
        <v>CO</v>
      </c>
      <c r="C49" s="23" t="str">
        <f>INDEX(lr_key,44)</f>
        <v>SBA|CO</v>
      </c>
      <c r="D49" s="80">
        <f>IF($C49="","",N(INDEX(lr_lrproj,44)))</f>
        <v>0.67600000000000005</v>
      </c>
      <c r="E49" s="52" t="str">
        <f>IF($C49="","",INDEX(lr_basis,44)&amp;"")</f>
        <v>current</v>
      </c>
      <c r="F49" s="80">
        <f>IF($C49="","",INDEX(calc_lrcur,44))</f>
        <v>0.67600000000000005</v>
      </c>
      <c r="G49" s="81">
        <f>IF($C49="","",INDEX(calc_cylr_p,44))</f>
        <v>0.68771244104002549</v>
      </c>
      <c r="H49" s="82">
        <f>IF($C49="","",(INDEX(calc_cylr_p,44)-INDEX(calc_lrcur,44))*100)</f>
        <v>1.1712441040025445</v>
      </c>
      <c r="I49" s="83">
        <f>IF($C49="","",INDEX(calc_arate_p,44))</f>
        <v>1.0081680280046676</v>
      </c>
      <c r="J49" s="83">
        <f>IF($C49="","",INDEX(calc_amod_p,44))</f>
        <v>1.0090838708965142</v>
      </c>
      <c r="K49" s="84">
        <f>IF($C49="","",INDEX(calc_echg,44))</f>
        <v>-8.1018518518519711E-3</v>
      </c>
      <c r="L49" s="84">
        <f>IF($C49="","",INDEX(calc_carry,44))</f>
        <v>8.168028004667649E-3</v>
      </c>
      <c r="M49" s="80">
        <f>IF($C49="","",INDEX(calc_cylr_p1,44))</f>
        <v>0.67985602221785868</v>
      </c>
      <c r="N49" s="85">
        <f>IF($C49="","",N(INDEX(lr_ep,44)))</f>
        <v>92000</v>
      </c>
      <c r="O49" s="86">
        <f t="shared" si="8"/>
        <v>2.2885572139303482E-2</v>
      </c>
      <c r="P49" s="80">
        <f>IF($C49="","",INDEX(calc_cylr_prog,44))</f>
        <v>0.68771244104002549</v>
      </c>
      <c r="Q49" s="87" t="str">
        <f>IF($C49="","",IF(INDEX(calc_netmode,44)=0,"—",INDEX(calc_proggap,44)))</f>
        <v>—</v>
      </c>
      <c r="AA49" s="88">
        <f t="shared" si="9"/>
        <v>10</v>
      </c>
      <c r="AB49" s="6">
        <f t="shared" si="10"/>
        <v>1.1712441530025446</v>
      </c>
      <c r="AC49" s="76">
        <f t="shared" si="11"/>
        <v>2.6804591434884104E-2</v>
      </c>
    </row>
    <row r="50" spans="1:29" x14ac:dyDescent="0.3">
      <c r="A50" s="79" t="str">
        <f>IF(INDEX(lr_key,45)="","",INDEX(lr_bu,45))</f>
        <v>SBA</v>
      </c>
      <c r="B50" s="79" t="str">
        <f>IF(INDEX(lr_key,45)="","",INDEX(lr_state,45))</f>
        <v>DE</v>
      </c>
      <c r="C50" s="23" t="str">
        <f>INDEX(lr_key,45)</f>
        <v>SBA|DE</v>
      </c>
      <c r="D50" s="80">
        <f>IF($C50="","",N(INDEX(lr_lrproj,45)))</f>
        <v>0.66</v>
      </c>
      <c r="E50" s="52" t="str">
        <f>IF($C50="","",INDEX(lr_basis,45)&amp;"")</f>
        <v>current</v>
      </c>
      <c r="F50" s="80">
        <f>IF($C50="","",INDEX(calc_lrcur,45))</f>
        <v>0.66</v>
      </c>
      <c r="G50" s="81">
        <f>IF($C50="","",INDEX(calc_cylr_p,45))</f>
        <v>0.66398950660881861</v>
      </c>
      <c r="H50" s="82">
        <f>IF($C50="","",(INDEX(calc_cylr_p,45)-INDEX(calc_lrcur,45))*100)</f>
        <v>0.39895066088185827</v>
      </c>
      <c r="I50" s="83">
        <f>IF($C50="","",INDEX(calc_arate_p,45))</f>
        <v>1</v>
      </c>
      <c r="J50" s="83">
        <f>IF($C50="","",INDEX(calc_amod_p,45))</f>
        <v>1.0060447069830585</v>
      </c>
      <c r="K50" s="84">
        <f>IF($C50="","",INDEX(calc_echg,45))</f>
        <v>0</v>
      </c>
      <c r="L50" s="84">
        <f>IF($C50="","",INDEX(calc_carry,45))</f>
        <v>0</v>
      </c>
      <c r="M50" s="80">
        <f>IF($C50="","",INDEX(calc_cylr_p1,45))</f>
        <v>0.6552086473769082</v>
      </c>
      <c r="N50" s="85">
        <f>IF($C50="","",N(INDEX(lr_ep,45)))</f>
        <v>76000</v>
      </c>
      <c r="O50" s="86">
        <f t="shared" si="8"/>
        <v>1.8905472636815919E-2</v>
      </c>
      <c r="P50" s="80">
        <f>IF($C50="","",INDEX(calc_cylr_prog,45))</f>
        <v>0.66398950660881861</v>
      </c>
      <c r="Q50" s="87" t="str">
        <f>IF($C50="","",IF(INDEX(calc_netmode,45)=0,"—",INDEX(calc_proggap,45)))</f>
        <v>—</v>
      </c>
      <c r="AA50" s="88">
        <f t="shared" si="9"/>
        <v>51</v>
      </c>
      <c r="AB50" s="6">
        <f t="shared" si="10"/>
        <v>0.39895071088185824</v>
      </c>
      <c r="AC50" s="76">
        <f t="shared" si="11"/>
        <v>7.5423508027415986E-3</v>
      </c>
    </row>
    <row r="51" spans="1:29" x14ac:dyDescent="0.3">
      <c r="A51" s="79" t="str">
        <f>IF(INDEX(lr_key,46)="","",INDEX(lr_bu,46))</f>
        <v>SBA</v>
      </c>
      <c r="B51" s="79" t="str">
        <f>IF(INDEX(lr_key,46)="","",INDEX(lr_state,46))</f>
        <v>FL</v>
      </c>
      <c r="C51" s="23" t="str">
        <f>INDEX(lr_key,46)</f>
        <v>SBA|FL</v>
      </c>
      <c r="D51" s="80">
        <f>IF($C51="","",N(INDEX(lr_lrproj,46)))</f>
        <v>0.68799999999999994</v>
      </c>
      <c r="E51" s="52" t="str">
        <f>IF($C51="","",INDEX(lr_basis,46)&amp;"")</f>
        <v>current</v>
      </c>
      <c r="F51" s="80">
        <f>IF($C51="","",INDEX(calc_lrcur,46))</f>
        <v>0.68799999999999994</v>
      </c>
      <c r="G51" s="81">
        <f>IF($C51="","",INDEX(calc_cylr_p,46))</f>
        <v>0.69405357611757834</v>
      </c>
      <c r="H51" s="82">
        <f>IF($C51="","",(INDEX(calc_cylr_p,46)-INDEX(calc_lrcur,46))*100)</f>
        <v>0.60535761175783964</v>
      </c>
      <c r="I51" s="83">
        <f>IF($C51="","",INDEX(calc_arate_p,46))</f>
        <v>0.99871081447151555</v>
      </c>
      <c r="J51" s="83">
        <f>IF($C51="","",INDEX(calc_amod_p,46))</f>
        <v>1.0101010101010099</v>
      </c>
      <c r="K51" s="84">
        <f>IF($C51="","",INDEX(calc_echg,46))</f>
        <v>1.2908496732024766E-3</v>
      </c>
      <c r="L51" s="84">
        <f>IF($C51="","",INDEX(calc_carry,46))</f>
        <v>3.5191501166794703E-2</v>
      </c>
      <c r="M51" s="80">
        <f>IF($C51="","",INDEX(calc_cylr_p1,46))</f>
        <v>0.6704591134445077</v>
      </c>
      <c r="N51" s="85">
        <f>IF($C51="","",N(INDEX(lr_ep,46)))</f>
        <v>60000</v>
      </c>
      <c r="O51" s="86">
        <f t="shared" si="8"/>
        <v>1.4925373134328358E-2</v>
      </c>
      <c r="P51" s="80">
        <f>IF($C51="","",INDEX(calc_cylr_prog,46))</f>
        <v>0.69405357611757834</v>
      </c>
      <c r="Q51" s="87" t="str">
        <f>IF($C51="","",IF(INDEX(calc_netmode,46)=0,"—",INDEX(calc_proggap,46)))</f>
        <v>—</v>
      </c>
      <c r="AA51" s="88">
        <f t="shared" si="9"/>
        <v>36</v>
      </c>
      <c r="AB51" s="6">
        <f t="shared" si="10"/>
        <v>0.60535766275783964</v>
      </c>
      <c r="AC51" s="76">
        <f t="shared" si="11"/>
        <v>9.0351882351916366E-3</v>
      </c>
    </row>
    <row r="52" spans="1:29" x14ac:dyDescent="0.3">
      <c r="A52" s="79" t="str">
        <f>IF(INDEX(lr_key,47)="","",INDEX(lr_bu,47))</f>
        <v>SBA</v>
      </c>
      <c r="B52" s="79" t="str">
        <f>IF(INDEX(lr_key,47)="","",INDEX(lr_state,47))</f>
        <v>GA</v>
      </c>
      <c r="C52" s="23" t="str">
        <f>INDEX(lr_key,47)</f>
        <v>SBA|GA</v>
      </c>
      <c r="D52" s="80">
        <f>IF($C52="","",N(INDEX(lr_lrproj,47)))</f>
        <v>0.67200000000000004</v>
      </c>
      <c r="E52" s="52" t="str">
        <f>IF($C52="","",INDEX(lr_basis,47)&amp;"")</f>
        <v>current</v>
      </c>
      <c r="F52" s="80">
        <f>IF($C52="","",INDEX(calc_lrcur,47))</f>
        <v>0.67200000000000004</v>
      </c>
      <c r="G52" s="81">
        <f>IF($C52="","",INDEX(calc_cylr_p,47))</f>
        <v>0.67674144753242449</v>
      </c>
      <c r="H52" s="82">
        <f>IF($C52="","",(INDEX(calc_cylr_p,47)-INDEX(calc_lrcur,47))*100)</f>
        <v>0.47414475324244476</v>
      </c>
      <c r="I52" s="83">
        <f>IF($C52="","",INDEX(calc_arate_p,47))</f>
        <v>1</v>
      </c>
      <c r="J52" s="83">
        <f>IF($C52="","",INDEX(calc_amod_p,47))</f>
        <v>1.0070557254946793</v>
      </c>
      <c r="K52" s="84">
        <f>IF($C52="","",INDEX(calc_echg,47))</f>
        <v>0</v>
      </c>
      <c r="L52" s="84">
        <f>IF($C52="","",INDEX(calc_carry,47))</f>
        <v>0</v>
      </c>
      <c r="M52" s="80">
        <f>IF($C52="","",INDEX(calc_cylr_p1,47))</f>
        <v>0.67000036077136926</v>
      </c>
      <c r="N52" s="85">
        <f>IF($C52="","",N(INDEX(lr_ep,47)))</f>
        <v>44000</v>
      </c>
      <c r="O52" s="86">
        <f t="shared" si="8"/>
        <v>1.0945273631840797E-2</v>
      </c>
      <c r="P52" s="80">
        <f>IF($C52="","",INDEX(calc_cylr_prog,47))</f>
        <v>0.67674144753242449</v>
      </c>
      <c r="Q52" s="87" t="str">
        <f>IF($C52="","",IF(INDEX(calc_netmode,47)=0,"—",INDEX(calc_proggap,47)))</f>
        <v>—</v>
      </c>
      <c r="AA52" s="88">
        <f t="shared" si="9"/>
        <v>45</v>
      </c>
      <c r="AB52" s="6">
        <f t="shared" si="10"/>
        <v>0.47414480524244473</v>
      </c>
      <c r="AC52" s="76">
        <f t="shared" si="11"/>
        <v>5.1896440653401918E-3</v>
      </c>
    </row>
    <row r="53" spans="1:29" x14ac:dyDescent="0.3">
      <c r="A53" s="79" t="str">
        <f>IF(INDEX(lr_key,48)="","",INDEX(lr_bu,48))</f>
        <v>SBA</v>
      </c>
      <c r="B53" s="79" t="str">
        <f>IF(INDEX(lr_key,48)="","",INDEX(lr_state,48))</f>
        <v>IA</v>
      </c>
      <c r="C53" s="23" t="str">
        <f>INDEX(lr_key,48)</f>
        <v>SBA|IA</v>
      </c>
      <c r="D53" s="80">
        <f>IF($C53="","",N(INDEX(lr_lrproj,48)))</f>
        <v>0.7</v>
      </c>
      <c r="E53" s="52" t="str">
        <f>IF($C53="","",INDEX(lr_basis,48)&amp;"")</f>
        <v>current</v>
      </c>
      <c r="F53" s="80">
        <f>IF($C53="","",INDEX(calc_lrcur,48))</f>
        <v>0.7</v>
      </c>
      <c r="G53" s="81">
        <f>IF($C53="","",INDEX(calc_cylr_p,48))</f>
        <v>0.70778414132451406</v>
      </c>
      <c r="H53" s="82">
        <f>IF($C53="","",(INDEX(calc_cylr_p,48)-INDEX(calc_lrcur,48))*100)</f>
        <v>0.77841413245141045</v>
      </c>
      <c r="I53" s="83">
        <f>IF($C53="","",INDEX(calc_arate_p,48))</f>
        <v>1</v>
      </c>
      <c r="J53" s="83">
        <f>IF($C53="","",INDEX(calc_amod_p,48))</f>
        <v>1.011120201892163</v>
      </c>
      <c r="K53" s="84">
        <f>IF($C53="","",INDEX(calc_echg,48))</f>
        <v>0</v>
      </c>
      <c r="L53" s="84">
        <f>IF($C53="","",INDEX(calc_carry,48))</f>
        <v>0</v>
      </c>
      <c r="M53" s="80">
        <f>IF($C53="","",INDEX(calc_cylr_p1,48))</f>
        <v>0.71017552141345364</v>
      </c>
      <c r="N53" s="85">
        <f>IF($C53="","",N(INDEX(lr_ep,48)))</f>
        <v>96000</v>
      </c>
      <c r="O53" s="86">
        <f t="shared" si="8"/>
        <v>2.3880597014925373E-2</v>
      </c>
      <c r="P53" s="80">
        <f>IF($C53="","",INDEX(calc_cylr_prog,48))</f>
        <v>0.70778414132451406</v>
      </c>
      <c r="Q53" s="87" t="str">
        <f>IF($C53="","",IF(INDEX(calc_netmode,48)=0,"—",INDEX(calc_proggap,48)))</f>
        <v>—</v>
      </c>
      <c r="AA53" s="88">
        <f t="shared" si="9"/>
        <v>24</v>
      </c>
      <c r="AB53" s="6">
        <f t="shared" si="10"/>
        <v>0.7784141854514105</v>
      </c>
      <c r="AC53" s="76">
        <f t="shared" si="11"/>
        <v>1.8588994207794876E-2</v>
      </c>
    </row>
    <row r="54" spans="1:29" x14ac:dyDescent="0.3">
      <c r="A54" s="79" t="str">
        <f>IF(INDEX(lr_key,49)="","",INDEX(lr_bu,49))</f>
        <v>SBA</v>
      </c>
      <c r="B54" s="79" t="str">
        <f>IF(INDEX(lr_key,49)="","",INDEX(lr_state,49))</f>
        <v>IL</v>
      </c>
      <c r="C54" s="23" t="str">
        <f>INDEX(lr_key,49)</f>
        <v>SBA|IL</v>
      </c>
      <c r="D54" s="80">
        <f>IF($C54="","",N(INDEX(lr_lrproj,49)))</f>
        <v>0.68400000000000005</v>
      </c>
      <c r="E54" s="52" t="str">
        <f>IF($C54="","",INDEX(lr_basis,49)&amp;"")</f>
        <v>current</v>
      </c>
      <c r="F54" s="80">
        <f>IF($C54="","",INDEX(calc_lrcur,49))</f>
        <v>0.68400000000000005</v>
      </c>
      <c r="G54" s="81">
        <f>IF($C54="","",INDEX(calc_cylr_p,49))</f>
        <v>0.65241305188373733</v>
      </c>
      <c r="H54" s="82">
        <f>IF($C54="","",(INDEX(calc_cylr_p,49)-INDEX(calc_lrcur,49))*100)</f>
        <v>-3.1586948116262725</v>
      </c>
      <c r="I54" s="83">
        <f>IF($C54="","",INDEX(calc_arate_p,49))</f>
        <v>0.94618568894145472</v>
      </c>
      <c r="J54" s="83">
        <f>IF($C54="","",INDEX(calc_amod_p,49))</f>
        <v>1.0080687780842468</v>
      </c>
      <c r="K54" s="84">
        <f>IF($C54="","",INDEX(calc_echg,49))</f>
        <v>5.6875000000000009E-2</v>
      </c>
      <c r="L54" s="84">
        <f>IF($C54="","",INDEX(calc_carry,49))</f>
        <v>7.6877587226491517E-3</v>
      </c>
      <c r="M54" s="80">
        <f>IF($C54="","",INDEX(calc_cylr_p1,49))</f>
        <v>0.64311764204981181</v>
      </c>
      <c r="N54" s="85">
        <f>IF($C54="","",N(INDEX(lr_ep,49)))</f>
        <v>80000</v>
      </c>
      <c r="O54" s="86">
        <f t="shared" si="8"/>
        <v>1.9900497512437811E-2</v>
      </c>
      <c r="P54" s="80">
        <f>IF($C54="","",INDEX(calc_cylr_prog,49))</f>
        <v>0.65241305188373733</v>
      </c>
      <c r="Q54" s="87" t="str">
        <f>IF($C54="","",IF(INDEX(calc_netmode,49)=0,"—",INDEX(calc_proggap,49)))</f>
        <v>—</v>
      </c>
      <c r="AA54" s="88">
        <f t="shared" si="9"/>
        <v>62</v>
      </c>
      <c r="AB54" s="6">
        <f t="shared" si="10"/>
        <v>-3.1586947576262725</v>
      </c>
      <c r="AC54" s="76">
        <f t="shared" si="11"/>
        <v>-6.2859598241318856E-2</v>
      </c>
    </row>
    <row r="55" spans="1:29" x14ac:dyDescent="0.3">
      <c r="A55" s="79" t="str">
        <f>IF(INDEX(lr_key,50)="","",INDEX(lr_bu,50))</f>
        <v>SBA</v>
      </c>
      <c r="B55" s="79" t="str">
        <f>IF(INDEX(lr_key,50)="","",INDEX(lr_state,50))</f>
        <v>IN</v>
      </c>
      <c r="C55" s="23" t="str">
        <f>INDEX(lr_key,50)</f>
        <v>SBA|IN</v>
      </c>
      <c r="D55" s="80">
        <f>IF($C55="","",N(INDEX(lr_lrproj,50)))</f>
        <v>0.66800000000000004</v>
      </c>
      <c r="E55" s="52" t="str">
        <f>IF($C55="","",INDEX(lr_basis,50)&amp;"")</f>
        <v>current</v>
      </c>
      <c r="F55" s="80">
        <f>IF($C55="","",INDEX(calc_lrcur,50))</f>
        <v>0.66800000000000004</v>
      </c>
      <c r="G55" s="81">
        <f>IF($C55="","",INDEX(calc_cylr_p,50))</f>
        <v>0.67539898504284501</v>
      </c>
      <c r="H55" s="82">
        <f>IF($C55="","",(INDEX(calc_cylr_p,50)-INDEX(calc_lrcur,50))*100)</f>
        <v>0.73989850428449744</v>
      </c>
      <c r="I55" s="83">
        <f>IF($C55="","",INDEX(calc_arate_p,50))</f>
        <v>0.99894764948874615</v>
      </c>
      <c r="J55" s="83">
        <f>IF($C55="","",INDEX(calc_amod_p,50))</f>
        <v>1.012141452489427</v>
      </c>
      <c r="K55" s="84">
        <f>IF($C55="","",INDEX(calc_echg,50))</f>
        <v>1.0534591194968357E-3</v>
      </c>
      <c r="L55" s="84">
        <f>IF($C55="","",INDEX(calc_carry,50))</f>
        <v>2.7667394411547752E-2</v>
      </c>
      <c r="M55" s="80">
        <f>IF($C55="","",INDEX(calc_cylr_p1,50))</f>
        <v>0.66167617985721527</v>
      </c>
      <c r="N55" s="85">
        <f>IF($C55="","",N(INDEX(lr_ep,50)))</f>
        <v>64000</v>
      </c>
      <c r="O55" s="86">
        <f t="shared" si="8"/>
        <v>1.5920398009950248E-2</v>
      </c>
      <c r="P55" s="80">
        <f>IF($C55="","",INDEX(calc_cylr_prog,50))</f>
        <v>0.67539898504284501</v>
      </c>
      <c r="Q55" s="87" t="str">
        <f>IF($C55="","",IF(INDEX(calc_netmode,50)=0,"—",INDEX(calc_proggap,50)))</f>
        <v>—</v>
      </c>
      <c r="AA55" s="88">
        <f t="shared" si="9"/>
        <v>28</v>
      </c>
      <c r="AB55" s="6">
        <f t="shared" si="10"/>
        <v>0.73989855928449744</v>
      </c>
      <c r="AC55" s="76">
        <f t="shared" si="11"/>
        <v>1.1779478675176078E-2</v>
      </c>
    </row>
    <row r="56" spans="1:29" x14ac:dyDescent="0.3">
      <c r="A56" s="79" t="str">
        <f>IF(INDEX(lr_key,51)="","",INDEX(lr_bu,51))</f>
        <v>SBA</v>
      </c>
      <c r="B56" s="79" t="str">
        <f>IF(INDEX(lr_key,51)="","",INDEX(lr_state,51))</f>
        <v>KY</v>
      </c>
      <c r="C56" s="23" t="str">
        <f>INDEX(lr_key,51)</f>
        <v>SBA|KY</v>
      </c>
      <c r="D56" s="80">
        <f>IF($C56="","",N(INDEX(lr_lrproj,51)))</f>
        <v>0.69599999999999995</v>
      </c>
      <c r="E56" s="52" t="str">
        <f>IF($C56="","",INDEX(lr_basis,51)&amp;"")</f>
        <v>current</v>
      </c>
      <c r="F56" s="80">
        <f>IF($C56="","",INDEX(calc_lrcur,51))</f>
        <v>0.69599999999999995</v>
      </c>
      <c r="G56" s="81">
        <f>IF($C56="","",INDEX(calc_cylr_p,51))</f>
        <v>0.65444889210961887</v>
      </c>
      <c r="H56" s="82">
        <f>IF($C56="","",(INDEX(calc_cylr_p,51)-INDEX(calc_lrcur,51))*100)</f>
        <v>-4.1551107890381083</v>
      </c>
      <c r="I56" s="83">
        <f>IF($C56="","",INDEX(calc_arate_p,51))</f>
        <v>0.94030013234140641</v>
      </c>
      <c r="J56" s="83">
        <f>IF($C56="","",INDEX(calc_amod_p,51))</f>
        <v>1</v>
      </c>
      <c r="K56" s="84">
        <f>IF($C56="","",INDEX(calc_echg,51))</f>
        <v>6.3490225732434125E-2</v>
      </c>
      <c r="L56" s="84">
        <f>IF($C56="","",INDEX(calc_carry,51))</f>
        <v>9.9999999999999867E-2</v>
      </c>
      <c r="M56" s="80">
        <f>IF($C56="","",INDEX(calc_cylr_p1,51))</f>
        <v>0.59495353828147168</v>
      </c>
      <c r="N56" s="85">
        <f>IF($C56="","",N(INDEX(lr_ep,51)))</f>
        <v>48000</v>
      </c>
      <c r="O56" s="86">
        <f t="shared" si="8"/>
        <v>1.1940298507462687E-2</v>
      </c>
      <c r="P56" s="80">
        <f>IF($C56="","",INDEX(calc_cylr_prog,51))</f>
        <v>0.6477494804186984</v>
      </c>
      <c r="Q56" s="87">
        <f>IF($C56="","",IF(INDEX(calc_netmode,51)=0,"—",INDEX(calc_proggap,51)))</f>
        <v>-0.66994116909204759</v>
      </c>
      <c r="AA56" s="88">
        <f t="shared" si="9"/>
        <v>63</v>
      </c>
      <c r="AB56" s="6">
        <f t="shared" si="10"/>
        <v>-4.1551107330381081</v>
      </c>
      <c r="AC56" s="76">
        <f t="shared" si="11"/>
        <v>-4.9613263152693828E-2</v>
      </c>
    </row>
    <row r="57" spans="1:29" x14ac:dyDescent="0.3">
      <c r="A57" s="79" t="str">
        <f>IF(INDEX(lr_key,52)="","",INDEX(lr_bu,52))</f>
        <v>SBA</v>
      </c>
      <c r="B57" s="79" t="str">
        <f>IF(INDEX(lr_key,52)="","",INDEX(lr_state,52))</f>
        <v>MD</v>
      </c>
      <c r="C57" s="23" t="str">
        <f>INDEX(lr_key,52)</f>
        <v>SBA|MD</v>
      </c>
      <c r="D57" s="80">
        <f>IF($C57="","",N(INDEX(lr_lrproj,52)))</f>
        <v>0.68</v>
      </c>
      <c r="E57" s="52" t="str">
        <f>IF($C57="","",INDEX(lr_basis,52)&amp;"")</f>
        <v>current</v>
      </c>
      <c r="F57" s="80">
        <f>IF($C57="","",INDEX(calc_lrcur,52))</f>
        <v>0.68</v>
      </c>
      <c r="G57" s="81">
        <f>IF($C57="","",INDEX(calc_cylr_p,52))</f>
        <v>0.68473364132006942</v>
      </c>
      <c r="H57" s="82">
        <f>IF($C57="","",(INDEX(calc_cylr_p,52)-INDEX(calc_lrcur,52))*100)</f>
        <v>0.47336413200693706</v>
      </c>
      <c r="I57" s="83">
        <f>IF($C57="","",INDEX(calc_arate_p,52))</f>
        <v>1.0009110233829333</v>
      </c>
      <c r="J57" s="83">
        <f>IF($C57="","",INDEX(calc_amod_p,52))</f>
        <v>1.0060447069830585</v>
      </c>
      <c r="K57" s="84">
        <f>IF($C57="","",INDEX(calc_echg,52))</f>
        <v>-9.1019417475712849E-4</v>
      </c>
      <c r="L57" s="84">
        <f>IF($C57="","",INDEX(calc_carry,52))</f>
        <v>9.1102338293347351E-4</v>
      </c>
      <c r="M57" s="80">
        <f>IF($C57="","",INDEX(calc_cylr_p1,52))</f>
        <v>0.67506345487317798</v>
      </c>
      <c r="N57" s="85">
        <f>IF($C57="","",N(INDEX(lr_ep,52)))</f>
        <v>32000</v>
      </c>
      <c r="O57" s="86">
        <f t="shared" si="8"/>
        <v>7.9601990049751239E-3</v>
      </c>
      <c r="P57" s="80">
        <f>IF($C57="","",INDEX(calc_cylr_prog,52))</f>
        <v>0.68473364132006942</v>
      </c>
      <c r="Q57" s="87" t="str">
        <f>IF($C57="","",IF(INDEX(calc_netmode,52)=0,"—",INDEX(calc_proggap,52)))</f>
        <v>—</v>
      </c>
      <c r="AA57" s="88">
        <f t="shared" si="9"/>
        <v>46</v>
      </c>
      <c r="AB57" s="6">
        <f t="shared" si="10"/>
        <v>0.47336418900693705</v>
      </c>
      <c r="AC57" s="76">
        <f t="shared" si="11"/>
        <v>3.7680726925925336E-3</v>
      </c>
    </row>
    <row r="58" spans="1:29" x14ac:dyDescent="0.3">
      <c r="A58" s="79" t="str">
        <f>IF(INDEX(lr_key,53)="","",INDEX(lr_bu,53))</f>
        <v>SBA</v>
      </c>
      <c r="B58" s="79" t="str">
        <f>IF(INDEX(lr_key,53)="","",INDEX(lr_state,53))</f>
        <v>MI</v>
      </c>
      <c r="C58" s="23" t="str">
        <f>INDEX(lr_key,53)</f>
        <v>SBA|MI</v>
      </c>
      <c r="D58" s="80">
        <f>IF($C58="","",N(INDEX(lr_lrproj,53)))</f>
        <v>0.66400000000000003</v>
      </c>
      <c r="E58" s="52" t="str">
        <f>IF($C58="","",INDEX(lr_basis,53)&amp;"")</f>
        <v>current</v>
      </c>
      <c r="F58" s="80">
        <f>IF($C58="","",INDEX(calc_lrcur,53))</f>
        <v>0.66400000000000003</v>
      </c>
      <c r="G58" s="81">
        <f>IF($C58="","",INDEX(calc_cylr_p,53))</f>
        <v>0.67214327428460185</v>
      </c>
      <c r="H58" s="82">
        <f>IF($C58="","",(INDEX(calc_cylr_p,53)-INDEX(calc_lrcur,53))*100)</f>
        <v>0.81432742846018202</v>
      </c>
      <c r="I58" s="83">
        <f>IF($C58="","",INDEX(calc_arate_p,53))</f>
        <v>1.0021413276231264</v>
      </c>
      <c r="J58" s="83">
        <f>IF($C58="","",INDEX(calc_amod_p,53))</f>
        <v>1.0101010101010099</v>
      </c>
      <c r="K58" s="84">
        <f>IF($C58="","",INDEX(calc_echg,53))</f>
        <v>-2.1367521367520181E-3</v>
      </c>
      <c r="L58" s="84">
        <f>IF($C58="","",INDEX(calc_carry,53))</f>
        <v>2.1413276231263545E-3</v>
      </c>
      <c r="M58" s="80">
        <f>IF($C58="","",INDEX(calc_cylr_p1,53))</f>
        <v>0.67070707070707047</v>
      </c>
      <c r="N58" s="85">
        <f>IF($C58="","",N(INDEX(lr_ep,53)))</f>
        <v>84000</v>
      </c>
      <c r="O58" s="86">
        <f t="shared" si="8"/>
        <v>2.0895522388059702E-2</v>
      </c>
      <c r="P58" s="80">
        <f>IF($C58="","",INDEX(calc_cylr_prog,53))</f>
        <v>0.67214327428460185</v>
      </c>
      <c r="Q58" s="87" t="str">
        <f>IF($C58="","",IF(INDEX(calc_netmode,53)=0,"—",INDEX(calc_proggap,53)))</f>
        <v>—</v>
      </c>
      <c r="AA58" s="88">
        <f t="shared" si="9"/>
        <v>23</v>
      </c>
      <c r="AB58" s="6">
        <f t="shared" si="10"/>
        <v>0.81432748646018205</v>
      </c>
      <c r="AC58" s="76">
        <f t="shared" si="11"/>
        <v>1.7015797012600819E-2</v>
      </c>
    </row>
    <row r="59" spans="1:29" x14ac:dyDescent="0.3">
      <c r="A59" s="79" t="str">
        <f>IF(INDEX(lr_key,54)="","",INDEX(lr_bu,54))</f>
        <v>SBA</v>
      </c>
      <c r="B59" s="79" t="str">
        <f>IF(INDEX(lr_key,54)="","",INDEX(lr_state,54))</f>
        <v>MN</v>
      </c>
      <c r="C59" s="23" t="str">
        <f>INDEX(lr_key,54)</f>
        <v>SBA|MN</v>
      </c>
      <c r="D59" s="80">
        <f>IF($C59="","",N(INDEX(lr_lrproj,54)))</f>
        <v>0.69199999999999995</v>
      </c>
      <c r="E59" s="52" t="str">
        <f>IF($C59="","",INDEX(lr_basis,54)&amp;"")</f>
        <v>current</v>
      </c>
      <c r="F59" s="80">
        <f>IF($C59="","",INDEX(calc_lrcur,54))</f>
        <v>0.69199999999999995</v>
      </c>
      <c r="G59" s="81">
        <f>IF($C59="","",INDEX(calc_cylr_p,54))</f>
        <v>0.68912985121613646</v>
      </c>
      <c r="H59" s="82">
        <f>IF($C59="","",(INDEX(calc_cylr_p,54)-INDEX(calc_lrcur,54))*100)</f>
        <v>-0.28701487838634909</v>
      </c>
      <c r="I59" s="83">
        <f>IF($C59="","",INDEX(calc_arate_p,54))</f>
        <v>0.9888751545117429</v>
      </c>
      <c r="J59" s="83">
        <f>IF($C59="","",INDEX(calc_amod_p,54))</f>
        <v>1.0070557254946793</v>
      </c>
      <c r="K59" s="84">
        <f>IF($C59="","",INDEX(calc_echg,54))</f>
        <v>1.1249999999999982E-2</v>
      </c>
      <c r="L59" s="84">
        <f>IF($C59="","",INDEX(calc_carry,54))</f>
        <v>2.7194066749073098E-2</v>
      </c>
      <c r="M59" s="80">
        <f>IF($C59="","",INDEX(calc_cylr_p1,54))</f>
        <v>0.66420298214111995</v>
      </c>
      <c r="N59" s="85">
        <f>IF($C59="","",N(INDEX(lr_ep,54)))</f>
        <v>68000</v>
      </c>
      <c r="O59" s="86">
        <f t="shared" si="8"/>
        <v>1.6915422885572139E-2</v>
      </c>
      <c r="P59" s="80">
        <f>IF($C59="","",INDEX(calc_cylr_prog,54))</f>
        <v>0.68912985121613646</v>
      </c>
      <c r="Q59" s="87" t="str">
        <f>IF($C59="","",IF(INDEX(calc_netmode,54)=0,"—",INDEX(calc_proggap,54)))</f>
        <v>—</v>
      </c>
      <c r="AA59" s="88">
        <f t="shared" si="9"/>
        <v>57</v>
      </c>
      <c r="AB59" s="6">
        <f t="shared" si="10"/>
        <v>-0.2870148193863491</v>
      </c>
      <c r="AC59" s="76">
        <f t="shared" si="11"/>
        <v>-4.8549780423561536E-3</v>
      </c>
    </row>
    <row r="60" spans="1:29" x14ac:dyDescent="0.3">
      <c r="A60" s="79" t="str">
        <f>IF(INDEX(lr_key,55)="","",INDEX(lr_bu,55))</f>
        <v>SBA</v>
      </c>
      <c r="B60" s="79" t="str">
        <f>IF(INDEX(lr_key,55)="","",INDEX(lr_state,55))</f>
        <v>NM</v>
      </c>
      <c r="C60" s="23" t="str">
        <f>INDEX(lr_key,55)</f>
        <v>SBA|NM</v>
      </c>
      <c r="D60" s="80">
        <f>IF($C60="","",N(INDEX(lr_lrproj,55)))</f>
        <v>0.67600000000000005</v>
      </c>
      <c r="E60" s="52" t="str">
        <f>IF($C60="","",INDEX(lr_basis,55)&amp;"")</f>
        <v>current</v>
      </c>
      <c r="F60" s="80">
        <f>IF($C60="","",INDEX(calc_lrcur,55))</f>
        <v>0.67600000000000005</v>
      </c>
      <c r="G60" s="81">
        <f>IF($C60="","",INDEX(calc_cylr_p,55))</f>
        <v>0.68838792576517649</v>
      </c>
      <c r="H60" s="82">
        <f>IF($C60="","",(INDEX(calc_cylr_p,55)-INDEX(calc_lrcur,55))*100)</f>
        <v>1.2387925765176444</v>
      </c>
      <c r="I60" s="83">
        <f>IF($C60="","",INDEX(calc_arate_p,55))</f>
        <v>1.0071258907363418</v>
      </c>
      <c r="J60" s="83">
        <f>IF($C60="","",INDEX(calc_amod_p,55))</f>
        <v>1.011120201892163</v>
      </c>
      <c r="K60" s="84">
        <f>IF($C60="","",INDEX(calc_echg,55))</f>
        <v>-7.0754716981130672E-3</v>
      </c>
      <c r="L60" s="84">
        <f>IF($C60="","",INDEX(calc_carry,55))</f>
        <v>7.1258907363420665E-3</v>
      </c>
      <c r="M60" s="80">
        <f>IF($C60="","",INDEX(calc_cylr_p1,55))</f>
        <v>0.68582664639356372</v>
      </c>
      <c r="N60" s="85">
        <f>IF($C60="","",N(INDEX(lr_ep,55)))</f>
        <v>52000</v>
      </c>
      <c r="O60" s="86">
        <f t="shared" si="8"/>
        <v>1.2935323383084577E-2</v>
      </c>
      <c r="P60" s="80">
        <f>IF($C60="","",INDEX(calc_cylr_prog,55))</f>
        <v>0.68838792576517649</v>
      </c>
      <c r="Q60" s="87" t="str">
        <f>IF($C60="","",IF(INDEX(calc_netmode,55)=0,"—",INDEX(calc_proggap,55)))</f>
        <v>—</v>
      </c>
      <c r="AA60" s="88">
        <f t="shared" si="9"/>
        <v>8</v>
      </c>
      <c r="AB60" s="6">
        <f t="shared" si="10"/>
        <v>1.2387926365176445</v>
      </c>
      <c r="AC60" s="76">
        <f t="shared" si="11"/>
        <v>1.6024182581820274E-2</v>
      </c>
    </row>
    <row r="61" spans="1:29" x14ac:dyDescent="0.3">
      <c r="A61" s="79" t="str">
        <f>IF(INDEX(lr_key,56)="","",INDEX(lr_bu,56))</f>
        <v>SBA</v>
      </c>
      <c r="B61" s="79" t="str">
        <f>IF(INDEX(lr_key,56)="","",INDEX(lr_state,56))</f>
        <v>NC</v>
      </c>
      <c r="C61" s="23" t="str">
        <f>INDEX(lr_key,56)</f>
        <v>SBA|NC</v>
      </c>
      <c r="D61" s="80">
        <f>IF($C61="","",N(INDEX(lr_lrproj,56)))</f>
        <v>0.66</v>
      </c>
      <c r="E61" s="52" t="str">
        <f>IF($C61="","",INDEX(lr_basis,56)&amp;"")</f>
        <v>current</v>
      </c>
      <c r="F61" s="80">
        <f>IF($C61="","",INDEX(calc_lrcur,56))</f>
        <v>0.66</v>
      </c>
      <c r="G61" s="81">
        <f>IF($C61="","",INDEX(calc_cylr_p,56))</f>
        <v>0.66755238610908785</v>
      </c>
      <c r="H61" s="82">
        <f>IF($C61="","",(INDEX(calc_cylr_p,56)-INDEX(calc_lrcur,56))*100)</f>
        <v>0.75523861090878164</v>
      </c>
      <c r="I61" s="83">
        <f>IF($C61="","",INDEX(calc_arate_p,56))</f>
        <v>1.0033472231709817</v>
      </c>
      <c r="J61" s="83">
        <f>IF($C61="","",INDEX(calc_amod_p,56))</f>
        <v>1.0080687780842468</v>
      </c>
      <c r="K61" s="84">
        <f>IF($C61="","",INDEX(calc_echg,56))</f>
        <v>-3.3360566448802365E-3</v>
      </c>
      <c r="L61" s="84">
        <f>IF($C61="","",INDEX(calc_carry,56))</f>
        <v>3.3472231709814615E-3</v>
      </c>
      <c r="M61" s="80">
        <f>IF($C61="","",INDEX(calc_cylr_p1,56))</f>
        <v>0.66088799794855668</v>
      </c>
      <c r="N61" s="85">
        <f>IF($C61="","",N(INDEX(lr_ep,56)))</f>
        <v>36000</v>
      </c>
      <c r="O61" s="86">
        <f t="shared" si="8"/>
        <v>8.9552238805970154E-3</v>
      </c>
      <c r="P61" s="80">
        <f>IF($C61="","",INDEX(calc_cylr_prog,56))</f>
        <v>0.66755238610908785</v>
      </c>
      <c r="Q61" s="87" t="str">
        <f>IF($C61="","",IF(INDEX(calc_netmode,56)=0,"—",INDEX(calc_proggap,56)))</f>
        <v>—</v>
      </c>
      <c r="AA61" s="88">
        <f t="shared" si="9"/>
        <v>27</v>
      </c>
      <c r="AB61" s="6">
        <f t="shared" si="10"/>
        <v>0.75523867190878169</v>
      </c>
      <c r="AC61" s="76">
        <f t="shared" si="11"/>
        <v>6.763330843959239E-3</v>
      </c>
    </row>
    <row r="62" spans="1:29" x14ac:dyDescent="0.3">
      <c r="A62" s="79" t="str">
        <f>IF(INDEX(lr_key,57)="","",INDEX(lr_bu,57))</f>
        <v>SBA</v>
      </c>
      <c r="B62" s="79" t="str">
        <f>IF(INDEX(lr_key,57)="","",INDEX(lr_state,57))</f>
        <v>OH</v>
      </c>
      <c r="C62" s="23" t="str">
        <f>INDEX(lr_key,57)</f>
        <v>SBA|OH</v>
      </c>
      <c r="D62" s="80">
        <f>IF($C62="","",N(INDEX(lr_lrproj,57)))</f>
        <v>0.68799999999999994</v>
      </c>
      <c r="E62" s="52" t="str">
        <f>IF($C62="","",INDEX(lr_basis,57)&amp;"")</f>
        <v>current</v>
      </c>
      <c r="F62" s="80">
        <f>IF($C62="","",INDEX(calc_lrcur,57))</f>
        <v>0.68799999999999994</v>
      </c>
      <c r="G62" s="81">
        <f>IF($C62="","",INDEX(calc_cylr_p,57))</f>
        <v>0.6963533193127257</v>
      </c>
      <c r="H62" s="82">
        <f>IF($C62="","",(INDEX(calc_cylr_p,57)-INDEX(calc_lrcur,57))*100)</f>
        <v>0.83533193127257599</v>
      </c>
      <c r="I62" s="83">
        <f>IF($C62="","",INDEX(calc_arate_p,57))</f>
        <v>1</v>
      </c>
      <c r="J62" s="83">
        <f>IF($C62="","",INDEX(calc_amod_p,57))</f>
        <v>1.012141452489427</v>
      </c>
      <c r="K62" s="84">
        <f>IF($C62="","",INDEX(calc_echg,57))</f>
        <v>0</v>
      </c>
      <c r="L62" s="84">
        <f>IF($C62="","",INDEX(calc_carry,57))</f>
        <v>0</v>
      </c>
      <c r="M62" s="80">
        <f>IF($C62="","",INDEX(calc_cylr_p1,57))</f>
        <v>0.70107959068763448</v>
      </c>
      <c r="N62" s="85">
        <f>IF($C62="","",N(INDEX(lr_ep,57)))</f>
        <v>88000</v>
      </c>
      <c r="O62" s="86">
        <f t="shared" si="8"/>
        <v>2.1890547263681594E-2</v>
      </c>
      <c r="P62" s="80">
        <f>IF($C62="","",INDEX(calc_cylr_prog,57))</f>
        <v>0.6963533193127257</v>
      </c>
      <c r="Q62" s="87" t="str">
        <f>IF($C62="","",IF(INDEX(calc_netmode,57)=0,"—",INDEX(calc_proggap,57)))</f>
        <v>—</v>
      </c>
      <c r="AA62" s="88">
        <f t="shared" si="9"/>
        <v>19</v>
      </c>
      <c r="AB62" s="6">
        <f t="shared" si="10"/>
        <v>0.83533199327257601</v>
      </c>
      <c r="AC62" s="76">
        <f t="shared" si="11"/>
        <v>1.8285873122384749E-2</v>
      </c>
    </row>
    <row r="63" spans="1:29" x14ac:dyDescent="0.3">
      <c r="A63" s="79" t="str">
        <f>IF(INDEX(lr_key,58)="","",INDEX(lr_bu,58))</f>
        <v>SBA</v>
      </c>
      <c r="B63" s="79" t="str">
        <f>IF(INDEX(lr_key,58)="","",INDEX(lr_state,58))</f>
        <v>PA</v>
      </c>
      <c r="C63" s="23" t="str">
        <f>INDEX(lr_key,58)</f>
        <v>SBA|PA</v>
      </c>
      <c r="D63" s="80">
        <f>IF($C63="","",N(INDEX(lr_lrproj,58)))</f>
        <v>0.67200000000000004</v>
      </c>
      <c r="E63" s="52" t="str">
        <f>IF($C63="","",INDEX(lr_basis,58)&amp;"")</f>
        <v>current</v>
      </c>
      <c r="F63" s="80">
        <f>IF($C63="","",INDEX(calc_lrcur,58))</f>
        <v>0.67200000000000004</v>
      </c>
      <c r="G63" s="81">
        <f>IF($C63="","",INDEX(calc_cylr_p,58))</f>
        <v>0.68312195035430145</v>
      </c>
      <c r="H63" s="82">
        <f>IF($C63="","",(INDEX(calc_cylr_p,58)-INDEX(calc_lrcur,58))*100)</f>
        <v>1.1121950354301413</v>
      </c>
      <c r="I63" s="83">
        <f>IF($C63="","",INDEX(calc_arate_p,58))</f>
        <v>1.0073994349522402</v>
      </c>
      <c r="J63" s="83">
        <f>IF($C63="","",INDEX(calc_amod_p,58))</f>
        <v>1.0090838708965142</v>
      </c>
      <c r="K63" s="84">
        <f>IF($C63="","",INDEX(calc_echg,58))</f>
        <v>-7.3450854700854995E-3</v>
      </c>
      <c r="L63" s="84">
        <f>IF($C63="","",INDEX(calc_carry,58))</f>
        <v>4.0839499529127243E-2</v>
      </c>
      <c r="M63" s="80">
        <f>IF($C63="","",INDEX(calc_cylr_p1,58))</f>
        <v>0.65412005373465265</v>
      </c>
      <c r="N63" s="85">
        <f>IF($C63="","",N(INDEX(lr_ep,58)))</f>
        <v>72000</v>
      </c>
      <c r="O63" s="86">
        <f t="shared" si="8"/>
        <v>1.7910447761194031E-2</v>
      </c>
      <c r="P63" s="80">
        <f>IF($C63="","",INDEX(calc_cylr_prog,58))</f>
        <v>0.68312195035430145</v>
      </c>
      <c r="Q63" s="87" t="str">
        <f>IF($C63="","",IF(INDEX(calc_netmode,58)=0,"—",INDEX(calc_proggap,58)))</f>
        <v>—</v>
      </c>
      <c r="AA63" s="88">
        <f t="shared" si="9"/>
        <v>12</v>
      </c>
      <c r="AB63" s="6">
        <f t="shared" si="10"/>
        <v>1.1121950984301414</v>
      </c>
      <c r="AC63" s="76">
        <f t="shared" si="11"/>
        <v>1.9919911082330891E-2</v>
      </c>
    </row>
    <row r="64" spans="1:29" x14ac:dyDescent="0.3">
      <c r="A64" s="79" t="str">
        <f>IF(INDEX(lr_key,59)="","",INDEX(lr_bu,59))</f>
        <v>SBA</v>
      </c>
      <c r="B64" s="79" t="str">
        <f>IF(INDEX(lr_key,59)="","",INDEX(lr_state,59))</f>
        <v>SC</v>
      </c>
      <c r="C64" s="23" t="str">
        <f>INDEX(lr_key,59)</f>
        <v>SBA|SC</v>
      </c>
      <c r="D64" s="80">
        <f>IF($C64="","",N(INDEX(lr_lrproj,59)))</f>
        <v>0.7</v>
      </c>
      <c r="E64" s="52" t="str">
        <f>IF($C64="","",INDEX(lr_basis,59)&amp;"")</f>
        <v>current</v>
      </c>
      <c r="F64" s="80">
        <f>IF($C64="","",INDEX(calc_lrcur,59))</f>
        <v>0.7</v>
      </c>
      <c r="G64" s="81">
        <f>IF($C64="","",INDEX(calc_cylr_p,59))</f>
        <v>0.7160710947349489</v>
      </c>
      <c r="H64" s="82">
        <f>IF($C64="","",(INDEX(calc_cylr_p,59)-INDEX(calc_lrcur,59))*100)</f>
        <v>1.6071094734948943</v>
      </c>
      <c r="I64" s="83">
        <f>IF($C64="","",INDEX(calc_arate_p,59))</f>
        <v>1.0168123739071957</v>
      </c>
      <c r="J64" s="83">
        <f>IF($C64="","",INDEX(calc_amod_p,59))</f>
        <v>1.0060447069830585</v>
      </c>
      <c r="K64" s="84">
        <f>IF($C64="","",INDEX(calc_echg,59))</f>
        <v>-1.6534391534391624E-2</v>
      </c>
      <c r="L64" s="84">
        <f>IF($C64="","",INDEX(calc_carry,59))</f>
        <v>1.6812373907195699E-2</v>
      </c>
      <c r="M64" s="80">
        <f>IF($C64="","",INDEX(calc_cylr_p1,59))</f>
        <v>0.69491826236944798</v>
      </c>
      <c r="N64" s="85">
        <f>IF($C64="","",N(INDEX(lr_ep,59)))</f>
        <v>56000</v>
      </c>
      <c r="O64" s="86">
        <f t="shared" si="8"/>
        <v>1.3930348258706468E-2</v>
      </c>
      <c r="P64" s="80">
        <f>IF($C64="","",INDEX(calc_cylr_prog,59))</f>
        <v>0.7160710947349489</v>
      </c>
      <c r="Q64" s="87" t="str">
        <f>IF($C64="","",IF(INDEX(calc_netmode,59)=0,"—",INDEX(calc_proggap,59)))</f>
        <v>—</v>
      </c>
      <c r="AA64" s="88">
        <f t="shared" si="9"/>
        <v>3</v>
      </c>
      <c r="AB64" s="6">
        <f t="shared" si="10"/>
        <v>1.6071095374948943</v>
      </c>
      <c r="AC64" s="76">
        <f t="shared" si="11"/>
        <v>2.238759465565027E-2</v>
      </c>
    </row>
    <row r="65" spans="1:29" x14ac:dyDescent="0.3">
      <c r="A65" s="79" t="str">
        <f>IF(INDEX(lr_key,60)="","",INDEX(lr_bu,60))</f>
        <v>SBA</v>
      </c>
      <c r="B65" s="79" t="str">
        <f>IF(INDEX(lr_key,60)="","",INDEX(lr_state,60))</f>
        <v>TN</v>
      </c>
      <c r="C65" s="23" t="str">
        <f>INDEX(lr_key,60)</f>
        <v>SBA|TN</v>
      </c>
      <c r="D65" s="80">
        <f>IF($C65="","",N(INDEX(lr_lrproj,60)))</f>
        <v>0.68400000000000005</v>
      </c>
      <c r="E65" s="52" t="str">
        <f>IF($C65="","",INDEX(lr_basis,60)&amp;"")</f>
        <v>current</v>
      </c>
      <c r="F65" s="80">
        <f>IF($C65="","",INDEX(calc_lrcur,60))</f>
        <v>0.68400000000000005</v>
      </c>
      <c r="G65" s="81">
        <f>IF($C65="","",INDEX(calc_cylr_p,60))</f>
        <v>0.69090909090909081</v>
      </c>
      <c r="H65" s="82">
        <f>IF($C65="","",(INDEX(calc_cylr_p,60)-INDEX(calc_lrcur,60))*100)</f>
        <v>0.69090909090907537</v>
      </c>
      <c r="I65" s="83">
        <f>IF($C65="","",INDEX(calc_arate_p,60))</f>
        <v>1</v>
      </c>
      <c r="J65" s="83">
        <f>IF($C65="","",INDEX(calc_amod_p,60))</f>
        <v>1.0101010101010099</v>
      </c>
      <c r="K65" s="84">
        <f>IF($C65="","",INDEX(calc_echg,60))</f>
        <v>0</v>
      </c>
      <c r="L65" s="84">
        <f>IF($C65="","",INDEX(calc_carry,60))</f>
        <v>0</v>
      </c>
      <c r="M65" s="80">
        <f>IF($C65="","",INDEX(calc_cylr_p1,60))</f>
        <v>0.69090909090909081</v>
      </c>
      <c r="N65" s="85">
        <f>IF($C65="","",N(INDEX(lr_ep,60)))</f>
        <v>40000</v>
      </c>
      <c r="O65" s="86">
        <f t="shared" si="8"/>
        <v>9.9502487562189053E-3</v>
      </c>
      <c r="P65" s="80">
        <f>IF($C65="","",INDEX(calc_cylr_prog,60))</f>
        <v>0.69090909090909081</v>
      </c>
      <c r="Q65" s="87" t="str">
        <f>IF($C65="","",IF(INDEX(calc_netmode,60)=0,"—",INDEX(calc_proggap,60)))</f>
        <v>—</v>
      </c>
      <c r="AA65" s="88">
        <f t="shared" si="9"/>
        <v>30</v>
      </c>
      <c r="AB65" s="6">
        <f t="shared" si="10"/>
        <v>0.69090915590907542</v>
      </c>
      <c r="AC65" s="76">
        <f t="shared" si="11"/>
        <v>6.8747173224783615E-3</v>
      </c>
    </row>
    <row r="66" spans="1:29" x14ac:dyDescent="0.3">
      <c r="A66" s="79" t="str">
        <f>IF(INDEX(lr_key,61)="","",INDEX(lr_bu,61))</f>
        <v>SBA</v>
      </c>
      <c r="B66" s="79" t="str">
        <f>IF(INDEX(lr_key,61)="","",INDEX(lr_state,61))</f>
        <v>VA</v>
      </c>
      <c r="C66" s="23" t="str">
        <f>INDEX(lr_key,61)</f>
        <v>SBA|VA</v>
      </c>
      <c r="D66" s="80">
        <f>IF($C66="","",N(INDEX(lr_lrproj,61)))</f>
        <v>0.66800000000000004</v>
      </c>
      <c r="E66" s="52" t="str">
        <f>IF($C66="","",INDEX(lr_basis,61)&amp;"")</f>
        <v>current</v>
      </c>
      <c r="F66" s="80">
        <f>IF($C66="","",INDEX(calc_lrcur,61))</f>
        <v>0.66800000000000004</v>
      </c>
      <c r="G66" s="81">
        <f>IF($C66="","",INDEX(calc_cylr_p,61))</f>
        <v>0.67271322463044592</v>
      </c>
      <c r="H66" s="82">
        <f>IF($C66="","",(INDEX(calc_cylr_p,61)-INDEX(calc_lrcur,61))*100)</f>
        <v>0.4713224630445878</v>
      </c>
      <c r="I66" s="83">
        <f>IF($C66="","",INDEX(calc_arate_p,61))</f>
        <v>1.0000000000000002</v>
      </c>
      <c r="J66" s="83">
        <f>IF($C66="","",INDEX(calc_amod_p,61))</f>
        <v>1.0070557254946793</v>
      </c>
      <c r="K66" s="84">
        <f>IF($C66="","",INDEX(calc_echg,61))</f>
        <v>0</v>
      </c>
      <c r="L66" s="84">
        <f>IF($C66="","",INDEX(calc_carry,61))</f>
        <v>0</v>
      </c>
      <c r="M66" s="80">
        <f>IF($C66="","",INDEX(calc_cylr_p1,61))</f>
        <v>0.66601226338582542</v>
      </c>
      <c r="N66" s="85">
        <f>IF($C66="","",N(INDEX(lr_ep,61)))</f>
        <v>92000</v>
      </c>
      <c r="O66" s="86">
        <f t="shared" si="8"/>
        <v>2.2885572139303482E-2</v>
      </c>
      <c r="P66" s="80">
        <f>IF($C66="","",INDEX(calc_cylr_prog,61))</f>
        <v>0.67271322463044592</v>
      </c>
      <c r="Q66" s="87" t="str">
        <f>IF($C66="","",IF(INDEX(calc_netmode,61)=0,"—",INDEX(calc_proggap,61)))</f>
        <v>—</v>
      </c>
      <c r="AA66" s="88">
        <f t="shared" si="9"/>
        <v>47</v>
      </c>
      <c r="AB66" s="6">
        <f t="shared" si="10"/>
        <v>0.47132252904458782</v>
      </c>
      <c r="AC66" s="76">
        <f t="shared" si="11"/>
        <v>1.0786484228881113E-2</v>
      </c>
    </row>
    <row r="67" spans="1:29" x14ac:dyDescent="0.3">
      <c r="A67" s="79" t="str">
        <f>IF(INDEX(lr_key,62)="","",INDEX(lr_bu,62))</f>
        <v>SBA</v>
      </c>
      <c r="B67" s="79" t="str">
        <f>IF(INDEX(lr_key,62)="","",INDEX(lr_state,62))</f>
        <v>WV</v>
      </c>
      <c r="C67" s="23" t="str">
        <f>INDEX(lr_key,62)</f>
        <v>SBA|WV</v>
      </c>
      <c r="D67" s="80">
        <f>IF($C67="","",N(INDEX(lr_lrproj,62)))</f>
        <v>0.69599999999999995</v>
      </c>
      <c r="E67" s="52" t="str">
        <f>IF($C67="","",INDEX(lr_basis,62)&amp;"")</f>
        <v>current</v>
      </c>
      <c r="F67" s="80">
        <f>IF($C67="","",INDEX(calc_lrcur,62))</f>
        <v>0.69599999999999995</v>
      </c>
      <c r="G67" s="81">
        <f>IF($C67="","",INDEX(calc_cylr_p,62))</f>
        <v>0.69217723921251628</v>
      </c>
      <c r="H67" s="82">
        <f>IF($C67="","",(INDEX(calc_cylr_p,62)-INDEX(calc_lrcur,62))*100)</f>
        <v>-0.382276078748367</v>
      </c>
      <c r="I67" s="83">
        <f>IF($C67="","",INDEX(calc_arate_p,62))</f>
        <v>0.98357003029225942</v>
      </c>
      <c r="J67" s="83">
        <f>IF($C67="","",INDEX(calc_amod_p,62))</f>
        <v>1.011120201892163</v>
      </c>
      <c r="K67" s="84">
        <f>IF($C67="","",INDEX(calc_echg,62))</f>
        <v>1.6704422869471269E-2</v>
      </c>
      <c r="L67" s="84">
        <f>IF($C67="","",INDEX(calc_carry,62))</f>
        <v>2.2776224555298263E-2</v>
      </c>
      <c r="M67" s="80">
        <f>IF($C67="","",INDEX(calc_cylr_p1,62))</f>
        <v>0.67904970003379161</v>
      </c>
      <c r="N67" s="85">
        <f>IF($C67="","",N(INDEX(lr_ep,62)))</f>
        <v>76000</v>
      </c>
      <c r="O67" s="86">
        <f t="shared" si="8"/>
        <v>1.8905472636815919E-2</v>
      </c>
      <c r="P67" s="80">
        <f>IF($C67="","",INDEX(calc_cylr_prog,62))</f>
        <v>0.69217723921251628</v>
      </c>
      <c r="Q67" s="87" t="str">
        <f>IF($C67="","",IF(INDEX(calc_netmode,62)=0,"—",INDEX(calc_proggap,62)))</f>
        <v>—</v>
      </c>
      <c r="AA67" s="88">
        <f t="shared" si="9"/>
        <v>58</v>
      </c>
      <c r="AB67" s="6">
        <f t="shared" si="10"/>
        <v>-0.38227601174836701</v>
      </c>
      <c r="AC67" s="76">
        <f t="shared" si="11"/>
        <v>-7.22710994648654E-3</v>
      </c>
    </row>
    <row r="68" spans="1:29" x14ac:dyDescent="0.3">
      <c r="A68" s="79" t="str">
        <f>IF(INDEX(lr_key,63)="","",INDEX(lr_bu,63))</f>
        <v>SBA</v>
      </c>
      <c r="B68" s="79" t="str">
        <f>IF(INDEX(lr_key,63)="","",INDEX(lr_state,63))</f>
        <v>WI</v>
      </c>
      <c r="C68" s="23" t="str">
        <f>INDEX(lr_key,63)</f>
        <v>SBA|WI</v>
      </c>
      <c r="D68" s="80">
        <f>IF($C68="","",N(INDEX(lr_lrproj,63)))</f>
        <v>0.68</v>
      </c>
      <c r="E68" s="52" t="str">
        <f>IF($C68="","",INDEX(lr_basis,63)&amp;"")</f>
        <v>current</v>
      </c>
      <c r="F68" s="80">
        <f>IF($C68="","",INDEX(calc_lrcur,63))</f>
        <v>0.68</v>
      </c>
      <c r="G68" s="81">
        <f>IF($C68="","",INDEX(calc_cylr_p,63))</f>
        <v>0.6854867690972879</v>
      </c>
      <c r="H68" s="82">
        <f>IF($C68="","",(INDEX(calc_cylr_p,63)-INDEX(calc_lrcur,63))*100)</f>
        <v>0.54867690972878469</v>
      </c>
      <c r="I68" s="83">
        <f>IF($C68="","",INDEX(calc_arate_p,63))</f>
        <v>1</v>
      </c>
      <c r="J68" s="83">
        <f>IF($C68="","",INDEX(calc_amod_p,63))</f>
        <v>1.0080687780842468</v>
      </c>
      <c r="K68" s="84">
        <f>IF($C68="","",INDEX(calc_echg,63))</f>
        <v>0</v>
      </c>
      <c r="L68" s="84">
        <f>IF($C68="","",INDEX(calc_carry,63))</f>
        <v>0</v>
      </c>
      <c r="M68" s="80">
        <f>IF($C68="","",INDEX(calc_cylr_p1,63))</f>
        <v>0.68091490697730073</v>
      </c>
      <c r="N68" s="85">
        <f>IF($C68="","",N(INDEX(lr_ep,63)))</f>
        <v>60000</v>
      </c>
      <c r="O68" s="86">
        <f t="shared" si="8"/>
        <v>1.4925373134328358E-2</v>
      </c>
      <c r="P68" s="80">
        <f>IF($C68="","",INDEX(calc_cylr_prog,63))</f>
        <v>0.6854867690972879</v>
      </c>
      <c r="Q68" s="87" t="str">
        <f>IF($C68="","",IF(INDEX(calc_netmode,63)=0,"—",INDEX(calc_proggap,63)))</f>
        <v>—</v>
      </c>
      <c r="AA68" s="88">
        <f t="shared" si="9"/>
        <v>41</v>
      </c>
      <c r="AB68" s="6">
        <f t="shared" si="10"/>
        <v>0.54867697772878465</v>
      </c>
      <c r="AC68" s="76">
        <f t="shared" si="11"/>
        <v>8.1892076078923081E-3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0.68121154228855718</v>
      </c>
      <c r="G76" s="92">
        <f>IF(SUM($N$6:$N$74)=0,"n/a",SUMPRODUCT(G$6:G$74,$N$6:$N$74)/SUM($N$6:$N$74))</f>
        <v>0.68664546901652468</v>
      </c>
      <c r="H76" s="94">
        <f>IF(ISNUMBER($G$76),($G$76-$F$76)*100,"")</f>
        <v>0.54339267279674974</v>
      </c>
      <c r="K76" s="95">
        <f>IF(SUM($N$6:$N$74)=0,"n/a",SUMPRODUCT(K$6:K$74,$N$6:$N$74)/SUM($N$6:$N$74))</f>
        <v>1.1484905118881361E-3</v>
      </c>
      <c r="L76" s="95">
        <f>IF(SUM($N$6:$N$74)=0,"n/a",SUMPRODUCT(L$6:L$74,$N$6:$N$74)/SUM($N$6:$N$74))</f>
        <v>1.2597909740131048E-2</v>
      </c>
      <c r="M76" s="93">
        <f>IF(SUM($N$6:$N$74)=0,"n/a",SUMPRODUCT(M$6:M$74,$N$6:$N$74)/SUM($N$6:$N$74))</f>
        <v>0.67608245841681602</v>
      </c>
      <c r="N76" s="96">
        <f>SUM($N$6:$N$74)</f>
        <v>4020000</v>
      </c>
    </row>
    <row r="77" spans="1:29" x14ac:dyDescent="0.3">
      <c r="B77" s="18" t="s">
        <v>278</v>
      </c>
      <c r="F77" s="46">
        <f>IF(SUMPRODUCT(($C$6:$C$74&lt;&gt;"")*1)=0,"n/a",SUM(F$6:F$74)/SUMPRODUCT(($C$6:$C$74&lt;&gt;"")*1))</f>
        <v>0.68080634920634908</v>
      </c>
      <c r="G77" s="46">
        <f>IF(SUMPRODUCT(($C$6:$C$74&lt;&gt;"")*1)=0,"n/a",SUM(G$6:G$74)/SUMPRODUCT(($C$6:$C$74&lt;&gt;"")*1))</f>
        <v>0.6859810179487168</v>
      </c>
      <c r="K77" s="97">
        <f>IF(SUMPRODUCT(($C$6:$C$74&lt;&gt;"")*1)=0,"n/a",SUM(K$6:K$74)/SUMPRODUCT(($C$6:$C$74&lt;&gt;"")*1))</f>
        <v>1.1970025606941788E-3</v>
      </c>
      <c r="L77" s="97">
        <f>IF(SUMPRODUCT(($C$6:$C$74&lt;&gt;"")*1)=0,"n/a",SUM(L$6:L$74)/SUMPRODUCT(($C$6:$C$74&lt;&gt;"")*1))</f>
        <v>1.344382127678025E-2</v>
      </c>
      <c r="M77" s="46">
        <f>IF(SUMPRODUCT(($C$6:$C$74&lt;&gt;"")*1)=0,"n/a",SUM(M$6:M$74)/SUMPRODUCT(($C$6:$C$74&lt;&gt;"")*1))</f>
        <v>0.6747694014281308</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108000</v>
      </c>
      <c r="C8" s="105">
        <f t="shared" ref="C8:C31" si="1">IF($AL8=0,"",IF($B8&gt;0,SUMIFS(calc_w_mind,calc_state,$A8,calc_bu,$AK$4)/$B8,SUMIFS(lr_mind,lr_state,$A8,lr_bu,$AK$4)/$AL8))</f>
        <v>0.9555555555555556</v>
      </c>
      <c r="D8" s="106">
        <f t="shared" ref="D8:D31" si="2">IF($AL8=0,"",IF($B8&gt;0,SUMIFS(calc_w_m0,calc_state,$A8,calc_bu,$AK$4)/$B8,SUMIFS(lr_m0,lr_state,$A8,lr_bu,$AK$4)/$AL8))</f>
        <v>0.95148148148148148</v>
      </c>
      <c r="E8" s="106">
        <f t="shared" ref="E8:E31" si="3">IF($AL8=0,"",IF($B8&gt;0,SUMIFS(calc_w_m1,calc_state,$A8,calc_bu,$AK$4)/$B8,SUMIFS(lr_m1,lr_state,$A8,lr_bu,$AK$4)/$AL8))</f>
        <v>0.95333333333333337</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1.0585433333333336</v>
      </c>
      <c r="V8" s="106">
        <f t="shared" ref="V8:V31" si="20">IF($AL8=0,"",IF($B8&gt;0,SUMIFS(calc_w_mbar,calc_state,$A8,calc_bu,$AK$4)/$B8,SUMIFS(calc_mbar_p,calc_state,$A8,calc_bu,$AK$4)/$AL8))</f>
        <v>0.95185107518167311</v>
      </c>
      <c r="W8" s="114">
        <f t="shared" ref="W8:W31" si="21">IF($AL8=0,"",IF($B8&gt;0,SUMIFS(calc_w_lrcur,calc_state,$A8,calc_bu,$AK$4)/$B8,SUMIFS(calc_lrcur,calc_state,$A8,calc_bu,$AK$4)/$AL8))</f>
        <v>0.67422222222222217</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1.0030739140128324</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0.6745081291661138</v>
      </c>
      <c r="AB8" s="116">
        <f t="shared" ref="AB8:AB31" si="26">IF($AL8&lt;=1,"",($AA8-$W8*$X8*$Y8*$Z8)*100)</f>
        <v>3.1897189611718169E-2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0.97353349585086768</v>
      </c>
      <c r="AE8" s="113">
        <f t="shared" ref="AE8:AE31" si="29">IF($AL8=0,"",IF($B8&gt;0,SUMIFS(calc_w_amod1,calc_state,$A8,calc_bu,$AK$4)/$B8,SUMIFS(calc_amod_p1,calc_state,$A8,calc_bu,$AK$4)/$AL8))</f>
        <v>1.0013489311196204</v>
      </c>
      <c r="AF8" s="115">
        <f t="shared" ref="AF8:AF31" si="30">IF($AL8=0,"",IF($AL8=1,$W8*(1+$AC8)*$AD8*$AE8*$Z8,IF($B8&gt;0,SUMIFS(calc_w_cylr1,calc_state,$A8,calc_bu,$AK$4)/$B8,SUMIFS(calc_cylr_p1,calc_state,$A8,calc_bu,$AK$4)/$AL8)))</f>
        <v>0.65822109144240837</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264000</v>
      </c>
      <c r="C9" s="124">
        <f t="shared" si="1"/>
        <v>1</v>
      </c>
      <c r="D9" s="125">
        <f t="shared" si="2"/>
        <v>0.99</v>
      </c>
      <c r="E9" s="125">
        <f t="shared" si="3"/>
        <v>0.995</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1.0381833543771044</v>
      </c>
      <c r="V9" s="125">
        <f t="shared" si="20"/>
        <v>0.99099790299051793</v>
      </c>
      <c r="W9" s="133">
        <f t="shared" si="21"/>
        <v>0.69208484848484841</v>
      </c>
      <c r="X9" s="132">
        <f t="shared" si="22"/>
        <v>1.0021305373382894</v>
      </c>
      <c r="Y9" s="132">
        <f t="shared" si="23"/>
        <v>1.0090838708965142</v>
      </c>
      <c r="Z9" s="132">
        <f t="shared" si="24"/>
        <v>1</v>
      </c>
      <c r="AA9" s="134">
        <f t="shared" si="25"/>
        <v>0.69992922490804532</v>
      </c>
      <c r="AB9" s="135">
        <f t="shared" si="26"/>
        <v>6.9660116972403152E-3</v>
      </c>
      <c r="AC9" s="136">
        <f t="shared" si="27"/>
        <v>3.3333333333333335E-3</v>
      </c>
      <c r="AD9" s="132">
        <f t="shared" si="28"/>
        <v>0.98780310113287251</v>
      </c>
      <c r="AE9" s="132">
        <f t="shared" si="29"/>
        <v>1.0057041748784894</v>
      </c>
      <c r="AF9" s="134">
        <f t="shared" si="30"/>
        <v>0.68998284179833647</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216000</v>
      </c>
      <c r="C10" s="105">
        <f t="shared" si="1"/>
        <v>1</v>
      </c>
      <c r="D10" s="106">
        <f t="shared" si="2"/>
        <v>0.99</v>
      </c>
      <c r="E10" s="106">
        <f t="shared" si="3"/>
        <v>1.01</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v>
      </c>
      <c r="V10" s="106">
        <f t="shared" si="20"/>
        <v>0.99399161196207153</v>
      </c>
      <c r="W10" s="114">
        <f t="shared" si="21"/>
        <v>0.6731111111111111</v>
      </c>
      <c r="X10" s="113">
        <f t="shared" si="22"/>
        <v>0.99851566390348845</v>
      </c>
      <c r="Y10" s="113">
        <f t="shared" si="23"/>
        <v>1.0060447069830585</v>
      </c>
      <c r="Z10" s="113">
        <f t="shared" si="24"/>
        <v>1.0066666666666666</v>
      </c>
      <c r="AA10" s="115">
        <f t="shared" si="25"/>
        <v>0.68074631811330588</v>
      </c>
      <c r="AB10" s="116">
        <f t="shared" si="26"/>
        <v>6.3778707373729482E-3</v>
      </c>
      <c r="AC10" s="117">
        <f t="shared" si="27"/>
        <v>0</v>
      </c>
      <c r="AD10" s="113">
        <f t="shared" si="28"/>
        <v>0.99094928943313731</v>
      </c>
      <c r="AE10" s="113">
        <f t="shared" si="29"/>
        <v>0.9927403748134972</v>
      </c>
      <c r="AF10" s="115">
        <f t="shared" si="30"/>
        <v>0.66647262825084341</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168000</v>
      </c>
      <c r="C11" s="124">
        <f t="shared" si="1"/>
        <v>1</v>
      </c>
      <c r="D11" s="125">
        <f t="shared" si="2"/>
        <v>0.99309523809523814</v>
      </c>
      <c r="E11" s="125">
        <f t="shared" si="3"/>
        <v>0.99309523809523814</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0.99309523809523814</v>
      </c>
      <c r="W11" s="133">
        <f t="shared" si="21"/>
        <v>0.68638095238095242</v>
      </c>
      <c r="X11" s="132">
        <f t="shared" si="22"/>
        <v>1.0013955640829733</v>
      </c>
      <c r="Y11" s="132">
        <f t="shared" si="23"/>
        <v>1.0069745069745069</v>
      </c>
      <c r="Z11" s="132">
        <f t="shared" si="24"/>
        <v>1</v>
      </c>
      <c r="AA11" s="134">
        <f t="shared" si="25"/>
        <v>0.69207517680593167</v>
      </c>
      <c r="AB11" s="135">
        <f t="shared" si="26"/>
        <v>-5.7513719702306787E-3</v>
      </c>
      <c r="AC11" s="136">
        <f t="shared" si="27"/>
        <v>0</v>
      </c>
      <c r="AD11" s="132">
        <f t="shared" si="28"/>
        <v>0.97234938541723126</v>
      </c>
      <c r="AE11" s="132">
        <f t="shared" si="29"/>
        <v>1.0069745069745069</v>
      </c>
      <c r="AF11" s="134">
        <f t="shared" si="30"/>
        <v>0.67215323062146159</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120000</v>
      </c>
      <c r="C12" s="105">
        <f t="shared" si="1"/>
        <v>1</v>
      </c>
      <c r="D12" s="106">
        <f t="shared" si="2"/>
        <v>0.99</v>
      </c>
      <c r="E12" s="106">
        <f t="shared" si="3"/>
        <v>1.0049999999999997</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1.0259574074074076</v>
      </c>
      <c r="V12" s="106">
        <f t="shared" si="20"/>
        <v>0.99299370897155337</v>
      </c>
      <c r="W12" s="114">
        <f t="shared" si="21"/>
        <v>0.68493333333333328</v>
      </c>
      <c r="X12" s="113">
        <f t="shared" si="22"/>
        <v>0.99871557790023047</v>
      </c>
      <c r="Y12" s="113">
        <f t="shared" si="23"/>
        <v>1.0070557254946793</v>
      </c>
      <c r="Z12" s="113">
        <f t="shared" si="24"/>
        <v>1</v>
      </c>
      <c r="AA12" s="115">
        <f t="shared" si="25"/>
        <v>0.6888453468815019</v>
      </c>
      <c r="AB12" s="116">
        <f t="shared" si="26"/>
        <v>-3.4737295071196606E-3</v>
      </c>
      <c r="AC12" s="117">
        <f t="shared" si="27"/>
        <v>0</v>
      </c>
      <c r="AD12" s="113">
        <f t="shared" si="28"/>
        <v>0.98825316003394514</v>
      </c>
      <c r="AE12" s="113">
        <f t="shared" si="29"/>
        <v>0.99702434638596604</v>
      </c>
      <c r="AF12" s="115">
        <f t="shared" si="30"/>
        <v>0.6746968891771481</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276000</v>
      </c>
      <c r="C13" s="124">
        <f t="shared" si="1"/>
        <v>1</v>
      </c>
      <c r="D13" s="125">
        <f t="shared" si="2"/>
        <v>0.99</v>
      </c>
      <c r="E13" s="125">
        <f t="shared" si="3"/>
        <v>0.98499999999999999</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1.015369887278583</v>
      </c>
      <c r="V13" s="125">
        <f t="shared" si="20"/>
        <v>0.98868561603380045</v>
      </c>
      <c r="W13" s="133">
        <f t="shared" si="21"/>
        <v>0.68446376811594201</v>
      </c>
      <c r="X13" s="132">
        <f t="shared" si="22"/>
        <v>0.99902494201999836</v>
      </c>
      <c r="Y13" s="132">
        <f t="shared" si="23"/>
        <v>1.0114440857301301</v>
      </c>
      <c r="Z13" s="132">
        <f t="shared" si="24"/>
        <v>1</v>
      </c>
      <c r="AA13" s="134">
        <f t="shared" si="25"/>
        <v>0.6916322544189224</v>
      </c>
      <c r="AB13" s="135">
        <f t="shared" si="26"/>
        <v>1.0453810268540309E-3</v>
      </c>
      <c r="AC13" s="136">
        <f t="shared" si="27"/>
        <v>0</v>
      </c>
      <c r="AD13" s="132">
        <f t="shared" si="28"/>
        <v>0.98876389220638239</v>
      </c>
      <c r="AE13" s="132">
        <f t="shared" si="29"/>
        <v>1.0142632244051168</v>
      </c>
      <c r="AF13" s="134">
        <f t="shared" si="30"/>
        <v>0.68662253244144977</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228000</v>
      </c>
      <c r="C14" s="105">
        <f t="shared" si="1"/>
        <v>1</v>
      </c>
      <c r="D14" s="106">
        <f t="shared" si="2"/>
        <v>0.99</v>
      </c>
      <c r="E14" s="106">
        <f t="shared" si="3"/>
        <v>1</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0.99199580598103565</v>
      </c>
      <c r="W14" s="114">
        <f t="shared" si="21"/>
        <v>0.68245614035087721</v>
      </c>
      <c r="X14" s="113">
        <f t="shared" si="22"/>
        <v>0.98267282886138296</v>
      </c>
      <c r="Y14" s="113">
        <f t="shared" si="23"/>
        <v>1.008068778084247</v>
      </c>
      <c r="Z14" s="113">
        <f t="shared" si="24"/>
        <v>1</v>
      </c>
      <c r="AA14" s="115">
        <f t="shared" si="25"/>
        <v>0.67602280203193088</v>
      </c>
      <c r="AB14" s="116">
        <f t="shared" si="26"/>
        <v>-1.9477551293944906E-3</v>
      </c>
      <c r="AC14" s="117">
        <f t="shared" si="27"/>
        <v>0</v>
      </c>
      <c r="AD14" s="113">
        <f t="shared" si="28"/>
        <v>0.97858496005271378</v>
      </c>
      <c r="AE14" s="113">
        <f t="shared" si="29"/>
        <v>1.0013454514372069</v>
      </c>
      <c r="AF14" s="115">
        <f t="shared" si="30"/>
        <v>0.66870675660074719</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180000</v>
      </c>
      <c r="C15" s="124">
        <f t="shared" si="1"/>
        <v>1</v>
      </c>
      <c r="D15" s="125">
        <f t="shared" si="2"/>
        <v>0.99</v>
      </c>
      <c r="E15" s="125">
        <f t="shared" si="3"/>
        <v>0.98</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0.98800419401896411</v>
      </c>
      <c r="W15" s="133">
        <f t="shared" si="21"/>
        <v>0.68106666666666671</v>
      </c>
      <c r="X15" s="132">
        <f t="shared" si="22"/>
        <v>1.0025592641337973</v>
      </c>
      <c r="Y15" s="132">
        <f t="shared" si="23"/>
        <v>1.012141452489427</v>
      </c>
      <c r="Z15" s="132">
        <f t="shared" si="24"/>
        <v>1</v>
      </c>
      <c r="AA15" s="134">
        <f t="shared" si="25"/>
        <v>0.69111609769761551</v>
      </c>
      <c r="AB15" s="135">
        <f t="shared" si="26"/>
        <v>1.610005298458006E-3</v>
      </c>
      <c r="AC15" s="136">
        <f t="shared" si="27"/>
        <v>0</v>
      </c>
      <c r="AD15" s="132">
        <f t="shared" si="28"/>
        <v>0.99006345348994174</v>
      </c>
      <c r="AE15" s="132">
        <f t="shared" si="29"/>
        <v>1.019011032976213</v>
      </c>
      <c r="AF15" s="134">
        <f t="shared" si="30"/>
        <v>0.68725064657601453</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132000</v>
      </c>
      <c r="C16" s="105">
        <f t="shared" si="1"/>
        <v>1</v>
      </c>
      <c r="D16" s="106">
        <f t="shared" si="2"/>
        <v>0.99</v>
      </c>
      <c r="E16" s="106">
        <f t="shared" si="3"/>
        <v>0.995</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1.023504021478461</v>
      </c>
      <c r="V16" s="106">
        <f t="shared" si="20"/>
        <v>0.99099790299051793</v>
      </c>
      <c r="W16" s="114">
        <f t="shared" si="21"/>
        <v>0.680969696969697</v>
      </c>
      <c r="X16" s="113">
        <f t="shared" si="22"/>
        <v>0.97787481073149463</v>
      </c>
      <c r="Y16" s="113">
        <f t="shared" si="23"/>
        <v>1.0057806451159637</v>
      </c>
      <c r="Z16" s="113">
        <f t="shared" si="24"/>
        <v>1</v>
      </c>
      <c r="AA16" s="115">
        <f t="shared" si="25"/>
        <v>0.66946144870076918</v>
      </c>
      <c r="AB16" s="116">
        <f t="shared" si="26"/>
        <v>-2.9101441833567776E-2</v>
      </c>
      <c r="AC16" s="117">
        <f t="shared" si="27"/>
        <v>0</v>
      </c>
      <c r="AD16" s="113">
        <f t="shared" si="28"/>
        <v>0.93789114296629372</v>
      </c>
      <c r="AE16" s="113">
        <f t="shared" si="29"/>
        <v>1.0036299294681295</v>
      </c>
      <c r="AF16" s="115">
        <f t="shared" si="30"/>
        <v>0.64029554273289402</v>
      </c>
      <c r="AG16" s="117">
        <f t="shared" si="31"/>
        <v>0.1</v>
      </c>
      <c r="AH16" s="118">
        <f t="shared" si="32"/>
        <v>0.66702529899497998</v>
      </c>
      <c r="AI16" s="119">
        <f t="shared" si="33"/>
        <v>-0.24361497057892034</v>
      </c>
      <c r="AJ16" s="23"/>
      <c r="AK16" s="23"/>
      <c r="AL16" s="43">
        <f t="shared" si="34"/>
        <v>3</v>
      </c>
      <c r="AM16" s="23" t="str">
        <f t="shared" si="35"/>
        <v/>
      </c>
      <c r="AN16" s="120">
        <f t="shared" si="36"/>
        <v>1</v>
      </c>
      <c r="AO16" s="121">
        <f t="shared" si="37"/>
        <v>0</v>
      </c>
    </row>
    <row r="17" spans="1:41" x14ac:dyDescent="0.3">
      <c r="A17" s="122" t="str">
        <f>_lists!$B$12</f>
        <v>MD</v>
      </c>
      <c r="B17" s="123">
        <f t="shared" si="0"/>
        <v>220000</v>
      </c>
      <c r="C17" s="124">
        <f t="shared" si="1"/>
        <v>1</v>
      </c>
      <c r="D17" s="125">
        <f t="shared" si="2"/>
        <v>0.99</v>
      </c>
      <c r="E17" s="125">
        <f t="shared" si="3"/>
        <v>1.01</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1.0304518181818181</v>
      </c>
      <c r="V17" s="125">
        <f t="shared" si="20"/>
        <v>0.99399161196207131</v>
      </c>
      <c r="W17" s="133">
        <f t="shared" si="21"/>
        <v>0.67803636363636366</v>
      </c>
      <c r="X17" s="132">
        <f t="shared" si="22"/>
        <v>1.0074306413757155</v>
      </c>
      <c r="Y17" s="132">
        <f t="shared" si="23"/>
        <v>1.0060447069830585</v>
      </c>
      <c r="Z17" s="132">
        <f t="shared" si="24"/>
        <v>1</v>
      </c>
      <c r="AA17" s="134">
        <f t="shared" si="25"/>
        <v>0.68727617918950201</v>
      </c>
      <c r="AB17" s="135">
        <f t="shared" si="26"/>
        <v>7.2584638138417645E-3</v>
      </c>
      <c r="AC17" s="136">
        <f t="shared" si="27"/>
        <v>0</v>
      </c>
      <c r="AD17" s="132">
        <f t="shared" si="28"/>
        <v>0.98831326632055672</v>
      </c>
      <c r="AE17" s="132">
        <f t="shared" si="29"/>
        <v>0.99274037481349731</v>
      </c>
      <c r="AF17" s="134">
        <f t="shared" si="30"/>
        <v>0.66508556425123722</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240000</v>
      </c>
      <c r="C18" s="105">
        <f t="shared" si="1"/>
        <v>1</v>
      </c>
      <c r="D18" s="106">
        <f t="shared" si="2"/>
        <v>0.99</v>
      </c>
      <c r="E18" s="106">
        <f t="shared" si="3"/>
        <v>0.99</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0.99000000000000021</v>
      </c>
      <c r="W18" s="114">
        <f t="shared" si="21"/>
        <v>0.67713333333333336</v>
      </c>
      <c r="X18" s="113">
        <f t="shared" si="22"/>
        <v>1.0045802589088944</v>
      </c>
      <c r="Y18" s="113">
        <f t="shared" si="23"/>
        <v>1.0101010101010099</v>
      </c>
      <c r="Z18" s="113">
        <f t="shared" si="24"/>
        <v>1</v>
      </c>
      <c r="AA18" s="115">
        <f t="shared" si="25"/>
        <v>0.68711833913595599</v>
      </c>
      <c r="AB18" s="116">
        <f t="shared" si="26"/>
        <v>1.2501443185763961E-3</v>
      </c>
      <c r="AC18" s="117">
        <f t="shared" si="27"/>
        <v>0</v>
      </c>
      <c r="AD18" s="113">
        <f t="shared" si="28"/>
        <v>1</v>
      </c>
      <c r="AE18" s="113">
        <f t="shared" si="29"/>
        <v>1.0101010101010099</v>
      </c>
      <c r="AF18" s="115">
        <f t="shared" si="30"/>
        <v>0.68397306397306379</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192000</v>
      </c>
      <c r="C19" s="124">
        <f t="shared" si="1"/>
        <v>1</v>
      </c>
      <c r="D19" s="125">
        <f t="shared" si="2"/>
        <v>0.99</v>
      </c>
      <c r="E19" s="125">
        <f t="shared" si="3"/>
        <v>1.0049999999999999</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0.99299370897155348</v>
      </c>
      <c r="W19" s="133">
        <f t="shared" si="21"/>
        <v>0.67666666666666664</v>
      </c>
      <c r="X19" s="132">
        <f t="shared" si="22"/>
        <v>0.9960599505562423</v>
      </c>
      <c r="Y19" s="132">
        <f t="shared" si="23"/>
        <v>1.0070557254946793</v>
      </c>
      <c r="Z19" s="132">
        <f t="shared" si="24"/>
        <v>1</v>
      </c>
      <c r="AA19" s="134">
        <f t="shared" si="25"/>
        <v>0.67869528916712696</v>
      </c>
      <c r="AB19" s="135">
        <f t="shared" si="26"/>
        <v>-6.0840356716496125E-3</v>
      </c>
      <c r="AC19" s="136">
        <f t="shared" si="27"/>
        <v>0</v>
      </c>
      <c r="AD19" s="132">
        <f t="shared" si="28"/>
        <v>0.98678800641797038</v>
      </c>
      <c r="AE19" s="132">
        <f t="shared" si="29"/>
        <v>0.99702434638596604</v>
      </c>
      <c r="AF19" s="134">
        <f t="shared" si="30"/>
        <v>0.66553764700272322</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144000</v>
      </c>
      <c r="C20" s="105">
        <f t="shared" si="1"/>
        <v>1</v>
      </c>
      <c r="D20" s="106">
        <f t="shared" si="2"/>
        <v>0.99</v>
      </c>
      <c r="E20" s="106">
        <f t="shared" si="3"/>
        <v>0.98499999999999999</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1.0470972222222223</v>
      </c>
      <c r="V20" s="106">
        <f t="shared" si="20"/>
        <v>0.98900209700948194</v>
      </c>
      <c r="W20" s="114">
        <f t="shared" si="21"/>
        <v>0.67433333333333334</v>
      </c>
      <c r="X20" s="113">
        <f t="shared" si="22"/>
        <v>1.0032890579349141</v>
      </c>
      <c r="Y20" s="113">
        <f t="shared" si="23"/>
        <v>1.0111202018921628</v>
      </c>
      <c r="Z20" s="113">
        <f t="shared" si="24"/>
        <v>1</v>
      </c>
      <c r="AA20" s="115">
        <f t="shared" si="25"/>
        <v>0.68406860352393539</v>
      </c>
      <c r="AB20" s="116">
        <f t="shared" si="26"/>
        <v>-6.0377532143940371E-4</v>
      </c>
      <c r="AC20" s="117">
        <f t="shared" si="27"/>
        <v>0</v>
      </c>
      <c r="AD20" s="113">
        <f t="shared" si="28"/>
        <v>0.98756518251103065</v>
      </c>
      <c r="AE20" s="113">
        <f t="shared" si="29"/>
        <v>1.0145364591620769</v>
      </c>
      <c r="AF20" s="115">
        <f t="shared" si="30"/>
        <v>0.67580947232927402</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164000</v>
      </c>
      <c r="C21" s="124">
        <f t="shared" si="1"/>
        <v>1</v>
      </c>
      <c r="D21" s="125">
        <f t="shared" si="2"/>
        <v>0.99</v>
      </c>
      <c r="E21" s="125">
        <f t="shared" si="3"/>
        <v>1</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0.99199580598103554</v>
      </c>
      <c r="W21" s="133">
        <f t="shared" si="21"/>
        <v>0.67248780487804882</v>
      </c>
      <c r="X21" s="132">
        <f t="shared" si="22"/>
        <v>0.99822913970430627</v>
      </c>
      <c r="Y21" s="132">
        <f t="shared" si="23"/>
        <v>1.0080687780842468</v>
      </c>
      <c r="Z21" s="132">
        <f t="shared" si="24"/>
        <v>1</v>
      </c>
      <c r="AA21" s="134">
        <f t="shared" si="25"/>
        <v>0.67676854566769207</v>
      </c>
      <c r="AB21" s="135">
        <f t="shared" si="26"/>
        <v>5.5076842920054325E-3</v>
      </c>
      <c r="AC21" s="136">
        <f t="shared" si="27"/>
        <v>0</v>
      </c>
      <c r="AD21" s="132">
        <f t="shared" si="28"/>
        <v>0.97816324733644455</v>
      </c>
      <c r="AE21" s="132">
        <f t="shared" si="29"/>
        <v>1.0013454514372069</v>
      </c>
      <c r="AF21" s="134">
        <f t="shared" si="30"/>
        <v>0.65869856321666542</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252000</v>
      </c>
      <c r="C22" s="105">
        <f t="shared" si="1"/>
        <v>1</v>
      </c>
      <c r="D22" s="106">
        <f t="shared" si="2"/>
        <v>0.99</v>
      </c>
      <c r="E22" s="106">
        <f t="shared" si="3"/>
        <v>0.98</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0.98800419401896411</v>
      </c>
      <c r="W22" s="114">
        <f t="shared" si="21"/>
        <v>0.68647619047619046</v>
      </c>
      <c r="X22" s="113">
        <f t="shared" si="22"/>
        <v>1</v>
      </c>
      <c r="Y22" s="113">
        <f t="shared" si="23"/>
        <v>1.012141452489427</v>
      </c>
      <c r="Z22" s="113">
        <f t="shared" si="24"/>
        <v>1</v>
      </c>
      <c r="AA22" s="115">
        <f t="shared" si="25"/>
        <v>0.69481100852797995</v>
      </c>
      <c r="AB22" s="116">
        <f t="shared" si="26"/>
        <v>0</v>
      </c>
      <c r="AC22" s="117">
        <f t="shared" si="27"/>
        <v>0</v>
      </c>
      <c r="AD22" s="113">
        <f t="shared" si="28"/>
        <v>1</v>
      </c>
      <c r="AE22" s="113">
        <f t="shared" si="29"/>
        <v>1.019011032976213</v>
      </c>
      <c r="AF22" s="115">
        <f t="shared" si="30"/>
        <v>0.69952681197071831</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204000</v>
      </c>
      <c r="C23" s="124">
        <f t="shared" si="1"/>
        <v>1</v>
      </c>
      <c r="D23" s="125">
        <f t="shared" si="2"/>
        <v>0.99</v>
      </c>
      <c r="E23" s="125">
        <f t="shared" si="3"/>
        <v>0.995</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0.99099790299051804</v>
      </c>
      <c r="W23" s="133">
        <f t="shared" si="21"/>
        <v>0.68509803921568624</v>
      </c>
      <c r="X23" s="132">
        <f t="shared" si="22"/>
        <v>1.0028039168960203</v>
      </c>
      <c r="Y23" s="132">
        <f t="shared" si="23"/>
        <v>1.0090838708965142</v>
      </c>
      <c r="Z23" s="132">
        <f t="shared" si="24"/>
        <v>1</v>
      </c>
      <c r="AA23" s="134">
        <f t="shared" si="25"/>
        <v>0.69322505881812169</v>
      </c>
      <c r="AB23" s="135">
        <f t="shared" si="26"/>
        <v>-3.4730239017344289E-3</v>
      </c>
      <c r="AC23" s="136">
        <f t="shared" si="27"/>
        <v>0</v>
      </c>
      <c r="AD23" s="132">
        <f t="shared" si="28"/>
        <v>0.98866071499173658</v>
      </c>
      <c r="AE23" s="132">
        <f t="shared" si="29"/>
        <v>1.0057041748784892</v>
      </c>
      <c r="AF23" s="134">
        <f t="shared" si="30"/>
        <v>0.68134249290486193</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156000</v>
      </c>
      <c r="C24" s="105">
        <f t="shared" si="1"/>
        <v>1</v>
      </c>
      <c r="D24" s="106">
        <f t="shared" si="2"/>
        <v>0.99</v>
      </c>
      <c r="E24" s="106">
        <f t="shared" si="3"/>
        <v>1.01</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0.99399161196207142</v>
      </c>
      <c r="W24" s="114">
        <f t="shared" si="21"/>
        <v>0.68482051282051282</v>
      </c>
      <c r="X24" s="113">
        <f t="shared" si="22"/>
        <v>1.0054247135647845</v>
      </c>
      <c r="Y24" s="113">
        <f t="shared" si="23"/>
        <v>1.0060447069830585</v>
      </c>
      <c r="Z24" s="113">
        <f t="shared" si="24"/>
        <v>1</v>
      </c>
      <c r="AA24" s="115">
        <f t="shared" si="25"/>
        <v>0.69278210493436221</v>
      </c>
      <c r="AB24" s="116">
        <f t="shared" si="26"/>
        <v>8.4641837333587766E-3</v>
      </c>
      <c r="AC24" s="117">
        <f t="shared" si="27"/>
        <v>0</v>
      </c>
      <c r="AD24" s="113">
        <f t="shared" si="28"/>
        <v>0.98929067526997339</v>
      </c>
      <c r="AE24" s="113">
        <f t="shared" si="29"/>
        <v>0.9927403748134972</v>
      </c>
      <c r="AF24" s="115">
        <f t="shared" si="30"/>
        <v>0.67257697250961068</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108000</v>
      </c>
      <c r="C25" s="124">
        <f t="shared" si="1"/>
        <v>1</v>
      </c>
      <c r="D25" s="125">
        <f t="shared" si="2"/>
        <v>0.99</v>
      </c>
      <c r="E25" s="125">
        <f t="shared" si="3"/>
        <v>0.99</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0.99000000000000032</v>
      </c>
      <c r="W25" s="133">
        <f t="shared" si="21"/>
        <v>0.68222222222222217</v>
      </c>
      <c r="X25" s="132">
        <f t="shared" si="22"/>
        <v>0.99897475330001284</v>
      </c>
      <c r="Y25" s="132">
        <f t="shared" si="23"/>
        <v>1.0101010101010099</v>
      </c>
      <c r="Z25" s="132">
        <f t="shared" si="24"/>
        <v>1</v>
      </c>
      <c r="AA25" s="134">
        <f t="shared" si="25"/>
        <v>0.68839257628184958</v>
      </c>
      <c r="AB25" s="135">
        <f t="shared" si="26"/>
        <v>-1.4268304242115448E-3</v>
      </c>
      <c r="AC25" s="136">
        <f t="shared" si="27"/>
        <v>0</v>
      </c>
      <c r="AD25" s="132">
        <f t="shared" si="28"/>
        <v>0.99048060023997653</v>
      </c>
      <c r="AE25" s="132">
        <f t="shared" si="29"/>
        <v>1.0101010101010099</v>
      </c>
      <c r="AF25" s="134">
        <f t="shared" si="30"/>
        <v>0.68242092928206644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264000</v>
      </c>
      <c r="C26" s="105">
        <f t="shared" si="1"/>
        <v>1</v>
      </c>
      <c r="D26" s="106">
        <f t="shared" si="2"/>
        <v>0.99</v>
      </c>
      <c r="E26" s="106">
        <f t="shared" si="3"/>
        <v>1.0049999999999997</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0.99299370897155337</v>
      </c>
      <c r="W26" s="114">
        <f t="shared" si="21"/>
        <v>0.68115151515151517</v>
      </c>
      <c r="X26" s="113">
        <f t="shared" si="22"/>
        <v>1.0024959478026174</v>
      </c>
      <c r="Y26" s="113">
        <f t="shared" si="23"/>
        <v>1.0070557254946793</v>
      </c>
      <c r="Z26" s="113">
        <f t="shared" si="24"/>
        <v>1</v>
      </c>
      <c r="AA26" s="115">
        <f t="shared" si="25"/>
        <v>0.6876762704204854</v>
      </c>
      <c r="AB26" s="116">
        <f t="shared" si="26"/>
        <v>6.6229599403611061E-4</v>
      </c>
      <c r="AC26" s="117">
        <f t="shared" si="27"/>
        <v>0</v>
      </c>
      <c r="AD26" s="113">
        <f t="shared" si="28"/>
        <v>1</v>
      </c>
      <c r="AE26" s="113">
        <f t="shared" si="29"/>
        <v>0.99702434638596604</v>
      </c>
      <c r="AF26" s="115">
        <f t="shared" si="30"/>
        <v>0.67912464418374974</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216000</v>
      </c>
      <c r="C27" s="124">
        <f t="shared" si="1"/>
        <v>1</v>
      </c>
      <c r="D27" s="125">
        <f t="shared" si="2"/>
        <v>0.99</v>
      </c>
      <c r="E27" s="125">
        <f t="shared" si="3"/>
        <v>0.98499999999999999</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0.98900209700948205</v>
      </c>
      <c r="W27" s="133">
        <f t="shared" si="21"/>
        <v>0.68059259259259264</v>
      </c>
      <c r="X27" s="132">
        <f t="shared" si="22"/>
        <v>0.99764389590341773</v>
      </c>
      <c r="Y27" s="132">
        <f t="shared" si="23"/>
        <v>1.0111202018921628</v>
      </c>
      <c r="Z27" s="132">
        <f t="shared" si="24"/>
        <v>1</v>
      </c>
      <c r="AA27" s="134">
        <f t="shared" si="25"/>
        <v>0.68639790380978039</v>
      </c>
      <c r="AB27" s="135">
        <f t="shared" si="26"/>
        <v>-1.4163705690783956E-2</v>
      </c>
      <c r="AC27" s="136">
        <f t="shared" si="27"/>
        <v>0</v>
      </c>
      <c r="AD27" s="132">
        <f t="shared" si="28"/>
        <v>0.98651242400407613</v>
      </c>
      <c r="AE27" s="132">
        <f t="shared" si="29"/>
        <v>1.0145364591620767</v>
      </c>
      <c r="AF27" s="134">
        <f t="shared" si="30"/>
        <v>0.68096218725569224</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168000</v>
      </c>
      <c r="C28" s="105">
        <f t="shared" si="1"/>
        <v>1</v>
      </c>
      <c r="D28" s="106">
        <f t="shared" si="2"/>
        <v>0.99</v>
      </c>
      <c r="E28" s="106">
        <f t="shared" si="3"/>
        <v>1</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0.99199580598103565</v>
      </c>
      <c r="W28" s="114">
        <f t="shared" si="21"/>
        <v>0.67838095238095242</v>
      </c>
      <c r="X28" s="113">
        <f t="shared" si="22"/>
        <v>0.994490734416974</v>
      </c>
      <c r="Y28" s="113">
        <f t="shared" si="23"/>
        <v>1.0080687780842468</v>
      </c>
      <c r="Z28" s="113">
        <f t="shared" si="24"/>
        <v>1</v>
      </c>
      <c r="AA28" s="115">
        <f t="shared" si="25"/>
        <v>0.6801669885756777</v>
      </c>
      <c r="AB28" s="116">
        <f t="shared" si="26"/>
        <v>7.986776307511434E-3</v>
      </c>
      <c r="AC28" s="117">
        <f t="shared" si="27"/>
        <v>0</v>
      </c>
      <c r="AD28" s="113">
        <f t="shared" si="28"/>
        <v>0.9872222964249141</v>
      </c>
      <c r="AE28" s="113">
        <f t="shared" si="29"/>
        <v>1.0013454514372069</v>
      </c>
      <c r="AF28" s="115">
        <f t="shared" si="30"/>
        <v>0.67079787049276962</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4020000</v>
      </c>
      <c r="C33" s="142">
        <f>IF($B$33=0,"n/a",SUMIFS(calc_w_mind,calc_bu,$AK$4)/$B$33)</f>
        <v>0.99880597014925376</v>
      </c>
      <c r="D33" s="143">
        <f>IF($B$33=0,"n/a",SUMIFS(calc_w_m0,calc_bu,$AK$4)/$B$33)</f>
        <v>0.98909452736318404</v>
      </c>
      <c r="E33" s="143">
        <f>IF($B$33=0,"n/a",SUMIFS(calc_w_m1,calc_bu,$AK$4)/$B$33)</f>
        <v>0.99451243781094523</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1.0288708921102452</v>
      </c>
      <c r="V33" s="143">
        <f>IF($B$33=0,"n/a",SUMIFS(calc_w_mbar,calc_bu,$AK$4)/$B$33)</f>
        <v>0.99015410862622066</v>
      </c>
      <c r="W33" s="149">
        <f>IF($B$33=0,"n/a",SUMIFS(calc_w_lrcur,calc_bu,$AK$4)/$B$33)</f>
        <v>0.68121154228855718</v>
      </c>
      <c r="X33" s="148">
        <f>IF($B$33=0,"n/a",SUMIFS(calc_w_arate,calc_bu,$AK$4)/$B$33)</f>
        <v>0.99900474008271289</v>
      </c>
      <c r="Y33" s="148">
        <f>IF($B$33=0,"n/a",SUMIFS(calc_w_amod,calc_bu,$AK$4)/$B$33)</f>
        <v>1.0086072577361547</v>
      </c>
      <c r="Z33" s="148">
        <f>IF($B$33=0,"n/a",SUMIFS(calc_w_aother,calc_bu,$AK$4)/$B$33)</f>
        <v>1.0003582089552239</v>
      </c>
      <c r="AA33" s="150">
        <f>IF($B$33=0,"n/a",SUMIFS(calc_w_cylr,calc_bu,$AK$4)/$B$33)</f>
        <v>0.68664546901652468</v>
      </c>
      <c r="AB33" s="151">
        <f>IF($B$33=0,"",($AA33-$W33*$X33*$Y33*$Z33)*100)</f>
        <v>8.5100900443224603E-4</v>
      </c>
      <c r="AC33" s="152">
        <f>IF($B$33=0,"n/a",SUMIFS(calc_w_trend,calc_bu,$AK$4)/$B$33)</f>
        <v>2.1890547263681592E-4</v>
      </c>
      <c r="AD33" s="148">
        <f>IF($B$33=0,"n/a",SUMIFS(calc_w_arate1,calc_bu,$AK$4)/$B$33)</f>
        <v>0.9869128001098435</v>
      </c>
      <c r="AE33" s="148">
        <f>IF($B$33=0,"n/a",SUMIFS(calc_w_amod1,calc_bu,$AK$4)/$B$33)</f>
        <v>1.0050013874311792</v>
      </c>
      <c r="AF33" s="150">
        <f>IF($B$33=0,"n/a",SUMIFS(calc_w_cylr1,calc_bu,$AK$4)/$B$33)</f>
        <v>0.67608245841681602</v>
      </c>
      <c r="AG33" s="152">
        <f>IF(SUMIFS(calc_netmode,calc_bu,$AK$4)=0,"—",SUMIFS(calc_netx,calc_bu,$AK$4)/SUMIFS(calc_netmode,calc_bu,$AK$4))</f>
        <v>0.1</v>
      </c>
      <c r="AH33" s="153">
        <f>IF($B$33=0,"n/a",SUMIFS(calc_w_cylr_prog,calc_bu,$AK$4)/$B$33)</f>
        <v>0.68656547604111062</v>
      </c>
      <c r="AI33" s="154">
        <f>IF($B$33=0,"",($AH33-$AA33)*100)</f>
        <v>-7.9992975414056033E-3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32000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84000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4.0378524405280114E-3</v>
      </c>
      <c r="F10" s="162">
        <f>IF($A10="","",IF(pf_BU="All",IF(SUMIFS(calc_ep,calc_state,$A10)=0,"—",SUMPRODUCT((calc_state=$A10)*calc_ep*_calc!$CL$4:$CL$72)/SUMIFS(calc_ep,calc_state,$A10)-1),IF($P10=0,"—",INDEX(_calc!$J:$J,$P10+51)-1)))</f>
        <v>4.336266213396045E-2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68000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1.6200824295963479E-2</v>
      </c>
      <c r="F11" s="159">
        <f>IF($A11="","",IF(pf_BU="All",IF(SUMIFS(calc_ep,calc_state,$A11)=0,"—",SUMPRODUCT((calc_state=$A11)*calc_ep*_calc!$CL$4:$CL$72)/SUMIFS(calc_ep,calc_state,$A11)-1),IF($P11=0,"—",INDEX(_calc!$J:$J,$P11+51)-1)))</f>
        <v>1.6200824295963479E-2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52000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36000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1.2138206284618258E-2</v>
      </c>
      <c r="F13" s="159">
        <f>IF($A13="","",IF(pf_BU="All",IF(SUMIFS(calc_ep,calc_state,$A13)=0,"—",SUMPRODUCT((calc_state=$A13)*calc_ep*_calc!$CL$4:$CL$72)/SUMIFS(calc_ep,calc_state,$A13)-1),IF($P13=0,"—",INDEX(_calc!$J:$J,$P13+51)-1)))</f>
        <v>3.2381954290724435E-2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88000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-4.501080595764595E-5</v>
      </c>
      <c r="F14" s="162">
        <f>IF($A14="","",IF(pf_BU="All",IF(SUMIFS(calc_ep,calc_state,$A14)=0,"—",SUMPRODUCT((calc_state=$A14)*calc_ep*_calc!$CL$4:$CL$72)/SUMIFS(calc_ep,calc_state,$A14)-1),IF($P14=0,"—",INDEX(_calc!$J:$J,$P14+51)-1)))</f>
        <v>4.2044130294021764E-2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72000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8.0839018517107064E-3</v>
      </c>
      <c r="F15" s="159">
        <f>IF($A15="","",IF(pf_BU="All",IF(SUMIFS(calc_ep,calc_state,$A15)=0,"—",SUMPRODUCT((calc_state=$A15)*calc_ep*_calc!$CL$4:$CL$72)/SUMIFS(calc_ep,calc_state,$A15)-1),IF($P15=0,"—",INDEX(_calc!$J:$J,$P15+51)-1)))</f>
        <v>2.3205405996481243E-2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56000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-8.0513436820347506E-3</v>
      </c>
      <c r="F16" s="162">
        <f>IF($A16="","",IF(pf_BU="All",IF(SUMIFS(calc_ep,calc_state,$A16)=0,"—",SUMPRODUCT((calc_state=$A16)*calc_ep*_calc!$CL$4:$CL$72)/SUMIFS(calc_ep,calc_state,$A16)-1),IF($P16=0,"—",INDEX(_calc!$J:$J,$P16+51)-1)))</f>
        <v>1.509444121309711E-2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40000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4.0378524405280114E-3</v>
      </c>
      <c r="F17" s="159">
        <f>IF($A17="","",IF(pf_BU="All",IF(SUMIFS(calc_ep,calc_state,$A17)=0,"—",SUMPRODUCT((calc_state=$A17)*calc_ep*_calc!$CL$4:$CL$72)/SUMIFS(calc_ep,calc_state,$A17)-1),IF($P17=0,"—",INDEX(_calc!$J:$J,$P17+51)-1)))</f>
        <v>4.0378524405280114E-3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92000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1.6200824295963479E-2</v>
      </c>
      <c r="F18" s="162">
        <f>IF($A18="","",IF(pf_BU="All",IF(SUMIFS(calc_ep,calc_state,$A18)=0,"—",SUMPRODUCT((calc_state=$A18)*calc_ep*_calc!$CL$4:$CL$72)/SUMIFS(calc_ep,calc_state,$A18)-1),IF($P18=0,"—",INDEX(_calc!$J:$J,$P18+51)-1)))</f>
        <v>7.2092361910652825E-2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76000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60000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1.2138206284618258E-2</v>
      </c>
      <c r="F20" s="162">
        <f>IF($A20="","",IF(pf_BU="All",IF(SUMIFS(calc_ep,calc_state,$A20)=0,"—",SUMPRODUCT((calc_state=$A20)*calc_ep*_calc!$CL$4:$CL$72)/SUMIFS(calc_ep,calc_state,$A20)-1),IF($P20=0,"—",INDEX(_calc!$J:$J,$P20+51)-1)))</f>
        <v>1.2138206284618258E-2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44000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-4.0297130214611565E-3</v>
      </c>
      <c r="F21" s="159">
        <f>IF($A21="","",IF(pf_BU="All",IF(SUMIFS(calc_ep,calc_state,$A21)=0,"—",SUMPRODUCT((calc_state=$A21)*calc_ep*_calc!$CL$4:$CL$72)/SUMIFS(calc_ep,calc_state,$A21)-1),IF($P21=0,"—",INDEX(_calc!$J:$J,$P21+51)-1)))</f>
        <v>-4.0297130214611565E-3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96000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8.0839018517107064E-3</v>
      </c>
      <c r="F22" s="162">
        <f>IF($A22="","",IF(pf_BU="All",IF(SUMIFS(calc_ep,calc_state,$A22)=0,"—",SUMPRODUCT((calc_state=$A22)*calc_ep*_calc!$CL$4:$CL$72)/SUMIFS(calc_ep,calc_state,$A22)-1),IF($P22=0,"—",INDEX(_calc!$J:$J,$P22+51)-1)))</f>
        <v>4.2526647675871443E-2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80000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-8.0513436820347506E-3</v>
      </c>
      <c r="F23" s="159">
        <f>IF($A23="","",IF(pf_BU="All",IF(SUMIFS(calc_ep,calc_state,$A23)=0,"—",SUMPRODUCT((calc_state=$A23)*calc_ep*_calc!$CL$4:$CL$72)/SUMIFS(calc_ep,calc_state,$A23)-1),IF($P23=0,"—",INDEX(_calc!$J:$J,$P23+51)-1)))</f>
        <v>-8.0513436820347506E-3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64000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4.0378524405280114E-3</v>
      </c>
      <c r="F24" s="162">
        <f>IF($A24="","",IF(pf_BU="All",IF(SUMIFS(calc_ep,calc_state,$A24)=0,"—",SUMPRODUCT((calc_state=$A24)*calc_ep*_calc!$CL$4:$CL$72)/SUMIFS(calc_ep,calc_state,$A24)-1),IF($P24=0,"—",INDEX(_calc!$J:$J,$P24+51)-1)))</f>
        <v>9.0580722562778604E-3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48000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1.6200824295963479E-2</v>
      </c>
      <c r="F25" s="159">
        <f>IF($A25="","",IF(pf_BU="All",IF(SUMIFS(calc_ep,calc_state,$A25)=0,"—",SUMPRODUCT((calc_state=$A25)*calc_ep*_calc!$CL$4:$CL$72)/SUMIFS(calc_ep,calc_state,$A25)-1),IF($P25=0,"—",INDEX(_calc!$J:$J,$P25+51)-1)))</f>
        <v>2.6363709275733394E-2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32000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84000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1.2138206284618258E-2</v>
      </c>
      <c r="F27" s="159">
        <f>IF($A27="","",IF(pf_BU="All",IF(SUMIFS(calc_ep,calc_state,$A27)=0,"—",SUMPRODUCT((calc_state=$A27)*calc_ep*_calc!$CL$4:$CL$72)/SUMIFS(calc_ep,calc_state,$A27)-1),IF($P27=0,"—",INDEX(_calc!$J:$J,$P27+51)-1)))</f>
        <v>3.7442584375511734E-2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68000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-4.0297130214611565E-3</v>
      </c>
      <c r="F28" s="162">
        <f>IF($A28="","",IF(pf_BU="All",IF(SUMIFS(calc_ep,calc_state,$A28)=0,"—",SUMPRODUCT((calc_state=$A28)*calc_ep*_calc!$CL$4:$CL$72)/SUMIFS(calc_ep,calc_state,$A28)-1),IF($P28=0,"—",INDEX(_calc!$J:$J,$P28+51)-1)))</f>
        <v>3.0829365826999799E-2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52000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8.0839018517107064E-3</v>
      </c>
      <c r="F29" s="159">
        <f>IF($A29="","",IF(pf_BU="All",IF(SUMIFS(calc_ep,calc_state,$A29)=0,"—",SUMPRODUCT((calc_state=$A29)*calc_ep*_calc!$CL$4:$CL$72)/SUMIFS(calc_ep,calc_state,$A29)-1),IF($P29=0,"—",INDEX(_calc!$J:$J,$P29+51)-1)))</f>
        <v>8.0839018517107064E-3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1324000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3.0513595166163154E-2</v>
      </c>
      <c r="C65" s="169">
        <f>IF(SUMPRODUCT(((pf_BU="All")+(calc_bu=pf_BU))*_calc!$BX$4:$BX$72)=0,"",SUMPRODUCT(((pf_BU="All")+(calc_bu=pf_BU))*_calc!$BX$4:$BX$72*_calc!$AZ$4:$AZ$72)/SUMPRODUCT(((pf_BU="All")+(calc_bu=pf_BU))*_calc!$BX$4:$BX$72))</f>
        <v>2.7522658610271915E-2</v>
      </c>
      <c r="D65" s="169">
        <f>IF(SUMPRODUCT(((pf_BU="All")+(calc_bu=pf_BU))*_calc!$BY$4:$BY$72)=0,"",SUMPRODUCT(((pf_BU="All")+(calc_bu=pf_BU))*_calc!$BY$4:$BY$72*_calc!$BA$4:$BA$72)/SUMPRODUCT(((pf_BU="All")+(calc_bu=pf_BU))*_calc!$BY$4:$BY$72))</f>
        <v>2.7522658610271915E-2</v>
      </c>
      <c r="E65" s="169">
        <f>IF(SUMPRODUCT(((pf_BU="All")+(calc_bu=pf_BU))*_calc!$BZ$4:$BZ$72)=0,"",SUMPRODUCT(((pf_BU="All")+(calc_bu=pf_BU))*_calc!$BZ$4:$BZ$72*_calc!$BB$4:$BB$72)/SUMPRODUCT(((pf_BU="All")+(calc_bu=pf_BU))*_calc!$BZ$4:$BZ$72))</f>
        <v>2.8773413897280976E-2</v>
      </c>
      <c r="F65" s="169">
        <f>IF(SUMPRODUCT(((pf_BU="All")+(calc_bu=pf_BU))*_calc!$CA$4:$CA$72)=0,"",SUMPRODUCT(((pf_BU="All")+(calc_bu=pf_BU))*_calc!$CA$4:$CA$72*_calc!$BC$4:$BC$72)/SUMPRODUCT(((pf_BU="All")+(calc_bu=pf_BU))*_calc!$CA$4:$CA$72))</f>
        <v>2.6054380664652578E-2</v>
      </c>
      <c r="G65" s="169">
        <f>IF(SUMPRODUCT(((pf_BU="All")+(calc_bu=pf_BU))*_calc!$CB$4:$CB$72)=0,"",SUMPRODUCT(((pf_BU="All")+(calc_bu=pf_BU))*_calc!$CB$4:$CB$72*_calc!$BD$4:$BD$72)/SUMPRODUCT(((pf_BU="All")+(calc_bu=pf_BU))*_calc!$CB$4:$CB$72))</f>
        <v>2.5722054380664675E-2</v>
      </c>
      <c r="H65" s="169">
        <f>IF(SUMPRODUCT(((pf_BU="All")+(calc_bu=pf_BU))*_calc!$CC$4:$CC$72)=0,"",SUMPRODUCT(((pf_BU="All")+(calc_bu=pf_BU))*_calc!$CC$4:$CC$72*_calc!$BE$4:$BE$72)/SUMPRODUCT(((pf_BU="All")+(calc_bu=pf_BU))*_calc!$CC$4:$CC$72))</f>
        <v>1.939577039274926E-2</v>
      </c>
      <c r="I65" s="169">
        <f>IF(SUMPRODUCT(((pf_BU="All")+(calc_bu=pf_BU))*_calc!$CD$4:$CD$72)=0,"",SUMPRODUCT(((pf_BU="All")+(calc_bu=pf_BU))*_calc!$CD$4:$CD$72*_calc!$BF$4:$BF$72)/SUMPRODUCT(((pf_BU="All")+(calc_bu=pf_BU))*_calc!$CD$4:$CD$72))</f>
        <v>1.5589123867069498E-2</v>
      </c>
      <c r="J65" s="169">
        <f>IF(SUMPRODUCT(((pf_BU="All")+(calc_bu=pf_BU))*_calc!$CE$4:$CE$72)=0,"",SUMPRODUCT(((pf_BU="All")+(calc_bu=pf_BU))*_calc!$CE$4:$CE$72*_calc!$BG$4:$BG$72)/SUMPRODUCT(((pf_BU="All")+(calc_bu=pf_BU))*_calc!$CE$4:$CE$72))</f>
        <v>1.5589123867069498E-2</v>
      </c>
      <c r="K65" s="169">
        <f>IF(SUMPRODUCT(((pf_BU="All")+(calc_bu=pf_BU))*_calc!$CF$4:$CF$72)=0,"",SUMPRODUCT(((pf_BU="All")+(calc_bu=pf_BU))*_calc!$CF$4:$CF$72*_calc!$BH$4:$BH$72)/SUMPRODUCT(((pf_BU="All")+(calc_bu=pf_BU))*_calc!$CF$4:$CF$72))</f>
        <v>1.419939577039276E-2</v>
      </c>
      <c r="L65" s="169">
        <f>IF(SUMPRODUCT(((pf_BU="All")+(calc_bu=pf_BU))*_calc!$CG$4:$CG$72)=0,"",SUMPRODUCT(((pf_BU="All")+(calc_bu=pf_BU))*_calc!$CG$4:$CG$72*_calc!$BI$4:$BI$72)/SUMPRODUCT(((pf_BU="All")+(calc_bu=pf_BU))*_calc!$CG$4:$CG$72))</f>
        <v>1.3051359516616325E-2</v>
      </c>
      <c r="M65" s="169">
        <f>IF(SUMPRODUCT(((pf_BU="All")+(calc_bu=pf_BU))*_calc!$CH$4:$CH$72)=0,"",SUMPRODUCT(((pf_BU="All")+(calc_bu=pf_BU))*_calc!$CH$4:$CH$72*_calc!$BJ$4:$BJ$72)/SUMPRODUCT(((pf_BU="All")+(calc_bu=pf_BU))*_calc!$CH$4:$CH$72))</f>
        <v>1.3051359516616325E-2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4.0452850263497098E-3</v>
      </c>
      <c r="C73" s="167">
        <f>IF($A73="","",IF(pf_BU="All",IF(SUMPRODUCT((calc_state=$A73)*_calc!$BX$4:$BX$72*_calc!$CI$4:$CI$72)=0,"—",SUMPRODUCT((calc_state=$A73)*_calc!$BX$4:$BX$72*_calc!$CI$4:$CI$72*_calc!$BL$4:$BL$72)/SUMPRODUCT((calc_state=$A73)*_calc!$BX$4:$BX$72*_calc!$CI$4:$CI$72)),IF($P$10=0,"",IF(INDEX(_calc!$O:$O,$P$10)=0,"—",INDEX(_calc!$O:$O,$P$10+28)/INDEX(_calc!$O:$O,$P$10+16)-1))))</f>
        <v>4.0439628620176915E-3</v>
      </c>
      <c r="D73" s="167">
        <f>IF($A73="","",IF(pf_BU="All",IF(SUMPRODUCT((calc_state=$A73)*_calc!$BY$4:$BY$72*_calc!$CI$4:$CI$72)=0,"—",SUMPRODUCT((calc_state=$A73)*_calc!$BY$4:$BY$72*_calc!$CI$4:$CI$72*_calc!$BM$4:$BM$72)/SUMPRODUCT((calc_state=$A73)*_calc!$BY$4:$BY$72*_calc!$CI$4:$CI$72)),IF($P$10=0,"",IF(INDEX(_calc!$O:$O,$P$10)=0,"—",INDEX(_calc!$O:$O,$P$10+29)/INDEX(_calc!$O:$O,$P$10+17)-1))))</f>
        <v>4.0426415616778844E-3</v>
      </c>
      <c r="E73" s="167">
        <f>IF($A73="","",IF(pf_BU="All",IF(SUMPRODUCT((calc_state=$A73)*_calc!$BZ$4:$BZ$72*_calc!$CI$4:$CI$72)=0,"—",SUMPRODUCT((calc_state=$A73)*_calc!$BZ$4:$BZ$72*_calc!$CI$4:$CI$72*_calc!$BN$4:$BN$72)/SUMPRODUCT((calc_state=$A73)*_calc!$BZ$4:$BZ$72*_calc!$CI$4:$CI$72)),IF($P$10=0,"",IF(INDEX(_calc!$O:$O,$P$10)=0,"—",INDEX(_calc!$O:$O,$P$10+30)/INDEX(_calc!$O:$O,$P$10+18)-1))))</f>
        <v>4.0412763790163009E-3</v>
      </c>
      <c r="F73" s="167">
        <f>IF($A73="","",IF(pf_BU="All",IF(SUMPRODUCT((calc_state=$A73)*_calc!$CA$4:$CA$72*_calc!$CI$4:$CI$72)=0,"—",SUMPRODUCT((calc_state=$A73)*_calc!$CA$4:$CA$72*_calc!$CI$4:$CI$72*_calc!$BO$4:$BO$72)/SUMPRODUCT((calc_state=$A73)*_calc!$CA$4:$CA$72*_calc!$CI$4:$CI$72)),IF($P$10=0,"",IF(INDEX(_calc!$O:$O,$P$10)=0,"—",INDEX(_calc!$O:$O,$P$10+31)/INDEX(_calc!$O:$O,$P$10+19)-1))))</f>
        <v>4.0399121180760833E-3</v>
      </c>
      <c r="G73" s="167">
        <f>IF($A73="","",IF(pf_BU="All",IF(SUMPRODUCT((calc_state=$A73)*_calc!$CB$4:$CB$72*_calc!$CI$4:$CI$72)=0,"—",SUMPRODUCT((calc_state=$A73)*_calc!$CB$4:$CB$72*_calc!$CI$4:$CI$72*_calc!$BP$4:$BP$72)/SUMPRODUCT((calc_state=$A73)*_calc!$CB$4:$CB$72*_calc!$CI$4:$CI$72)),IF($P$10=0,"",IF(INDEX(_calc!$O:$O,$P$10)=0,"—",INDEX(_calc!$O:$O,$P$10+32)/INDEX(_calc!$O:$O,$P$10+20)-1))))</f>
        <v>4.0385487779239782E-3</v>
      </c>
      <c r="H73" s="167">
        <f>IF($A73="","",IF(pf_BU="All",IF(SUMPRODUCT((calc_state=$A73)*_calc!$CC$4:$CC$72*_calc!$CI$4:$CI$72)=0,"—",SUMPRODUCT((calc_state=$A73)*_calc!$CC$4:$CC$72*_calc!$CI$4:$CI$72*_calc!$BQ$4:$BQ$72)/SUMPRODUCT((calc_state=$A73)*_calc!$CC$4:$CC$72*_calc!$CI$4:$CI$72)),IF($P$10=0,"",IF(INDEX(_calc!$O:$O,$P$10)=0,"—",INDEX(_calc!$O:$O,$P$10+33)/INDEX(_calc!$O:$O,$P$10+21)-1))))</f>
        <v>4.0371863576282863E-3</v>
      </c>
      <c r="I73" s="167">
        <f>IF($A73="","",IF(pf_BU="All",IF(SUMPRODUCT((calc_state=$A73)*_calc!$CD$4:$CD$72*_calc!$CI$4:$CI$72)=0,"—",SUMPRODUCT((calc_state=$A73)*_calc!$CD$4:$CD$72*_calc!$CI$4:$CI$72*_calc!$BR$4:$BR$72)/SUMPRODUCT((calc_state=$A73)*_calc!$CD$4:$CD$72*_calc!$CI$4:$CI$72)),IF($P$10=0,"",IF(INDEX(_calc!$O:$O,$P$10)=0,"—",INDEX(_calc!$O:$O,$P$10+34)/INDEX(_calc!$O:$O,$P$10+22)-1))))</f>
        <v>4.0358025442142065E-3</v>
      </c>
      <c r="J73" s="167">
        <f>IF($A73="","",IF(pf_BU="All",IF(SUMPRODUCT((calc_state=$A73)*_calc!$CE$4:$CE$72*_calc!$CI$4:$CI$72)=0,"—",SUMPRODUCT((calc_state=$A73)*_calc!$CE$4:$CE$72*_calc!$CI$4:$CI$72*_calc!$BS$4:$BS$72)/SUMPRODUCT((calc_state=$A73)*_calc!$CE$4:$CE$72*_calc!$CI$4:$CI$72)),IF($P$10=0,"",IF(INDEX(_calc!$O:$O,$P$10)=0,"—",INDEX(_calc!$O:$O,$P$10+35)/INDEX(_calc!$O:$O,$P$10+23)-1))))</f>
        <v>4.034441975881764E-3</v>
      </c>
      <c r="K73" s="167">
        <f>IF($A73="","",IF(pf_BU="All",IF(SUMPRODUCT((calc_state=$A73)*_calc!$CF$4:$CF$72*_calc!$CI$4:$CI$72)=0,"—",SUMPRODUCT((calc_state=$A73)*_calc!$CF$4:$CF$72*_calc!$CI$4:$CI$72*_calc!$BT$4:$BT$72)/SUMPRODUCT((calc_state=$A73)*_calc!$CF$4:$CF$72*_calc!$CI$4:$CI$72)),IF($P$10=0,"",IF(INDEX(_calc!$O:$O,$P$10)=0,"—",INDEX(_calc!$O:$O,$P$10+36)/INDEX(_calc!$O:$O,$P$10+24)-1))))</f>
        <v>4.0330823246024217E-3</v>
      </c>
      <c r="L73" s="167">
        <f>IF($A73="","",IF(pf_BU="All",IF(SUMPRODUCT((calc_state=$A73)*_calc!$CG$4:$CG$72*_calc!$CI$4:$CI$72)=0,"—",SUMPRODUCT((calc_state=$A73)*_calc!$CG$4:$CG$72*_calc!$CI$4:$CI$72*_calc!$BU$4:$BU$72)/SUMPRODUCT((calc_state=$A73)*_calc!$CG$4:$CG$72*_calc!$CI$4:$CI$72)),IF($P$10=0,"",IF(INDEX(_calc!$O:$O,$P$10)=0,"—",INDEX(_calc!$O:$O,$P$10+37)/INDEX(_calc!$O:$O,$P$10+25)-1))))</f>
        <v>4.0317235894489212E-3</v>
      </c>
      <c r="M73" s="167">
        <f>IF($A73="","",IF(pf_BU="All",IF(SUMPRODUCT((calc_state=$A73)*_calc!$CH$4:$CH$72*_calc!$CI$4:$CI$72)=0,"—",SUMPRODUCT((calc_state=$A73)*_calc!$CH$4:$CH$72*_calc!$CI$4:$CI$72*_calc!$BV$4:$BV$72)/SUMPRODUCT((calc_state=$A73)*_calc!$CH$4:$CH$72*_calc!$CI$4:$CI$72)),IF($P$10=0,"",IF(INDEX(_calc!$O:$O,$P$10)=0,"—",INDEX(_calc!$O:$O,$P$10+38)/INDEX(_calc!$O:$O,$P$10+26)-1))))</f>
        <v>4.0303657694962247E-3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1.6320872831336208E-2</v>
      </c>
      <c r="C74" s="167">
        <f>IF($A74="","",IF(pf_BU="All",IF(SUMPRODUCT((calc_state=$A74)*_calc!$BX$4:$BX$72*_calc!$CI$4:$CI$72)=0,"—",SUMPRODUCT((calc_state=$A74)*_calc!$BX$4:$BX$72*_calc!$CI$4:$CI$72*_calc!$BL$4:$BL$72)/SUMPRODUCT((calc_state=$A74)*_calc!$BX$4:$BX$72*_calc!$CI$4:$CI$72)),IF($P$11=0,"",IF(INDEX(_calc!$O:$O,$P$11)=0,"—",INDEX(_calc!$O:$O,$P$11+28)/INDEX(_calc!$O:$O,$P$11+16)-1))))</f>
        <v>1.6299372585794947E-2</v>
      </c>
      <c r="D74" s="167">
        <f>IF($A74="","",IF(pf_BU="All",IF(SUMPRODUCT((calc_state=$A74)*_calc!$BY$4:$BY$72*_calc!$CI$4:$CI$72)=0,"—",SUMPRODUCT((calc_state=$A74)*_calc!$BY$4:$BY$72*_calc!$CI$4:$CI$72*_calc!$BM$4:$BM$72)/SUMPRODUCT((calc_state=$A74)*_calc!$BY$4:$BY$72*_calc!$CI$4:$CI$72)),IF($P$11=0,"",IF(INDEX(_calc!$O:$O,$P$11)=0,"—",INDEX(_calc!$O:$O,$P$11+29)/INDEX(_calc!$O:$O,$P$11+17)-1))))</f>
        <v>1.6277928912277639E-2</v>
      </c>
      <c r="E74" s="167">
        <f>IF($A74="","",IF(pf_BU="All",IF(SUMPRODUCT((calc_state=$A74)*_calc!$BZ$4:$BZ$72*_calc!$CI$4:$CI$72)=0,"—",SUMPRODUCT((calc_state=$A74)*_calc!$BZ$4:$BZ$72*_calc!$CI$4:$CI$72*_calc!$BN$4:$BN$72)/SUMPRODUCT((calc_state=$A74)*_calc!$BZ$4:$BZ$72*_calc!$CI$4:$CI$72)),IF($P$11=0,"",IF(INDEX(_calc!$O:$O,$P$11)=0,"—",INDEX(_calc!$O:$O,$P$11+30)/INDEX(_calc!$O:$O,$P$11+18)-1))))</f>
        <v>1.6255817578551213E-2</v>
      </c>
      <c r="F74" s="167">
        <f>IF($A74="","",IF(pf_BU="All",IF(SUMPRODUCT((calc_state=$A74)*_calc!$CA$4:$CA$72*_calc!$CI$4:$CI$72)=0,"—",SUMPRODUCT((calc_state=$A74)*_calc!$CA$4:$CA$72*_calc!$CI$4:$CI$72*_calc!$BO$4:$BO$72)/SUMPRODUCT((calc_state=$A74)*_calc!$CA$4:$CA$72*_calc!$CI$4:$CI$72)),IF($P$11=0,"",IF(INDEX(_calc!$O:$O,$P$11)=0,"—",INDEX(_calc!$O:$O,$P$11+31)/INDEX(_calc!$O:$O,$P$11+19)-1))))</f>
        <v>1.6233766233766378E-2</v>
      </c>
      <c r="G74" s="167">
        <f>IF($A74="","",IF(pf_BU="All",IF(SUMPRODUCT((calc_state=$A74)*_calc!$CB$4:$CB$72*_calc!$CI$4:$CI$72)=0,"—",SUMPRODUCT((calc_state=$A74)*_calc!$CB$4:$CB$72*_calc!$CI$4:$CI$72*_calc!$BP$4:$BP$72)/SUMPRODUCT((calc_state=$A74)*_calc!$CB$4:$CB$72*_calc!$CI$4:$CI$72)),IF($P$11=0,"",IF(INDEX(_calc!$O:$O,$P$11)=0,"—",INDEX(_calc!$O:$O,$P$11+32)/INDEX(_calc!$O:$O,$P$11+20)-1))))</f>
        <v>1.6211774634124598E-2</v>
      </c>
      <c r="H74" s="167">
        <f>IF($A74="","",IF(pf_BU="All",IF(SUMPRODUCT((calc_state=$A74)*_calc!$CC$4:$CC$72*_calc!$CI$4:$CI$72)=0,"—",SUMPRODUCT((calc_state=$A74)*_calc!$CC$4:$CC$72*_calc!$CI$4:$CI$72*_calc!$BQ$4:$BQ$72)/SUMPRODUCT((calc_state=$A74)*_calc!$CC$4:$CC$72*_calc!$CI$4:$CI$72)),IF($P$11=0,"",IF(INDEX(_calc!$O:$O,$P$11)=0,"—",INDEX(_calc!$O:$O,$P$11+33)/INDEX(_calc!$O:$O,$P$11+21)-1))))</f>
        <v>1.6189842537148058E-2</v>
      </c>
      <c r="I74" s="167">
        <f>IF($A74="","",IF(pf_BU="All",IF(SUMPRODUCT((calc_state=$A74)*_calc!$CD$4:$CD$72*_calc!$CI$4:$CI$72)=0,"—",SUMPRODUCT((calc_state=$A74)*_calc!$CD$4:$CD$72*_calc!$CI$4:$CI$72*_calc!$BR$4:$BR$72)/SUMPRODUCT((calc_state=$A74)*_calc!$CD$4:$CD$72*_calc!$CI$4:$CI$72)),IF($P$11=0,"",IF(INDEX(_calc!$O:$O,$P$11)=0,"—",INDEX(_calc!$O:$O,$P$11+34)/INDEX(_calc!$O:$O,$P$11+22)-1))))</f>
        <v>1.6167611622962541E-2</v>
      </c>
      <c r="J74" s="167">
        <f>IF($A74="","",IF(pf_BU="All",IF(SUMPRODUCT((calc_state=$A74)*_calc!$CE$4:$CE$72*_calc!$CI$4:$CI$72)=0,"—",SUMPRODUCT((calc_state=$A74)*_calc!$CE$4:$CE$72*_calc!$CI$4:$CI$72*_calc!$BS$4:$BS$72)/SUMPRODUCT((calc_state=$A74)*_calc!$CE$4:$CE$72*_calc!$CI$4:$CI$72)),IF($P$11=0,"",IF(INDEX(_calc!$O:$O,$P$11)=0,"—",INDEX(_calc!$O:$O,$P$11+35)/INDEX(_calc!$O:$O,$P$11+23)-1))))</f>
        <v>1.6145798774688691E-2</v>
      </c>
      <c r="K74" s="167">
        <f>IF($A74="","",IF(pf_BU="All",IF(SUMPRODUCT((calc_state=$A74)*_calc!$CF$4:$CF$72*_calc!$CI$4:$CI$72)=0,"—",SUMPRODUCT((calc_state=$A74)*_calc!$CF$4:$CF$72*_calc!$CI$4:$CI$72*_calc!$BT$4:$BT$72)/SUMPRODUCT((calc_state=$A74)*_calc!$CF$4:$CF$72*_calc!$CI$4:$CI$72)),IF($P$11=0,"",IF(INDEX(_calc!$O:$O,$P$11)=0,"—",INDEX(_calc!$O:$O,$P$11+36)/INDEX(_calc!$O:$O,$P$11+24)-1))))</f>
        <v>1.6124044705570606E-2</v>
      </c>
      <c r="L74" s="167">
        <f>IF($A74="","",IF(pf_BU="All",IF(SUMPRODUCT((calc_state=$A74)*_calc!$CG$4:$CG$72*_calc!$CI$4:$CI$72)=0,"—",SUMPRODUCT((calc_state=$A74)*_calc!$CG$4:$CG$72*_calc!$CI$4:$CI$72*_calc!$BU$4:$BU$72)/SUMPRODUCT((calc_state=$A74)*_calc!$CG$4:$CG$72*_calc!$CI$4:$CI$72)),IF($P$11=0,"",IF(INDEX(_calc!$O:$O,$P$11)=0,"—",INDEX(_calc!$O:$O,$P$11+37)/INDEX(_calc!$O:$O,$P$11+25)-1))))</f>
        <v>1.6102349178338971E-2</v>
      </c>
      <c r="M74" s="167">
        <f>IF($A74="","",IF(pf_BU="All",IF(SUMPRODUCT((calc_state=$A74)*_calc!$CH$4:$CH$72*_calc!$CI$4:$CI$72)=0,"—",SUMPRODUCT((calc_state=$A74)*_calc!$CH$4:$CH$72*_calc!$CI$4:$CI$72*_calc!$BV$4:$BV$72)/SUMPRODUCT((calc_state=$A74)*_calc!$CH$4:$CH$72*_calc!$CI$4:$CI$72)),IF($P$11=0,"",IF(INDEX(_calc!$O:$O,$P$11)=0,"—",INDEX(_calc!$O:$O,$P$11+38)/INDEX(_calc!$O:$O,$P$11+26)-1))))</f>
        <v>1.608071195700056E-2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1.2205520908224576E-2</v>
      </c>
      <c r="C76" s="167">
        <f>IF($A76="","",IF(pf_BU="All",IF(SUMPRODUCT((calc_state=$A76)*_calc!$BX$4:$BX$72*_calc!$CI$4:$CI$72)=0,"—",SUMPRODUCT((calc_state=$A76)*_calc!$BX$4:$BX$72*_calc!$CI$4:$CI$72*_calc!$BL$4:$BL$72)/SUMPRODUCT((calc_state=$A76)*_calc!$BX$4:$BX$72*_calc!$CI$4:$CI$72)),IF($P$13=0,"",IF(INDEX(_calc!$O:$O,$P$13)=0,"—",INDEX(_calc!$O:$O,$P$13+28)/INDEX(_calc!$O:$O,$P$13+16)-1))))</f>
        <v>1.2193492349836355E-2</v>
      </c>
      <c r="D76" s="167">
        <f>IF($A76="","",IF(pf_BU="All",IF(SUMPRODUCT((calc_state=$A76)*_calc!$BY$4:$BY$72*_calc!$CI$4:$CI$72)=0,"—",SUMPRODUCT((calc_state=$A76)*_calc!$BY$4:$BY$72*_calc!$CI$4:$CI$72*_calc!$BM$4:$BM$72)/SUMPRODUCT((calc_state=$A76)*_calc!$BY$4:$BY$72*_calc!$CI$4:$CI$72)),IF($P$13=0,"",IF(INDEX(_calc!$O:$O,$P$13)=0,"—",INDEX(_calc!$O:$O,$P$13+29)/INDEX(_calc!$O:$O,$P$13+17)-1))))</f>
        <v>1.2181487476429442E-2</v>
      </c>
      <c r="E76" s="167">
        <f>IF($A76="","",IF(pf_BU="All",IF(SUMPRODUCT((calc_state=$A76)*_calc!$BZ$4:$BZ$72*_calc!$CI$4:$CI$72)=0,"—",SUMPRODUCT((calc_state=$A76)*_calc!$BZ$4:$BZ$72*_calc!$CI$4:$CI$72*_calc!$BN$4:$BN$72)/SUMPRODUCT((calc_state=$A76)*_calc!$BZ$4:$BZ$72*_calc!$CI$4:$CI$72)),IF($P$13=0,"",IF(INDEX(_calc!$O:$O,$P$13)=0,"—",INDEX(_calc!$O:$O,$P$13+30)/INDEX(_calc!$O:$O,$P$13+18)-1))))</f>
        <v>1.2169100486763895E-2</v>
      </c>
      <c r="F76" s="167">
        <f>IF($A76="","",IF(pf_BU="All",IF(SUMPRODUCT((calc_state=$A76)*_calc!$CA$4:$CA$72*_calc!$CI$4:$CI$72)=0,"—",SUMPRODUCT((calc_state=$A76)*_calc!$CA$4:$CA$72*_calc!$CI$4:$CI$72*_calc!$BO$4:$BO$72)/SUMPRODUCT((calc_state=$A76)*_calc!$CA$4:$CA$72*_calc!$CI$4:$CI$72)),IF($P$13=0,"",IF(INDEX(_calc!$O:$O,$P$13)=0,"—",INDEX(_calc!$O:$O,$P$13+31)/INDEX(_calc!$O:$O,$P$13+19)-1))))</f>
        <v>1.2156738663424926E-2</v>
      </c>
      <c r="G76" s="167">
        <f>IF($A76="","",IF(pf_BU="All",IF(SUMPRODUCT((calc_state=$A76)*_calc!$CB$4:$CB$72*_calc!$CI$4:$CI$72)=0,"—",SUMPRODUCT((calc_state=$A76)*_calc!$CB$4:$CB$72*_calc!$CI$4:$CI$72*_calc!$BP$4:$BP$72)/SUMPRODUCT((calc_state=$A76)*_calc!$CB$4:$CB$72*_calc!$CI$4:$CI$72)),IF($P$13=0,"",IF(INDEX(_calc!$O:$O,$P$13)=0,"—",INDEX(_calc!$O:$O,$P$13+32)/INDEX(_calc!$O:$O,$P$13+20)-1))))</f>
        <v>1.2144401929795379E-2</v>
      </c>
      <c r="H76" s="167">
        <f>IF($A76="","",IF(pf_BU="All",IF(SUMPRODUCT((calc_state=$A76)*_calc!$CC$4:$CC$72*_calc!$CI$4:$CI$72)=0,"—",SUMPRODUCT((calc_state=$A76)*_calc!$CC$4:$CC$72*_calc!$CI$4:$CI$72*_calc!$BQ$4:$BQ$72)/SUMPRODUCT((calc_state=$A76)*_calc!$CC$4:$CC$72*_calc!$CI$4:$CI$72)),IF($P$13=0,"",IF(INDEX(_calc!$O:$O,$P$13)=0,"—",INDEX(_calc!$O:$O,$P$13+33)/INDEX(_calc!$O:$O,$P$13+21)-1))))</f>
        <v>1.213209020956918E-2</v>
      </c>
      <c r="I76" s="167">
        <f>IF($A76="","",IF(pf_BU="All",IF(SUMPRODUCT((calc_state=$A76)*_calc!$CD$4:$CD$72*_calc!$CI$4:$CI$72)=0,"—",SUMPRODUCT((calc_state=$A76)*_calc!$CD$4:$CD$72*_calc!$CI$4:$CI$72*_calc!$BR$4:$BR$72)/SUMPRODUCT((calc_state=$A76)*_calc!$CD$4:$CD$72*_calc!$CI$4:$CI$72)),IF($P$13=0,"",IF(INDEX(_calc!$O:$O,$P$13)=0,"—",INDEX(_calc!$O:$O,$P$13+34)/INDEX(_calc!$O:$O,$P$13+22)-1))))</f>
        <v>1.2119602211412284E-2</v>
      </c>
      <c r="J76" s="167">
        <f>IF($A76="","",IF(pf_BU="All",IF(SUMPRODUCT((calc_state=$A76)*_calc!$CE$4:$CE$72*_calc!$CI$4:$CI$72)=0,"—",SUMPRODUCT((calc_state=$A76)*_calc!$CE$4:$CE$72*_calc!$CI$4:$CI$72*_calc!$BS$4:$BS$72)/SUMPRODUCT((calc_state=$A76)*_calc!$CE$4:$CE$72*_calc!$CI$4:$CI$72)),IF($P$13=0,"",IF(INDEX(_calc!$O:$O,$P$13)=0,"—",INDEX(_calc!$O:$O,$P$13+35)/INDEX(_calc!$O:$O,$P$13+23)-1))))</f>
        <v>1.2107340697250057E-2</v>
      </c>
      <c r="K76" s="167">
        <f>IF($A76="","",IF(pf_BU="All",IF(SUMPRODUCT((calc_state=$A76)*_calc!$CF$4:$CF$72*_calc!$CI$4:$CI$72)=0,"—",SUMPRODUCT((calc_state=$A76)*_calc!$CF$4:$CF$72*_calc!$CI$4:$CI$72*_calc!$BT$4:$BT$72)/SUMPRODUCT((calc_state=$A76)*_calc!$CF$4:$CF$72*_calc!$CI$4:$CI$72)),IF($P$13=0,"",IF(INDEX(_calc!$O:$O,$P$13)=0,"—",INDEX(_calc!$O:$O,$P$13+36)/INDEX(_calc!$O:$O,$P$13+24)-1))))</f>
        <v>1.2095103968188248E-2</v>
      </c>
      <c r="L76" s="167">
        <f>IF($A76="","",IF(pf_BU="All",IF(SUMPRODUCT((calc_state=$A76)*_calc!$CG$4:$CG$72*_calc!$CI$4:$CI$72)=0,"—",SUMPRODUCT((calc_state=$A76)*_calc!$CG$4:$CG$72*_calc!$CI$4:$CI$72*_calc!$BU$4:$BU$72)/SUMPRODUCT((calc_state=$A76)*_calc!$CG$4:$CG$72*_calc!$CI$4:$CI$72)),IF($P$13=0,"",IF(INDEX(_calc!$O:$O,$P$13)=0,"—",INDEX(_calc!$O:$O,$P$13+37)/INDEX(_calc!$O:$O,$P$13+25)-1))))</f>
        <v>1.2082891949152463E-2</v>
      </c>
      <c r="M76" s="167">
        <f>IF($A76="","",IF(pf_BU="All",IF(SUMPRODUCT((calc_state=$A76)*_calc!$CH$4:$CH$72*_calc!$CI$4:$CI$72)=0,"—",SUMPRODUCT((calc_state=$A76)*_calc!$CH$4:$CH$72*_calc!$CI$4:$CI$72*_calc!$BV$4:$BV$72)/SUMPRODUCT((calc_state=$A76)*_calc!$CH$4:$CH$72*_calc!$CI$4:$CI$72)),IF($P$13=0,"",IF(INDEX(_calc!$O:$O,$P$13)=0,"—",INDEX(_calc!$O:$O,$P$13+38)/INDEX(_calc!$O:$O,$P$13+26)-1))))</f>
        <v>1.207070456537207E-2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5.980644385138012E-3</v>
      </c>
      <c r="C77" s="167">
        <f>IF($A77="","",IF(pf_BU="All",IF(SUMPRODUCT((calc_state=$A77)*_calc!$BX$4:$BX$72*_calc!$CI$4:$CI$72)=0,"—",SUMPRODUCT((calc_state=$A77)*_calc!$BX$4:$BX$72*_calc!$CI$4:$CI$72*_calc!$BL$4:$BL$72)/SUMPRODUCT((calc_state=$A77)*_calc!$BX$4:$BX$72*_calc!$CI$4:$CI$72)),IF($P$14=0,"",IF(INDEX(_calc!$O:$O,$P$14)=0,"—",INDEX(_calc!$O:$O,$P$14+28)/INDEX(_calc!$O:$O,$P$14+16)-1))))</f>
        <v>4.8260766523096077E-3</v>
      </c>
      <c r="D77" s="167">
        <f>IF($A77="","",IF(pf_BU="All",IF(SUMPRODUCT((calc_state=$A77)*_calc!$BY$4:$BY$72*_calc!$CI$4:$CI$72)=0,"—",SUMPRODUCT((calc_state=$A77)*_calc!$BY$4:$BY$72*_calc!$CI$4:$CI$72*_calc!$BM$4:$BM$72)/SUMPRODUCT((calc_state=$A77)*_calc!$BY$4:$BY$72*_calc!$CI$4:$CI$72)),IF($P$14=0,"",IF(INDEX(_calc!$O:$O,$P$14)=0,"—",INDEX(_calc!$O:$O,$P$14+29)/INDEX(_calc!$O:$O,$P$14+17)-1))))</f>
        <v>3.6734044712529723E-3</v>
      </c>
      <c r="E77" s="167">
        <f>IF($A77="","",IF(pf_BU="All",IF(SUMPRODUCT((calc_state=$A77)*_calc!$BZ$4:$BZ$72*_calc!$CI$4:$CI$72)=0,"—",SUMPRODUCT((calc_state=$A77)*_calc!$BZ$4:$BZ$72*_calc!$CI$4:$CI$72*_calc!$BN$4:$BN$72)/SUMPRODUCT((calc_state=$A77)*_calc!$BZ$4:$BZ$72*_calc!$CI$4:$CI$72)),IF($P$14=0,"",IF(INDEX(_calc!$O:$O,$P$14)=0,"—",INDEX(_calc!$O:$O,$P$14+30)/INDEX(_calc!$O:$O,$P$14+18)-1))))</f>
        <v>2.4836467223572356E-3</v>
      </c>
      <c r="F77" s="167">
        <f>IF($A77="","",IF(pf_BU="All",IF(SUMPRODUCT((calc_state=$A77)*_calc!$CA$4:$CA$72*_calc!$CI$4:$CI$72)=0,"—",SUMPRODUCT((calc_state=$A77)*_calc!$CA$4:$CA$72*_calc!$CI$4:$CI$72*_calc!$BO$4:$BO$72)/SUMPRODUCT((calc_state=$A77)*_calc!$CA$4:$CA$72*_calc!$CI$4:$CI$72)),IF($P$14=0,"",IF(INDEX(_calc!$O:$O,$P$14)=0,"—",INDEX(_calc!$O:$O,$P$14+31)/INDEX(_calc!$O:$O,$P$14+19)-1))))</f>
        <v>1.2959050918774917E-3</v>
      </c>
      <c r="G77" s="167">
        <f>IF($A77="","",IF(pf_BU="All",IF(SUMPRODUCT((calc_state=$A77)*_calc!$CB$4:$CB$72*_calc!$CI$4:$CI$72)=0,"—",SUMPRODUCT((calc_state=$A77)*_calc!$CB$4:$CB$72*_calc!$CI$4:$CI$72*_calc!$BP$4:$BP$72)/SUMPRODUCT((calc_state=$A77)*_calc!$CB$4:$CB$72*_calc!$CI$4:$CI$72)),IF($P$14=0,"",IF(INDEX(_calc!$O:$O,$P$14)=0,"—",INDEX(_calc!$O:$O,$P$14+32)/INDEX(_calc!$O:$O,$P$14+20)-1))))</f>
        <v>1.101744594953491E-4</v>
      </c>
      <c r="H77" s="167">
        <f>IF($A77="","",IF(pf_BU="All",IF(SUMPRODUCT((calc_state=$A77)*_calc!$CC$4:$CC$72*_calc!$CI$4:$CI$72)=0,"—",SUMPRODUCT((calc_state=$A77)*_calc!$CC$4:$CC$72*_calc!$CI$4:$CI$72*_calc!$BQ$4:$BQ$72)/SUMPRODUCT((calc_state=$A77)*_calc!$CC$4:$CC$72*_calc!$CI$4:$CI$72)),IF($P$14=0,"",IF(INDEX(_calc!$O:$O,$P$14)=0,"—",INDEX(_calc!$O:$O,$P$14+33)/INDEX(_calc!$O:$O,$P$14+21)-1))))</f>
        <v>-1.0735502777837747E-3</v>
      </c>
      <c r="I77" s="167">
        <f>IF($A77="","",IF(pf_BU="All",IF(SUMPRODUCT((calc_state=$A77)*_calc!$CD$4:$CD$72*_calc!$CI$4:$CI$72)=0,"—",SUMPRODUCT((calc_state=$A77)*_calc!$CD$4:$CD$72*_calc!$CI$4:$CI$72*_calc!$BR$4:$BR$72)/SUMPRODUCT((calc_state=$A77)*_calc!$CD$4:$CD$72*_calc!$CI$4:$CI$72)),IF($P$14=0,"",IF(INDEX(_calc!$O:$O,$P$14)=0,"—",INDEX(_calc!$O:$O,$P$14+34)/INDEX(_calc!$O:$O,$P$14+22)-1))))</f>
        <v>-2.2746300885868598E-3</v>
      </c>
      <c r="J77" s="167">
        <f>IF($A77="","",IF(pf_BU="All",IF(SUMPRODUCT((calc_state=$A77)*_calc!$CE$4:$CE$72*_calc!$CI$4:$CI$72)=0,"—",SUMPRODUCT((calc_state=$A77)*_calc!$CE$4:$CE$72*_calc!$CI$4:$CI$72*_calc!$BS$4:$BS$72)/SUMPRODUCT((calc_state=$A77)*_calc!$CE$4:$CE$72*_calc!$CI$4:$CI$72)),IF($P$14=0,"",IF(INDEX(_calc!$O:$O,$P$14)=0,"—",INDEX(_calc!$O:$O,$P$14+35)/INDEX(_calc!$O:$O,$P$14+23)-1))))</f>
        <v>-3.4543256007812939E-3</v>
      </c>
      <c r="K77" s="167">
        <f>IF($A77="","",IF(pf_BU="All",IF(SUMPRODUCT((calc_state=$A77)*_calc!$CF$4:$CF$72*_calc!$CI$4:$CI$72)=0,"—",SUMPRODUCT((calc_state=$A77)*_calc!$CF$4:$CF$72*_calc!$CI$4:$CI$72*_calc!$BT$4:$BT$72)/SUMPRODUCT((calc_state=$A77)*_calc!$CF$4:$CF$72*_calc!$CI$4:$CI$72)),IF($P$14=0,"",IF(INDEX(_calc!$O:$O,$P$14)=0,"—",INDEX(_calc!$O:$O,$P$14+36)/INDEX(_calc!$O:$O,$P$14+24)-1))))</f>
        <v>-4.0344642728845637E-3</v>
      </c>
      <c r="L77" s="167">
        <f>IF($A77="","",IF(pf_BU="All",IF(SUMPRODUCT((calc_state=$A77)*_calc!$CG$4:$CG$72*_calc!$CI$4:$CI$72)=0,"—",SUMPRODUCT((calc_state=$A77)*_calc!$CG$4:$CG$72*_calc!$CI$4:$CI$72*_calc!$BU$4:$BU$72)/SUMPRODUCT((calc_state=$A77)*_calc!$CG$4:$CG$72*_calc!$CI$4:$CI$72)),IF($P$14=0,"",IF(INDEX(_calc!$O:$O,$P$14)=0,"—",INDEX(_calc!$O:$O,$P$14+37)/INDEX(_calc!$O:$O,$P$14+25)-1))))</f>
        <v>-4.0358248562583077E-3</v>
      </c>
      <c r="M77" s="167">
        <f>IF($A77="","",IF(pf_BU="All",IF(SUMPRODUCT((calc_state=$A77)*_calc!$CH$4:$CH$72*_calc!$CI$4:$CI$72)=0,"—",SUMPRODUCT((calc_state=$A77)*_calc!$CH$4:$CH$72*_calc!$CI$4:$CI$72*_calc!$BV$4:$BV$72)/SUMPRODUCT((calc_state=$A77)*_calc!$CH$4:$CH$72*_calc!$CI$4:$CI$72)),IF($P$14=0,"",IF(INDEX(_calc!$O:$O,$P$14)=0,"—",INDEX(_calc!$O:$O,$P$14+38)/INDEX(_calc!$O:$O,$P$14+26)-1))))</f>
        <v>-4.0371863576282863E-3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8.1137255337830894E-3</v>
      </c>
      <c r="C78" s="167">
        <f>IF($A78="","",IF(pf_BU="All",IF(SUMPRODUCT((calc_state=$A78)*_calc!$BX$4:$BX$72*_calc!$CI$4:$CI$72)=0,"—",SUMPRODUCT((calc_state=$A78)*_calc!$BX$4:$BX$72*_calc!$CI$4:$CI$72*_calc!$BL$4:$BL$72)/SUMPRODUCT((calc_state=$A78)*_calc!$BX$4:$BX$72*_calc!$CI$4:$CI$72)),IF($P$15=0,"",IF(INDEX(_calc!$O:$O,$P$15)=0,"—",INDEX(_calc!$O:$O,$P$15+28)/INDEX(_calc!$O:$O,$P$15+16)-1))))</f>
        <v>8.1084083083415859E-3</v>
      </c>
      <c r="D78" s="167">
        <f>IF($A78="","",IF(pf_BU="All",IF(SUMPRODUCT((calc_state=$A78)*_calc!$BY$4:$BY$72*_calc!$CI$4:$CI$72)=0,"—",SUMPRODUCT((calc_state=$A78)*_calc!$BY$4:$BY$72*_calc!$CI$4:$CI$72*_calc!$BM$4:$BM$72)/SUMPRODUCT((calc_state=$A78)*_calc!$BY$4:$BY$72*_calc!$CI$4:$CI$72)),IF($P$15=0,"",IF(INDEX(_calc!$O:$O,$P$15)=0,"—",INDEX(_calc!$O:$O,$P$15+29)/INDEX(_calc!$O:$O,$P$15+17)-1))))</f>
        <v>8.1030980474863235E-3</v>
      </c>
      <c r="E78" s="167">
        <f>IF($A78="","",IF(pf_BU="All",IF(SUMPRODUCT((calc_state=$A78)*_calc!$BZ$4:$BZ$72*_calc!$CI$4:$CI$72)=0,"—",SUMPRODUCT((calc_state=$A78)*_calc!$BZ$4:$BZ$72*_calc!$CI$4:$CI$72*_calc!$BN$4:$BN$72)/SUMPRODUCT((calc_state=$A78)*_calc!$BZ$4:$BZ$72*_calc!$CI$4:$CI$72)),IF($P$15=0,"",IF(INDEX(_calc!$O:$O,$P$15)=0,"—",INDEX(_calc!$O:$O,$P$15+30)/INDEX(_calc!$O:$O,$P$15+18)-1))))</f>
        <v>8.0976150859677354E-3</v>
      </c>
      <c r="F78" s="167">
        <f>IF($A78="","",IF(pf_BU="All",IF(SUMPRODUCT((calc_state=$A78)*_calc!$CA$4:$CA$72*_calc!$CI$4:$CI$72)=0,"—",SUMPRODUCT((calc_state=$A78)*_calc!$CA$4:$CA$72*_calc!$CI$4:$CI$72*_calc!$BO$4:$BO$72)/SUMPRODUCT((calc_state=$A78)*_calc!$CA$4:$CA$72*_calc!$CI$4:$CI$72)),IF($P$15=0,"",IF(INDEX(_calc!$O:$O,$P$15)=0,"—",INDEX(_calc!$O:$O,$P$15+31)/INDEX(_calc!$O:$O,$P$15+19)-1))))</f>
        <v>8.0921395395239237E-3</v>
      </c>
      <c r="G78" s="167">
        <f>IF($A78="","",IF(pf_BU="All",IF(SUMPRODUCT((calc_state=$A78)*_calc!$CB$4:$CB$72*_calc!$CI$4:$CI$72)=0,"—",SUMPRODUCT((calc_state=$A78)*_calc!$CB$4:$CB$72*_calc!$CI$4:$CI$72*_calc!$BP$4:$BP$72)/SUMPRODUCT((calc_state=$A78)*_calc!$CB$4:$CB$72*_calc!$CI$4:$CI$72)),IF($P$15=0,"",IF(INDEX(_calc!$O:$O,$P$15)=0,"—",INDEX(_calc!$O:$O,$P$15+32)/INDEX(_calc!$O:$O,$P$15+20)-1))))</f>
        <v>8.0866713931229128E-3</v>
      </c>
      <c r="H78" s="167">
        <f>IF($A78="","",IF(pf_BU="All",IF(SUMPRODUCT((calc_state=$A78)*_calc!$CC$4:$CC$72*_calc!$CI$4:$CI$72)=0,"—",SUMPRODUCT((calc_state=$A78)*_calc!$CC$4:$CC$72*_calc!$CI$4:$CI$72*_calc!$BQ$4:$BQ$72)/SUMPRODUCT((calc_state=$A78)*_calc!$CC$4:$CC$72*_calc!$CI$4:$CI$72)),IF($P$15=0,"",IF(INDEX(_calc!$O:$O,$P$15)=0,"—",INDEX(_calc!$O:$O,$P$15+33)/INDEX(_calc!$O:$O,$P$15+21)-1))))</f>
        <v>8.0812106317735832E-3</v>
      </c>
      <c r="I78" s="167">
        <f>IF($A78="","",IF(pf_BU="All",IF(SUMPRODUCT((calc_state=$A78)*_calc!$CD$4:$CD$72*_calc!$CI$4:$CI$72)=0,"—",SUMPRODUCT((calc_state=$A78)*_calc!$CD$4:$CD$72*_calc!$CI$4:$CI$72*_calc!$BR$4:$BR$72)/SUMPRODUCT((calc_state=$A78)*_calc!$CD$4:$CD$72*_calc!$CI$4:$CI$72)),IF($P$15=0,"",IF(INDEX(_calc!$O:$O,$P$15)=0,"—",INDEX(_calc!$O:$O,$P$15+34)/INDEX(_calc!$O:$O,$P$15+22)-1))))</f>
        <v>8.0756679019857724E-3</v>
      </c>
      <c r="J78" s="167">
        <f>IF($A78="","",IF(pf_BU="All",IF(SUMPRODUCT((calc_state=$A78)*_calc!$CE$4:$CE$72*_calc!$CI$4:$CI$72)=0,"—",SUMPRODUCT((calc_state=$A78)*_calc!$CE$4:$CE$72*_calc!$CI$4:$CI$72*_calc!$BS$4:$BS$72)/SUMPRODUCT((calc_state=$A78)*_calc!$CE$4:$CE$72*_calc!$CI$4:$CI$72)),IF($P$15=0,"",IF(INDEX(_calc!$O:$O,$P$15)=0,"—",INDEX(_calc!$O:$O,$P$15+35)/INDEX(_calc!$O:$O,$P$15+23)-1))))</f>
        <v>8.0702219863801883E-3</v>
      </c>
      <c r="K78" s="167">
        <f>IF($A78="","",IF(pf_BU="All",IF(SUMPRODUCT((calc_state=$A78)*_calc!$CF$4:$CF$72*_calc!$CI$4:$CI$72)=0,"—",SUMPRODUCT((calc_state=$A78)*_calc!$CF$4:$CF$72*_calc!$CI$4:$CI$72*_calc!$BT$4:$BT$72)/SUMPRODUCT((calc_state=$A78)*_calc!$CF$4:$CF$72*_calc!$CI$4:$CI$72)),IF($P$15=0,"",IF(INDEX(_calc!$O:$O,$P$15)=0,"—",INDEX(_calc!$O:$O,$P$15+36)/INDEX(_calc!$O:$O,$P$15+24)-1))))</f>
        <v>8.0647834108511507E-3</v>
      </c>
      <c r="L78" s="167">
        <f>IF($A78="","",IF(pf_BU="All",IF(SUMPRODUCT((calc_state=$A78)*_calc!$CG$4:$CG$72*_calc!$CI$4:$CI$72)=0,"—",SUMPRODUCT((calc_state=$A78)*_calc!$CG$4:$CG$72*_calc!$CI$4:$CI$72*_calc!$BU$4:$BU$72)/SUMPRODUCT((calc_state=$A78)*_calc!$CG$4:$CG$72*_calc!$CI$4:$CI$72)),IF($P$15=0,"",IF(INDEX(_calc!$O:$O,$P$15)=0,"—",INDEX(_calc!$O:$O,$P$15+37)/INDEX(_calc!$O:$O,$P$15+25)-1))))</f>
        <v>8.0593521605687446E-3</v>
      </c>
      <c r="M78" s="167">
        <f>IF($A78="","",IF(pf_BU="All",IF(SUMPRODUCT((calc_state=$A78)*_calc!$CH$4:$CH$72*_calc!$CI$4:$CI$72)=0,"—",SUMPRODUCT((calc_state=$A78)*_calc!$CH$4:$CH$72*_calc!$CI$4:$CI$72*_calc!$BV$4:$BV$72)/SUMPRODUCT((calc_state=$A78)*_calc!$CH$4:$CH$72*_calc!$CI$4:$CI$72)),IF($P$15=0,"",IF(INDEX(_calc!$O:$O,$P$15)=0,"—",INDEX(_calc!$O:$O,$P$15+38)/INDEX(_calc!$O:$O,$P$15+26)-1))))</f>
        <v>8.0539282207439111E-3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-8.0218898693420471E-3</v>
      </c>
      <c r="C79" s="167">
        <f>IF($A79="","",IF(pf_BU="All",IF(SUMPRODUCT((calc_state=$A79)*_calc!$BX$4:$BX$72*_calc!$CI$4:$CI$72)=0,"—",SUMPRODUCT((calc_state=$A79)*_calc!$BX$4:$BX$72*_calc!$CI$4:$CI$72*_calc!$BL$4:$BL$72)/SUMPRODUCT((calc_state=$A79)*_calc!$BX$4:$BX$72*_calc!$CI$4:$CI$72)),IF($P$16=0,"",IF(INDEX(_calc!$O:$O,$P$16)=0,"—",INDEX(_calc!$O:$O,$P$16+28)/INDEX(_calc!$O:$O,$P$16+16)-1))))</f>
        <v>-8.0270941919025063E-3</v>
      </c>
      <c r="D79" s="167">
        <f>IF($A79="","",IF(pf_BU="All",IF(SUMPRODUCT((calc_state=$A79)*_calc!$BY$4:$BY$72*_calc!$CI$4:$CI$72)=0,"—",SUMPRODUCT((calc_state=$A79)*_calc!$BY$4:$BY$72*_calc!$CI$4:$CI$72*_calc!$BM$4:$BM$72)/SUMPRODUCT((calc_state=$A79)*_calc!$BY$4:$BY$72*_calc!$CI$4:$CI$72)),IF($P$16=0,"",IF(INDEX(_calc!$O:$O,$P$16)=0,"—",INDEX(_calc!$O:$O,$P$16+29)/INDEX(_calc!$O:$O,$P$16+17)-1))))</f>
        <v>-8.0323052716129162E-3</v>
      </c>
      <c r="E79" s="167">
        <f>IF($A79="","",IF(pf_BU="All",IF(SUMPRODUCT((calc_state=$A79)*_calc!$BZ$4:$BZ$72*_calc!$CI$4:$CI$72)=0,"—",SUMPRODUCT((calc_state=$A79)*_calc!$BZ$4:$BZ$72*_calc!$CI$4:$CI$72*_calc!$BN$4:$BN$72)/SUMPRODUCT((calc_state=$A79)*_calc!$BZ$4:$BZ$72*_calc!$CI$4:$CI$72)),IF($P$16=0,"",IF(INDEX(_calc!$O:$O,$P$16)=0,"—",INDEX(_calc!$O:$O,$P$16+30)/INDEX(_calc!$O:$O,$P$16+18)-1))))</f>
        <v>-8.0377001167117879E-3</v>
      </c>
      <c r="F79" s="167">
        <f>IF($A79="","",IF(pf_BU="All",IF(SUMPRODUCT((calc_state=$A79)*_calc!$CA$4:$CA$72*_calc!$CI$4:$CI$72)=0,"—",SUMPRODUCT((calc_state=$A79)*_calc!$CA$4:$CA$72*_calc!$CI$4:$CI$72*_calc!$BO$4:$BO$72)/SUMPRODUCT((calc_state=$A79)*_calc!$CA$4:$CA$72*_calc!$CI$4:$CI$72)),IF($P$16=0,"",IF(INDEX(_calc!$O:$O,$P$16)=0,"—",INDEX(_calc!$O:$O,$P$16+31)/INDEX(_calc!$O:$O,$P$16+19)-1))))</f>
        <v>-8.0431022135057928E-3</v>
      </c>
      <c r="G79" s="167">
        <f>IF($A79="","",IF(pf_BU="All",IF(SUMPRODUCT((calc_state=$A79)*_calc!$CB$4:$CB$72*_calc!$CI$4:$CI$72)=0,"—",SUMPRODUCT((calc_state=$A79)*_calc!$CB$4:$CB$72*_calc!$CI$4:$CI$72*_calc!$BP$4:$BP$72)/SUMPRODUCT((calc_state=$A79)*_calc!$CB$4:$CB$72*_calc!$CI$4:$CI$72)),IF($P$16=0,"",IF(INDEX(_calc!$O:$O,$P$16)=0,"—",INDEX(_calc!$O:$O,$P$16+32)/INDEX(_calc!$O:$O,$P$16+20)-1))))</f>
        <v>-8.0485115766262272E-3</v>
      </c>
      <c r="H79" s="167">
        <f>IF($A79="","",IF(pf_BU="All",IF(SUMPRODUCT((calc_state=$A79)*_calc!$CC$4:$CC$72*_calc!$CI$4:$CI$72)=0,"—",SUMPRODUCT((calc_state=$A79)*_calc!$CC$4:$CC$72*_calc!$CI$4:$CI$72*_calc!$BQ$4:$BQ$72)/SUMPRODUCT((calc_state=$A79)*_calc!$CC$4:$CC$72*_calc!$CI$4:$CI$72)),IF($P$16=0,"",IF(INDEX(_calc!$O:$O,$P$16)=0,"—",INDEX(_calc!$O:$O,$P$16+33)/INDEX(_calc!$O:$O,$P$16+21)-1))))</f>
        <v>-8.0539282207438001E-3</v>
      </c>
      <c r="I79" s="167">
        <f>IF($A79="","",IF(pf_BU="All",IF(SUMPRODUCT((calc_state=$A79)*_calc!$CD$4:$CD$72*_calc!$CI$4:$CI$72)=0,"—",SUMPRODUCT((calc_state=$A79)*_calc!$CD$4:$CD$72*_calc!$CI$4:$CI$72*_calc!$BR$4:$BR$72)/SUMPRODUCT((calc_state=$A79)*_calc!$CD$4:$CD$72*_calc!$CI$4:$CI$72)),IF($P$16=0,"",IF(INDEX(_calc!$O:$O,$P$16)=0,"—",INDEX(_calc!$O:$O,$P$16+34)/INDEX(_calc!$O:$O,$P$16+22)-1))))</f>
        <v>-8.0594411384788955E-3</v>
      </c>
      <c r="J79" s="167">
        <f>IF($A79="","",IF(pf_BU="All",IF(SUMPRODUCT((calc_state=$A79)*_calc!$CE$4:$CE$72*_calc!$CI$4:$CI$72)=0,"—",SUMPRODUCT((calc_state=$A79)*_calc!$CE$4:$CE$72*_calc!$CI$4:$CI$72*_calc!$BS$4:$BS$72)/SUMPRODUCT((calc_state=$A79)*_calc!$CE$4:$CE$72*_calc!$CI$4:$CI$72)),IF($P$16=0,"",IF(INDEX(_calc!$O:$O,$P$16)=0,"—",INDEX(_calc!$O:$O,$P$16+35)/INDEX(_calc!$O:$O,$P$16+23)-1))))</f>
        <v>-8.0648725087276718E-3</v>
      </c>
      <c r="K79" s="167">
        <f>IF($A79="","",IF(pf_BU="All",IF(SUMPRODUCT((calc_state=$A79)*_calc!$CF$4:$CF$72*_calc!$CI$4:$CI$72)=0,"—",SUMPRODUCT((calc_state=$A79)*_calc!$CF$4:$CF$72*_calc!$CI$4:$CI$72*_calc!$BT$4:$BT$72)/SUMPRODUCT((calc_state=$A79)*_calc!$CF$4:$CF$72*_calc!$CI$4:$CI$72)),IF($P$16=0,"",IF(INDEX(_calc!$O:$O,$P$16)=0,"—",INDEX(_calc!$O:$O,$P$16+36)/INDEX(_calc!$O:$O,$P$16+24)-1))))</f>
        <v>-8.0703112044664405E-3</v>
      </c>
      <c r="L79" s="167">
        <f>IF($A79="","",IF(pf_BU="All",IF(SUMPRODUCT((calc_state=$A79)*_calc!$CG$4:$CG$72*_calc!$CI$4:$CI$72)=0,"—",SUMPRODUCT((calc_state=$A79)*_calc!$CG$4:$CG$72*_calc!$CI$4:$CI$72*_calc!$BU$4:$BU$72)/SUMPRODUCT((calc_state=$A79)*_calc!$CG$4:$CG$72*_calc!$CI$4:$CI$72)),IF($P$16=0,"",IF(INDEX(_calc!$O:$O,$P$16)=0,"—",INDEX(_calc!$O:$O,$P$16+37)/INDEX(_calc!$O:$O,$P$16+25)-1))))</f>
        <v>-8.0757572405247835E-3</v>
      </c>
      <c r="M79" s="167">
        <f>IF($A79="","",IF(pf_BU="All",IF(SUMPRODUCT((calc_state=$A79)*_calc!$CH$4:$CH$72*_calc!$CI$4:$CI$72)=0,"—",SUMPRODUCT((calc_state=$A79)*_calc!$CH$4:$CH$72*_calc!$CI$4:$CI$72*_calc!$BV$4:$BV$72)/SUMPRODUCT((calc_state=$A79)*_calc!$CH$4:$CH$72*_calc!$CI$4:$CI$72)),IF($P$16=0,"",IF(INDEX(_calc!$O:$O,$P$16)=0,"—",INDEX(_calc!$O:$O,$P$16+38)/INDEX(_calc!$O:$O,$P$16+26)-1))))</f>
        <v>-8.0812106317735832E-3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4.0452850263497098E-3</v>
      </c>
      <c r="C80" s="167">
        <f>IF($A80="","",IF(pf_BU="All",IF(SUMPRODUCT((calc_state=$A80)*_calc!$BX$4:$BX$72*_calc!$CI$4:$CI$72)=0,"—",SUMPRODUCT((calc_state=$A80)*_calc!$BX$4:$BX$72*_calc!$CI$4:$CI$72*_calc!$BL$4:$BL$72)/SUMPRODUCT((calc_state=$A80)*_calc!$BX$4:$BX$72*_calc!$CI$4:$CI$72)),IF($P$17=0,"",IF(INDEX(_calc!$O:$O,$P$17)=0,"—",INDEX(_calc!$O:$O,$P$17+28)/INDEX(_calc!$O:$O,$P$17+16)-1))))</f>
        <v>4.0439628620176915E-3</v>
      </c>
      <c r="D80" s="167">
        <f>IF($A80="","",IF(pf_BU="All",IF(SUMPRODUCT((calc_state=$A80)*_calc!$BY$4:$BY$72*_calc!$CI$4:$CI$72)=0,"—",SUMPRODUCT((calc_state=$A80)*_calc!$BY$4:$BY$72*_calc!$CI$4:$CI$72*_calc!$BM$4:$BM$72)/SUMPRODUCT((calc_state=$A80)*_calc!$BY$4:$BY$72*_calc!$CI$4:$CI$72)),IF($P$17=0,"",IF(INDEX(_calc!$O:$O,$P$17)=0,"—",INDEX(_calc!$O:$O,$P$17+29)/INDEX(_calc!$O:$O,$P$17+17)-1))))</f>
        <v>4.0426415616778844E-3</v>
      </c>
      <c r="E80" s="167">
        <f>IF($A80="","",IF(pf_BU="All",IF(SUMPRODUCT((calc_state=$A80)*_calc!$BZ$4:$BZ$72*_calc!$CI$4:$CI$72)=0,"—",SUMPRODUCT((calc_state=$A80)*_calc!$BZ$4:$BZ$72*_calc!$CI$4:$CI$72*_calc!$BN$4:$BN$72)/SUMPRODUCT((calc_state=$A80)*_calc!$BZ$4:$BZ$72*_calc!$CI$4:$CI$72)),IF($P$17=0,"",IF(INDEX(_calc!$O:$O,$P$17)=0,"—",INDEX(_calc!$O:$O,$P$17+30)/INDEX(_calc!$O:$O,$P$17+18)-1))))</f>
        <v>4.0412763790163009E-3</v>
      </c>
      <c r="F80" s="167">
        <f>IF($A80="","",IF(pf_BU="All",IF(SUMPRODUCT((calc_state=$A80)*_calc!$CA$4:$CA$72*_calc!$CI$4:$CI$72)=0,"—",SUMPRODUCT((calc_state=$A80)*_calc!$CA$4:$CA$72*_calc!$CI$4:$CI$72*_calc!$BO$4:$BO$72)/SUMPRODUCT((calc_state=$A80)*_calc!$CA$4:$CA$72*_calc!$CI$4:$CI$72)),IF($P$17=0,"",IF(INDEX(_calc!$O:$O,$P$17)=0,"—",INDEX(_calc!$O:$O,$P$17+31)/INDEX(_calc!$O:$O,$P$17+19)-1))))</f>
        <v>4.0399121180760833E-3</v>
      </c>
      <c r="G80" s="167">
        <f>IF($A80="","",IF(pf_BU="All",IF(SUMPRODUCT((calc_state=$A80)*_calc!$CB$4:$CB$72*_calc!$CI$4:$CI$72)=0,"—",SUMPRODUCT((calc_state=$A80)*_calc!$CB$4:$CB$72*_calc!$CI$4:$CI$72*_calc!$BP$4:$BP$72)/SUMPRODUCT((calc_state=$A80)*_calc!$CB$4:$CB$72*_calc!$CI$4:$CI$72)),IF($P$17=0,"",IF(INDEX(_calc!$O:$O,$P$17)=0,"—",INDEX(_calc!$O:$O,$P$17+32)/INDEX(_calc!$O:$O,$P$17+20)-1))))</f>
        <v>4.0385487779239782E-3</v>
      </c>
      <c r="H80" s="167">
        <f>IF($A80="","",IF(pf_BU="All",IF(SUMPRODUCT((calc_state=$A80)*_calc!$CC$4:$CC$72*_calc!$CI$4:$CI$72)=0,"—",SUMPRODUCT((calc_state=$A80)*_calc!$CC$4:$CC$72*_calc!$CI$4:$CI$72*_calc!$BQ$4:$BQ$72)/SUMPRODUCT((calc_state=$A80)*_calc!$CC$4:$CC$72*_calc!$CI$4:$CI$72)),IF($P$17=0,"",IF(INDEX(_calc!$O:$O,$P$17)=0,"—",INDEX(_calc!$O:$O,$P$17+33)/INDEX(_calc!$O:$O,$P$17+21)-1))))</f>
        <v>4.0371863576282863E-3</v>
      </c>
      <c r="I80" s="167">
        <f>IF($A80="","",IF(pf_BU="All",IF(SUMPRODUCT((calc_state=$A80)*_calc!$CD$4:$CD$72*_calc!$CI$4:$CI$72)=0,"—",SUMPRODUCT((calc_state=$A80)*_calc!$CD$4:$CD$72*_calc!$CI$4:$CI$72*_calc!$BR$4:$BR$72)/SUMPRODUCT((calc_state=$A80)*_calc!$CD$4:$CD$72*_calc!$CI$4:$CI$72)),IF($P$17=0,"",IF(INDEX(_calc!$O:$O,$P$17)=0,"—",INDEX(_calc!$O:$O,$P$17+34)/INDEX(_calc!$O:$O,$P$17+22)-1))))</f>
        <v>4.0358025442142065E-3</v>
      </c>
      <c r="J80" s="167">
        <f>IF($A80="","",IF(pf_BU="All",IF(SUMPRODUCT((calc_state=$A80)*_calc!$CE$4:$CE$72*_calc!$CI$4:$CI$72)=0,"—",SUMPRODUCT((calc_state=$A80)*_calc!$CE$4:$CE$72*_calc!$CI$4:$CI$72*_calc!$BS$4:$BS$72)/SUMPRODUCT((calc_state=$A80)*_calc!$CE$4:$CE$72*_calc!$CI$4:$CI$72)),IF($P$17=0,"",IF(INDEX(_calc!$O:$O,$P$17)=0,"—",INDEX(_calc!$O:$O,$P$17+35)/INDEX(_calc!$O:$O,$P$17+23)-1))))</f>
        <v>4.034441975881764E-3</v>
      </c>
      <c r="K80" s="167">
        <f>IF($A80="","",IF(pf_BU="All",IF(SUMPRODUCT((calc_state=$A80)*_calc!$CF$4:$CF$72*_calc!$CI$4:$CI$72)=0,"—",SUMPRODUCT((calc_state=$A80)*_calc!$CF$4:$CF$72*_calc!$CI$4:$CI$72*_calc!$BT$4:$BT$72)/SUMPRODUCT((calc_state=$A80)*_calc!$CF$4:$CF$72*_calc!$CI$4:$CI$72)),IF($P$17=0,"",IF(INDEX(_calc!$O:$O,$P$17)=0,"—",INDEX(_calc!$O:$O,$P$17+36)/INDEX(_calc!$O:$O,$P$17+24)-1))))</f>
        <v>4.0330823246024217E-3</v>
      </c>
      <c r="L80" s="167">
        <f>IF($A80="","",IF(pf_BU="All",IF(SUMPRODUCT((calc_state=$A80)*_calc!$CG$4:$CG$72*_calc!$CI$4:$CI$72)=0,"—",SUMPRODUCT((calc_state=$A80)*_calc!$CG$4:$CG$72*_calc!$CI$4:$CI$72*_calc!$BU$4:$BU$72)/SUMPRODUCT((calc_state=$A80)*_calc!$CG$4:$CG$72*_calc!$CI$4:$CI$72)),IF($P$17=0,"",IF(INDEX(_calc!$O:$O,$P$17)=0,"—",INDEX(_calc!$O:$O,$P$17+37)/INDEX(_calc!$O:$O,$P$17+25)-1))))</f>
        <v>4.0317235894489212E-3</v>
      </c>
      <c r="M80" s="167">
        <f>IF($A80="","",IF(pf_BU="All",IF(SUMPRODUCT((calc_state=$A80)*_calc!$CH$4:$CH$72*_calc!$CI$4:$CI$72)=0,"—",SUMPRODUCT((calc_state=$A80)*_calc!$CH$4:$CH$72*_calc!$CI$4:$CI$72*_calc!$BV$4:$BV$72)/SUMPRODUCT((calc_state=$A80)*_calc!$CH$4:$CH$72*_calc!$CI$4:$CI$72)),IF($P$17=0,"",IF(INDEX(_calc!$O:$O,$P$17)=0,"—",INDEX(_calc!$O:$O,$P$17+38)/INDEX(_calc!$O:$O,$P$17+26)-1))))</f>
        <v>4.0303657694962247E-3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1.6320872831336208E-2</v>
      </c>
      <c r="C81" s="167">
        <f>IF($A81="","",IF(pf_BU="All",IF(SUMPRODUCT((calc_state=$A81)*_calc!$BX$4:$BX$72*_calc!$CI$4:$CI$72)=0,"—",SUMPRODUCT((calc_state=$A81)*_calc!$BX$4:$BX$72*_calc!$CI$4:$CI$72*_calc!$BL$4:$BL$72)/SUMPRODUCT((calc_state=$A81)*_calc!$BX$4:$BX$72*_calc!$CI$4:$CI$72)),IF($P$18=0,"",IF(INDEX(_calc!$O:$O,$P$18)=0,"—",INDEX(_calc!$O:$O,$P$18+28)/INDEX(_calc!$O:$O,$P$18+16)-1))))</f>
        <v>1.6299372585794947E-2</v>
      </c>
      <c r="D81" s="167">
        <f>IF($A81="","",IF(pf_BU="All",IF(SUMPRODUCT((calc_state=$A81)*_calc!$BY$4:$BY$72*_calc!$CI$4:$CI$72)=0,"—",SUMPRODUCT((calc_state=$A81)*_calc!$BY$4:$BY$72*_calc!$CI$4:$CI$72*_calc!$BM$4:$BM$72)/SUMPRODUCT((calc_state=$A81)*_calc!$BY$4:$BY$72*_calc!$CI$4:$CI$72)),IF($P$18=0,"",IF(INDEX(_calc!$O:$O,$P$18)=0,"—",INDEX(_calc!$O:$O,$P$18+29)/INDEX(_calc!$O:$O,$P$18+17)-1))))</f>
        <v>1.6277928912277639E-2</v>
      </c>
      <c r="E81" s="167">
        <f>IF($A81="","",IF(pf_BU="All",IF(SUMPRODUCT((calc_state=$A81)*_calc!$BZ$4:$BZ$72*_calc!$CI$4:$CI$72)=0,"—",SUMPRODUCT((calc_state=$A81)*_calc!$BZ$4:$BZ$72*_calc!$CI$4:$CI$72*_calc!$BN$4:$BN$72)/SUMPRODUCT((calc_state=$A81)*_calc!$BZ$4:$BZ$72*_calc!$CI$4:$CI$72)),IF($P$18=0,"",IF(INDEX(_calc!$O:$O,$P$18)=0,"—",INDEX(_calc!$O:$O,$P$18+30)/INDEX(_calc!$O:$O,$P$18+18)-1))))</f>
        <v>1.6255817578551213E-2</v>
      </c>
      <c r="F81" s="167">
        <f>IF($A81="","",IF(pf_BU="All",IF(SUMPRODUCT((calc_state=$A81)*_calc!$CA$4:$CA$72*_calc!$CI$4:$CI$72)=0,"—",SUMPRODUCT((calc_state=$A81)*_calc!$CA$4:$CA$72*_calc!$CI$4:$CI$72*_calc!$BO$4:$BO$72)/SUMPRODUCT((calc_state=$A81)*_calc!$CA$4:$CA$72*_calc!$CI$4:$CI$72)),IF($P$18=0,"",IF(INDEX(_calc!$O:$O,$P$18)=0,"—",INDEX(_calc!$O:$O,$P$18+31)/INDEX(_calc!$O:$O,$P$18+19)-1))))</f>
        <v>1.6233766233766378E-2</v>
      </c>
      <c r="G81" s="167">
        <f>IF($A81="","",IF(pf_BU="All",IF(SUMPRODUCT((calc_state=$A81)*_calc!$CB$4:$CB$72*_calc!$CI$4:$CI$72)=0,"—",SUMPRODUCT((calc_state=$A81)*_calc!$CB$4:$CB$72*_calc!$CI$4:$CI$72*_calc!$BP$4:$BP$72)/SUMPRODUCT((calc_state=$A81)*_calc!$CB$4:$CB$72*_calc!$CI$4:$CI$72)),IF($P$18=0,"",IF(INDEX(_calc!$O:$O,$P$18)=0,"—",INDEX(_calc!$O:$O,$P$18+32)/INDEX(_calc!$O:$O,$P$18+20)-1))))</f>
        <v>1.6211774634124598E-2</v>
      </c>
      <c r="H81" s="167">
        <f>IF($A81="","",IF(pf_BU="All",IF(SUMPRODUCT((calc_state=$A81)*_calc!$CC$4:$CC$72*_calc!$CI$4:$CI$72)=0,"—",SUMPRODUCT((calc_state=$A81)*_calc!$CC$4:$CC$72*_calc!$CI$4:$CI$72*_calc!$BQ$4:$BQ$72)/SUMPRODUCT((calc_state=$A81)*_calc!$CC$4:$CC$72*_calc!$CI$4:$CI$72)),IF($P$18=0,"",IF(INDEX(_calc!$O:$O,$P$18)=0,"—",INDEX(_calc!$O:$O,$P$18+33)/INDEX(_calc!$O:$O,$P$18+21)-1))))</f>
        <v>1.6189842537148058E-2</v>
      </c>
      <c r="I81" s="167">
        <f>IF($A81="","",IF(pf_BU="All",IF(SUMPRODUCT((calc_state=$A81)*_calc!$CD$4:$CD$72*_calc!$CI$4:$CI$72)=0,"—",SUMPRODUCT((calc_state=$A81)*_calc!$CD$4:$CD$72*_calc!$CI$4:$CI$72*_calc!$BR$4:$BR$72)/SUMPRODUCT((calc_state=$A81)*_calc!$CD$4:$CD$72*_calc!$CI$4:$CI$72)),IF($P$18=0,"",IF(INDEX(_calc!$O:$O,$P$18)=0,"—",INDEX(_calc!$O:$O,$P$18+34)/INDEX(_calc!$O:$O,$P$18+22)-1))))</f>
        <v>1.6167611622962541E-2</v>
      </c>
      <c r="J81" s="167">
        <f>IF($A81="","",IF(pf_BU="All",IF(SUMPRODUCT((calc_state=$A81)*_calc!$CE$4:$CE$72*_calc!$CI$4:$CI$72)=0,"—",SUMPRODUCT((calc_state=$A81)*_calc!$CE$4:$CE$72*_calc!$CI$4:$CI$72*_calc!$BS$4:$BS$72)/SUMPRODUCT((calc_state=$A81)*_calc!$CE$4:$CE$72*_calc!$CI$4:$CI$72)),IF($P$18=0,"",IF(INDEX(_calc!$O:$O,$P$18)=0,"—",INDEX(_calc!$O:$O,$P$18+35)/INDEX(_calc!$O:$O,$P$18+23)-1))))</f>
        <v>1.6145798774688691E-2</v>
      </c>
      <c r="K81" s="167">
        <f>IF($A81="","",IF(pf_BU="All",IF(SUMPRODUCT((calc_state=$A81)*_calc!$CF$4:$CF$72*_calc!$CI$4:$CI$72)=0,"—",SUMPRODUCT((calc_state=$A81)*_calc!$CF$4:$CF$72*_calc!$CI$4:$CI$72*_calc!$BT$4:$BT$72)/SUMPRODUCT((calc_state=$A81)*_calc!$CF$4:$CF$72*_calc!$CI$4:$CI$72)),IF($P$18=0,"",IF(INDEX(_calc!$O:$O,$P$18)=0,"—",INDEX(_calc!$O:$O,$P$18+36)/INDEX(_calc!$O:$O,$P$18+24)-1))))</f>
        <v>1.6124044705570606E-2</v>
      </c>
      <c r="L81" s="167">
        <f>IF($A81="","",IF(pf_BU="All",IF(SUMPRODUCT((calc_state=$A81)*_calc!$CG$4:$CG$72*_calc!$CI$4:$CI$72)=0,"—",SUMPRODUCT((calc_state=$A81)*_calc!$CG$4:$CG$72*_calc!$CI$4:$CI$72*_calc!$BU$4:$BU$72)/SUMPRODUCT((calc_state=$A81)*_calc!$CG$4:$CG$72*_calc!$CI$4:$CI$72)),IF($P$18=0,"",IF(INDEX(_calc!$O:$O,$P$18)=0,"—",INDEX(_calc!$O:$O,$P$18+37)/INDEX(_calc!$O:$O,$P$18+25)-1))))</f>
        <v>1.6102349178338971E-2</v>
      </c>
      <c r="M81" s="167">
        <f>IF($A81="","",IF(pf_BU="All",IF(SUMPRODUCT((calc_state=$A81)*_calc!$CH$4:$CH$72*_calc!$CI$4:$CI$72)=0,"—",SUMPRODUCT((calc_state=$A81)*_calc!$CH$4:$CH$72*_calc!$CI$4:$CI$72*_calc!$BV$4:$BV$72)/SUMPRODUCT((calc_state=$A81)*_calc!$CH$4:$CH$72*_calc!$CI$4:$CI$72)),IF($P$18=0,"",IF(INDEX(_calc!$O:$O,$P$18)=0,"—",INDEX(_calc!$O:$O,$P$18+38)/INDEX(_calc!$O:$O,$P$18+26)-1))))</f>
        <v>1.608071195700056E-2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1.2205520908224576E-2</v>
      </c>
      <c r="C83" s="167">
        <f>IF($A83="","",IF(pf_BU="All",IF(SUMPRODUCT((calc_state=$A83)*_calc!$BX$4:$BX$72*_calc!$CI$4:$CI$72)=0,"—",SUMPRODUCT((calc_state=$A83)*_calc!$BX$4:$BX$72*_calc!$CI$4:$CI$72*_calc!$BL$4:$BL$72)/SUMPRODUCT((calc_state=$A83)*_calc!$BX$4:$BX$72*_calc!$CI$4:$CI$72)),IF($P$20=0,"",IF(INDEX(_calc!$O:$O,$P$20)=0,"—",INDEX(_calc!$O:$O,$P$20+28)/INDEX(_calc!$O:$O,$P$20+16)-1))))</f>
        <v>1.2193492349836355E-2</v>
      </c>
      <c r="D83" s="167">
        <f>IF($A83="","",IF(pf_BU="All",IF(SUMPRODUCT((calc_state=$A83)*_calc!$BY$4:$BY$72*_calc!$CI$4:$CI$72)=0,"—",SUMPRODUCT((calc_state=$A83)*_calc!$BY$4:$BY$72*_calc!$CI$4:$CI$72*_calc!$BM$4:$BM$72)/SUMPRODUCT((calc_state=$A83)*_calc!$BY$4:$BY$72*_calc!$CI$4:$CI$72)),IF($P$20=0,"",IF(INDEX(_calc!$O:$O,$P$20)=0,"—",INDEX(_calc!$O:$O,$P$20+29)/INDEX(_calc!$O:$O,$P$20+17)-1))))</f>
        <v>1.2181487476429442E-2</v>
      </c>
      <c r="E83" s="167">
        <f>IF($A83="","",IF(pf_BU="All",IF(SUMPRODUCT((calc_state=$A83)*_calc!$BZ$4:$BZ$72*_calc!$CI$4:$CI$72)=0,"—",SUMPRODUCT((calc_state=$A83)*_calc!$BZ$4:$BZ$72*_calc!$CI$4:$CI$72*_calc!$BN$4:$BN$72)/SUMPRODUCT((calc_state=$A83)*_calc!$BZ$4:$BZ$72*_calc!$CI$4:$CI$72)),IF($P$20=0,"",IF(INDEX(_calc!$O:$O,$P$20)=0,"—",INDEX(_calc!$O:$O,$P$20+30)/INDEX(_calc!$O:$O,$P$20+18)-1))))</f>
        <v>1.2169100486763895E-2</v>
      </c>
      <c r="F83" s="167">
        <f>IF($A83="","",IF(pf_BU="All",IF(SUMPRODUCT((calc_state=$A83)*_calc!$CA$4:$CA$72*_calc!$CI$4:$CI$72)=0,"—",SUMPRODUCT((calc_state=$A83)*_calc!$CA$4:$CA$72*_calc!$CI$4:$CI$72*_calc!$BO$4:$BO$72)/SUMPRODUCT((calc_state=$A83)*_calc!$CA$4:$CA$72*_calc!$CI$4:$CI$72)),IF($P$20=0,"",IF(INDEX(_calc!$O:$O,$P$20)=0,"—",INDEX(_calc!$O:$O,$P$20+31)/INDEX(_calc!$O:$O,$P$20+19)-1))))</f>
        <v>1.2156738663424926E-2</v>
      </c>
      <c r="G83" s="167">
        <f>IF($A83="","",IF(pf_BU="All",IF(SUMPRODUCT((calc_state=$A83)*_calc!$CB$4:$CB$72*_calc!$CI$4:$CI$72)=0,"—",SUMPRODUCT((calc_state=$A83)*_calc!$CB$4:$CB$72*_calc!$CI$4:$CI$72*_calc!$BP$4:$BP$72)/SUMPRODUCT((calc_state=$A83)*_calc!$CB$4:$CB$72*_calc!$CI$4:$CI$72)),IF($P$20=0,"",IF(INDEX(_calc!$O:$O,$P$20)=0,"—",INDEX(_calc!$O:$O,$P$20+32)/INDEX(_calc!$O:$O,$P$20+20)-1))))</f>
        <v>1.2144401929795379E-2</v>
      </c>
      <c r="H83" s="167">
        <f>IF($A83="","",IF(pf_BU="All",IF(SUMPRODUCT((calc_state=$A83)*_calc!$CC$4:$CC$72*_calc!$CI$4:$CI$72)=0,"—",SUMPRODUCT((calc_state=$A83)*_calc!$CC$4:$CC$72*_calc!$CI$4:$CI$72*_calc!$BQ$4:$BQ$72)/SUMPRODUCT((calc_state=$A83)*_calc!$CC$4:$CC$72*_calc!$CI$4:$CI$72)),IF($P$20=0,"",IF(INDEX(_calc!$O:$O,$P$20)=0,"—",INDEX(_calc!$O:$O,$P$20+33)/INDEX(_calc!$O:$O,$P$20+21)-1))))</f>
        <v>1.213209020956918E-2</v>
      </c>
      <c r="I83" s="167">
        <f>IF($A83="","",IF(pf_BU="All",IF(SUMPRODUCT((calc_state=$A83)*_calc!$CD$4:$CD$72*_calc!$CI$4:$CI$72)=0,"—",SUMPRODUCT((calc_state=$A83)*_calc!$CD$4:$CD$72*_calc!$CI$4:$CI$72*_calc!$BR$4:$BR$72)/SUMPRODUCT((calc_state=$A83)*_calc!$CD$4:$CD$72*_calc!$CI$4:$CI$72)),IF($P$20=0,"",IF(INDEX(_calc!$O:$O,$P$20)=0,"—",INDEX(_calc!$O:$O,$P$20+34)/INDEX(_calc!$O:$O,$P$20+22)-1))))</f>
        <v>1.2119602211412284E-2</v>
      </c>
      <c r="J83" s="167">
        <f>IF($A83="","",IF(pf_BU="All",IF(SUMPRODUCT((calc_state=$A83)*_calc!$CE$4:$CE$72*_calc!$CI$4:$CI$72)=0,"—",SUMPRODUCT((calc_state=$A83)*_calc!$CE$4:$CE$72*_calc!$CI$4:$CI$72*_calc!$BS$4:$BS$72)/SUMPRODUCT((calc_state=$A83)*_calc!$CE$4:$CE$72*_calc!$CI$4:$CI$72)),IF($P$20=0,"",IF(INDEX(_calc!$O:$O,$P$20)=0,"—",INDEX(_calc!$O:$O,$P$20+35)/INDEX(_calc!$O:$O,$P$20+23)-1))))</f>
        <v>1.2107340697250057E-2</v>
      </c>
      <c r="K83" s="167">
        <f>IF($A83="","",IF(pf_BU="All",IF(SUMPRODUCT((calc_state=$A83)*_calc!$CF$4:$CF$72*_calc!$CI$4:$CI$72)=0,"—",SUMPRODUCT((calc_state=$A83)*_calc!$CF$4:$CF$72*_calc!$CI$4:$CI$72*_calc!$BT$4:$BT$72)/SUMPRODUCT((calc_state=$A83)*_calc!$CF$4:$CF$72*_calc!$CI$4:$CI$72)),IF($P$20=0,"",IF(INDEX(_calc!$O:$O,$P$20)=0,"—",INDEX(_calc!$O:$O,$P$20+36)/INDEX(_calc!$O:$O,$P$20+24)-1))))</f>
        <v>1.2095103968188248E-2</v>
      </c>
      <c r="L83" s="167">
        <f>IF($A83="","",IF(pf_BU="All",IF(SUMPRODUCT((calc_state=$A83)*_calc!$CG$4:$CG$72*_calc!$CI$4:$CI$72)=0,"—",SUMPRODUCT((calc_state=$A83)*_calc!$CG$4:$CG$72*_calc!$CI$4:$CI$72*_calc!$BU$4:$BU$72)/SUMPRODUCT((calc_state=$A83)*_calc!$CG$4:$CG$72*_calc!$CI$4:$CI$72)),IF($P$20=0,"",IF(INDEX(_calc!$O:$O,$P$20)=0,"—",INDEX(_calc!$O:$O,$P$20+37)/INDEX(_calc!$O:$O,$P$20+25)-1))))</f>
        <v>1.2082891949152463E-2</v>
      </c>
      <c r="M83" s="167">
        <f>IF($A83="","",IF(pf_BU="All",IF(SUMPRODUCT((calc_state=$A83)*_calc!$CH$4:$CH$72*_calc!$CI$4:$CI$72)=0,"—",SUMPRODUCT((calc_state=$A83)*_calc!$CH$4:$CH$72*_calc!$CI$4:$CI$72*_calc!$BV$4:$BV$72)/SUMPRODUCT((calc_state=$A83)*_calc!$CH$4:$CH$72*_calc!$CI$4:$CI$72)),IF($P$20=0,"",IF(INDEX(_calc!$O:$O,$P$20)=0,"—",INDEX(_calc!$O:$O,$P$20+38)/INDEX(_calc!$O:$O,$P$20+26)-1))))</f>
        <v>1.207070456537207E-2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-4.0223266680258218E-3</v>
      </c>
      <c r="C84" s="167">
        <f>IF($A84="","",IF(pf_BU="All",IF(SUMPRODUCT((calc_state=$A84)*_calc!$BX$4:$BX$72*_calc!$CI$4:$CI$72)=0,"—",SUMPRODUCT((calc_state=$A84)*_calc!$BX$4:$BX$72*_calc!$CI$4:$CI$72*_calc!$BL$4:$BL$72)/SUMPRODUCT((calc_state=$A84)*_calc!$BX$4:$BX$72*_calc!$CI$4:$CI$72)),IF($P$21=0,"",IF(INDEX(_calc!$O:$O,$P$21)=0,"—",INDEX(_calc!$O:$O,$P$21+28)/INDEX(_calc!$O:$O,$P$21+16)-1))))</f>
        <v>-4.0236347201093592E-3</v>
      </c>
      <c r="D84" s="167">
        <f>IF($A84="","",IF(pf_BU="All",IF(SUMPRODUCT((calc_state=$A84)*_calc!$BY$4:$BY$72*_calc!$CI$4:$CI$72)=0,"—",SUMPRODUCT((calc_state=$A84)*_calc!$BY$4:$BY$72*_calc!$CI$4:$CI$72*_calc!$BM$4:$BM$72)/SUMPRODUCT((calc_state=$A84)*_calc!$BY$4:$BY$72*_calc!$CI$4:$CI$72)),IF($P$21=0,"",IF(INDEX(_calc!$O:$O,$P$21)=0,"—",INDEX(_calc!$O:$O,$P$21+29)/INDEX(_calc!$O:$O,$P$21+17)-1))))</f>
        <v>-4.0249436232211444E-3</v>
      </c>
      <c r="E84" s="167">
        <f>IF($A84="","",IF(pf_BU="All",IF(SUMPRODUCT((calc_state=$A84)*_calc!$BZ$4:$BZ$72*_calc!$CI$4:$CI$72)=0,"—",SUMPRODUCT((calc_state=$A84)*_calc!$BZ$4:$BZ$72*_calc!$CI$4:$CI$72*_calc!$BN$4:$BN$72)/SUMPRODUCT((calc_state=$A84)*_calc!$BZ$4:$BZ$72*_calc!$CI$4:$CI$72)),IF($P$21=0,"",IF(INDEX(_calc!$O:$O,$P$21)=0,"—",INDEX(_calc!$O:$O,$P$21+30)/INDEX(_calc!$O:$O,$P$21+18)-1))))</f>
        <v>-4.0262977916032394E-3</v>
      </c>
      <c r="F84" s="167">
        <f>IF($A84="","",IF(pf_BU="All",IF(SUMPRODUCT((calc_state=$A84)*_calc!$CA$4:$CA$72*_calc!$CI$4:$CI$72)=0,"—",SUMPRODUCT((calc_state=$A84)*_calc!$CA$4:$CA$72*_calc!$CI$4:$CI$72*_calc!$BO$4:$BO$72)/SUMPRODUCT((calc_state=$A84)*_calc!$CA$4:$CA$72*_calc!$CI$4:$CI$72)),IF($P$21=0,"",IF(INDEX(_calc!$O:$O,$P$21)=0,"—",INDEX(_calc!$O:$O,$P$21+31)/INDEX(_calc!$O:$O,$P$21+19)-1))))</f>
        <v>-4.0276528714957571E-3</v>
      </c>
      <c r="G84" s="167">
        <f>IF($A84="","",IF(pf_BU="All",IF(SUMPRODUCT((calc_state=$A84)*_calc!$CB$4:$CB$72*_calc!$CI$4:$CI$72)=0,"—",SUMPRODUCT((calc_state=$A84)*_calc!$CB$4:$CB$72*_calc!$CI$4:$CI$72*_calc!$BP$4:$BP$72)/SUMPRODUCT((calc_state=$A84)*_calc!$CB$4:$CB$72*_calc!$CI$4:$CI$72)),IF($P$21=0,"",IF(INDEX(_calc!$O:$O,$P$21)=0,"—",INDEX(_calc!$O:$O,$P$21+32)/INDEX(_calc!$O:$O,$P$21+20)-1))))</f>
        <v>-4.0290088638195165E-3</v>
      </c>
      <c r="H84" s="167">
        <f>IF($A84="","",IF(pf_BU="All",IF(SUMPRODUCT((calc_state=$A84)*_calc!$CC$4:$CC$72*_calc!$CI$4:$CI$72)=0,"—",SUMPRODUCT((calc_state=$A84)*_calc!$CC$4:$CC$72*_calc!$CI$4:$CI$72*_calc!$BQ$4:$BQ$72)/SUMPRODUCT((calc_state=$A84)*_calc!$CC$4:$CC$72*_calc!$CI$4:$CI$72)),IF($P$21=0,"",IF(INDEX(_calc!$O:$O,$P$21)=0,"—",INDEX(_calc!$O:$O,$P$21+33)/INDEX(_calc!$O:$O,$P$21+21)-1))))</f>
        <v>-4.0303657694962247E-3</v>
      </c>
      <c r="I84" s="167">
        <f>IF($A84="","",IF(pf_BU="All",IF(SUMPRODUCT((calc_state=$A84)*_calc!$CD$4:$CD$72*_calc!$CI$4:$CI$72)=0,"—",SUMPRODUCT((calc_state=$A84)*_calc!$CD$4:$CD$72*_calc!$CI$4:$CI$72*_calc!$BR$4:$BR$72)/SUMPRODUCT((calc_state=$A84)*_calc!$CD$4:$CD$72*_calc!$CI$4:$CI$72)),IF($P$21=0,"",IF(INDEX(_calc!$O:$O,$P$21)=0,"—",INDEX(_calc!$O:$O,$P$21+34)/INDEX(_calc!$O:$O,$P$21+22)-1))))</f>
        <v>-4.0317458564146369E-3</v>
      </c>
      <c r="J84" s="167">
        <f>IF($A84="","",IF(pf_BU="All",IF(SUMPRODUCT((calc_state=$A84)*_calc!$CE$4:$CE$72*_calc!$CI$4:$CI$72)=0,"—",SUMPRODUCT((calc_state=$A84)*_calc!$CE$4:$CE$72*_calc!$CI$4:$CI$72*_calc!$BS$4:$BS$72)/SUMPRODUCT((calc_state=$A84)*_calc!$CE$4:$CE$72*_calc!$CI$4:$CI$72)),IF($P$21=0,"",IF(INDEX(_calc!$O:$O,$P$21)=0,"—",INDEX(_calc!$O:$O,$P$21+35)/INDEX(_calc!$O:$O,$P$21+23)-1))))</f>
        <v>-4.0331046065790188E-3</v>
      </c>
      <c r="K84" s="167">
        <f>IF($A84="","",IF(pf_BU="All",IF(SUMPRODUCT((calc_state=$A84)*_calc!$CF$4:$CF$72*_calc!$CI$4:$CI$72)=0,"—",SUMPRODUCT((calc_state=$A84)*_calc!$CF$4:$CF$72*_calc!$CI$4:$CI$72*_calc!$BT$4:$BT$72)/SUMPRODUCT((calc_state=$A84)*_calc!$CF$4:$CF$72*_calc!$CI$4:$CI$72)),IF($P$21=0,"",IF(INDEX(_calc!$O:$O,$P$21)=0,"—",INDEX(_calc!$O:$O,$P$21+36)/INDEX(_calc!$O:$O,$P$21+24)-1))))</f>
        <v>-4.0344642728845637E-3</v>
      </c>
      <c r="L84" s="167">
        <f>IF($A84="","",IF(pf_BU="All",IF(SUMPRODUCT((calc_state=$A84)*_calc!$CG$4:$CG$72*_calc!$CI$4:$CI$72)=0,"—",SUMPRODUCT((calc_state=$A84)*_calc!$CG$4:$CG$72*_calc!$CI$4:$CI$72*_calc!$BU$4:$BU$72)/SUMPRODUCT((calc_state=$A84)*_calc!$CG$4:$CG$72*_calc!$CI$4:$CI$72)),IF($P$21=0,"",IF(INDEX(_calc!$O:$O,$P$21)=0,"—",INDEX(_calc!$O:$O,$P$21+37)/INDEX(_calc!$O:$O,$P$21+25)-1))))</f>
        <v>-4.0358248562583077E-3</v>
      </c>
      <c r="M84" s="167">
        <f>IF($A84="","",IF(pf_BU="All",IF(SUMPRODUCT((calc_state=$A84)*_calc!$CH$4:$CH$72*_calc!$CI$4:$CI$72)=0,"—",SUMPRODUCT((calc_state=$A84)*_calc!$CH$4:$CH$72*_calc!$CI$4:$CI$72*_calc!$BV$4:$BV$72)/SUMPRODUCT((calc_state=$A84)*_calc!$CH$4:$CH$72*_calc!$CI$4:$CI$72)),IF($P$21=0,"",IF(INDEX(_calc!$O:$O,$P$21)=0,"—",INDEX(_calc!$O:$O,$P$21+38)/INDEX(_calc!$O:$O,$P$21+26)-1))))</f>
        <v>-4.0371863576282863E-3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8.1137255337830894E-3</v>
      </c>
      <c r="C85" s="167">
        <f>IF($A85="","",IF(pf_BU="All",IF(SUMPRODUCT((calc_state=$A85)*_calc!$BX$4:$BX$72*_calc!$CI$4:$CI$72)=0,"—",SUMPRODUCT((calc_state=$A85)*_calc!$BX$4:$BX$72*_calc!$CI$4:$CI$72*_calc!$BL$4:$BL$72)/SUMPRODUCT((calc_state=$A85)*_calc!$BX$4:$BX$72*_calc!$CI$4:$CI$72)),IF($P$22=0,"",IF(INDEX(_calc!$O:$O,$P$22)=0,"—",INDEX(_calc!$O:$O,$P$22+28)/INDEX(_calc!$O:$O,$P$22+16)-1))))</f>
        <v>8.1084083083415859E-3</v>
      </c>
      <c r="D85" s="167">
        <f>IF($A85="","",IF(pf_BU="All",IF(SUMPRODUCT((calc_state=$A85)*_calc!$BY$4:$BY$72*_calc!$CI$4:$CI$72)=0,"—",SUMPRODUCT((calc_state=$A85)*_calc!$BY$4:$BY$72*_calc!$CI$4:$CI$72*_calc!$BM$4:$BM$72)/SUMPRODUCT((calc_state=$A85)*_calc!$BY$4:$BY$72*_calc!$CI$4:$CI$72)),IF($P$22=0,"",IF(INDEX(_calc!$O:$O,$P$22)=0,"—",INDEX(_calc!$O:$O,$P$22+29)/INDEX(_calc!$O:$O,$P$22+17)-1))))</f>
        <v>8.1030980474863235E-3</v>
      </c>
      <c r="E85" s="167">
        <f>IF($A85="","",IF(pf_BU="All",IF(SUMPRODUCT((calc_state=$A85)*_calc!$BZ$4:$BZ$72*_calc!$CI$4:$CI$72)=0,"—",SUMPRODUCT((calc_state=$A85)*_calc!$BZ$4:$BZ$72*_calc!$CI$4:$CI$72*_calc!$BN$4:$BN$72)/SUMPRODUCT((calc_state=$A85)*_calc!$BZ$4:$BZ$72*_calc!$CI$4:$CI$72)),IF($P$22=0,"",IF(INDEX(_calc!$O:$O,$P$22)=0,"—",INDEX(_calc!$O:$O,$P$22+30)/INDEX(_calc!$O:$O,$P$22+18)-1))))</f>
        <v>8.0976150859677354E-3</v>
      </c>
      <c r="F85" s="167">
        <f>IF($A85="","",IF(pf_BU="All",IF(SUMPRODUCT((calc_state=$A85)*_calc!$CA$4:$CA$72*_calc!$CI$4:$CI$72)=0,"—",SUMPRODUCT((calc_state=$A85)*_calc!$CA$4:$CA$72*_calc!$CI$4:$CI$72*_calc!$BO$4:$BO$72)/SUMPRODUCT((calc_state=$A85)*_calc!$CA$4:$CA$72*_calc!$CI$4:$CI$72)),IF($P$22=0,"",IF(INDEX(_calc!$O:$O,$P$22)=0,"—",INDEX(_calc!$O:$O,$P$22+31)/INDEX(_calc!$O:$O,$P$22+19)-1))))</f>
        <v>8.0921395395239237E-3</v>
      </c>
      <c r="G85" s="167">
        <f>IF($A85="","",IF(pf_BU="All",IF(SUMPRODUCT((calc_state=$A85)*_calc!$CB$4:$CB$72*_calc!$CI$4:$CI$72)=0,"—",SUMPRODUCT((calc_state=$A85)*_calc!$CB$4:$CB$72*_calc!$CI$4:$CI$72*_calc!$BP$4:$BP$72)/SUMPRODUCT((calc_state=$A85)*_calc!$CB$4:$CB$72*_calc!$CI$4:$CI$72)),IF($P$22=0,"",IF(INDEX(_calc!$O:$O,$P$22)=0,"—",INDEX(_calc!$O:$O,$P$22+32)/INDEX(_calc!$O:$O,$P$22+20)-1))))</f>
        <v>8.0866713931229128E-3</v>
      </c>
      <c r="H85" s="167">
        <f>IF($A85="","",IF(pf_BU="All",IF(SUMPRODUCT((calc_state=$A85)*_calc!$CC$4:$CC$72*_calc!$CI$4:$CI$72)=0,"—",SUMPRODUCT((calc_state=$A85)*_calc!$CC$4:$CC$72*_calc!$CI$4:$CI$72*_calc!$BQ$4:$BQ$72)/SUMPRODUCT((calc_state=$A85)*_calc!$CC$4:$CC$72*_calc!$CI$4:$CI$72)),IF($P$22=0,"",IF(INDEX(_calc!$O:$O,$P$22)=0,"—",INDEX(_calc!$O:$O,$P$22+33)/INDEX(_calc!$O:$O,$P$22+21)-1))))</f>
        <v>8.0812106317735832E-3</v>
      </c>
      <c r="I85" s="167">
        <f>IF($A85="","",IF(pf_BU="All",IF(SUMPRODUCT((calc_state=$A85)*_calc!$CD$4:$CD$72*_calc!$CI$4:$CI$72)=0,"—",SUMPRODUCT((calc_state=$A85)*_calc!$CD$4:$CD$72*_calc!$CI$4:$CI$72*_calc!$BR$4:$BR$72)/SUMPRODUCT((calc_state=$A85)*_calc!$CD$4:$CD$72*_calc!$CI$4:$CI$72)),IF($P$22=0,"",IF(INDEX(_calc!$O:$O,$P$22)=0,"—",INDEX(_calc!$O:$O,$P$22+34)/INDEX(_calc!$O:$O,$P$22+22)-1))))</f>
        <v>8.0756679019857724E-3</v>
      </c>
      <c r="J85" s="167">
        <f>IF($A85="","",IF(pf_BU="All",IF(SUMPRODUCT((calc_state=$A85)*_calc!$CE$4:$CE$72*_calc!$CI$4:$CI$72)=0,"—",SUMPRODUCT((calc_state=$A85)*_calc!$CE$4:$CE$72*_calc!$CI$4:$CI$72*_calc!$BS$4:$BS$72)/SUMPRODUCT((calc_state=$A85)*_calc!$CE$4:$CE$72*_calc!$CI$4:$CI$72)),IF($P$22=0,"",IF(INDEX(_calc!$O:$O,$P$22)=0,"—",INDEX(_calc!$O:$O,$P$22+35)/INDEX(_calc!$O:$O,$P$22+23)-1))))</f>
        <v>8.0702219863801883E-3</v>
      </c>
      <c r="K85" s="167">
        <f>IF($A85="","",IF(pf_BU="All",IF(SUMPRODUCT((calc_state=$A85)*_calc!$CF$4:$CF$72*_calc!$CI$4:$CI$72)=0,"—",SUMPRODUCT((calc_state=$A85)*_calc!$CF$4:$CF$72*_calc!$CI$4:$CI$72*_calc!$BT$4:$BT$72)/SUMPRODUCT((calc_state=$A85)*_calc!$CF$4:$CF$72*_calc!$CI$4:$CI$72)),IF($P$22=0,"",IF(INDEX(_calc!$O:$O,$P$22)=0,"—",INDEX(_calc!$O:$O,$P$22+36)/INDEX(_calc!$O:$O,$P$22+24)-1))))</f>
        <v>8.0647834108511507E-3</v>
      </c>
      <c r="L85" s="167">
        <f>IF($A85="","",IF(pf_BU="All",IF(SUMPRODUCT((calc_state=$A85)*_calc!$CG$4:$CG$72*_calc!$CI$4:$CI$72)=0,"—",SUMPRODUCT((calc_state=$A85)*_calc!$CG$4:$CG$72*_calc!$CI$4:$CI$72*_calc!$BU$4:$BU$72)/SUMPRODUCT((calc_state=$A85)*_calc!$CG$4:$CG$72*_calc!$CI$4:$CI$72)),IF($P$22=0,"",IF(INDEX(_calc!$O:$O,$P$22)=0,"—",INDEX(_calc!$O:$O,$P$22+37)/INDEX(_calc!$O:$O,$P$22+25)-1))))</f>
        <v>8.0593521605687446E-3</v>
      </c>
      <c r="M85" s="167">
        <f>IF($A85="","",IF(pf_BU="All",IF(SUMPRODUCT((calc_state=$A85)*_calc!$CH$4:$CH$72*_calc!$CI$4:$CI$72)=0,"—",SUMPRODUCT((calc_state=$A85)*_calc!$CH$4:$CH$72*_calc!$CI$4:$CI$72*_calc!$BV$4:$BV$72)/SUMPRODUCT((calc_state=$A85)*_calc!$CH$4:$CH$72*_calc!$CI$4:$CI$72)),IF($P$22=0,"",IF(INDEX(_calc!$O:$O,$P$22)=0,"—",INDEX(_calc!$O:$O,$P$22+38)/INDEX(_calc!$O:$O,$P$22+26)-1))))</f>
        <v>8.0539282207439111E-3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-8.0218898693420471E-3</v>
      </c>
      <c r="C86" s="167">
        <f>IF($A86="","",IF(pf_BU="All",IF(SUMPRODUCT((calc_state=$A86)*_calc!$BX$4:$BX$72*_calc!$CI$4:$CI$72)=0,"—",SUMPRODUCT((calc_state=$A86)*_calc!$BX$4:$BX$72*_calc!$CI$4:$CI$72*_calc!$BL$4:$BL$72)/SUMPRODUCT((calc_state=$A86)*_calc!$BX$4:$BX$72*_calc!$CI$4:$CI$72)),IF($P$23=0,"",IF(INDEX(_calc!$O:$O,$P$23)=0,"—",INDEX(_calc!$O:$O,$P$23+28)/INDEX(_calc!$O:$O,$P$23+16)-1))))</f>
        <v>-8.0270941919025063E-3</v>
      </c>
      <c r="D86" s="167">
        <f>IF($A86="","",IF(pf_BU="All",IF(SUMPRODUCT((calc_state=$A86)*_calc!$BY$4:$BY$72*_calc!$CI$4:$CI$72)=0,"—",SUMPRODUCT((calc_state=$A86)*_calc!$BY$4:$BY$72*_calc!$CI$4:$CI$72*_calc!$BM$4:$BM$72)/SUMPRODUCT((calc_state=$A86)*_calc!$BY$4:$BY$72*_calc!$CI$4:$CI$72)),IF($P$23=0,"",IF(INDEX(_calc!$O:$O,$P$23)=0,"—",INDEX(_calc!$O:$O,$P$23+29)/INDEX(_calc!$O:$O,$P$23+17)-1))))</f>
        <v>-8.0323052716129162E-3</v>
      </c>
      <c r="E86" s="167">
        <f>IF($A86="","",IF(pf_BU="All",IF(SUMPRODUCT((calc_state=$A86)*_calc!$BZ$4:$BZ$72*_calc!$CI$4:$CI$72)=0,"—",SUMPRODUCT((calc_state=$A86)*_calc!$BZ$4:$BZ$72*_calc!$CI$4:$CI$72*_calc!$BN$4:$BN$72)/SUMPRODUCT((calc_state=$A86)*_calc!$BZ$4:$BZ$72*_calc!$CI$4:$CI$72)),IF($P$23=0,"",IF(INDEX(_calc!$O:$O,$P$23)=0,"—",INDEX(_calc!$O:$O,$P$23+30)/INDEX(_calc!$O:$O,$P$23+18)-1))))</f>
        <v>-8.0377001167117879E-3</v>
      </c>
      <c r="F86" s="167">
        <f>IF($A86="","",IF(pf_BU="All",IF(SUMPRODUCT((calc_state=$A86)*_calc!$CA$4:$CA$72*_calc!$CI$4:$CI$72)=0,"—",SUMPRODUCT((calc_state=$A86)*_calc!$CA$4:$CA$72*_calc!$CI$4:$CI$72*_calc!$BO$4:$BO$72)/SUMPRODUCT((calc_state=$A86)*_calc!$CA$4:$CA$72*_calc!$CI$4:$CI$72)),IF($P$23=0,"",IF(INDEX(_calc!$O:$O,$P$23)=0,"—",INDEX(_calc!$O:$O,$P$23+31)/INDEX(_calc!$O:$O,$P$23+19)-1))))</f>
        <v>-8.0431022135057928E-3</v>
      </c>
      <c r="G86" s="167">
        <f>IF($A86="","",IF(pf_BU="All",IF(SUMPRODUCT((calc_state=$A86)*_calc!$CB$4:$CB$72*_calc!$CI$4:$CI$72)=0,"—",SUMPRODUCT((calc_state=$A86)*_calc!$CB$4:$CB$72*_calc!$CI$4:$CI$72*_calc!$BP$4:$BP$72)/SUMPRODUCT((calc_state=$A86)*_calc!$CB$4:$CB$72*_calc!$CI$4:$CI$72)),IF($P$23=0,"",IF(INDEX(_calc!$O:$O,$P$23)=0,"—",INDEX(_calc!$O:$O,$P$23+32)/INDEX(_calc!$O:$O,$P$23+20)-1))))</f>
        <v>-8.0485115766262272E-3</v>
      </c>
      <c r="H86" s="167">
        <f>IF($A86="","",IF(pf_BU="All",IF(SUMPRODUCT((calc_state=$A86)*_calc!$CC$4:$CC$72*_calc!$CI$4:$CI$72)=0,"—",SUMPRODUCT((calc_state=$A86)*_calc!$CC$4:$CC$72*_calc!$CI$4:$CI$72*_calc!$BQ$4:$BQ$72)/SUMPRODUCT((calc_state=$A86)*_calc!$CC$4:$CC$72*_calc!$CI$4:$CI$72)),IF($P$23=0,"",IF(INDEX(_calc!$O:$O,$P$23)=0,"—",INDEX(_calc!$O:$O,$P$23+33)/INDEX(_calc!$O:$O,$P$23+21)-1))))</f>
        <v>-8.0539282207438001E-3</v>
      </c>
      <c r="I86" s="167">
        <f>IF($A86="","",IF(pf_BU="All",IF(SUMPRODUCT((calc_state=$A86)*_calc!$CD$4:$CD$72*_calc!$CI$4:$CI$72)=0,"—",SUMPRODUCT((calc_state=$A86)*_calc!$CD$4:$CD$72*_calc!$CI$4:$CI$72*_calc!$BR$4:$BR$72)/SUMPRODUCT((calc_state=$A86)*_calc!$CD$4:$CD$72*_calc!$CI$4:$CI$72)),IF($P$23=0,"",IF(INDEX(_calc!$O:$O,$P$23)=0,"—",INDEX(_calc!$O:$O,$P$23+34)/INDEX(_calc!$O:$O,$P$23+22)-1))))</f>
        <v>-8.0594411384788955E-3</v>
      </c>
      <c r="J86" s="167">
        <f>IF($A86="","",IF(pf_BU="All",IF(SUMPRODUCT((calc_state=$A86)*_calc!$CE$4:$CE$72*_calc!$CI$4:$CI$72)=0,"—",SUMPRODUCT((calc_state=$A86)*_calc!$CE$4:$CE$72*_calc!$CI$4:$CI$72*_calc!$BS$4:$BS$72)/SUMPRODUCT((calc_state=$A86)*_calc!$CE$4:$CE$72*_calc!$CI$4:$CI$72)),IF($P$23=0,"",IF(INDEX(_calc!$O:$O,$P$23)=0,"—",INDEX(_calc!$O:$O,$P$23+35)/INDEX(_calc!$O:$O,$P$23+23)-1))))</f>
        <v>-8.0648725087276718E-3</v>
      </c>
      <c r="K86" s="167">
        <f>IF($A86="","",IF(pf_BU="All",IF(SUMPRODUCT((calc_state=$A86)*_calc!$CF$4:$CF$72*_calc!$CI$4:$CI$72)=0,"—",SUMPRODUCT((calc_state=$A86)*_calc!$CF$4:$CF$72*_calc!$CI$4:$CI$72*_calc!$BT$4:$BT$72)/SUMPRODUCT((calc_state=$A86)*_calc!$CF$4:$CF$72*_calc!$CI$4:$CI$72)),IF($P$23=0,"",IF(INDEX(_calc!$O:$O,$P$23)=0,"—",INDEX(_calc!$O:$O,$P$23+36)/INDEX(_calc!$O:$O,$P$23+24)-1))))</f>
        <v>-8.0703112044664405E-3</v>
      </c>
      <c r="L86" s="167">
        <f>IF($A86="","",IF(pf_BU="All",IF(SUMPRODUCT((calc_state=$A86)*_calc!$CG$4:$CG$72*_calc!$CI$4:$CI$72)=0,"—",SUMPRODUCT((calc_state=$A86)*_calc!$CG$4:$CG$72*_calc!$CI$4:$CI$72*_calc!$BU$4:$BU$72)/SUMPRODUCT((calc_state=$A86)*_calc!$CG$4:$CG$72*_calc!$CI$4:$CI$72)),IF($P$23=0,"",IF(INDEX(_calc!$O:$O,$P$23)=0,"—",INDEX(_calc!$O:$O,$P$23+37)/INDEX(_calc!$O:$O,$P$23+25)-1))))</f>
        <v>-8.0757572405247835E-3</v>
      </c>
      <c r="M86" s="167">
        <f>IF($A86="","",IF(pf_BU="All",IF(SUMPRODUCT((calc_state=$A86)*_calc!$CH$4:$CH$72*_calc!$CI$4:$CI$72)=0,"—",SUMPRODUCT((calc_state=$A86)*_calc!$CH$4:$CH$72*_calc!$CI$4:$CI$72*_calc!$BV$4:$BV$72)/SUMPRODUCT((calc_state=$A86)*_calc!$CH$4:$CH$72*_calc!$CI$4:$CI$72)),IF($P$23=0,"",IF(INDEX(_calc!$O:$O,$P$23)=0,"—",INDEX(_calc!$O:$O,$P$23+38)/INDEX(_calc!$O:$O,$P$23+26)-1))))</f>
        <v>-8.0812106317735832E-3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4.0452850263497098E-3</v>
      </c>
      <c r="C87" s="167">
        <f>IF($A87="","",IF(pf_BU="All",IF(SUMPRODUCT((calc_state=$A87)*_calc!$BX$4:$BX$72*_calc!$CI$4:$CI$72)=0,"—",SUMPRODUCT((calc_state=$A87)*_calc!$BX$4:$BX$72*_calc!$CI$4:$CI$72*_calc!$BL$4:$BL$72)/SUMPRODUCT((calc_state=$A87)*_calc!$BX$4:$BX$72*_calc!$CI$4:$CI$72)),IF($P$24=0,"",IF(INDEX(_calc!$O:$O,$P$24)=0,"—",INDEX(_calc!$O:$O,$P$24+28)/INDEX(_calc!$O:$O,$P$24+16)-1))))</f>
        <v>4.0439628620176915E-3</v>
      </c>
      <c r="D87" s="167">
        <f>IF($A87="","",IF(pf_BU="All",IF(SUMPRODUCT((calc_state=$A87)*_calc!$BY$4:$BY$72*_calc!$CI$4:$CI$72)=0,"—",SUMPRODUCT((calc_state=$A87)*_calc!$BY$4:$BY$72*_calc!$CI$4:$CI$72*_calc!$BM$4:$BM$72)/SUMPRODUCT((calc_state=$A87)*_calc!$BY$4:$BY$72*_calc!$CI$4:$CI$72)),IF($P$24=0,"",IF(INDEX(_calc!$O:$O,$P$24)=0,"—",INDEX(_calc!$O:$O,$P$24+29)/INDEX(_calc!$O:$O,$P$24+17)-1))))</f>
        <v>4.0426415616778844E-3</v>
      </c>
      <c r="E87" s="167">
        <f>IF($A87="","",IF(pf_BU="All",IF(SUMPRODUCT((calc_state=$A87)*_calc!$BZ$4:$BZ$72*_calc!$CI$4:$CI$72)=0,"—",SUMPRODUCT((calc_state=$A87)*_calc!$BZ$4:$BZ$72*_calc!$CI$4:$CI$72*_calc!$BN$4:$BN$72)/SUMPRODUCT((calc_state=$A87)*_calc!$BZ$4:$BZ$72*_calc!$CI$4:$CI$72)),IF($P$24=0,"",IF(INDEX(_calc!$O:$O,$P$24)=0,"—",INDEX(_calc!$O:$O,$P$24+30)/INDEX(_calc!$O:$O,$P$24+18)-1))))</f>
        <v>4.0412763790163009E-3</v>
      </c>
      <c r="F87" s="167">
        <f>IF($A87="","",IF(pf_BU="All",IF(SUMPRODUCT((calc_state=$A87)*_calc!$CA$4:$CA$72*_calc!$CI$4:$CI$72)=0,"—",SUMPRODUCT((calc_state=$A87)*_calc!$CA$4:$CA$72*_calc!$CI$4:$CI$72*_calc!$BO$4:$BO$72)/SUMPRODUCT((calc_state=$A87)*_calc!$CA$4:$CA$72*_calc!$CI$4:$CI$72)),IF($P$24=0,"",IF(INDEX(_calc!$O:$O,$P$24)=0,"—",INDEX(_calc!$O:$O,$P$24+31)/INDEX(_calc!$O:$O,$P$24+19)-1))))</f>
        <v>4.0399121180760833E-3</v>
      </c>
      <c r="G87" s="167">
        <f>IF($A87="","",IF(pf_BU="All",IF(SUMPRODUCT((calc_state=$A87)*_calc!$CB$4:$CB$72*_calc!$CI$4:$CI$72)=0,"—",SUMPRODUCT((calc_state=$A87)*_calc!$CB$4:$CB$72*_calc!$CI$4:$CI$72*_calc!$BP$4:$BP$72)/SUMPRODUCT((calc_state=$A87)*_calc!$CB$4:$CB$72*_calc!$CI$4:$CI$72)),IF($P$24=0,"",IF(INDEX(_calc!$O:$O,$P$24)=0,"—",INDEX(_calc!$O:$O,$P$24+32)/INDEX(_calc!$O:$O,$P$24+20)-1))))</f>
        <v>4.0385487779239782E-3</v>
      </c>
      <c r="H87" s="167">
        <f>IF($A87="","",IF(pf_BU="All",IF(SUMPRODUCT((calc_state=$A87)*_calc!$CC$4:$CC$72*_calc!$CI$4:$CI$72)=0,"—",SUMPRODUCT((calc_state=$A87)*_calc!$CC$4:$CC$72*_calc!$CI$4:$CI$72*_calc!$BQ$4:$BQ$72)/SUMPRODUCT((calc_state=$A87)*_calc!$CC$4:$CC$72*_calc!$CI$4:$CI$72)),IF($P$24=0,"",IF(INDEX(_calc!$O:$O,$P$24)=0,"—",INDEX(_calc!$O:$O,$P$24+33)/INDEX(_calc!$O:$O,$P$24+21)-1))))</f>
        <v>4.0371863576282863E-3</v>
      </c>
      <c r="I87" s="167">
        <f>IF($A87="","",IF(pf_BU="All",IF(SUMPRODUCT((calc_state=$A87)*_calc!$CD$4:$CD$72*_calc!$CI$4:$CI$72)=0,"—",SUMPRODUCT((calc_state=$A87)*_calc!$CD$4:$CD$72*_calc!$CI$4:$CI$72*_calc!$BR$4:$BR$72)/SUMPRODUCT((calc_state=$A87)*_calc!$CD$4:$CD$72*_calc!$CI$4:$CI$72)),IF($P$24=0,"",IF(INDEX(_calc!$O:$O,$P$24)=0,"—",INDEX(_calc!$O:$O,$P$24+34)/INDEX(_calc!$O:$O,$P$24+22)-1))))</f>
        <v>4.0358025442142065E-3</v>
      </c>
      <c r="J87" s="167">
        <f>IF($A87="","",IF(pf_BU="All",IF(SUMPRODUCT((calc_state=$A87)*_calc!$CE$4:$CE$72*_calc!$CI$4:$CI$72)=0,"—",SUMPRODUCT((calc_state=$A87)*_calc!$CE$4:$CE$72*_calc!$CI$4:$CI$72*_calc!$BS$4:$BS$72)/SUMPRODUCT((calc_state=$A87)*_calc!$CE$4:$CE$72*_calc!$CI$4:$CI$72)),IF($P$24=0,"",IF(INDEX(_calc!$O:$O,$P$24)=0,"—",INDEX(_calc!$O:$O,$P$24+35)/INDEX(_calc!$O:$O,$P$24+23)-1))))</f>
        <v>4.034441975881764E-3</v>
      </c>
      <c r="K87" s="167">
        <f>IF($A87="","",IF(pf_BU="All",IF(SUMPRODUCT((calc_state=$A87)*_calc!$CF$4:$CF$72*_calc!$CI$4:$CI$72)=0,"—",SUMPRODUCT((calc_state=$A87)*_calc!$CF$4:$CF$72*_calc!$CI$4:$CI$72*_calc!$BT$4:$BT$72)/SUMPRODUCT((calc_state=$A87)*_calc!$CF$4:$CF$72*_calc!$CI$4:$CI$72)),IF($P$24=0,"",IF(INDEX(_calc!$O:$O,$P$24)=0,"—",INDEX(_calc!$O:$O,$P$24+36)/INDEX(_calc!$O:$O,$P$24+24)-1))))</f>
        <v>4.0330823246024217E-3</v>
      </c>
      <c r="L87" s="167">
        <f>IF($A87="","",IF(pf_BU="All",IF(SUMPRODUCT((calc_state=$A87)*_calc!$CG$4:$CG$72*_calc!$CI$4:$CI$72)=0,"—",SUMPRODUCT((calc_state=$A87)*_calc!$CG$4:$CG$72*_calc!$CI$4:$CI$72*_calc!$BU$4:$BU$72)/SUMPRODUCT((calc_state=$A87)*_calc!$CG$4:$CG$72*_calc!$CI$4:$CI$72)),IF($P$24=0,"",IF(INDEX(_calc!$O:$O,$P$24)=0,"—",INDEX(_calc!$O:$O,$P$24+37)/INDEX(_calc!$O:$O,$P$24+25)-1))))</f>
        <v>4.0317235894489212E-3</v>
      </c>
      <c r="M87" s="167">
        <f>IF($A87="","",IF(pf_BU="All",IF(SUMPRODUCT((calc_state=$A87)*_calc!$CH$4:$CH$72*_calc!$CI$4:$CI$72)=0,"—",SUMPRODUCT((calc_state=$A87)*_calc!$CH$4:$CH$72*_calc!$CI$4:$CI$72*_calc!$BV$4:$BV$72)/SUMPRODUCT((calc_state=$A87)*_calc!$CH$4:$CH$72*_calc!$CI$4:$CI$72)),IF($P$24=0,"",IF(INDEX(_calc!$O:$O,$P$24)=0,"—",INDEX(_calc!$O:$O,$P$24+38)/INDEX(_calc!$O:$O,$P$24+26)-1))))</f>
        <v>4.0303657694962247E-3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1.6320872831336208E-2</v>
      </c>
      <c r="C88" s="167">
        <f>IF($A88="","",IF(pf_BU="All",IF(SUMPRODUCT((calc_state=$A88)*_calc!$BX$4:$BX$72*_calc!$CI$4:$CI$72)=0,"—",SUMPRODUCT((calc_state=$A88)*_calc!$BX$4:$BX$72*_calc!$CI$4:$CI$72*_calc!$BL$4:$BL$72)/SUMPRODUCT((calc_state=$A88)*_calc!$BX$4:$BX$72*_calc!$CI$4:$CI$72)),IF($P$25=0,"",IF(INDEX(_calc!$O:$O,$P$25)=0,"—",INDEX(_calc!$O:$O,$P$25+28)/INDEX(_calc!$O:$O,$P$25+16)-1))))</f>
        <v>1.6299372585794947E-2</v>
      </c>
      <c r="D88" s="167">
        <f>IF($A88="","",IF(pf_BU="All",IF(SUMPRODUCT((calc_state=$A88)*_calc!$BY$4:$BY$72*_calc!$CI$4:$CI$72)=0,"—",SUMPRODUCT((calc_state=$A88)*_calc!$BY$4:$BY$72*_calc!$CI$4:$CI$72*_calc!$BM$4:$BM$72)/SUMPRODUCT((calc_state=$A88)*_calc!$BY$4:$BY$72*_calc!$CI$4:$CI$72)),IF($P$25=0,"",IF(INDEX(_calc!$O:$O,$P$25)=0,"—",INDEX(_calc!$O:$O,$P$25+29)/INDEX(_calc!$O:$O,$P$25+17)-1))))</f>
        <v>1.6277928912277639E-2</v>
      </c>
      <c r="E88" s="167">
        <f>IF($A88="","",IF(pf_BU="All",IF(SUMPRODUCT((calc_state=$A88)*_calc!$BZ$4:$BZ$72*_calc!$CI$4:$CI$72)=0,"—",SUMPRODUCT((calc_state=$A88)*_calc!$BZ$4:$BZ$72*_calc!$CI$4:$CI$72*_calc!$BN$4:$BN$72)/SUMPRODUCT((calc_state=$A88)*_calc!$BZ$4:$BZ$72*_calc!$CI$4:$CI$72)),IF($P$25=0,"",IF(INDEX(_calc!$O:$O,$P$25)=0,"—",INDEX(_calc!$O:$O,$P$25+30)/INDEX(_calc!$O:$O,$P$25+18)-1))))</f>
        <v>1.6255817578551213E-2</v>
      </c>
      <c r="F88" s="167">
        <f>IF($A88="","",IF(pf_BU="All",IF(SUMPRODUCT((calc_state=$A88)*_calc!$CA$4:$CA$72*_calc!$CI$4:$CI$72)=0,"—",SUMPRODUCT((calc_state=$A88)*_calc!$CA$4:$CA$72*_calc!$CI$4:$CI$72*_calc!$BO$4:$BO$72)/SUMPRODUCT((calc_state=$A88)*_calc!$CA$4:$CA$72*_calc!$CI$4:$CI$72)),IF($P$25=0,"",IF(INDEX(_calc!$O:$O,$P$25)=0,"—",INDEX(_calc!$O:$O,$P$25+31)/INDEX(_calc!$O:$O,$P$25+19)-1))))</f>
        <v>1.6233766233766378E-2</v>
      </c>
      <c r="G88" s="167">
        <f>IF($A88="","",IF(pf_BU="All",IF(SUMPRODUCT((calc_state=$A88)*_calc!$CB$4:$CB$72*_calc!$CI$4:$CI$72)=0,"—",SUMPRODUCT((calc_state=$A88)*_calc!$CB$4:$CB$72*_calc!$CI$4:$CI$72*_calc!$BP$4:$BP$72)/SUMPRODUCT((calc_state=$A88)*_calc!$CB$4:$CB$72*_calc!$CI$4:$CI$72)),IF($P$25=0,"",IF(INDEX(_calc!$O:$O,$P$25)=0,"—",INDEX(_calc!$O:$O,$P$25+32)/INDEX(_calc!$O:$O,$P$25+20)-1))))</f>
        <v>1.6211774634124598E-2</v>
      </c>
      <c r="H88" s="167">
        <f>IF($A88="","",IF(pf_BU="All",IF(SUMPRODUCT((calc_state=$A88)*_calc!$CC$4:$CC$72*_calc!$CI$4:$CI$72)=0,"—",SUMPRODUCT((calc_state=$A88)*_calc!$CC$4:$CC$72*_calc!$CI$4:$CI$72*_calc!$BQ$4:$BQ$72)/SUMPRODUCT((calc_state=$A88)*_calc!$CC$4:$CC$72*_calc!$CI$4:$CI$72)),IF($P$25=0,"",IF(INDEX(_calc!$O:$O,$P$25)=0,"—",INDEX(_calc!$O:$O,$P$25+33)/INDEX(_calc!$O:$O,$P$25+21)-1))))</f>
        <v>1.6189842537148058E-2</v>
      </c>
      <c r="I88" s="167">
        <f>IF($A88="","",IF(pf_BU="All",IF(SUMPRODUCT((calc_state=$A88)*_calc!$CD$4:$CD$72*_calc!$CI$4:$CI$72)=0,"—",SUMPRODUCT((calc_state=$A88)*_calc!$CD$4:$CD$72*_calc!$CI$4:$CI$72*_calc!$BR$4:$BR$72)/SUMPRODUCT((calc_state=$A88)*_calc!$CD$4:$CD$72*_calc!$CI$4:$CI$72)),IF($P$25=0,"",IF(INDEX(_calc!$O:$O,$P$25)=0,"—",INDEX(_calc!$O:$O,$P$25+34)/INDEX(_calc!$O:$O,$P$25+22)-1))))</f>
        <v>1.6167611622962541E-2</v>
      </c>
      <c r="J88" s="167">
        <f>IF($A88="","",IF(pf_BU="All",IF(SUMPRODUCT((calc_state=$A88)*_calc!$CE$4:$CE$72*_calc!$CI$4:$CI$72)=0,"—",SUMPRODUCT((calc_state=$A88)*_calc!$CE$4:$CE$72*_calc!$CI$4:$CI$72*_calc!$BS$4:$BS$72)/SUMPRODUCT((calc_state=$A88)*_calc!$CE$4:$CE$72*_calc!$CI$4:$CI$72)),IF($P$25=0,"",IF(INDEX(_calc!$O:$O,$P$25)=0,"—",INDEX(_calc!$O:$O,$P$25+35)/INDEX(_calc!$O:$O,$P$25+23)-1))))</f>
        <v>1.6145798774688691E-2</v>
      </c>
      <c r="K88" s="167">
        <f>IF($A88="","",IF(pf_BU="All",IF(SUMPRODUCT((calc_state=$A88)*_calc!$CF$4:$CF$72*_calc!$CI$4:$CI$72)=0,"—",SUMPRODUCT((calc_state=$A88)*_calc!$CF$4:$CF$72*_calc!$CI$4:$CI$72*_calc!$BT$4:$BT$72)/SUMPRODUCT((calc_state=$A88)*_calc!$CF$4:$CF$72*_calc!$CI$4:$CI$72)),IF($P$25=0,"",IF(INDEX(_calc!$O:$O,$P$25)=0,"—",INDEX(_calc!$O:$O,$P$25+36)/INDEX(_calc!$O:$O,$P$25+24)-1))))</f>
        <v>1.6124044705570606E-2</v>
      </c>
      <c r="L88" s="167">
        <f>IF($A88="","",IF(pf_BU="All",IF(SUMPRODUCT((calc_state=$A88)*_calc!$CG$4:$CG$72*_calc!$CI$4:$CI$72)=0,"—",SUMPRODUCT((calc_state=$A88)*_calc!$CG$4:$CG$72*_calc!$CI$4:$CI$72*_calc!$BU$4:$BU$72)/SUMPRODUCT((calc_state=$A88)*_calc!$CG$4:$CG$72*_calc!$CI$4:$CI$72)),IF($P$25=0,"",IF(INDEX(_calc!$O:$O,$P$25)=0,"—",INDEX(_calc!$O:$O,$P$25+37)/INDEX(_calc!$O:$O,$P$25+25)-1))))</f>
        <v>1.6102349178338971E-2</v>
      </c>
      <c r="M88" s="167">
        <f>IF($A88="","",IF(pf_BU="All",IF(SUMPRODUCT((calc_state=$A88)*_calc!$CH$4:$CH$72*_calc!$CI$4:$CI$72)=0,"—",SUMPRODUCT((calc_state=$A88)*_calc!$CH$4:$CH$72*_calc!$CI$4:$CI$72*_calc!$BV$4:$BV$72)/SUMPRODUCT((calc_state=$A88)*_calc!$CH$4:$CH$72*_calc!$CI$4:$CI$72)),IF($P$25=0,"",IF(INDEX(_calc!$O:$O,$P$25)=0,"—",INDEX(_calc!$O:$O,$P$25+38)/INDEX(_calc!$O:$O,$P$25+26)-1))))</f>
        <v>1.608071195700056E-2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1.2205520908224576E-2</v>
      </c>
      <c r="C90" s="167">
        <f>IF($A90="","",IF(pf_BU="All",IF(SUMPRODUCT((calc_state=$A90)*_calc!$BX$4:$BX$72*_calc!$CI$4:$CI$72)=0,"—",SUMPRODUCT((calc_state=$A90)*_calc!$BX$4:$BX$72*_calc!$CI$4:$CI$72*_calc!$BL$4:$BL$72)/SUMPRODUCT((calc_state=$A90)*_calc!$BX$4:$BX$72*_calc!$CI$4:$CI$72)),IF($P$27=0,"",IF(INDEX(_calc!$O:$O,$P$27)=0,"—",INDEX(_calc!$O:$O,$P$27+28)/INDEX(_calc!$O:$O,$P$27+16)-1))))</f>
        <v>1.2193492349836355E-2</v>
      </c>
      <c r="D90" s="167">
        <f>IF($A90="","",IF(pf_BU="All",IF(SUMPRODUCT((calc_state=$A90)*_calc!$BY$4:$BY$72*_calc!$CI$4:$CI$72)=0,"—",SUMPRODUCT((calc_state=$A90)*_calc!$BY$4:$BY$72*_calc!$CI$4:$CI$72*_calc!$BM$4:$BM$72)/SUMPRODUCT((calc_state=$A90)*_calc!$BY$4:$BY$72*_calc!$CI$4:$CI$72)),IF($P$27=0,"",IF(INDEX(_calc!$O:$O,$P$27)=0,"—",INDEX(_calc!$O:$O,$P$27+29)/INDEX(_calc!$O:$O,$P$27+17)-1))))</f>
        <v>1.2181487476429442E-2</v>
      </c>
      <c r="E90" s="167">
        <f>IF($A90="","",IF(pf_BU="All",IF(SUMPRODUCT((calc_state=$A90)*_calc!$BZ$4:$BZ$72*_calc!$CI$4:$CI$72)=0,"—",SUMPRODUCT((calc_state=$A90)*_calc!$BZ$4:$BZ$72*_calc!$CI$4:$CI$72*_calc!$BN$4:$BN$72)/SUMPRODUCT((calc_state=$A90)*_calc!$BZ$4:$BZ$72*_calc!$CI$4:$CI$72)),IF($P$27=0,"",IF(INDEX(_calc!$O:$O,$P$27)=0,"—",INDEX(_calc!$O:$O,$P$27+30)/INDEX(_calc!$O:$O,$P$27+18)-1))))</f>
        <v>1.2169100486763895E-2</v>
      </c>
      <c r="F90" s="167">
        <f>IF($A90="","",IF(pf_BU="All",IF(SUMPRODUCT((calc_state=$A90)*_calc!$CA$4:$CA$72*_calc!$CI$4:$CI$72)=0,"—",SUMPRODUCT((calc_state=$A90)*_calc!$CA$4:$CA$72*_calc!$CI$4:$CI$72*_calc!$BO$4:$BO$72)/SUMPRODUCT((calc_state=$A90)*_calc!$CA$4:$CA$72*_calc!$CI$4:$CI$72)),IF($P$27=0,"",IF(INDEX(_calc!$O:$O,$P$27)=0,"—",INDEX(_calc!$O:$O,$P$27+31)/INDEX(_calc!$O:$O,$P$27+19)-1))))</f>
        <v>1.2156738663424926E-2</v>
      </c>
      <c r="G90" s="167">
        <f>IF($A90="","",IF(pf_BU="All",IF(SUMPRODUCT((calc_state=$A90)*_calc!$CB$4:$CB$72*_calc!$CI$4:$CI$72)=0,"—",SUMPRODUCT((calc_state=$A90)*_calc!$CB$4:$CB$72*_calc!$CI$4:$CI$72*_calc!$BP$4:$BP$72)/SUMPRODUCT((calc_state=$A90)*_calc!$CB$4:$CB$72*_calc!$CI$4:$CI$72)),IF($P$27=0,"",IF(INDEX(_calc!$O:$O,$P$27)=0,"—",INDEX(_calc!$O:$O,$P$27+32)/INDEX(_calc!$O:$O,$P$27+20)-1))))</f>
        <v>1.2144401929795379E-2</v>
      </c>
      <c r="H90" s="167">
        <f>IF($A90="","",IF(pf_BU="All",IF(SUMPRODUCT((calc_state=$A90)*_calc!$CC$4:$CC$72*_calc!$CI$4:$CI$72)=0,"—",SUMPRODUCT((calc_state=$A90)*_calc!$CC$4:$CC$72*_calc!$CI$4:$CI$72*_calc!$BQ$4:$BQ$72)/SUMPRODUCT((calc_state=$A90)*_calc!$CC$4:$CC$72*_calc!$CI$4:$CI$72)),IF($P$27=0,"",IF(INDEX(_calc!$O:$O,$P$27)=0,"—",INDEX(_calc!$O:$O,$P$27+33)/INDEX(_calc!$O:$O,$P$27+21)-1))))</f>
        <v>1.213209020956918E-2</v>
      </c>
      <c r="I90" s="167">
        <f>IF($A90="","",IF(pf_BU="All",IF(SUMPRODUCT((calc_state=$A90)*_calc!$CD$4:$CD$72*_calc!$CI$4:$CI$72)=0,"—",SUMPRODUCT((calc_state=$A90)*_calc!$CD$4:$CD$72*_calc!$CI$4:$CI$72*_calc!$BR$4:$BR$72)/SUMPRODUCT((calc_state=$A90)*_calc!$CD$4:$CD$72*_calc!$CI$4:$CI$72)),IF($P$27=0,"",IF(INDEX(_calc!$O:$O,$P$27)=0,"—",INDEX(_calc!$O:$O,$P$27+34)/INDEX(_calc!$O:$O,$P$27+22)-1))))</f>
        <v>1.2119602211412284E-2</v>
      </c>
      <c r="J90" s="167">
        <f>IF($A90="","",IF(pf_BU="All",IF(SUMPRODUCT((calc_state=$A90)*_calc!$CE$4:$CE$72*_calc!$CI$4:$CI$72)=0,"—",SUMPRODUCT((calc_state=$A90)*_calc!$CE$4:$CE$72*_calc!$CI$4:$CI$72*_calc!$BS$4:$BS$72)/SUMPRODUCT((calc_state=$A90)*_calc!$CE$4:$CE$72*_calc!$CI$4:$CI$72)),IF($P$27=0,"",IF(INDEX(_calc!$O:$O,$P$27)=0,"—",INDEX(_calc!$O:$O,$P$27+35)/INDEX(_calc!$O:$O,$P$27+23)-1))))</f>
        <v>1.2107340697250057E-2</v>
      </c>
      <c r="K90" s="167">
        <f>IF($A90="","",IF(pf_BU="All",IF(SUMPRODUCT((calc_state=$A90)*_calc!$CF$4:$CF$72*_calc!$CI$4:$CI$72)=0,"—",SUMPRODUCT((calc_state=$A90)*_calc!$CF$4:$CF$72*_calc!$CI$4:$CI$72*_calc!$BT$4:$BT$72)/SUMPRODUCT((calc_state=$A90)*_calc!$CF$4:$CF$72*_calc!$CI$4:$CI$72)),IF($P$27=0,"",IF(INDEX(_calc!$O:$O,$P$27)=0,"—",INDEX(_calc!$O:$O,$P$27+36)/INDEX(_calc!$O:$O,$P$27+24)-1))))</f>
        <v>1.2095103968188248E-2</v>
      </c>
      <c r="L90" s="167">
        <f>IF($A90="","",IF(pf_BU="All",IF(SUMPRODUCT((calc_state=$A90)*_calc!$CG$4:$CG$72*_calc!$CI$4:$CI$72)=0,"—",SUMPRODUCT((calc_state=$A90)*_calc!$CG$4:$CG$72*_calc!$CI$4:$CI$72*_calc!$BU$4:$BU$72)/SUMPRODUCT((calc_state=$A90)*_calc!$CG$4:$CG$72*_calc!$CI$4:$CI$72)),IF($P$27=0,"",IF(INDEX(_calc!$O:$O,$P$27)=0,"—",INDEX(_calc!$O:$O,$P$27+37)/INDEX(_calc!$O:$O,$P$27+25)-1))))</f>
        <v>1.2082891949152463E-2</v>
      </c>
      <c r="M90" s="167">
        <f>IF($A90="","",IF(pf_BU="All",IF(SUMPRODUCT((calc_state=$A90)*_calc!$CH$4:$CH$72*_calc!$CI$4:$CI$72)=0,"—",SUMPRODUCT((calc_state=$A90)*_calc!$CH$4:$CH$72*_calc!$CI$4:$CI$72*_calc!$BV$4:$BV$72)/SUMPRODUCT((calc_state=$A90)*_calc!$CH$4:$CH$72*_calc!$CI$4:$CI$72)),IF($P$27=0,"",IF(INDEX(_calc!$O:$O,$P$27)=0,"—",INDEX(_calc!$O:$O,$P$27+38)/INDEX(_calc!$O:$O,$P$27+26)-1))))</f>
        <v>1.207070456537207E-2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-4.0223266680258218E-3</v>
      </c>
      <c r="C91" s="167">
        <f>IF($A91="","",IF(pf_BU="All",IF(SUMPRODUCT((calc_state=$A91)*_calc!$BX$4:$BX$72*_calc!$CI$4:$CI$72)=0,"—",SUMPRODUCT((calc_state=$A91)*_calc!$BX$4:$BX$72*_calc!$CI$4:$CI$72*_calc!$BL$4:$BL$72)/SUMPRODUCT((calc_state=$A91)*_calc!$BX$4:$BX$72*_calc!$CI$4:$CI$72)),IF($P$28=0,"",IF(INDEX(_calc!$O:$O,$P$28)=0,"—",INDEX(_calc!$O:$O,$P$28+28)/INDEX(_calc!$O:$O,$P$28+16)-1))))</f>
        <v>-4.0236347201093592E-3</v>
      </c>
      <c r="D91" s="167">
        <f>IF($A91="","",IF(pf_BU="All",IF(SUMPRODUCT((calc_state=$A91)*_calc!$BY$4:$BY$72*_calc!$CI$4:$CI$72)=0,"—",SUMPRODUCT((calc_state=$A91)*_calc!$BY$4:$BY$72*_calc!$CI$4:$CI$72*_calc!$BM$4:$BM$72)/SUMPRODUCT((calc_state=$A91)*_calc!$BY$4:$BY$72*_calc!$CI$4:$CI$72)),IF($P$28=0,"",IF(INDEX(_calc!$O:$O,$P$28)=0,"—",INDEX(_calc!$O:$O,$P$28+29)/INDEX(_calc!$O:$O,$P$28+17)-1))))</f>
        <v>-4.0249436232211444E-3</v>
      </c>
      <c r="E91" s="167">
        <f>IF($A91="","",IF(pf_BU="All",IF(SUMPRODUCT((calc_state=$A91)*_calc!$BZ$4:$BZ$72*_calc!$CI$4:$CI$72)=0,"—",SUMPRODUCT((calc_state=$A91)*_calc!$BZ$4:$BZ$72*_calc!$CI$4:$CI$72*_calc!$BN$4:$BN$72)/SUMPRODUCT((calc_state=$A91)*_calc!$BZ$4:$BZ$72*_calc!$CI$4:$CI$72)),IF($P$28=0,"",IF(INDEX(_calc!$O:$O,$P$28)=0,"—",INDEX(_calc!$O:$O,$P$28+30)/INDEX(_calc!$O:$O,$P$28+18)-1))))</f>
        <v>-4.0262977916032394E-3</v>
      </c>
      <c r="F91" s="167">
        <f>IF($A91="","",IF(pf_BU="All",IF(SUMPRODUCT((calc_state=$A91)*_calc!$CA$4:$CA$72*_calc!$CI$4:$CI$72)=0,"—",SUMPRODUCT((calc_state=$A91)*_calc!$CA$4:$CA$72*_calc!$CI$4:$CI$72*_calc!$BO$4:$BO$72)/SUMPRODUCT((calc_state=$A91)*_calc!$CA$4:$CA$72*_calc!$CI$4:$CI$72)),IF($P$28=0,"",IF(INDEX(_calc!$O:$O,$P$28)=0,"—",INDEX(_calc!$O:$O,$P$28+31)/INDEX(_calc!$O:$O,$P$28+19)-1))))</f>
        <v>-4.0276528714957571E-3</v>
      </c>
      <c r="G91" s="167">
        <f>IF($A91="","",IF(pf_BU="All",IF(SUMPRODUCT((calc_state=$A91)*_calc!$CB$4:$CB$72*_calc!$CI$4:$CI$72)=0,"—",SUMPRODUCT((calc_state=$A91)*_calc!$CB$4:$CB$72*_calc!$CI$4:$CI$72*_calc!$BP$4:$BP$72)/SUMPRODUCT((calc_state=$A91)*_calc!$CB$4:$CB$72*_calc!$CI$4:$CI$72)),IF($P$28=0,"",IF(INDEX(_calc!$O:$O,$P$28)=0,"—",INDEX(_calc!$O:$O,$P$28+32)/INDEX(_calc!$O:$O,$P$28+20)-1))))</f>
        <v>-4.0290088638195165E-3</v>
      </c>
      <c r="H91" s="167">
        <f>IF($A91="","",IF(pf_BU="All",IF(SUMPRODUCT((calc_state=$A91)*_calc!$CC$4:$CC$72*_calc!$CI$4:$CI$72)=0,"—",SUMPRODUCT((calc_state=$A91)*_calc!$CC$4:$CC$72*_calc!$CI$4:$CI$72*_calc!$BQ$4:$BQ$72)/SUMPRODUCT((calc_state=$A91)*_calc!$CC$4:$CC$72*_calc!$CI$4:$CI$72)),IF($P$28=0,"",IF(INDEX(_calc!$O:$O,$P$28)=0,"—",INDEX(_calc!$O:$O,$P$28+33)/INDEX(_calc!$O:$O,$P$28+21)-1))))</f>
        <v>-4.0303657694962247E-3</v>
      </c>
      <c r="I91" s="167">
        <f>IF($A91="","",IF(pf_BU="All",IF(SUMPRODUCT((calc_state=$A91)*_calc!$CD$4:$CD$72*_calc!$CI$4:$CI$72)=0,"—",SUMPRODUCT((calc_state=$A91)*_calc!$CD$4:$CD$72*_calc!$CI$4:$CI$72*_calc!$BR$4:$BR$72)/SUMPRODUCT((calc_state=$A91)*_calc!$CD$4:$CD$72*_calc!$CI$4:$CI$72)),IF($P$28=0,"",IF(INDEX(_calc!$O:$O,$P$28)=0,"—",INDEX(_calc!$O:$O,$P$28+34)/INDEX(_calc!$O:$O,$P$28+22)-1))))</f>
        <v>-4.0317458564146369E-3</v>
      </c>
      <c r="J91" s="167">
        <f>IF($A91="","",IF(pf_BU="All",IF(SUMPRODUCT((calc_state=$A91)*_calc!$CE$4:$CE$72*_calc!$CI$4:$CI$72)=0,"—",SUMPRODUCT((calc_state=$A91)*_calc!$CE$4:$CE$72*_calc!$CI$4:$CI$72*_calc!$BS$4:$BS$72)/SUMPRODUCT((calc_state=$A91)*_calc!$CE$4:$CE$72*_calc!$CI$4:$CI$72)),IF($P$28=0,"",IF(INDEX(_calc!$O:$O,$P$28)=0,"—",INDEX(_calc!$O:$O,$P$28+35)/INDEX(_calc!$O:$O,$P$28+23)-1))))</f>
        <v>-4.0331046065790188E-3</v>
      </c>
      <c r="K91" s="167">
        <f>IF($A91="","",IF(pf_BU="All",IF(SUMPRODUCT((calc_state=$A91)*_calc!$CF$4:$CF$72*_calc!$CI$4:$CI$72)=0,"—",SUMPRODUCT((calc_state=$A91)*_calc!$CF$4:$CF$72*_calc!$CI$4:$CI$72*_calc!$BT$4:$BT$72)/SUMPRODUCT((calc_state=$A91)*_calc!$CF$4:$CF$72*_calc!$CI$4:$CI$72)),IF($P$28=0,"",IF(INDEX(_calc!$O:$O,$P$28)=0,"—",INDEX(_calc!$O:$O,$P$28+36)/INDEX(_calc!$O:$O,$P$28+24)-1))))</f>
        <v>-4.0344642728845637E-3</v>
      </c>
      <c r="L91" s="167">
        <f>IF($A91="","",IF(pf_BU="All",IF(SUMPRODUCT((calc_state=$A91)*_calc!$CG$4:$CG$72*_calc!$CI$4:$CI$72)=0,"—",SUMPRODUCT((calc_state=$A91)*_calc!$CG$4:$CG$72*_calc!$CI$4:$CI$72*_calc!$BU$4:$BU$72)/SUMPRODUCT((calc_state=$A91)*_calc!$CG$4:$CG$72*_calc!$CI$4:$CI$72)),IF($P$28=0,"",IF(INDEX(_calc!$O:$O,$P$28)=0,"—",INDEX(_calc!$O:$O,$P$28+37)/INDEX(_calc!$O:$O,$P$28+25)-1))))</f>
        <v>-4.0358248562583077E-3</v>
      </c>
      <c r="M91" s="167">
        <f>IF($A91="","",IF(pf_BU="All",IF(SUMPRODUCT((calc_state=$A91)*_calc!$CH$4:$CH$72*_calc!$CI$4:$CI$72)=0,"—",SUMPRODUCT((calc_state=$A91)*_calc!$CH$4:$CH$72*_calc!$CI$4:$CI$72*_calc!$BV$4:$BV$72)/SUMPRODUCT((calc_state=$A91)*_calc!$CH$4:$CH$72*_calc!$CI$4:$CI$72)),IF($P$28=0,"",IF(INDEX(_calc!$O:$O,$P$28)=0,"—",INDEX(_calc!$O:$O,$P$28+38)/INDEX(_calc!$O:$O,$P$28+26)-1))))</f>
        <v>-4.0371863576282863E-3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8.1137255337830894E-3</v>
      </c>
      <c r="C92" s="167">
        <f>IF($A92="","",IF(pf_BU="All",IF(SUMPRODUCT((calc_state=$A92)*_calc!$BX$4:$BX$72*_calc!$CI$4:$CI$72)=0,"—",SUMPRODUCT((calc_state=$A92)*_calc!$BX$4:$BX$72*_calc!$CI$4:$CI$72*_calc!$BL$4:$BL$72)/SUMPRODUCT((calc_state=$A92)*_calc!$BX$4:$BX$72*_calc!$CI$4:$CI$72)),IF($P$29=0,"",IF(INDEX(_calc!$O:$O,$P$29)=0,"—",INDEX(_calc!$O:$O,$P$29+28)/INDEX(_calc!$O:$O,$P$29+16)-1))))</f>
        <v>8.1084083083415859E-3</v>
      </c>
      <c r="D92" s="167">
        <f>IF($A92="","",IF(pf_BU="All",IF(SUMPRODUCT((calc_state=$A92)*_calc!$BY$4:$BY$72*_calc!$CI$4:$CI$72)=0,"—",SUMPRODUCT((calc_state=$A92)*_calc!$BY$4:$BY$72*_calc!$CI$4:$CI$72*_calc!$BM$4:$BM$72)/SUMPRODUCT((calc_state=$A92)*_calc!$BY$4:$BY$72*_calc!$CI$4:$CI$72)),IF($P$29=0,"",IF(INDEX(_calc!$O:$O,$P$29)=0,"—",INDEX(_calc!$O:$O,$P$29+29)/INDEX(_calc!$O:$O,$P$29+17)-1))))</f>
        <v>8.1030980474863235E-3</v>
      </c>
      <c r="E92" s="167">
        <f>IF($A92="","",IF(pf_BU="All",IF(SUMPRODUCT((calc_state=$A92)*_calc!$BZ$4:$BZ$72*_calc!$CI$4:$CI$72)=0,"—",SUMPRODUCT((calc_state=$A92)*_calc!$BZ$4:$BZ$72*_calc!$CI$4:$CI$72*_calc!$BN$4:$BN$72)/SUMPRODUCT((calc_state=$A92)*_calc!$BZ$4:$BZ$72*_calc!$CI$4:$CI$72)),IF($P$29=0,"",IF(INDEX(_calc!$O:$O,$P$29)=0,"—",INDEX(_calc!$O:$O,$P$29+30)/INDEX(_calc!$O:$O,$P$29+18)-1))))</f>
        <v>8.0976150859677354E-3</v>
      </c>
      <c r="F92" s="167">
        <f>IF($A92="","",IF(pf_BU="All",IF(SUMPRODUCT((calc_state=$A92)*_calc!$CA$4:$CA$72*_calc!$CI$4:$CI$72)=0,"—",SUMPRODUCT((calc_state=$A92)*_calc!$CA$4:$CA$72*_calc!$CI$4:$CI$72*_calc!$BO$4:$BO$72)/SUMPRODUCT((calc_state=$A92)*_calc!$CA$4:$CA$72*_calc!$CI$4:$CI$72)),IF($P$29=0,"",IF(INDEX(_calc!$O:$O,$P$29)=0,"—",INDEX(_calc!$O:$O,$P$29+31)/INDEX(_calc!$O:$O,$P$29+19)-1))))</f>
        <v>8.0921395395239237E-3</v>
      </c>
      <c r="G92" s="167">
        <f>IF($A92="","",IF(pf_BU="All",IF(SUMPRODUCT((calc_state=$A92)*_calc!$CB$4:$CB$72*_calc!$CI$4:$CI$72)=0,"—",SUMPRODUCT((calc_state=$A92)*_calc!$CB$4:$CB$72*_calc!$CI$4:$CI$72*_calc!$BP$4:$BP$72)/SUMPRODUCT((calc_state=$A92)*_calc!$CB$4:$CB$72*_calc!$CI$4:$CI$72)),IF($P$29=0,"",IF(INDEX(_calc!$O:$O,$P$29)=0,"—",INDEX(_calc!$O:$O,$P$29+32)/INDEX(_calc!$O:$O,$P$29+20)-1))))</f>
        <v>8.0866713931229128E-3</v>
      </c>
      <c r="H92" s="167">
        <f>IF($A92="","",IF(pf_BU="All",IF(SUMPRODUCT((calc_state=$A92)*_calc!$CC$4:$CC$72*_calc!$CI$4:$CI$72)=0,"—",SUMPRODUCT((calc_state=$A92)*_calc!$CC$4:$CC$72*_calc!$CI$4:$CI$72*_calc!$BQ$4:$BQ$72)/SUMPRODUCT((calc_state=$A92)*_calc!$CC$4:$CC$72*_calc!$CI$4:$CI$72)),IF($P$29=0,"",IF(INDEX(_calc!$O:$O,$P$29)=0,"—",INDEX(_calc!$O:$O,$P$29+33)/INDEX(_calc!$O:$O,$P$29+21)-1))))</f>
        <v>8.0812106317735832E-3</v>
      </c>
      <c r="I92" s="167">
        <f>IF($A92="","",IF(pf_BU="All",IF(SUMPRODUCT((calc_state=$A92)*_calc!$CD$4:$CD$72*_calc!$CI$4:$CI$72)=0,"—",SUMPRODUCT((calc_state=$A92)*_calc!$CD$4:$CD$72*_calc!$CI$4:$CI$72*_calc!$BR$4:$BR$72)/SUMPRODUCT((calc_state=$A92)*_calc!$CD$4:$CD$72*_calc!$CI$4:$CI$72)),IF($P$29=0,"",IF(INDEX(_calc!$O:$O,$P$29)=0,"—",INDEX(_calc!$O:$O,$P$29+34)/INDEX(_calc!$O:$O,$P$29+22)-1))))</f>
        <v>8.0756679019857724E-3</v>
      </c>
      <c r="J92" s="167">
        <f>IF($A92="","",IF(pf_BU="All",IF(SUMPRODUCT((calc_state=$A92)*_calc!$CE$4:$CE$72*_calc!$CI$4:$CI$72)=0,"—",SUMPRODUCT((calc_state=$A92)*_calc!$CE$4:$CE$72*_calc!$CI$4:$CI$72*_calc!$BS$4:$BS$72)/SUMPRODUCT((calc_state=$A92)*_calc!$CE$4:$CE$72*_calc!$CI$4:$CI$72)),IF($P$29=0,"",IF(INDEX(_calc!$O:$O,$P$29)=0,"—",INDEX(_calc!$O:$O,$P$29+35)/INDEX(_calc!$O:$O,$P$29+23)-1))))</f>
        <v>8.0702219863801883E-3</v>
      </c>
      <c r="K92" s="167">
        <f>IF($A92="","",IF(pf_BU="All",IF(SUMPRODUCT((calc_state=$A92)*_calc!$CF$4:$CF$72*_calc!$CI$4:$CI$72)=0,"—",SUMPRODUCT((calc_state=$A92)*_calc!$CF$4:$CF$72*_calc!$CI$4:$CI$72*_calc!$BT$4:$BT$72)/SUMPRODUCT((calc_state=$A92)*_calc!$CF$4:$CF$72*_calc!$CI$4:$CI$72)),IF($P$29=0,"",IF(INDEX(_calc!$O:$O,$P$29)=0,"—",INDEX(_calc!$O:$O,$P$29+36)/INDEX(_calc!$O:$O,$P$29+24)-1))))</f>
        <v>8.0647834108511507E-3</v>
      </c>
      <c r="L92" s="167">
        <f>IF($A92="","",IF(pf_BU="All",IF(SUMPRODUCT((calc_state=$A92)*_calc!$CG$4:$CG$72*_calc!$CI$4:$CI$72)=0,"—",SUMPRODUCT((calc_state=$A92)*_calc!$CG$4:$CG$72*_calc!$CI$4:$CI$72*_calc!$BU$4:$BU$72)/SUMPRODUCT((calc_state=$A92)*_calc!$CG$4:$CG$72*_calc!$CI$4:$CI$72)),IF($P$29=0,"",IF(INDEX(_calc!$O:$O,$P$29)=0,"—",INDEX(_calc!$O:$O,$P$29+37)/INDEX(_calc!$O:$O,$P$29+25)-1))))</f>
        <v>8.0593521605687446E-3</v>
      </c>
      <c r="M92" s="167">
        <f>IF($A92="","",IF(pf_BU="All",IF(SUMPRODUCT((calc_state=$A92)*_calc!$CH$4:$CH$72*_calc!$CI$4:$CI$72)=0,"—",SUMPRODUCT((calc_state=$A92)*_calc!$CH$4:$CH$72*_calc!$CI$4:$CI$72*_calc!$BV$4:$BV$72)/SUMPRODUCT((calc_state=$A92)*_calc!$CH$4:$CH$72*_calc!$CI$4:$CI$72)),IF($P$29=0,"",IF(INDEX(_calc!$O:$O,$P$29)=0,"—",INDEX(_calc!$O:$O,$P$29+38)/INDEX(_calc!$O:$O,$P$29+26)-1))))</f>
        <v>8.0539282207439111E-3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6.3140885561791425E-3</v>
      </c>
      <c r="C96" s="169">
        <f>IF(SUMPRODUCT(((pf_BU="All")+(calc_bu=pf_BU))*_calc!$BX$4:$BX$72*_calc!$CI$4:$CI$72)=0,"—",SUMPRODUCT(((pf_BU="All")+(calc_bu=pf_BU))*_calc!$BX$4:$BX$72*_calc!$CI$4:$CI$72*_calc!$BL$4:$BL$72)/SUMPRODUCT(((pf_BU="All")+(calc_bu=pf_BU))*_calc!$BX$4:$BX$72*_calc!$CI$4:$CI$72))</f>
        <v>6.2255697468698787E-3</v>
      </c>
      <c r="D96" s="169">
        <f>IF(SUMPRODUCT(((pf_BU="All")+(calc_bu=pf_BU))*_calc!$BY$4:$BY$72*_calc!$CI$4:$CI$72)=0,"—",SUMPRODUCT(((pf_BU="All")+(calc_bu=pf_BU))*_calc!$BY$4:$BY$72*_calc!$CI$4:$CI$72*_calc!$BM$4:$BM$72)/SUMPRODUCT(((pf_BU="All")+(calc_bu=pf_BU))*_calc!$BY$4:$BY$72*_calc!$CI$4:$CI$72))</f>
        <v>6.1372027061449659E-3</v>
      </c>
      <c r="E96" s="169">
        <f>IF(SUMPRODUCT(((pf_BU="All")+(calc_bu=pf_BU))*_calc!$BZ$4:$BZ$72*_calc!$CI$4:$CI$72)=0,"—",SUMPRODUCT(((pf_BU="All")+(calc_bu=pf_BU))*_calc!$BZ$4:$BZ$72*_calc!$CI$4:$CI$72*_calc!$BN$4:$BN$72)/SUMPRODUCT(((pf_BU="All")+(calc_bu=pf_BU))*_calc!$BZ$4:$BZ$72*_calc!$CI$4:$CI$72))</f>
        <v>6.0459992942125959E-3</v>
      </c>
      <c r="F96" s="169">
        <f>IF(SUMPRODUCT(((pf_BU="All")+(calc_bu=pf_BU))*_calc!$CA$4:$CA$72*_calc!$CI$4:$CI$72)=0,"—",SUMPRODUCT(((pf_BU="All")+(calc_bu=pf_BU))*_calc!$CA$4:$CA$72*_calc!$CI$4:$CI$72*_calc!$BO$4:$BO$72)/SUMPRODUCT(((pf_BU="All")+(calc_bu=pf_BU))*_calc!$CA$4:$CA$72*_calc!$CI$4:$CI$72))</f>
        <v>5.9549571941863409E-3</v>
      </c>
      <c r="G96" s="169">
        <f>IF(SUMPRODUCT(((pf_BU="All")+(calc_bu=pf_BU))*_calc!$CB$4:$CB$72*_calc!$CI$4:$CI$72)=0,"—",SUMPRODUCT(((pf_BU="All")+(calc_bu=pf_BU))*_calc!$CB$4:$CB$72*_calc!$CI$4:$CI$72*_calc!$BP$4:$BP$72)/SUMPRODUCT(((pf_BU="All")+(calc_bu=pf_BU))*_calc!$CB$4:$CB$72*_calc!$CI$4:$CI$72))</f>
        <v>5.8640759411209354E-3</v>
      </c>
      <c r="H96" s="169">
        <f>IF(SUMPRODUCT(((pf_BU="All")+(calc_bu=pf_BU))*_calc!$CC$4:$CC$72*_calc!$CI$4:$CI$72)=0,"—",SUMPRODUCT(((pf_BU="All")+(calc_bu=pf_BU))*_calc!$CC$4:$CC$72*_calc!$CI$4:$CI$72*_calc!$BQ$4:$BQ$72)/SUMPRODUCT(((pf_BU="All")+(calc_bu=pf_BU))*_calc!$CC$4:$CC$72*_calc!$CI$4:$CI$72))</f>
        <v>5.7733550720535905E-3</v>
      </c>
      <c r="I96" s="169">
        <f>IF(SUMPRODUCT(((pf_BU="All")+(calc_bu=pf_BU))*_calc!$CD$4:$CD$72*_calc!$CI$4:$CI$72)=0,"—",SUMPRODUCT(((pf_BU="All")+(calc_bu=pf_BU))*_calc!$CD$4:$CD$72*_calc!$CI$4:$CI$72*_calc!$BR$4:$BR$72)/SUMPRODUCT(((pf_BU="All")+(calc_bu=pf_BU))*_calc!$CD$4:$CD$72*_calc!$CI$4:$CI$72))</f>
        <v>5.6813108500777289E-3</v>
      </c>
      <c r="J96" s="169">
        <f>IF(SUMPRODUCT(((pf_BU="All")+(calc_bu=pf_BU))*_calc!$CE$4:$CE$72*_calc!$CI$4:$CI$72)=0,"—",SUMPRODUCT(((pf_BU="All")+(calc_bu=pf_BU))*_calc!$CE$4:$CE$72*_calc!$CI$4:$CI$72*_calc!$BS$4:$BS$72)/SUMPRODUCT(((pf_BU="All")+(calc_bu=pf_BU))*_calc!$CE$4:$CE$72*_calc!$CI$4:$CI$72))</f>
        <v>5.5909119783314294E-3</v>
      </c>
      <c r="K96" s="169">
        <f>IF(SUMPRODUCT(((pf_BU="All")+(calc_bu=pf_BU))*_calc!$CF$4:$CF$72*_calc!$CI$4:$CI$72)=0,"—",SUMPRODUCT(((pf_BU="All")+(calc_bu=pf_BU))*_calc!$CF$4:$CF$72*_calc!$CI$4:$CI$72*_calc!$BT$4:$BT$72)/SUMPRODUCT(((pf_BU="All")+(calc_bu=pf_BU))*_calc!$CF$4:$CF$72*_calc!$CI$4:$CI$72))</f>
        <v>5.5420131661555617E-3</v>
      </c>
      <c r="L96" s="169">
        <f>IF(SUMPRODUCT(((pf_BU="All")+(calc_bu=pf_BU))*_calc!$CG$4:$CG$72*_calc!$CI$4:$CI$72)=0,"—",SUMPRODUCT(((pf_BU="All")+(calc_bu=pf_BU))*_calc!$CG$4:$CG$72*_calc!$CI$4:$CI$72*_calc!$BU$4:$BU$72)/SUMPRODUCT(((pf_BU="All")+(calc_bu=pf_BU))*_calc!$CG$4:$CG$72*_calc!$CI$4:$CI$72))</f>
        <v>5.5331767830146894E-3</v>
      </c>
      <c r="M96" s="169">
        <f>IF(SUMPRODUCT(((pf_BU="All")+(calc_bu=pf_BU))*_calc!$CH$4:$CH$72*_calc!$CI$4:$CI$72)=0,"—",SUMPRODUCT(((pf_BU="All")+(calc_bu=pf_BU))*_calc!$CH$4:$CH$72*_calc!$CI$4:$CI$72*_calc!$BV$4:$BV$72)/SUMPRODUCT(((pf_BU="All")+(calc_bu=pf_BU))*_calc!$CH$4:$CH$72*_calc!$CI$4:$CI$72))</f>
        <v>5.5243614078675871E-3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3.4166643577140166E-2</v>
      </c>
      <c r="C104" s="167">
        <f>IF($A104="","",IF(pf_BU="All",IF(SUMPRODUCT((calc_state=$A104)*_calc!$BX$4:$BX$72)=0,"",SUMPRODUCT((calc_state=$A104)*_calc!$BX$4:$BX$72*_calc!$AN$4:$AN$72)/SUMPRODUCT((calc_state=$A104)*_calc!$BX$4:$BX$72)),IF($P$10=0,"",INDEX(_calc!$N:$N,$P$10+28)/INDEX(_calc!$N:$N,$P$10+16)*IF(INDEX(_calc!$O:$O,$P$10)=1,INDEX(_calc!$O:$O,$P$10+28)/INDEX(_calc!$O:$O,$P$10+16),1)-1)))</f>
        <v>4.4205721376498364E-2</v>
      </c>
      <c r="D104" s="167">
        <f>IF($A104="","",IF(pf_BU="All",IF(SUMPRODUCT((calc_state=$A104)*_calc!$BY$4:$BY$72)=0,"",SUMPRODUCT((calc_state=$A104)*_calc!$BY$4:$BY$72*_calc!$AO$4:$AO$72)/SUMPRODUCT((calc_state=$A104)*_calc!$BY$4:$BY$72)),IF($P$10=0,"",INDEX(_calc!$N:$N,$P$10+29)/INDEX(_calc!$N:$N,$P$10+17)*IF(INDEX(_calc!$O:$O,$P$10)=1,INDEX(_calc!$O:$O,$P$10+29)/INDEX(_calc!$O:$O,$P$10+17),1)-1)))</f>
        <v>4.4204347224145124E-2</v>
      </c>
      <c r="E104" s="167">
        <f>IF($A104="","",IF(pf_BU="All",IF(SUMPRODUCT((calc_state=$A104)*_calc!$BZ$4:$BZ$72)=0,"",SUMPRODUCT((calc_state=$A104)*_calc!$BZ$4:$BZ$72*_calc!$AP$4:$AP$72)/SUMPRODUCT((calc_state=$A104)*_calc!$BZ$4:$BZ$72)),IF($P$10=0,"",INDEX(_calc!$N:$N,$P$10+30)/INDEX(_calc!$N:$N,$P$10+18)*IF(INDEX(_calc!$O:$O,$P$10)=1,INDEX(_calc!$O:$O,$P$10+30)/INDEX(_calc!$O:$O,$P$10+18),1)-1)))</f>
        <v>4.4202927434177086E-2</v>
      </c>
      <c r="F104" s="167">
        <f>IF($A104="","",IF(pf_BU="All",IF(SUMPRODUCT((calc_state=$A104)*_calc!$CA$4:$CA$72)=0,"",SUMPRODUCT((calc_state=$A104)*_calc!$CA$4:$CA$72*_calc!$AQ$4:$AQ$72)/SUMPRODUCT((calc_state=$A104)*_calc!$CA$4:$CA$72)),IF($P$10=0,"",INDEX(_calc!$N:$N,$P$10+31)/INDEX(_calc!$N:$N,$P$10+19)*IF(INDEX(_calc!$O:$O,$P$10)=1,INDEX(_calc!$O:$O,$P$10+31)/INDEX(_calc!$O:$O,$P$10+19),1)-1)))</f>
        <v>4.4201508602799144E-2</v>
      </c>
      <c r="G104" s="167">
        <f>IF($A104="","",IF(pf_BU="All",IF(SUMPRODUCT((calc_state=$A104)*_calc!$CB$4:$CB$72)=0,"",SUMPRODUCT((calc_state=$A104)*_calc!$CB$4:$CB$72*_calc!$AR$4:$AR$72)/SUMPRODUCT((calc_state=$A104)*_calc!$CB$4:$CB$72)),IF($P$10=0,"",INDEX(_calc!$N:$N,$P$10+32)/INDEX(_calc!$N:$N,$P$10+20)*IF(INDEX(_calc!$O:$O,$P$10)=1,INDEX(_calc!$O:$O,$P$10+32)/INDEX(_calc!$O:$O,$P$10+20),1)-1)))</f>
        <v>4.4200090729040964E-2</v>
      </c>
      <c r="H104" s="167">
        <f>IF($A104="","",IF(pf_BU="All",IF(SUMPRODUCT((calc_state=$A104)*_calc!$CC$4:$CC$72)=0,"",SUMPRODUCT((calc_state=$A104)*_calc!$CC$4:$CC$72*_calc!$AS$4:$AS$72)/SUMPRODUCT((calc_state=$A104)*_calc!$CC$4:$CC$72)),IF($P$10=0,"",INDEX(_calc!$N:$N,$P$10+33)/INDEX(_calc!$N:$N,$P$10+21)*IF(INDEX(_calc!$O:$O,$P$10)=1,INDEX(_calc!$O:$O,$P$10+33)/INDEX(_calc!$O:$O,$P$10+21),1)-1)))</f>
        <v>4.4198673811933542E-2</v>
      </c>
      <c r="I104" s="167">
        <f>IF($A104="","",IF(pf_BU="All",IF(SUMPRODUCT((calc_state=$A104)*_calc!$CD$4:$CD$72)=0,"",SUMPRODUCT((calc_state=$A104)*_calc!$CD$4:$CD$72*_calc!$AT$4:$AT$72)/SUMPRODUCT((calc_state=$A104)*_calc!$CD$4:$CD$72)),IF($P$10=0,"",INDEX(_calc!$N:$N,$P$10+34)/INDEX(_calc!$N:$N,$P$10+22)*IF(INDEX(_calc!$O:$O,$P$10)=1,INDEX(_calc!$O:$O,$P$10+34)/INDEX(_calc!$O:$O,$P$10+22),1)-1)))</f>
        <v>4.4197234645982908E-2</v>
      </c>
      <c r="J104" s="167">
        <f>IF($A104="","",IF(pf_BU="All",IF(SUMPRODUCT((calc_state=$A104)*_calc!$CE$4:$CE$72)=0,"",SUMPRODUCT((calc_state=$A104)*_calc!$CE$4:$CE$72*_calc!$AU$4:$AU$72)/SUMPRODUCT((calc_state=$A104)*_calc!$CE$4:$CE$72)),IF($P$10=0,"",INDEX(_calc!$N:$N,$P$10+35)/INDEX(_calc!$N:$N,$P$10+23)*IF(INDEX(_calc!$O:$O,$P$10)=1,INDEX(_calc!$O:$O,$P$10+35)/INDEX(_calc!$O:$O,$P$10+23),1)-1)))</f>
        <v>4.4195819654917035E-2</v>
      </c>
      <c r="K104" s="167">
        <f>IF($A104="","",IF(pf_BU="All",IF(SUMPRODUCT((calc_state=$A104)*_calc!$CF$4:$CF$72)=0,"",SUMPRODUCT((calc_state=$A104)*_calc!$CF$4:$CF$72*_calc!$AV$4:$AV$72)/SUMPRODUCT((calc_state=$A104)*_calc!$CF$4:$CF$72)),IF($P$10=0,"",INDEX(_calc!$N:$N,$P$10+36)/INDEX(_calc!$N:$N,$P$10+24)*IF(INDEX(_calc!$O:$O,$P$10)=1,INDEX(_calc!$O:$O,$P$10+36)/INDEX(_calc!$O:$O,$P$10+24),1)-1)))</f>
        <v>4.4194405617586474E-2</v>
      </c>
      <c r="L104" s="167">
        <f>IF($A104="","",IF(pf_BU="All",IF(SUMPRODUCT((calc_state=$A104)*_calc!$CG$4:$CG$72)=0,"",SUMPRODUCT((calc_state=$A104)*_calc!$CG$4:$CG$72*_calc!$AW$4:$AW$72)/SUMPRODUCT((calc_state=$A104)*_calc!$CG$4:$CG$72)),IF($P$10=0,"",INDEX(_calc!$N:$N,$P$10+37)/INDEX(_calc!$N:$N,$P$10+25)*IF(INDEX(_calc!$O:$O,$P$10)=1,INDEX(_calc!$O:$O,$P$10+37)/INDEX(_calc!$O:$O,$P$10+25),1)-1)))</f>
        <v>4.4192992533026887E-2</v>
      </c>
      <c r="M104" s="167">
        <f>IF($A104="","",IF(pf_BU="All",IF(SUMPRODUCT((calc_state=$A104)*_calc!$CH$4:$CH$72)=0,"",SUMPRODUCT((calc_state=$A104)*_calc!$CH$4:$CH$72*_calc!$AX$4:$AX$72)/SUMPRODUCT((calc_state=$A104)*_calc!$CH$4:$CH$72)),IF($P$10=0,"",INDEX(_calc!$N:$N,$P$10+38)/INDEX(_calc!$N:$N,$P$10+26)*IF(INDEX(_calc!$O:$O,$P$10)=1,INDEX(_calc!$O:$O,$P$10+38)/INDEX(_calc!$O:$O,$P$10+26),1)-1)))</f>
        <v>4.4191580400276154E-2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1.6320872831336208E-2</v>
      </c>
      <c r="C105" s="167">
        <f>IF($A105="","",IF(pf_BU="All",IF(SUMPRODUCT((calc_state=$A105)*_calc!$BX$4:$BX$72)=0,"",SUMPRODUCT((calc_state=$A105)*_calc!$BX$4:$BX$72*_calc!$AN$4:$AN$72)/SUMPRODUCT((calc_state=$A105)*_calc!$BX$4:$BX$72)),IF($P$11=0,"",INDEX(_calc!$N:$N,$P$11+28)/INDEX(_calc!$N:$N,$P$11+16)*IF(INDEX(_calc!$O:$O,$P$11)=1,INDEX(_calc!$O:$O,$P$11+28)/INDEX(_calc!$O:$O,$P$11+16),1)-1)))</f>
        <v>1.6299372585794947E-2</v>
      </c>
      <c r="D105" s="167">
        <f>IF($A105="","",IF(pf_BU="All",IF(SUMPRODUCT((calc_state=$A105)*_calc!$BY$4:$BY$72)=0,"",SUMPRODUCT((calc_state=$A105)*_calc!$BY$4:$BY$72*_calc!$AO$4:$AO$72)/SUMPRODUCT((calc_state=$A105)*_calc!$BY$4:$BY$72)),IF($P$11=0,"",INDEX(_calc!$N:$N,$P$11+29)/INDEX(_calc!$N:$N,$P$11+17)*IF(INDEX(_calc!$O:$O,$P$11)=1,INDEX(_calc!$O:$O,$P$11+29)/INDEX(_calc!$O:$O,$P$11+17),1)-1)))</f>
        <v>1.6277928912277639E-2</v>
      </c>
      <c r="E105" s="167">
        <f>IF($A105="","",IF(pf_BU="All",IF(SUMPRODUCT((calc_state=$A105)*_calc!$BZ$4:$BZ$72)=0,"",SUMPRODUCT((calc_state=$A105)*_calc!$BZ$4:$BZ$72*_calc!$AP$4:$AP$72)/SUMPRODUCT((calc_state=$A105)*_calc!$BZ$4:$BZ$72)),IF($P$11=0,"",INDEX(_calc!$N:$N,$P$11+30)/INDEX(_calc!$N:$N,$P$11+18)*IF(INDEX(_calc!$O:$O,$P$11)=1,INDEX(_calc!$O:$O,$P$11+30)/INDEX(_calc!$O:$O,$P$11+18),1)-1)))</f>
        <v>1.6255817578551213E-2</v>
      </c>
      <c r="F105" s="167">
        <f>IF($A105="","",IF(pf_BU="All",IF(SUMPRODUCT((calc_state=$A105)*_calc!$CA$4:$CA$72)=0,"",SUMPRODUCT((calc_state=$A105)*_calc!$CA$4:$CA$72*_calc!$AQ$4:$AQ$72)/SUMPRODUCT((calc_state=$A105)*_calc!$CA$4:$CA$72)),IF($P$11=0,"",INDEX(_calc!$N:$N,$P$11+31)/INDEX(_calc!$N:$N,$P$11+19)*IF(INDEX(_calc!$O:$O,$P$11)=1,INDEX(_calc!$O:$O,$P$11+31)/INDEX(_calc!$O:$O,$P$11+19),1)-1)))</f>
        <v>1.6233766233766378E-2</v>
      </c>
      <c r="G105" s="167">
        <f>IF($A105="","",IF(pf_BU="All",IF(SUMPRODUCT((calc_state=$A105)*_calc!$CB$4:$CB$72)=0,"",SUMPRODUCT((calc_state=$A105)*_calc!$CB$4:$CB$72*_calc!$AR$4:$AR$72)/SUMPRODUCT((calc_state=$A105)*_calc!$CB$4:$CB$72)),IF($P$11=0,"",INDEX(_calc!$N:$N,$P$11+32)/INDEX(_calc!$N:$N,$P$11+20)*IF(INDEX(_calc!$O:$O,$P$11)=1,INDEX(_calc!$O:$O,$P$11+32)/INDEX(_calc!$O:$O,$P$11+20),1)-1)))</f>
        <v>1.6211774634124598E-2</v>
      </c>
      <c r="H105" s="167">
        <f>IF($A105="","",IF(pf_BU="All",IF(SUMPRODUCT((calc_state=$A105)*_calc!$CC$4:$CC$72)=0,"",SUMPRODUCT((calc_state=$A105)*_calc!$CC$4:$CC$72*_calc!$AS$4:$AS$72)/SUMPRODUCT((calc_state=$A105)*_calc!$CC$4:$CC$72)),IF($P$11=0,"",INDEX(_calc!$N:$N,$P$11+33)/INDEX(_calc!$N:$N,$P$11+21)*IF(INDEX(_calc!$O:$O,$P$11)=1,INDEX(_calc!$O:$O,$P$11+33)/INDEX(_calc!$O:$O,$P$11+21),1)-1)))</f>
        <v>1.6189842537148058E-2</v>
      </c>
      <c r="I105" s="167">
        <f>IF($A105="","",IF(pf_BU="All",IF(SUMPRODUCT((calc_state=$A105)*_calc!$CD$4:$CD$72)=0,"",SUMPRODUCT((calc_state=$A105)*_calc!$CD$4:$CD$72*_calc!$AT$4:$AT$72)/SUMPRODUCT((calc_state=$A105)*_calc!$CD$4:$CD$72)),IF($P$11=0,"",INDEX(_calc!$N:$N,$P$11+34)/INDEX(_calc!$N:$N,$P$11+22)*IF(INDEX(_calc!$O:$O,$P$11)=1,INDEX(_calc!$O:$O,$P$11+34)/INDEX(_calc!$O:$O,$P$11+22),1)-1)))</f>
        <v>1.6167611622962541E-2</v>
      </c>
      <c r="J105" s="167">
        <f>IF($A105="","",IF(pf_BU="All",IF(SUMPRODUCT((calc_state=$A105)*_calc!$CE$4:$CE$72)=0,"",SUMPRODUCT((calc_state=$A105)*_calc!$CE$4:$CE$72*_calc!$AU$4:$AU$72)/SUMPRODUCT((calc_state=$A105)*_calc!$CE$4:$CE$72)),IF($P$11=0,"",INDEX(_calc!$N:$N,$P$11+35)/INDEX(_calc!$N:$N,$P$11+23)*IF(INDEX(_calc!$O:$O,$P$11)=1,INDEX(_calc!$O:$O,$P$11+35)/INDEX(_calc!$O:$O,$P$11+23),1)-1)))</f>
        <v>1.6145798774688691E-2</v>
      </c>
      <c r="K105" s="167">
        <f>IF($A105="","",IF(pf_BU="All",IF(SUMPRODUCT((calc_state=$A105)*_calc!$CF$4:$CF$72)=0,"",SUMPRODUCT((calc_state=$A105)*_calc!$CF$4:$CF$72*_calc!$AV$4:$AV$72)/SUMPRODUCT((calc_state=$A105)*_calc!$CF$4:$CF$72)),IF($P$11=0,"",INDEX(_calc!$N:$N,$P$11+36)/INDEX(_calc!$N:$N,$P$11+24)*IF(INDEX(_calc!$O:$O,$P$11)=1,INDEX(_calc!$O:$O,$P$11+36)/INDEX(_calc!$O:$O,$P$11+24),1)-1)))</f>
        <v>1.6124044705570606E-2</v>
      </c>
      <c r="L105" s="167">
        <f>IF($A105="","",IF(pf_BU="All",IF(SUMPRODUCT((calc_state=$A105)*_calc!$CG$4:$CG$72)=0,"",SUMPRODUCT((calc_state=$A105)*_calc!$CG$4:$CG$72*_calc!$AW$4:$AW$72)/SUMPRODUCT((calc_state=$A105)*_calc!$CG$4:$CG$72)),IF($P$11=0,"",INDEX(_calc!$N:$N,$P$11+37)/INDEX(_calc!$N:$N,$P$11+25)*IF(INDEX(_calc!$O:$O,$P$11)=1,INDEX(_calc!$O:$O,$P$11+37)/INDEX(_calc!$O:$O,$P$11+25),1)-1)))</f>
        <v>1.6102349178338971E-2</v>
      </c>
      <c r="M105" s="167">
        <f>IF($A105="","",IF(pf_BU="All",IF(SUMPRODUCT((calc_state=$A105)*_calc!$CH$4:$CH$72)=0,"",SUMPRODUCT((calc_state=$A105)*_calc!$CH$4:$CH$72*_calc!$AX$4:$AX$72)/SUMPRODUCT((calc_state=$A105)*_calc!$CH$4:$CH$72)),IF($P$11=0,"",INDEX(_calc!$N:$N,$P$11+38)/INDEX(_calc!$N:$N,$P$11+26)*IF(INDEX(_calc!$O:$O,$P$11)=1,INDEX(_calc!$O:$O,$P$11+38)/INDEX(_calc!$O:$O,$P$11+26),1)-1)))</f>
        <v>1.608071195700056E-2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7.2937852162718197E-2</v>
      </c>
      <c r="C107" s="167">
        <f>IF($A107="","",IF(pf_BU="All",IF(SUMPRODUCT((calc_state=$A107)*_calc!$BX$4:$BX$72)=0,"",SUMPRODUCT((calc_state=$A107)*_calc!$BX$4:$BX$72*_calc!$AN$4:$AN$72)/SUMPRODUCT((calc_state=$A107)*_calc!$BX$4:$BX$72)),IF($P$13=0,"",INDEX(_calc!$N:$N,$P$13+28)/INDEX(_calc!$N:$N,$P$13+16)*IF(INDEX(_calc!$O:$O,$P$13)=1,INDEX(_calc!$O:$O,$P$13+28)/INDEX(_calc!$O:$O,$P$13+16),1)-1)))</f>
        <v>7.2925101890826571E-2</v>
      </c>
      <c r="D107" s="167">
        <f>IF($A107="","",IF(pf_BU="All",IF(SUMPRODUCT((calc_state=$A107)*_calc!$BY$4:$BY$72)=0,"",SUMPRODUCT((calc_state=$A107)*_calc!$BY$4:$BY$72*_calc!$AO$4:$AO$72)/SUMPRODUCT((calc_state=$A107)*_calc!$BY$4:$BY$72)),IF($P$13=0,"",INDEX(_calc!$N:$N,$P$13+29)/INDEX(_calc!$N:$N,$P$13+17)*IF(INDEX(_calc!$O:$O,$P$13)=1,INDEX(_calc!$O:$O,$P$13+29)/INDEX(_calc!$O:$O,$P$13+17),1)-1)))</f>
        <v>7.2912376725015271E-2</v>
      </c>
      <c r="E107" s="167">
        <f>IF($A107="","",IF(pf_BU="All",IF(SUMPRODUCT((calc_state=$A107)*_calc!$BZ$4:$BZ$72)=0,"",SUMPRODUCT((calc_state=$A107)*_calc!$BZ$4:$BZ$72*_calc!$AP$4:$AP$72)/SUMPRODUCT((calc_state=$A107)*_calc!$BZ$4:$BZ$72)),IF($P$13=0,"",INDEX(_calc!$N:$N,$P$13+30)/INDEX(_calc!$N:$N,$P$13+18)*IF(INDEX(_calc!$O:$O,$P$13)=1,INDEX(_calc!$O:$O,$P$13+30)/INDEX(_calc!$O:$O,$P$13+18),1)-1)))</f>
        <v>7.2899246515969685E-2</v>
      </c>
      <c r="F107" s="167">
        <f>IF($A107="","",IF(pf_BU="All",IF(SUMPRODUCT((calc_state=$A107)*_calc!$CA$4:$CA$72)=0,"",SUMPRODUCT((calc_state=$A107)*_calc!$CA$4:$CA$72*_calc!$AQ$4:$AQ$72)/SUMPRODUCT((calc_state=$A107)*_calc!$CA$4:$CA$72)),IF($P$13=0,"",INDEX(_calc!$N:$N,$P$13+31)/INDEX(_calc!$N:$N,$P$13+19)*IF(INDEX(_calc!$O:$O,$P$13)=1,INDEX(_calc!$O:$O,$P$13+31)/INDEX(_calc!$O:$O,$P$13+19),1)-1)))</f>
        <v>1.2156738663424926E-2</v>
      </c>
      <c r="G107" s="167">
        <f>IF($A107="","",IF(pf_BU="All",IF(SUMPRODUCT((calc_state=$A107)*_calc!$CB$4:$CB$72)=0,"",SUMPRODUCT((calc_state=$A107)*_calc!$CB$4:$CB$72*_calc!$AR$4:$AR$72)/SUMPRODUCT((calc_state=$A107)*_calc!$CB$4:$CB$72)),IF($P$13=0,"",INDEX(_calc!$N:$N,$P$13+32)/INDEX(_calc!$N:$N,$P$13+20)*IF(INDEX(_calc!$O:$O,$P$13)=1,INDEX(_calc!$O:$O,$P$13+32)/INDEX(_calc!$O:$O,$P$13+20),1)-1)))</f>
        <v>1.2144401929795379E-2</v>
      </c>
      <c r="H107" s="167">
        <f>IF($A107="","",IF(pf_BU="All",IF(SUMPRODUCT((calc_state=$A107)*_calc!$CC$4:$CC$72)=0,"",SUMPRODUCT((calc_state=$A107)*_calc!$CC$4:$CC$72*_calc!$AS$4:$AS$72)/SUMPRODUCT((calc_state=$A107)*_calc!$CC$4:$CC$72)),IF($P$13=0,"",INDEX(_calc!$N:$N,$P$13+33)/INDEX(_calc!$N:$N,$P$13+21)*IF(INDEX(_calc!$O:$O,$P$13)=1,INDEX(_calc!$O:$O,$P$13+33)/INDEX(_calc!$O:$O,$P$13+21),1)-1)))</f>
        <v>1.213209020956918E-2</v>
      </c>
      <c r="I107" s="167">
        <f>IF($A107="","",IF(pf_BU="All",IF(SUMPRODUCT((calc_state=$A107)*_calc!$CD$4:$CD$72)=0,"",SUMPRODUCT((calc_state=$A107)*_calc!$CD$4:$CD$72*_calc!$AT$4:$AT$72)/SUMPRODUCT((calc_state=$A107)*_calc!$CD$4:$CD$72)),IF($P$13=0,"",INDEX(_calc!$N:$N,$P$13+34)/INDEX(_calc!$N:$N,$P$13+22)*IF(INDEX(_calc!$O:$O,$P$13)=1,INDEX(_calc!$O:$O,$P$13+34)/INDEX(_calc!$O:$O,$P$13+22),1)-1)))</f>
        <v>1.2119602211412284E-2</v>
      </c>
      <c r="J107" s="167">
        <f>IF($A107="","",IF(pf_BU="All",IF(SUMPRODUCT((calc_state=$A107)*_calc!$CE$4:$CE$72)=0,"",SUMPRODUCT((calc_state=$A107)*_calc!$CE$4:$CE$72*_calc!$AU$4:$AU$72)/SUMPRODUCT((calc_state=$A107)*_calc!$CE$4:$CE$72)),IF($P$13=0,"",INDEX(_calc!$N:$N,$P$13+35)/INDEX(_calc!$N:$N,$P$13+23)*IF(INDEX(_calc!$O:$O,$P$13)=1,INDEX(_calc!$O:$O,$P$13+35)/INDEX(_calc!$O:$O,$P$13+23),1)-1)))</f>
        <v>1.2107340697250057E-2</v>
      </c>
      <c r="K107" s="167">
        <f>IF($A107="","",IF(pf_BU="All",IF(SUMPRODUCT((calc_state=$A107)*_calc!$CF$4:$CF$72)=0,"",SUMPRODUCT((calc_state=$A107)*_calc!$CF$4:$CF$72*_calc!$AV$4:$AV$72)/SUMPRODUCT((calc_state=$A107)*_calc!$CF$4:$CF$72)),IF($P$13=0,"",INDEX(_calc!$N:$N,$P$13+36)/INDEX(_calc!$N:$N,$P$13+24)*IF(INDEX(_calc!$O:$O,$P$13)=1,INDEX(_calc!$O:$O,$P$13+36)/INDEX(_calc!$O:$O,$P$13+24),1)-1)))</f>
        <v>1.2095103968188248E-2</v>
      </c>
      <c r="L107" s="167">
        <f>IF($A107="","",IF(pf_BU="All",IF(SUMPRODUCT((calc_state=$A107)*_calc!$CG$4:$CG$72)=0,"",SUMPRODUCT((calc_state=$A107)*_calc!$CG$4:$CG$72*_calc!$AW$4:$AW$72)/SUMPRODUCT((calc_state=$A107)*_calc!$CG$4:$CG$72)),IF($P$13=0,"",INDEX(_calc!$N:$N,$P$13+37)/INDEX(_calc!$N:$N,$P$13+25)*IF(INDEX(_calc!$O:$O,$P$13)=1,INDEX(_calc!$O:$O,$P$13+37)/INDEX(_calc!$O:$O,$P$13+25),1)-1)))</f>
        <v>1.2082891949152463E-2</v>
      </c>
      <c r="M107" s="167">
        <f>IF($A107="","",IF(pf_BU="All",IF(SUMPRODUCT((calc_state=$A107)*_calc!$CH$4:$CH$72)=0,"",SUMPRODUCT((calc_state=$A107)*_calc!$CH$4:$CH$72*_calc!$AX$4:$AX$72)/SUMPRODUCT((calc_state=$A107)*_calc!$CH$4:$CH$72)),IF($P$13=0,"",INDEX(_calc!$N:$N,$P$13+38)/INDEX(_calc!$N:$N,$P$13+26)*IF(INDEX(_calc!$O:$O,$P$13)=1,INDEX(_calc!$O:$O,$P$13+38)/INDEX(_calc!$O:$O,$P$13+26),1)-1)))</f>
        <v>1.207070456537207E-2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5.1249773382469055E-2</v>
      </c>
      <c r="C108" s="167">
        <f>IF($A108="","",IF(pf_BU="All",IF(SUMPRODUCT((calc_state=$A108)*_calc!$BX$4:$BX$72)=0,"",SUMPRODUCT((calc_state=$A108)*_calc!$BX$4:$BX$72*_calc!$AN$4:$AN$72)/SUMPRODUCT((calc_state=$A108)*_calc!$BX$4:$BX$72)),IF($P$14=0,"",INDEX(_calc!$N:$N,$P$14+28)/INDEX(_calc!$N:$N,$P$14+16)*IF(INDEX(_calc!$O:$O,$P$14)=1,INDEX(_calc!$O:$O,$P$14+28)/INDEX(_calc!$O:$O,$P$14+16),1)-1)))</f>
        <v>5.0043250101663439E-2</v>
      </c>
      <c r="D108" s="167">
        <f>IF($A108="","",IF(pf_BU="All",IF(SUMPRODUCT((calc_state=$A108)*_calc!$BY$4:$BY$72)=0,"",SUMPRODUCT((calc_state=$A108)*_calc!$BY$4:$BY$72*_calc!$AO$4:$AO$72)/SUMPRODUCT((calc_state=$A108)*_calc!$BY$4:$BY$72)),IF($P$14=0,"",INDEX(_calc!$N:$N,$P$14+29)/INDEX(_calc!$N:$N,$P$14+17)*IF(INDEX(_calc!$O:$O,$P$14)=1,INDEX(_calc!$O:$O,$P$14+29)/INDEX(_calc!$O:$O,$P$14+17),1)-1)))</f>
        <v>4.8838707672459236E-2</v>
      </c>
      <c r="E108" s="167">
        <f>IF($A108="","",IF(pf_BU="All",IF(SUMPRODUCT((calc_state=$A108)*_calc!$BZ$4:$BZ$72)=0,"",SUMPRODUCT((calc_state=$A108)*_calc!$BZ$4:$BZ$72*_calc!$AP$4:$AP$72)/SUMPRODUCT((calc_state=$A108)*_calc!$BZ$4:$BZ$72)),IF($P$14=0,"",INDEX(_calc!$N:$N,$P$14+30)/INDEX(_calc!$N:$N,$P$14+18)*IF(INDEX(_calc!$O:$O,$P$14)=1,INDEX(_calc!$O:$O,$P$14+30)/INDEX(_calc!$O:$O,$P$14+18),1)-1)))</f>
        <v>4.7595410824863293E-2</v>
      </c>
      <c r="F108" s="167">
        <f>IF($A108="","",IF(pf_BU="All",IF(SUMPRODUCT((calc_state=$A108)*_calc!$CA$4:$CA$72)=0,"",SUMPRODUCT((calc_state=$A108)*_calc!$CA$4:$CA$72*_calc!$AQ$4:$AQ$72)/SUMPRODUCT((calc_state=$A108)*_calc!$CA$4:$CA$72)),IF($P$14=0,"",INDEX(_calc!$N:$N,$P$14+31)/INDEX(_calc!$N:$N,$P$14+19)*IF(INDEX(_calc!$O:$O,$P$14)=1,INDEX(_calc!$O:$O,$P$14+31)/INDEX(_calc!$O:$O,$P$14+19),1)-1)))</f>
        <v>4.6354220821011927E-2</v>
      </c>
      <c r="G108" s="167">
        <f>IF($A108="","",IF(pf_BU="All",IF(SUMPRODUCT((calc_state=$A108)*_calc!$CB$4:$CB$72)=0,"",SUMPRODUCT((calc_state=$A108)*_calc!$CB$4:$CB$72*_calc!$AR$4:$AR$72)/SUMPRODUCT((calc_state=$A108)*_calc!$CB$4:$CB$72)),IF($P$14=0,"",INDEX(_calc!$N:$N,$P$14+32)/INDEX(_calc!$N:$N,$P$14+20)*IF(INDEX(_calc!$O:$O,$P$14)=1,INDEX(_calc!$O:$O,$P$14+32)/INDEX(_calc!$O:$O,$P$14+20),1)-1)))</f>
        <v>4.0114581437875163E-2</v>
      </c>
      <c r="H108" s="167">
        <f>IF($A108="","",IF(pf_BU="All",IF(SUMPRODUCT((calc_state=$A108)*_calc!$CC$4:$CC$72)=0,"",SUMPRODUCT((calc_state=$A108)*_calc!$CC$4:$CC$72*_calc!$AS$4:$AS$72)/SUMPRODUCT((calc_state=$A108)*_calc!$CC$4:$CC$72)),IF($P$14=0,"",INDEX(_calc!$N:$N,$P$14+33)/INDEX(_calc!$N:$N,$P$14+21)*IF(INDEX(_calc!$O:$O,$P$14)=1,INDEX(_calc!$O:$O,$P$14+33)/INDEX(_calc!$O:$O,$P$14+21),1)-1)))</f>
        <v>3.8883507711104937E-2</v>
      </c>
      <c r="I108" s="167">
        <f>IF($A108="","",IF(pf_BU="All",IF(SUMPRODUCT((calc_state=$A108)*_calc!$CD$4:$CD$72)=0,"",SUMPRODUCT((calc_state=$A108)*_calc!$CD$4:$CD$72*_calc!$AT$4:$AT$72)/SUMPRODUCT((calc_state=$A108)*_calc!$CD$4:$CD$72)),IF($P$14=0,"",INDEX(_calc!$N:$N,$P$14+34)/INDEX(_calc!$N:$N,$P$14+22)*IF(INDEX(_calc!$O:$O,$P$14)=1,INDEX(_calc!$O:$O,$P$14+34)/INDEX(_calc!$O:$O,$P$14+22),1)-1)))</f>
        <v>3.7634384707869728E-2</v>
      </c>
      <c r="J108" s="167">
        <f>IF($A108="","",IF(pf_BU="All",IF(SUMPRODUCT((calc_state=$A108)*_calc!$CE$4:$CE$72)=0,"",SUMPRODUCT((calc_state=$A108)*_calc!$CE$4:$CE$72*_calc!$AU$4:$AU$72)/SUMPRODUCT((calc_state=$A108)*_calc!$CE$4:$CE$72)),IF($P$14=0,"",INDEX(_calc!$N:$N,$P$14+35)/INDEX(_calc!$N:$N,$P$14+23)*IF(INDEX(_calc!$O:$O,$P$14)=1,INDEX(_calc!$O:$O,$P$14+35)/INDEX(_calc!$O:$O,$P$14+23),1)-1)))</f>
        <v>3.6407501375187445E-2</v>
      </c>
      <c r="K108" s="167">
        <f>IF($A108="","",IF(pf_BU="All",IF(SUMPRODUCT((calc_state=$A108)*_calc!$CF$4:$CF$72)=0,"",SUMPRODUCT((calc_state=$A108)*_calc!$CF$4:$CF$72*_calc!$AV$4:$AV$72)/SUMPRODUCT((calc_state=$A108)*_calc!$CF$4:$CF$72)),IF($P$14=0,"",INDEX(_calc!$N:$N,$P$14+36)/INDEX(_calc!$N:$N,$P$14+24)*IF(INDEX(_calc!$O:$O,$P$14)=1,INDEX(_calc!$O:$O,$P$14+36)/INDEX(_calc!$O:$O,$P$14+24),1)-1)))</f>
        <v>3.5804157156200001E-2</v>
      </c>
      <c r="L108" s="167">
        <f>IF($A108="","",IF(pf_BU="All",IF(SUMPRODUCT((calc_state=$A108)*_calc!$CG$4:$CG$72)=0,"",SUMPRODUCT((calc_state=$A108)*_calc!$CG$4:$CG$72*_calc!$AW$4:$AW$72)/SUMPRODUCT((calc_state=$A108)*_calc!$CG$4:$CG$72)),IF($P$14=0,"",INDEX(_calc!$N:$N,$P$14+37)/INDEX(_calc!$N:$N,$P$14+25)*IF(INDEX(_calc!$O:$O,$P$14)=1,INDEX(_calc!$O:$O,$P$14+37)/INDEX(_calc!$O:$O,$P$14+25),1)-1)))</f>
        <v>3.5802742149491307E-2</v>
      </c>
      <c r="M108" s="167">
        <f>IF($A108="","",IF(pf_BU="All",IF(SUMPRODUCT((calc_state=$A108)*_calc!$CH$4:$CH$72)=0,"",SUMPRODUCT((calc_state=$A108)*_calc!$CH$4:$CH$72*_calc!$AX$4:$AX$72)/SUMPRODUCT((calc_state=$A108)*_calc!$CH$4:$CH$72)),IF($P$14=0,"",INDEX(_calc!$N:$N,$P$14+38)/INDEX(_calc!$N:$N,$P$14+26)*IF(INDEX(_calc!$O:$O,$P$14)=1,INDEX(_calc!$O:$O,$P$14+38)/INDEX(_calc!$O:$O,$P$14+26),1)-1)))</f>
        <v>3.5801326188066529E-2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3.8357137299796618E-2</v>
      </c>
      <c r="C109" s="167">
        <f>IF($A109="","",IF(pf_BU="All",IF(SUMPRODUCT((calc_state=$A109)*_calc!$BX$4:$BX$72)=0,"",SUMPRODUCT((calc_state=$A109)*_calc!$BX$4:$BX$72*_calc!$AN$4:$AN$72)/SUMPRODUCT((calc_state=$A109)*_calc!$BX$4:$BX$72)),IF($P$15=0,"",INDEX(_calc!$N:$N,$P$15+28)/INDEX(_calc!$N:$N,$P$15+16)*IF(INDEX(_calc!$O:$O,$P$15)=1,INDEX(_calc!$O:$O,$P$15+28)/INDEX(_calc!$O:$O,$P$15+16),1)-1)))</f>
        <v>3.835166055759176E-2</v>
      </c>
      <c r="D109" s="167">
        <f>IF($A109="","",IF(pf_BU="All",IF(SUMPRODUCT((calc_state=$A109)*_calc!$BY$4:$BY$72)=0,"",SUMPRODUCT((calc_state=$A109)*_calc!$BY$4:$BY$72*_calc!$AO$4:$AO$72)/SUMPRODUCT((calc_state=$A109)*_calc!$BY$4:$BY$72)),IF($P$15=0,"",INDEX(_calc!$N:$N,$P$15+29)/INDEX(_calc!$N:$N,$P$15+17)*IF(INDEX(_calc!$O:$O,$P$15)=1,INDEX(_calc!$O:$O,$P$15+29)/INDEX(_calc!$O:$O,$P$15+17),1)-1)))</f>
        <v>3.83461909889109E-2</v>
      </c>
      <c r="E109" s="167">
        <f>IF($A109="","",IF(pf_BU="All",IF(SUMPRODUCT((calc_state=$A109)*_calc!$BZ$4:$BZ$72)=0,"",SUMPRODUCT((calc_state=$A109)*_calc!$BZ$4:$BZ$72*_calc!$AP$4:$AP$72)/SUMPRODUCT((calc_state=$A109)*_calc!$BZ$4:$BZ$72)),IF($P$15=0,"",INDEX(_calc!$N:$N,$P$15+30)/INDEX(_calc!$N:$N,$P$15+18)*IF(INDEX(_calc!$O:$O,$P$15)=1,INDEX(_calc!$O:$O,$P$15+30)/INDEX(_calc!$O:$O,$P$15+18),1)-1)))</f>
        <v>3.8340543538546878E-2</v>
      </c>
      <c r="F109" s="167">
        <f>IF($A109="","",IF(pf_BU="All",IF(SUMPRODUCT((calc_state=$A109)*_calc!$CA$4:$CA$72)=0,"",SUMPRODUCT((calc_state=$A109)*_calc!$CA$4:$CA$72*_calc!$AQ$4:$AQ$72)/SUMPRODUCT((calc_state=$A109)*_calc!$CA$4:$CA$72)),IF($P$15=0,"",INDEX(_calc!$N:$N,$P$15+31)/INDEX(_calc!$N:$N,$P$15+19)*IF(INDEX(_calc!$O:$O,$P$15)=1,INDEX(_calc!$O:$O,$P$15+31)/INDEX(_calc!$O:$O,$P$15+19),1)-1)))</f>
        <v>3.833490372570969E-2</v>
      </c>
      <c r="G109" s="167">
        <f>IF($A109="","",IF(pf_BU="All",IF(SUMPRODUCT((calc_state=$A109)*_calc!$CB$4:$CB$72)=0,"",SUMPRODUCT((calc_state=$A109)*_calc!$CB$4:$CB$72*_calc!$AR$4:$AR$72)/SUMPRODUCT((calc_state=$A109)*_calc!$CB$4:$CB$72)),IF($P$15=0,"",INDEX(_calc!$N:$N,$P$15+32)/INDEX(_calc!$N:$N,$P$15+20)*IF(INDEX(_calc!$O:$O,$P$15)=1,INDEX(_calc!$O:$O,$P$15+32)/INDEX(_calc!$O:$O,$P$15+20),1)-1)))</f>
        <v>3.8329271534916609E-2</v>
      </c>
      <c r="H109" s="167">
        <f>IF($A109="","",IF(pf_BU="All",IF(SUMPRODUCT((calc_state=$A109)*_calc!$CC$4:$CC$72)=0,"",SUMPRODUCT((calc_state=$A109)*_calc!$CC$4:$CC$72*_calc!$AS$4:$AS$72)/SUMPRODUCT((calc_state=$A109)*_calc!$CC$4:$CC$72)),IF($P$15=0,"",INDEX(_calc!$N:$N,$P$15+33)/INDEX(_calc!$N:$N,$P$15+21)*IF(INDEX(_calc!$O:$O,$P$15)=1,INDEX(_calc!$O:$O,$P$15+33)/INDEX(_calc!$O:$O,$P$15+21),1)-1)))</f>
        <v>8.0812106317735832E-3</v>
      </c>
      <c r="I109" s="167">
        <f>IF($A109="","",IF(pf_BU="All",IF(SUMPRODUCT((calc_state=$A109)*_calc!$CD$4:$CD$72)=0,"",SUMPRODUCT((calc_state=$A109)*_calc!$CD$4:$CD$72*_calc!$AT$4:$AT$72)/SUMPRODUCT((calc_state=$A109)*_calc!$CD$4:$CD$72)),IF($P$15=0,"",INDEX(_calc!$N:$N,$P$15+34)/INDEX(_calc!$N:$N,$P$15+22)*IF(INDEX(_calc!$O:$O,$P$15)=1,INDEX(_calc!$O:$O,$P$15+34)/INDEX(_calc!$O:$O,$P$15+22),1)-1)))</f>
        <v>8.0756679019857724E-3</v>
      </c>
      <c r="J109" s="167">
        <f>IF($A109="","",IF(pf_BU="All",IF(SUMPRODUCT((calc_state=$A109)*_calc!$CE$4:$CE$72)=0,"",SUMPRODUCT((calc_state=$A109)*_calc!$CE$4:$CE$72*_calc!$AU$4:$AU$72)/SUMPRODUCT((calc_state=$A109)*_calc!$CE$4:$CE$72)),IF($P$15=0,"",INDEX(_calc!$N:$N,$P$15+35)/INDEX(_calc!$N:$N,$P$15+23)*IF(INDEX(_calc!$O:$O,$P$15)=1,INDEX(_calc!$O:$O,$P$15+35)/INDEX(_calc!$O:$O,$P$15+23),1)-1)))</f>
        <v>8.0702219863801883E-3</v>
      </c>
      <c r="K109" s="167">
        <f>IF($A109="","",IF(pf_BU="All",IF(SUMPRODUCT((calc_state=$A109)*_calc!$CF$4:$CF$72)=0,"",SUMPRODUCT((calc_state=$A109)*_calc!$CF$4:$CF$72*_calc!$AV$4:$AV$72)/SUMPRODUCT((calc_state=$A109)*_calc!$CF$4:$CF$72)),IF($P$15=0,"",INDEX(_calc!$N:$N,$P$15+36)/INDEX(_calc!$N:$N,$P$15+24)*IF(INDEX(_calc!$O:$O,$P$15)=1,INDEX(_calc!$O:$O,$P$15+36)/INDEX(_calc!$O:$O,$P$15+24),1)-1)))</f>
        <v>8.0647834108511507E-3</v>
      </c>
      <c r="L109" s="167">
        <f>IF($A109="","",IF(pf_BU="All",IF(SUMPRODUCT((calc_state=$A109)*_calc!$CG$4:$CG$72)=0,"",SUMPRODUCT((calc_state=$A109)*_calc!$CG$4:$CG$72*_calc!$AW$4:$AW$72)/SUMPRODUCT((calc_state=$A109)*_calc!$CG$4:$CG$72)),IF($P$15=0,"",INDEX(_calc!$N:$N,$P$15+37)/INDEX(_calc!$N:$N,$P$15+25)*IF(INDEX(_calc!$O:$O,$P$15)=1,INDEX(_calc!$O:$O,$P$15+37)/INDEX(_calc!$O:$O,$P$15+25),1)-1)))</f>
        <v>8.0593521605687446E-3</v>
      </c>
      <c r="M109" s="167">
        <f>IF($A109="","",IF(pf_BU="All",IF(SUMPRODUCT((calc_state=$A109)*_calc!$CH$4:$CH$72)=0,"",SUMPRODUCT((calc_state=$A109)*_calc!$CH$4:$CH$72*_calc!$AX$4:$AX$72)/SUMPRODUCT((calc_state=$A109)*_calc!$CH$4:$CH$72)),IF($P$15=0,"",INDEX(_calc!$N:$N,$P$15+38)/INDEX(_calc!$N:$N,$P$15+26)*IF(INDEX(_calc!$O:$O,$P$15)=1,INDEX(_calc!$O:$O,$P$15+38)/INDEX(_calc!$O:$O,$P$15+26),1)-1)))</f>
        <v>8.0539282207439111E-3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3.1657234535884315E-2</v>
      </c>
      <c r="C110" s="167">
        <f>IF($A110="","",IF(pf_BU="All",IF(SUMPRODUCT((calc_state=$A110)*_calc!$BX$4:$BX$72)=0,"",SUMPRODUCT((calc_state=$A110)*_calc!$BX$4:$BX$72*_calc!$AN$4:$AN$72)/SUMPRODUCT((calc_state=$A110)*_calc!$BX$4:$BX$72)),IF($P$16=0,"",INDEX(_calc!$N:$N,$P$16+28)/INDEX(_calc!$N:$N,$P$16+16)*IF(INDEX(_calc!$O:$O,$P$16)=1,INDEX(_calc!$O:$O,$P$16+28)/INDEX(_calc!$O:$O,$P$16+16),1)-1)))</f>
        <v>3.1651822040421385E-2</v>
      </c>
      <c r="D110" s="167">
        <f>IF($A110="","",IF(pf_BU="All",IF(SUMPRODUCT((calc_state=$A110)*_calc!$BY$4:$BY$72)=0,"",SUMPRODUCT((calc_state=$A110)*_calc!$BY$4:$BY$72*_calc!$AO$4:$AO$72)/SUMPRODUCT((calc_state=$A110)*_calc!$BY$4:$BY$72)),IF($P$16=0,"",INDEX(_calc!$N:$N,$P$16+29)/INDEX(_calc!$N:$N,$P$16+17)*IF(INDEX(_calc!$O:$O,$P$16)=1,INDEX(_calc!$O:$O,$P$16+29)/INDEX(_calc!$O:$O,$P$16+17),1)-1)))</f>
        <v>3.1646402517522709E-2</v>
      </c>
      <c r="E110" s="167">
        <f>IF($A110="","",IF(pf_BU="All",IF(SUMPRODUCT((calc_state=$A110)*_calc!$BZ$4:$BZ$72)=0,"",SUMPRODUCT((calc_state=$A110)*_calc!$BZ$4:$BZ$72*_calc!$AP$4:$AP$72)/SUMPRODUCT((calc_state=$A110)*_calc!$BZ$4:$BZ$72)),IF($P$16=0,"",INDEX(_calc!$N:$N,$P$16+30)/INDEX(_calc!$N:$N,$P$16+18)*IF(INDEX(_calc!$O:$O,$P$16)=1,INDEX(_calc!$O:$O,$P$16+30)/INDEX(_calc!$O:$O,$P$16+18),1)-1)))</f>
        <v>3.1640791878619678E-2</v>
      </c>
      <c r="F110" s="167">
        <f>IF($A110="","",IF(pf_BU="All",IF(SUMPRODUCT((calc_state=$A110)*_calc!$CA$4:$CA$72)=0,"",SUMPRODUCT((calc_state=$A110)*_calc!$CA$4:$CA$72*_calc!$AQ$4:$AQ$72)/SUMPRODUCT((calc_state=$A110)*_calc!$CA$4:$CA$72)),IF($P$16=0,"",INDEX(_calc!$N:$N,$P$16+31)/INDEX(_calc!$N:$N,$P$16+19)*IF(INDEX(_calc!$O:$O,$P$16)=1,INDEX(_calc!$O:$O,$P$16+31)/INDEX(_calc!$O:$O,$P$16+19),1)-1)))</f>
        <v>3.16351736979541E-2</v>
      </c>
      <c r="G110" s="167">
        <f>IF($A110="","",IF(pf_BU="All",IF(SUMPRODUCT((calc_state=$A110)*_calc!$CB$4:$CB$72)=0,"",SUMPRODUCT((calc_state=$A110)*_calc!$CB$4:$CB$72*_calc!$AR$4:$AR$72)/SUMPRODUCT((calc_state=$A110)*_calc!$CB$4:$CB$72)),IF($P$16=0,"",INDEX(_calc!$N:$N,$P$16+32)/INDEX(_calc!$N:$N,$P$16+20)*IF(INDEX(_calc!$O:$O,$P$16)=1,INDEX(_calc!$O:$O,$P$16+32)/INDEX(_calc!$O:$O,$P$16+20),1)-1)))</f>
        <v>3.1629547960308813E-2</v>
      </c>
      <c r="H110" s="167">
        <f>IF($A110="","",IF(pf_BU="All",IF(SUMPRODUCT((calc_state=$A110)*_calc!$CC$4:$CC$72)=0,"",SUMPRODUCT((calc_state=$A110)*_calc!$CC$4:$CC$72*_calc!$AS$4:$AS$72)/SUMPRODUCT((calc_state=$A110)*_calc!$CC$4:$CC$72)),IF($P$16=0,"",INDEX(_calc!$N:$N,$P$16+33)/INDEX(_calc!$N:$N,$P$16+21)*IF(INDEX(_calc!$O:$O,$P$16)=1,INDEX(_calc!$O:$O,$P$16+33)/INDEX(_calc!$O:$O,$P$16+21),1)-1)))</f>
        <v>3.1623914650426466E-2</v>
      </c>
      <c r="I110" s="167">
        <f>IF($A110="","",IF(pf_BU="All",IF(SUMPRODUCT((calc_state=$A110)*_calc!$CD$4:$CD$72)=0,"",SUMPRODUCT((calc_state=$A110)*_calc!$CD$4:$CD$72*_calc!$AT$4:$AT$72)/SUMPRODUCT((calc_state=$A110)*_calc!$CD$4:$CD$72)),IF($P$16=0,"",INDEX(_calc!$N:$N,$P$16+34)/INDEX(_calc!$N:$N,$P$16+22)*IF(INDEX(_calc!$O:$O,$P$16)=1,INDEX(_calc!$O:$O,$P$16+34)/INDEX(_calc!$O:$O,$P$16+22),1)-1)))</f>
        <v>-8.0594411384788955E-3</v>
      </c>
      <c r="J110" s="167">
        <f>IF($A110="","",IF(pf_BU="All",IF(SUMPRODUCT((calc_state=$A110)*_calc!$CE$4:$CE$72)=0,"",SUMPRODUCT((calc_state=$A110)*_calc!$CE$4:$CE$72*_calc!$AU$4:$AU$72)/SUMPRODUCT((calc_state=$A110)*_calc!$CE$4:$CE$72)),IF($P$16=0,"",INDEX(_calc!$N:$N,$P$16+35)/INDEX(_calc!$N:$N,$P$16+23)*IF(INDEX(_calc!$O:$O,$P$16)=1,INDEX(_calc!$O:$O,$P$16+35)/INDEX(_calc!$O:$O,$P$16+23),1)-1)))</f>
        <v>-8.0648725087276718E-3</v>
      </c>
      <c r="K110" s="167">
        <f>IF($A110="","",IF(pf_BU="All",IF(SUMPRODUCT((calc_state=$A110)*_calc!$CF$4:$CF$72)=0,"",SUMPRODUCT((calc_state=$A110)*_calc!$CF$4:$CF$72*_calc!$AV$4:$AV$72)/SUMPRODUCT((calc_state=$A110)*_calc!$CF$4:$CF$72)),IF($P$16=0,"",INDEX(_calc!$N:$N,$P$16+36)/INDEX(_calc!$N:$N,$P$16+24)*IF(INDEX(_calc!$O:$O,$P$16)=1,INDEX(_calc!$O:$O,$P$16+36)/INDEX(_calc!$O:$O,$P$16+24),1)-1)))</f>
        <v>-8.0703112044664405E-3</v>
      </c>
      <c r="L110" s="167">
        <f>IF($A110="","",IF(pf_BU="All",IF(SUMPRODUCT((calc_state=$A110)*_calc!$CG$4:$CG$72)=0,"",SUMPRODUCT((calc_state=$A110)*_calc!$CG$4:$CG$72*_calc!$AW$4:$AW$72)/SUMPRODUCT((calc_state=$A110)*_calc!$CG$4:$CG$72)),IF($P$16=0,"",INDEX(_calc!$N:$N,$P$16+37)/INDEX(_calc!$N:$N,$P$16+25)*IF(INDEX(_calc!$O:$O,$P$16)=1,INDEX(_calc!$O:$O,$P$16+37)/INDEX(_calc!$O:$O,$P$16+25),1)-1)))</f>
        <v>-8.0757572405247835E-3</v>
      </c>
      <c r="M110" s="167">
        <f>IF($A110="","",IF(pf_BU="All",IF(SUMPRODUCT((calc_state=$A110)*_calc!$CH$4:$CH$72)=0,"",SUMPRODUCT((calc_state=$A110)*_calc!$CH$4:$CH$72*_calc!$AX$4:$AX$72)/SUMPRODUCT((calc_state=$A110)*_calc!$CH$4:$CH$72)),IF($P$16=0,"",INDEX(_calc!$N:$N,$P$16+38)/INDEX(_calc!$N:$N,$P$16+26)*IF(INDEX(_calc!$O:$O,$P$16)=1,INDEX(_calc!$O:$O,$P$16+38)/INDEX(_calc!$O:$O,$P$16+26),1)-1)))</f>
        <v>-8.0812106317735832E-3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4.0452850263497098E-3</v>
      </c>
      <c r="C111" s="167">
        <f>IF($A111="","",IF(pf_BU="All",IF(SUMPRODUCT((calc_state=$A111)*_calc!$BX$4:$BX$72)=0,"",SUMPRODUCT((calc_state=$A111)*_calc!$BX$4:$BX$72*_calc!$AN$4:$AN$72)/SUMPRODUCT((calc_state=$A111)*_calc!$BX$4:$BX$72)),IF($P$17=0,"",INDEX(_calc!$N:$N,$P$17+28)/INDEX(_calc!$N:$N,$P$17+16)*IF(INDEX(_calc!$O:$O,$P$17)=1,INDEX(_calc!$O:$O,$P$17+28)/INDEX(_calc!$O:$O,$P$17+16),1)-1)))</f>
        <v>4.0439628620176915E-3</v>
      </c>
      <c r="D111" s="167">
        <f>IF($A111="","",IF(pf_BU="All",IF(SUMPRODUCT((calc_state=$A111)*_calc!$BY$4:$BY$72)=0,"",SUMPRODUCT((calc_state=$A111)*_calc!$BY$4:$BY$72*_calc!$AO$4:$AO$72)/SUMPRODUCT((calc_state=$A111)*_calc!$BY$4:$BY$72)),IF($P$17=0,"",INDEX(_calc!$N:$N,$P$17+29)/INDEX(_calc!$N:$N,$P$17+17)*IF(INDEX(_calc!$O:$O,$P$17)=1,INDEX(_calc!$O:$O,$P$17+29)/INDEX(_calc!$O:$O,$P$17+17),1)-1)))</f>
        <v>4.0426415616778844E-3</v>
      </c>
      <c r="E111" s="167">
        <f>IF($A111="","",IF(pf_BU="All",IF(SUMPRODUCT((calc_state=$A111)*_calc!$BZ$4:$BZ$72)=0,"",SUMPRODUCT((calc_state=$A111)*_calc!$BZ$4:$BZ$72*_calc!$AP$4:$AP$72)/SUMPRODUCT((calc_state=$A111)*_calc!$BZ$4:$BZ$72)),IF($P$17=0,"",INDEX(_calc!$N:$N,$P$17+30)/INDEX(_calc!$N:$N,$P$17+18)*IF(INDEX(_calc!$O:$O,$P$17)=1,INDEX(_calc!$O:$O,$P$17+30)/INDEX(_calc!$O:$O,$P$17+18),1)-1)))</f>
        <v>4.0412763790163009E-3</v>
      </c>
      <c r="F111" s="167">
        <f>IF($A111="","",IF(pf_BU="All",IF(SUMPRODUCT((calc_state=$A111)*_calc!$CA$4:$CA$72)=0,"",SUMPRODUCT((calc_state=$A111)*_calc!$CA$4:$CA$72*_calc!$AQ$4:$AQ$72)/SUMPRODUCT((calc_state=$A111)*_calc!$CA$4:$CA$72)),IF($P$17=0,"",INDEX(_calc!$N:$N,$P$17+31)/INDEX(_calc!$N:$N,$P$17+19)*IF(INDEX(_calc!$O:$O,$P$17)=1,INDEX(_calc!$O:$O,$P$17+31)/INDEX(_calc!$O:$O,$P$17+19),1)-1)))</f>
        <v>4.0399121180760833E-3</v>
      </c>
      <c r="G111" s="167">
        <f>IF($A111="","",IF(pf_BU="All",IF(SUMPRODUCT((calc_state=$A111)*_calc!$CB$4:$CB$72)=0,"",SUMPRODUCT((calc_state=$A111)*_calc!$CB$4:$CB$72*_calc!$AR$4:$AR$72)/SUMPRODUCT((calc_state=$A111)*_calc!$CB$4:$CB$72)),IF($P$17=0,"",INDEX(_calc!$N:$N,$P$17+32)/INDEX(_calc!$N:$N,$P$17+20)*IF(INDEX(_calc!$O:$O,$P$17)=1,INDEX(_calc!$O:$O,$P$17+32)/INDEX(_calc!$O:$O,$P$17+20),1)-1)))</f>
        <v>4.0385487779239782E-3</v>
      </c>
      <c r="H111" s="167">
        <f>IF($A111="","",IF(pf_BU="All",IF(SUMPRODUCT((calc_state=$A111)*_calc!$CC$4:$CC$72)=0,"",SUMPRODUCT((calc_state=$A111)*_calc!$CC$4:$CC$72*_calc!$AS$4:$AS$72)/SUMPRODUCT((calc_state=$A111)*_calc!$CC$4:$CC$72)),IF($P$17=0,"",INDEX(_calc!$N:$N,$P$17+33)/INDEX(_calc!$N:$N,$P$17+21)*IF(INDEX(_calc!$O:$O,$P$17)=1,INDEX(_calc!$O:$O,$P$17+33)/INDEX(_calc!$O:$O,$P$17+21),1)-1)))</f>
        <v>4.0371863576282863E-3</v>
      </c>
      <c r="I111" s="167">
        <f>IF($A111="","",IF(pf_BU="All",IF(SUMPRODUCT((calc_state=$A111)*_calc!$CD$4:$CD$72)=0,"",SUMPRODUCT((calc_state=$A111)*_calc!$CD$4:$CD$72*_calc!$AT$4:$AT$72)/SUMPRODUCT((calc_state=$A111)*_calc!$CD$4:$CD$72)),IF($P$17=0,"",INDEX(_calc!$N:$N,$P$17+34)/INDEX(_calc!$N:$N,$P$17+22)*IF(INDEX(_calc!$O:$O,$P$17)=1,INDEX(_calc!$O:$O,$P$17+34)/INDEX(_calc!$O:$O,$P$17+22),1)-1)))</f>
        <v>4.0358025442142065E-3</v>
      </c>
      <c r="J111" s="167">
        <f>IF($A111="","",IF(pf_BU="All",IF(SUMPRODUCT((calc_state=$A111)*_calc!$CE$4:$CE$72)=0,"",SUMPRODUCT((calc_state=$A111)*_calc!$CE$4:$CE$72*_calc!$AU$4:$AU$72)/SUMPRODUCT((calc_state=$A111)*_calc!$CE$4:$CE$72)),IF($P$17=0,"",INDEX(_calc!$N:$N,$P$17+35)/INDEX(_calc!$N:$N,$P$17+23)*IF(INDEX(_calc!$O:$O,$P$17)=1,INDEX(_calc!$O:$O,$P$17+35)/INDEX(_calc!$O:$O,$P$17+23),1)-1)))</f>
        <v>4.034441975881764E-3</v>
      </c>
      <c r="K111" s="167">
        <f>IF($A111="","",IF(pf_BU="All",IF(SUMPRODUCT((calc_state=$A111)*_calc!$CF$4:$CF$72)=0,"",SUMPRODUCT((calc_state=$A111)*_calc!$CF$4:$CF$72*_calc!$AV$4:$AV$72)/SUMPRODUCT((calc_state=$A111)*_calc!$CF$4:$CF$72)),IF($P$17=0,"",INDEX(_calc!$N:$N,$P$17+36)/INDEX(_calc!$N:$N,$P$17+24)*IF(INDEX(_calc!$O:$O,$P$17)=1,INDEX(_calc!$O:$O,$P$17+36)/INDEX(_calc!$O:$O,$P$17+24),1)-1)))</f>
        <v>4.0330823246024217E-3</v>
      </c>
      <c r="L111" s="167">
        <f>IF($A111="","",IF(pf_BU="All",IF(SUMPRODUCT((calc_state=$A111)*_calc!$CG$4:$CG$72)=0,"",SUMPRODUCT((calc_state=$A111)*_calc!$CG$4:$CG$72*_calc!$AW$4:$AW$72)/SUMPRODUCT((calc_state=$A111)*_calc!$CG$4:$CG$72)),IF($P$17=0,"",INDEX(_calc!$N:$N,$P$17+37)/INDEX(_calc!$N:$N,$P$17+25)*IF(INDEX(_calc!$O:$O,$P$17)=1,INDEX(_calc!$O:$O,$P$17+37)/INDEX(_calc!$O:$O,$P$17+25),1)-1)))</f>
        <v>4.0317235894489212E-3</v>
      </c>
      <c r="M111" s="167">
        <f>IF($A111="","",IF(pf_BU="All",IF(SUMPRODUCT((calc_state=$A111)*_calc!$CH$4:$CH$72)=0,"",SUMPRODUCT((calc_state=$A111)*_calc!$CH$4:$CH$72*_calc!$AX$4:$AX$72)/SUMPRODUCT((calc_state=$A111)*_calc!$CH$4:$CH$72)),IF($P$17=0,"",INDEX(_calc!$N:$N,$P$17+38)/INDEX(_calc!$N:$N,$P$17+26)*IF(INDEX(_calc!$O:$O,$P$17)=1,INDEX(_calc!$O:$O,$P$17+38)/INDEX(_calc!$O:$O,$P$17+26),1)-1)))</f>
        <v>4.0303657694962247E-3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7.730012520121643E-2</v>
      </c>
      <c r="C112" s="167">
        <f>IF($A112="","",IF(pf_BU="All",IF(SUMPRODUCT((calc_state=$A112)*_calc!$BX$4:$BX$72)=0,"",SUMPRODUCT((calc_state=$A112)*_calc!$BX$4:$BX$72*_calc!$AN$4:$AN$72)/SUMPRODUCT((calc_state=$A112)*_calc!$BX$4:$BX$72)),IF($P$18=0,"",INDEX(_calc!$N:$N,$P$18+28)/INDEX(_calc!$N:$N,$P$18+16)*IF(INDEX(_calc!$O:$O,$P$18)=1,INDEX(_calc!$O:$O,$P$18+28)/INDEX(_calc!$O:$O,$P$18+16),1)-1)))</f>
        <v>7.7277334940942799E-2</v>
      </c>
      <c r="D112" s="167">
        <f>IF($A112="","",IF(pf_BU="All",IF(SUMPRODUCT((calc_state=$A112)*_calc!$BY$4:$BY$72)=0,"",SUMPRODUCT((calc_state=$A112)*_calc!$BY$4:$BY$72*_calc!$AO$4:$AO$72)/SUMPRODUCT((calc_state=$A112)*_calc!$BY$4:$BY$72)),IF($P$18=0,"",INDEX(_calc!$N:$N,$P$18+29)/INDEX(_calc!$N:$N,$P$18+17)*IF(INDEX(_calc!$O:$O,$P$18)=1,INDEX(_calc!$O:$O,$P$18+29)/INDEX(_calc!$O:$O,$P$18+17),1)-1)))</f>
        <v>7.7254604647014391E-2</v>
      </c>
      <c r="E112" s="167">
        <f>IF($A112="","",IF(pf_BU="All",IF(SUMPRODUCT((calc_state=$A112)*_calc!$BZ$4:$BZ$72)=0,"",SUMPRODUCT((calc_state=$A112)*_calc!$BZ$4:$BZ$72*_calc!$AP$4:$AP$72)/SUMPRODUCT((calc_state=$A112)*_calc!$BZ$4:$BZ$72)),IF($P$18=0,"",INDEX(_calc!$N:$N,$P$18+30)/INDEX(_calc!$N:$N,$P$18+18)*IF(INDEX(_calc!$O:$O,$P$18)=1,INDEX(_calc!$O:$O,$P$18+30)/INDEX(_calc!$O:$O,$P$18+18),1)-1)))</f>
        <v>7.7231166633264348E-2</v>
      </c>
      <c r="F112" s="167">
        <f>IF($A112="","",IF(pf_BU="All",IF(SUMPRODUCT((calc_state=$A112)*_calc!$CA$4:$CA$72)=0,"",SUMPRODUCT((calc_state=$A112)*_calc!$CA$4:$CA$72*_calc!$AQ$4:$AQ$72)/SUMPRODUCT((calc_state=$A112)*_calc!$CA$4:$CA$72)),IF($P$18=0,"",INDEX(_calc!$N:$N,$P$18+31)/INDEX(_calc!$N:$N,$P$18+19)*IF(INDEX(_calc!$O:$O,$P$18)=1,INDEX(_calc!$O:$O,$P$18+31)/INDEX(_calc!$O:$O,$P$18+19),1)-1)))</f>
        <v>7.7207792207792503E-2</v>
      </c>
      <c r="G112" s="167">
        <f>IF($A112="","",IF(pf_BU="All",IF(SUMPRODUCT((calc_state=$A112)*_calc!$CB$4:$CB$72)=0,"",SUMPRODUCT((calc_state=$A112)*_calc!$CB$4:$CB$72*_calc!$AR$4:$AR$72)/SUMPRODUCT((calc_state=$A112)*_calc!$CB$4:$CB$72)),IF($P$18=0,"",INDEX(_calc!$N:$N,$P$18+32)/INDEX(_calc!$N:$N,$P$18+20)*IF(INDEX(_calc!$O:$O,$P$18)=1,INDEX(_calc!$O:$O,$P$18+32)/INDEX(_calc!$O:$O,$P$18+20),1)-1)))</f>
        <v>7.7184481112172021E-2</v>
      </c>
      <c r="H112" s="167">
        <f>IF($A112="","",IF(pf_BU="All",IF(SUMPRODUCT((calc_state=$A112)*_calc!$CC$4:$CC$72)=0,"",SUMPRODUCT((calc_state=$A112)*_calc!$CC$4:$CC$72*_calc!$AS$4:$AS$72)/SUMPRODUCT((calc_state=$A112)*_calc!$CC$4:$CC$72)),IF($P$18=0,"",INDEX(_calc!$N:$N,$P$18+33)/INDEX(_calc!$N:$N,$P$18+21)*IF(INDEX(_calc!$O:$O,$P$18)=1,INDEX(_calc!$O:$O,$P$18+33)/INDEX(_calc!$O:$O,$P$18+21),1)-1)))</f>
        <v>7.7161233089376946E-2</v>
      </c>
      <c r="I112" s="167">
        <f>IF($A112="","",IF(pf_BU="All",IF(SUMPRODUCT((calc_state=$A112)*_calc!$CD$4:$CD$72)=0,"",SUMPRODUCT((calc_state=$A112)*_calc!$CD$4:$CD$72*_calc!$AT$4:$AT$72)/SUMPRODUCT((calc_state=$A112)*_calc!$CD$4:$CD$72)),IF($P$18=0,"",INDEX(_calc!$N:$N,$P$18+34)/INDEX(_calc!$N:$N,$P$18+22)*IF(INDEX(_calc!$O:$O,$P$18)=1,INDEX(_calc!$O:$O,$P$18+34)/INDEX(_calc!$O:$O,$P$18+22),1)-1)))</f>
        <v>7.7137668320340413E-2</v>
      </c>
      <c r="J112" s="167">
        <f>IF($A112="","",IF(pf_BU="All",IF(SUMPRODUCT((calc_state=$A112)*_calc!$CE$4:$CE$72)=0,"",SUMPRODUCT((calc_state=$A112)*_calc!$CE$4:$CE$72*_calc!$AU$4:$AU$72)/SUMPRODUCT((calc_state=$A112)*_calc!$CE$4:$CE$72)),IF($P$18=0,"",INDEX(_calc!$N:$N,$P$18+35)/INDEX(_calc!$N:$N,$P$18+23)*IF(INDEX(_calc!$O:$O,$P$18)=1,INDEX(_calc!$O:$O,$P$18+35)/INDEX(_calc!$O:$O,$P$18+23),1)-1)))</f>
        <v>7.7114546701170017E-2</v>
      </c>
      <c r="K112" s="167">
        <f>IF($A112="","",IF(pf_BU="All",IF(SUMPRODUCT((calc_state=$A112)*_calc!$CF$4:$CF$72)=0,"",SUMPRODUCT((calc_state=$A112)*_calc!$CF$4:$CF$72*_calc!$AV$4:$AV$72)/SUMPRODUCT((calc_state=$A112)*_calc!$CF$4:$CF$72)),IF($P$18=0,"",INDEX(_calc!$N:$N,$P$18+36)/INDEX(_calc!$N:$N,$P$18+24)*IF(INDEX(_calc!$O:$O,$P$18)=1,INDEX(_calc!$O:$O,$P$18+36)/INDEX(_calc!$O:$O,$P$18+24),1)-1)))</f>
        <v>5.6769006493793572E-2</v>
      </c>
      <c r="L112" s="167">
        <f>IF($A112="","",IF(pf_BU="All",IF(SUMPRODUCT((calc_state=$A112)*_calc!$CG$4:$CG$72)=0,"",SUMPRODUCT((calc_state=$A112)*_calc!$CG$4:$CG$72*_calc!$AW$4:$AW$72)/SUMPRODUCT((calc_state=$A112)*_calc!$CG$4:$CG$72)),IF($P$18=0,"",INDEX(_calc!$N:$N,$P$18+37)/INDEX(_calc!$N:$N,$P$18+25)*IF(INDEX(_calc!$O:$O,$P$18)=1,INDEX(_calc!$O:$O,$P$18+37)/INDEX(_calc!$O:$O,$P$18+25),1)-1)))</f>
        <v>5.6746443145472503E-2</v>
      </c>
      <c r="M112" s="167">
        <f>IF($A112="","",IF(pf_BU="All",IF(SUMPRODUCT((calc_state=$A112)*_calc!$CH$4:$CH$72)=0,"",SUMPRODUCT((calc_state=$A112)*_calc!$CH$4:$CH$72*_calc!$AX$4:$AX$72)/SUMPRODUCT((calc_state=$A112)*_calc!$CH$4:$CH$72)),IF($P$18=0,"",INDEX(_calc!$N:$N,$P$18+38)/INDEX(_calc!$N:$N,$P$18+26)*IF(INDEX(_calc!$O:$O,$P$18)=1,INDEX(_calc!$O:$O,$P$18+38)/INDEX(_calc!$O:$O,$P$18+26),1)-1)))</f>
        <v>5.6723940435280618E-2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1.2205520908224576E-2</v>
      </c>
      <c r="C114" s="167">
        <f>IF($A114="","",IF(pf_BU="All",IF(SUMPRODUCT((calc_state=$A114)*_calc!$BX$4:$BX$72)=0,"",SUMPRODUCT((calc_state=$A114)*_calc!$BX$4:$BX$72*_calc!$AN$4:$AN$72)/SUMPRODUCT((calc_state=$A114)*_calc!$BX$4:$BX$72)),IF($P$20=0,"",INDEX(_calc!$N:$N,$P$20+28)/INDEX(_calc!$N:$N,$P$20+16)*IF(INDEX(_calc!$O:$O,$P$20)=1,INDEX(_calc!$O:$O,$P$20+28)/INDEX(_calc!$O:$O,$P$20+16),1)-1)))</f>
        <v>1.2193492349836355E-2</v>
      </c>
      <c r="D114" s="167">
        <f>IF($A114="","",IF(pf_BU="All",IF(SUMPRODUCT((calc_state=$A114)*_calc!$BY$4:$BY$72)=0,"",SUMPRODUCT((calc_state=$A114)*_calc!$BY$4:$BY$72*_calc!$AO$4:$AO$72)/SUMPRODUCT((calc_state=$A114)*_calc!$BY$4:$BY$72)),IF($P$20=0,"",INDEX(_calc!$N:$N,$P$20+29)/INDEX(_calc!$N:$N,$P$20+17)*IF(INDEX(_calc!$O:$O,$P$20)=1,INDEX(_calc!$O:$O,$P$20+29)/INDEX(_calc!$O:$O,$P$20+17),1)-1)))</f>
        <v>1.2181487476429442E-2</v>
      </c>
      <c r="E114" s="167">
        <f>IF($A114="","",IF(pf_BU="All",IF(SUMPRODUCT((calc_state=$A114)*_calc!$BZ$4:$BZ$72)=0,"",SUMPRODUCT((calc_state=$A114)*_calc!$BZ$4:$BZ$72*_calc!$AP$4:$AP$72)/SUMPRODUCT((calc_state=$A114)*_calc!$BZ$4:$BZ$72)),IF($P$20=0,"",INDEX(_calc!$N:$N,$P$20+30)/INDEX(_calc!$N:$N,$P$20+18)*IF(INDEX(_calc!$O:$O,$P$20)=1,INDEX(_calc!$O:$O,$P$20+30)/INDEX(_calc!$O:$O,$P$20+18),1)-1)))</f>
        <v>1.2169100486763895E-2</v>
      </c>
      <c r="F114" s="167">
        <f>IF($A114="","",IF(pf_BU="All",IF(SUMPRODUCT((calc_state=$A114)*_calc!$CA$4:$CA$72)=0,"",SUMPRODUCT((calc_state=$A114)*_calc!$CA$4:$CA$72*_calc!$AQ$4:$AQ$72)/SUMPRODUCT((calc_state=$A114)*_calc!$CA$4:$CA$72)),IF($P$20=0,"",INDEX(_calc!$N:$N,$P$20+31)/INDEX(_calc!$N:$N,$P$20+19)*IF(INDEX(_calc!$O:$O,$P$20)=1,INDEX(_calc!$O:$O,$P$20+31)/INDEX(_calc!$O:$O,$P$20+19),1)-1)))</f>
        <v>1.2156738663424926E-2</v>
      </c>
      <c r="G114" s="167">
        <f>IF($A114="","",IF(pf_BU="All",IF(SUMPRODUCT((calc_state=$A114)*_calc!$CB$4:$CB$72)=0,"",SUMPRODUCT((calc_state=$A114)*_calc!$CB$4:$CB$72*_calc!$AR$4:$AR$72)/SUMPRODUCT((calc_state=$A114)*_calc!$CB$4:$CB$72)),IF($P$20=0,"",INDEX(_calc!$N:$N,$P$20+32)/INDEX(_calc!$N:$N,$P$20+20)*IF(INDEX(_calc!$O:$O,$P$20)=1,INDEX(_calc!$O:$O,$P$20+32)/INDEX(_calc!$O:$O,$P$20+20),1)-1)))</f>
        <v>1.2144401929795379E-2</v>
      </c>
      <c r="H114" s="167">
        <f>IF($A114="","",IF(pf_BU="All",IF(SUMPRODUCT((calc_state=$A114)*_calc!$CC$4:$CC$72)=0,"",SUMPRODUCT((calc_state=$A114)*_calc!$CC$4:$CC$72*_calc!$AS$4:$AS$72)/SUMPRODUCT((calc_state=$A114)*_calc!$CC$4:$CC$72)),IF($P$20=0,"",INDEX(_calc!$N:$N,$P$20+33)/INDEX(_calc!$N:$N,$P$20+21)*IF(INDEX(_calc!$O:$O,$P$20)=1,INDEX(_calc!$O:$O,$P$20+33)/INDEX(_calc!$O:$O,$P$20+21),1)-1)))</f>
        <v>1.213209020956918E-2</v>
      </c>
      <c r="I114" s="167">
        <f>IF($A114="","",IF(pf_BU="All",IF(SUMPRODUCT((calc_state=$A114)*_calc!$CD$4:$CD$72)=0,"",SUMPRODUCT((calc_state=$A114)*_calc!$CD$4:$CD$72*_calc!$AT$4:$AT$72)/SUMPRODUCT((calc_state=$A114)*_calc!$CD$4:$CD$72)),IF($P$20=0,"",INDEX(_calc!$N:$N,$P$20+34)/INDEX(_calc!$N:$N,$P$20+22)*IF(INDEX(_calc!$O:$O,$P$20)=1,INDEX(_calc!$O:$O,$P$20+34)/INDEX(_calc!$O:$O,$P$20+22),1)-1)))</f>
        <v>1.2119602211412284E-2</v>
      </c>
      <c r="J114" s="167">
        <f>IF($A114="","",IF(pf_BU="All",IF(SUMPRODUCT((calc_state=$A114)*_calc!$CE$4:$CE$72)=0,"",SUMPRODUCT((calc_state=$A114)*_calc!$CE$4:$CE$72*_calc!$AU$4:$AU$72)/SUMPRODUCT((calc_state=$A114)*_calc!$CE$4:$CE$72)),IF($P$20=0,"",INDEX(_calc!$N:$N,$P$20+35)/INDEX(_calc!$N:$N,$P$20+23)*IF(INDEX(_calc!$O:$O,$P$20)=1,INDEX(_calc!$O:$O,$P$20+35)/INDEX(_calc!$O:$O,$P$20+23),1)-1)))</f>
        <v>1.2107340697250057E-2</v>
      </c>
      <c r="K114" s="167">
        <f>IF($A114="","",IF(pf_BU="All",IF(SUMPRODUCT((calc_state=$A114)*_calc!$CF$4:$CF$72)=0,"",SUMPRODUCT((calc_state=$A114)*_calc!$CF$4:$CF$72*_calc!$AV$4:$AV$72)/SUMPRODUCT((calc_state=$A114)*_calc!$CF$4:$CF$72)),IF($P$20=0,"",INDEX(_calc!$N:$N,$P$20+36)/INDEX(_calc!$N:$N,$P$20+24)*IF(INDEX(_calc!$O:$O,$P$20)=1,INDEX(_calc!$O:$O,$P$20+36)/INDEX(_calc!$O:$O,$P$20+24),1)-1)))</f>
        <v>1.2095103968188248E-2</v>
      </c>
      <c r="L114" s="167">
        <f>IF($A114="","",IF(pf_BU="All",IF(SUMPRODUCT((calc_state=$A114)*_calc!$CG$4:$CG$72)=0,"",SUMPRODUCT((calc_state=$A114)*_calc!$CG$4:$CG$72*_calc!$AW$4:$AW$72)/SUMPRODUCT((calc_state=$A114)*_calc!$CG$4:$CG$72)),IF($P$20=0,"",INDEX(_calc!$N:$N,$P$20+37)/INDEX(_calc!$N:$N,$P$20+25)*IF(INDEX(_calc!$O:$O,$P$20)=1,INDEX(_calc!$O:$O,$P$20+37)/INDEX(_calc!$O:$O,$P$20+25),1)-1)))</f>
        <v>1.2082891949152463E-2</v>
      </c>
      <c r="M114" s="167">
        <f>IF($A114="","",IF(pf_BU="All",IF(SUMPRODUCT((calc_state=$A114)*_calc!$CH$4:$CH$72)=0,"",SUMPRODUCT((calc_state=$A114)*_calc!$CH$4:$CH$72*_calc!$AX$4:$AX$72)/SUMPRODUCT((calc_state=$A114)*_calc!$CH$4:$CH$72)),IF($P$20=0,"",INDEX(_calc!$N:$N,$P$20+38)/INDEX(_calc!$N:$N,$P$20+26)*IF(INDEX(_calc!$O:$O,$P$20)=1,INDEX(_calc!$O:$O,$P$20+38)/INDEX(_calc!$O:$O,$P$20+26),1)-1)))</f>
        <v>1.207070456537207E-2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-4.0223266680258218E-3</v>
      </c>
      <c r="C115" s="167">
        <f>IF($A115="","",IF(pf_BU="All",IF(SUMPRODUCT((calc_state=$A115)*_calc!$BX$4:$BX$72)=0,"",SUMPRODUCT((calc_state=$A115)*_calc!$BX$4:$BX$72*_calc!$AN$4:$AN$72)/SUMPRODUCT((calc_state=$A115)*_calc!$BX$4:$BX$72)),IF($P$21=0,"",INDEX(_calc!$N:$N,$P$21+28)/INDEX(_calc!$N:$N,$P$21+16)*IF(INDEX(_calc!$O:$O,$P$21)=1,INDEX(_calc!$O:$O,$P$21+28)/INDEX(_calc!$O:$O,$P$21+16),1)-1)))</f>
        <v>-4.0236347201093592E-3</v>
      </c>
      <c r="D115" s="167">
        <f>IF($A115="","",IF(pf_BU="All",IF(SUMPRODUCT((calc_state=$A115)*_calc!$BY$4:$BY$72)=0,"",SUMPRODUCT((calc_state=$A115)*_calc!$BY$4:$BY$72*_calc!$AO$4:$AO$72)/SUMPRODUCT((calc_state=$A115)*_calc!$BY$4:$BY$72)),IF($P$21=0,"",INDEX(_calc!$N:$N,$P$21+29)/INDEX(_calc!$N:$N,$P$21+17)*IF(INDEX(_calc!$O:$O,$P$21)=1,INDEX(_calc!$O:$O,$P$21+29)/INDEX(_calc!$O:$O,$P$21+17),1)-1)))</f>
        <v>-4.0249436232211444E-3</v>
      </c>
      <c r="E115" s="167">
        <f>IF($A115="","",IF(pf_BU="All",IF(SUMPRODUCT((calc_state=$A115)*_calc!$BZ$4:$BZ$72)=0,"",SUMPRODUCT((calc_state=$A115)*_calc!$BZ$4:$BZ$72*_calc!$AP$4:$AP$72)/SUMPRODUCT((calc_state=$A115)*_calc!$BZ$4:$BZ$72)),IF($P$21=0,"",INDEX(_calc!$N:$N,$P$21+30)/INDEX(_calc!$N:$N,$P$21+18)*IF(INDEX(_calc!$O:$O,$P$21)=1,INDEX(_calc!$O:$O,$P$21+30)/INDEX(_calc!$O:$O,$P$21+18),1)-1)))</f>
        <v>-4.0262977916032394E-3</v>
      </c>
      <c r="F115" s="167">
        <f>IF($A115="","",IF(pf_BU="All",IF(SUMPRODUCT((calc_state=$A115)*_calc!$CA$4:$CA$72)=0,"",SUMPRODUCT((calc_state=$A115)*_calc!$CA$4:$CA$72*_calc!$AQ$4:$AQ$72)/SUMPRODUCT((calc_state=$A115)*_calc!$CA$4:$CA$72)),IF($P$21=0,"",INDEX(_calc!$N:$N,$P$21+31)/INDEX(_calc!$N:$N,$P$21+19)*IF(INDEX(_calc!$O:$O,$P$21)=1,INDEX(_calc!$O:$O,$P$21+31)/INDEX(_calc!$O:$O,$P$21+19),1)-1)))</f>
        <v>-4.0276528714957571E-3</v>
      </c>
      <c r="G115" s="167">
        <f>IF($A115="","",IF(pf_BU="All",IF(SUMPRODUCT((calc_state=$A115)*_calc!$CB$4:$CB$72)=0,"",SUMPRODUCT((calc_state=$A115)*_calc!$CB$4:$CB$72*_calc!$AR$4:$AR$72)/SUMPRODUCT((calc_state=$A115)*_calc!$CB$4:$CB$72)),IF($P$21=0,"",INDEX(_calc!$N:$N,$P$21+32)/INDEX(_calc!$N:$N,$P$21+20)*IF(INDEX(_calc!$O:$O,$P$21)=1,INDEX(_calc!$O:$O,$P$21+32)/INDEX(_calc!$O:$O,$P$21+20),1)-1)))</f>
        <v>-4.0290088638195165E-3</v>
      </c>
      <c r="H115" s="167">
        <f>IF($A115="","",IF(pf_BU="All",IF(SUMPRODUCT((calc_state=$A115)*_calc!$CC$4:$CC$72)=0,"",SUMPRODUCT((calc_state=$A115)*_calc!$CC$4:$CC$72*_calc!$AS$4:$AS$72)/SUMPRODUCT((calc_state=$A115)*_calc!$CC$4:$CC$72)),IF($P$21=0,"",INDEX(_calc!$N:$N,$P$21+33)/INDEX(_calc!$N:$N,$P$21+21)*IF(INDEX(_calc!$O:$O,$P$21)=1,INDEX(_calc!$O:$O,$P$21+33)/INDEX(_calc!$O:$O,$P$21+21),1)-1)))</f>
        <v>-4.0303657694962247E-3</v>
      </c>
      <c r="I115" s="167">
        <f>IF($A115="","",IF(pf_BU="All",IF(SUMPRODUCT((calc_state=$A115)*_calc!$CD$4:$CD$72)=0,"",SUMPRODUCT((calc_state=$A115)*_calc!$CD$4:$CD$72*_calc!$AT$4:$AT$72)/SUMPRODUCT((calc_state=$A115)*_calc!$CD$4:$CD$72)),IF($P$21=0,"",INDEX(_calc!$N:$N,$P$21+34)/INDEX(_calc!$N:$N,$P$21+22)*IF(INDEX(_calc!$O:$O,$P$21)=1,INDEX(_calc!$O:$O,$P$21+34)/INDEX(_calc!$O:$O,$P$21+22),1)-1)))</f>
        <v>-4.0317458564146369E-3</v>
      </c>
      <c r="J115" s="167">
        <f>IF($A115="","",IF(pf_BU="All",IF(SUMPRODUCT((calc_state=$A115)*_calc!$CE$4:$CE$72)=0,"",SUMPRODUCT((calc_state=$A115)*_calc!$CE$4:$CE$72*_calc!$AU$4:$AU$72)/SUMPRODUCT((calc_state=$A115)*_calc!$CE$4:$CE$72)),IF($P$21=0,"",INDEX(_calc!$N:$N,$P$21+35)/INDEX(_calc!$N:$N,$P$21+23)*IF(INDEX(_calc!$O:$O,$P$21)=1,INDEX(_calc!$O:$O,$P$21+35)/INDEX(_calc!$O:$O,$P$21+23),1)-1)))</f>
        <v>-4.0331046065790188E-3</v>
      </c>
      <c r="K115" s="167">
        <f>IF($A115="","",IF(pf_BU="All",IF(SUMPRODUCT((calc_state=$A115)*_calc!$CF$4:$CF$72)=0,"",SUMPRODUCT((calc_state=$A115)*_calc!$CF$4:$CF$72*_calc!$AV$4:$AV$72)/SUMPRODUCT((calc_state=$A115)*_calc!$CF$4:$CF$72)),IF($P$21=0,"",INDEX(_calc!$N:$N,$P$21+36)/INDEX(_calc!$N:$N,$P$21+24)*IF(INDEX(_calc!$O:$O,$P$21)=1,INDEX(_calc!$O:$O,$P$21+36)/INDEX(_calc!$O:$O,$P$21+24),1)-1)))</f>
        <v>-4.0344642728845637E-3</v>
      </c>
      <c r="L115" s="167">
        <f>IF($A115="","",IF(pf_BU="All",IF(SUMPRODUCT((calc_state=$A115)*_calc!$CG$4:$CG$72)=0,"",SUMPRODUCT((calc_state=$A115)*_calc!$CG$4:$CG$72*_calc!$AW$4:$AW$72)/SUMPRODUCT((calc_state=$A115)*_calc!$CG$4:$CG$72)),IF($P$21=0,"",INDEX(_calc!$N:$N,$P$21+37)/INDEX(_calc!$N:$N,$P$21+25)*IF(INDEX(_calc!$O:$O,$P$21)=1,INDEX(_calc!$O:$O,$P$21+37)/INDEX(_calc!$O:$O,$P$21+25),1)-1)))</f>
        <v>-4.0358248562583077E-3</v>
      </c>
      <c r="M115" s="167">
        <f>IF($A115="","",IF(pf_BU="All",IF(SUMPRODUCT((calc_state=$A115)*_calc!$CH$4:$CH$72)=0,"",SUMPRODUCT((calc_state=$A115)*_calc!$CH$4:$CH$72*_calc!$AX$4:$AX$72)/SUMPRODUCT((calc_state=$A115)*_calc!$CH$4:$CH$72)),IF($P$21=0,"",INDEX(_calc!$N:$N,$P$21+38)/INDEX(_calc!$N:$N,$P$21+26)*IF(INDEX(_calc!$O:$O,$P$21)=1,INDEX(_calc!$O:$O,$P$21+38)/INDEX(_calc!$O:$O,$P$21+26),1)-1)))</f>
        <v>-4.0371863576282863E-3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5.8519411810472377E-2</v>
      </c>
      <c r="C116" s="167">
        <f>IF($A116="","",IF(pf_BU="All",IF(SUMPRODUCT((calc_state=$A116)*_calc!$BX$4:$BX$72)=0,"",SUMPRODUCT((calc_state=$A116)*_calc!$BX$4:$BX$72*_calc!$AN$4:$AN$72)/SUMPRODUCT((calc_state=$A116)*_calc!$BX$4:$BX$72)),IF($P$22=0,"",INDEX(_calc!$N:$N,$P$22+28)/INDEX(_calc!$N:$N,$P$22+16)*IF(INDEX(_calc!$O:$O,$P$22)=1,INDEX(_calc!$O:$O,$P$22+28)/INDEX(_calc!$O:$O,$P$22+16),1)-1)))</f>
        <v>8.1084083083415859E-3</v>
      </c>
      <c r="D116" s="167">
        <f>IF($A116="","",IF(pf_BU="All",IF(SUMPRODUCT((calc_state=$A116)*_calc!$BY$4:$BY$72)=0,"",SUMPRODUCT((calc_state=$A116)*_calc!$BY$4:$BY$72*_calc!$AO$4:$AO$72)/SUMPRODUCT((calc_state=$A116)*_calc!$BY$4:$BY$72)),IF($P$22=0,"",INDEX(_calc!$N:$N,$P$22+29)/INDEX(_calc!$N:$N,$P$22+17)*IF(INDEX(_calc!$O:$O,$P$22)=1,INDEX(_calc!$O:$O,$P$22+29)/INDEX(_calc!$O:$O,$P$22+17),1)-1)))</f>
        <v>8.1030980474863235E-3</v>
      </c>
      <c r="E116" s="167">
        <f>IF($A116="","",IF(pf_BU="All",IF(SUMPRODUCT((calc_state=$A116)*_calc!$BZ$4:$BZ$72)=0,"",SUMPRODUCT((calc_state=$A116)*_calc!$BZ$4:$BZ$72*_calc!$AP$4:$AP$72)/SUMPRODUCT((calc_state=$A116)*_calc!$BZ$4:$BZ$72)),IF($P$22=0,"",INDEX(_calc!$N:$N,$P$22+30)/INDEX(_calc!$N:$N,$P$22+18)*IF(INDEX(_calc!$O:$O,$P$22)=1,INDEX(_calc!$O:$O,$P$22+30)/INDEX(_calc!$O:$O,$P$22+18),1)-1)))</f>
        <v>4.8421519689406445E-2</v>
      </c>
      <c r="F116" s="167">
        <f>IF($A116="","",IF(pf_BU="All",IF(SUMPRODUCT((calc_state=$A116)*_calc!$CA$4:$CA$72)=0,"",SUMPRODUCT((calc_state=$A116)*_calc!$CA$4:$CA$72*_calc!$AQ$4:$AQ$72)/SUMPRODUCT((calc_state=$A116)*_calc!$CA$4:$CA$72)),IF($P$22=0,"",INDEX(_calc!$N:$N,$P$22+31)/INDEX(_calc!$N:$N,$P$22+19)*IF(INDEX(_calc!$O:$O,$P$22)=1,INDEX(_calc!$O:$O,$P$22+31)/INDEX(_calc!$O:$O,$P$22+19),1)-1)))</f>
        <v>4.8415825121104872E-2</v>
      </c>
      <c r="G116" s="167">
        <f>IF($A116="","",IF(pf_BU="All",IF(SUMPRODUCT((calc_state=$A116)*_calc!$CB$4:$CB$72)=0,"",SUMPRODUCT((calc_state=$A116)*_calc!$CB$4:$CB$72*_calc!$AR$4:$AR$72)/SUMPRODUCT((calc_state=$A116)*_calc!$CB$4:$CB$72)),IF($P$22=0,"",INDEX(_calc!$N:$N,$P$22+32)/INDEX(_calc!$N:$N,$P$22+20)*IF(INDEX(_calc!$O:$O,$P$22)=1,INDEX(_calc!$O:$O,$P$22+32)/INDEX(_calc!$O:$O,$P$22+20),1)-1)))</f>
        <v>4.8410138248847767E-2</v>
      </c>
      <c r="H116" s="167">
        <f>IF($A116="","",IF(pf_BU="All",IF(SUMPRODUCT((calc_state=$A116)*_calc!$CC$4:$CC$72)=0,"",SUMPRODUCT((calc_state=$A116)*_calc!$CC$4:$CC$72*_calc!$AS$4:$AS$72)/SUMPRODUCT((calc_state=$A116)*_calc!$CC$4:$CC$72)),IF($P$22=0,"",INDEX(_calc!$N:$N,$P$22+33)/INDEX(_calc!$N:$N,$P$22+21)*IF(INDEX(_calc!$O:$O,$P$22)=1,INDEX(_calc!$O:$O,$P$22+33)/INDEX(_calc!$O:$O,$P$22+21),1)-1)))</f>
        <v>4.8404459057044491E-2</v>
      </c>
      <c r="I116" s="167">
        <f>IF($A116="","",IF(pf_BU="All",IF(SUMPRODUCT((calc_state=$A116)*_calc!$CD$4:$CD$72)=0,"",SUMPRODUCT((calc_state=$A116)*_calc!$CD$4:$CD$72*_calc!$AT$4:$AT$72)/SUMPRODUCT((calc_state=$A116)*_calc!$CD$4:$CD$72)),IF($P$22=0,"",INDEX(_calc!$N:$N,$P$22+34)/INDEX(_calc!$N:$N,$P$22+22)*IF(INDEX(_calc!$O:$O,$P$22)=1,INDEX(_calc!$O:$O,$P$22+34)/INDEX(_calc!$O:$O,$P$22+22),1)-1)))</f>
        <v>4.839869461806523E-2</v>
      </c>
      <c r="J116" s="167">
        <f>IF($A116="","",IF(pf_BU="All",IF(SUMPRODUCT((calc_state=$A116)*_calc!$CE$4:$CE$72)=0,"",SUMPRODUCT((calc_state=$A116)*_calc!$CE$4:$CE$72*_calc!$AU$4:$AU$72)/SUMPRODUCT((calc_state=$A116)*_calc!$CE$4:$CE$72)),IF($P$22=0,"",INDEX(_calc!$N:$N,$P$22+35)/INDEX(_calc!$N:$N,$P$22+23)*IF(INDEX(_calc!$O:$O,$P$22)=1,INDEX(_calc!$O:$O,$P$22+35)/INDEX(_calc!$O:$O,$P$22+23),1)-1)))</f>
        <v>4.8393030865835351E-2</v>
      </c>
      <c r="K116" s="167">
        <f>IF($A116="","",IF(pf_BU="All",IF(SUMPRODUCT((calc_state=$A116)*_calc!$CF$4:$CF$72)=0,"",SUMPRODUCT((calc_state=$A116)*_calc!$CF$4:$CF$72*_calc!$AV$4:$AV$72)/SUMPRODUCT((calc_state=$A116)*_calc!$CF$4:$CF$72)),IF($P$22=0,"",INDEX(_calc!$N:$N,$P$22+36)/INDEX(_calc!$N:$N,$P$22+24)*IF(INDEX(_calc!$O:$O,$P$22)=1,INDEX(_calc!$O:$O,$P$22+36)/INDEX(_calc!$O:$O,$P$22+24),1)-1)))</f>
        <v>4.8387374747285161E-2</v>
      </c>
      <c r="L116" s="167">
        <f>IF($A116="","",IF(pf_BU="All",IF(SUMPRODUCT((calc_state=$A116)*_calc!$CG$4:$CG$72)=0,"",SUMPRODUCT((calc_state=$A116)*_calc!$CG$4:$CG$72*_calc!$AW$4:$AW$72)/SUMPRODUCT((calc_state=$A116)*_calc!$CG$4:$CG$72)),IF($P$22=0,"",INDEX(_calc!$N:$N,$P$22+37)/INDEX(_calc!$N:$N,$P$22+25)*IF(INDEX(_calc!$O:$O,$P$22)=1,INDEX(_calc!$O:$O,$P$22+37)/INDEX(_calc!$O:$O,$P$22+25),1)-1)))</f>
        <v>4.8381726246991441E-2</v>
      </c>
      <c r="M116" s="167">
        <f>IF($A116="","",IF(pf_BU="All",IF(SUMPRODUCT((calc_state=$A116)*_calc!$CH$4:$CH$72)=0,"",SUMPRODUCT((calc_state=$A116)*_calc!$CH$4:$CH$72*_calc!$AX$4:$AX$72)/SUMPRODUCT((calc_state=$A116)*_calc!$CH$4:$CH$72)),IF($P$22=0,"",INDEX(_calc!$N:$N,$P$22+38)/INDEX(_calc!$N:$N,$P$22+26)*IF(INDEX(_calc!$O:$O,$P$22)=1,INDEX(_calc!$O:$O,$P$22+38)/INDEX(_calc!$O:$O,$P$22+26),1)-1)))</f>
        <v>4.8376085349573605E-2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-8.0218898693420471E-3</v>
      </c>
      <c r="C117" s="167">
        <f>IF($A117="","",IF(pf_BU="All",IF(SUMPRODUCT((calc_state=$A117)*_calc!$BX$4:$BX$72)=0,"",SUMPRODUCT((calc_state=$A117)*_calc!$BX$4:$BX$72*_calc!$AN$4:$AN$72)/SUMPRODUCT((calc_state=$A117)*_calc!$BX$4:$BX$72)),IF($P$23=0,"",INDEX(_calc!$N:$N,$P$23+28)/INDEX(_calc!$N:$N,$P$23+16)*IF(INDEX(_calc!$O:$O,$P$23)=1,INDEX(_calc!$O:$O,$P$23+28)/INDEX(_calc!$O:$O,$P$23+16),1)-1)))</f>
        <v>-8.0270941919025063E-3</v>
      </c>
      <c r="D117" s="167">
        <f>IF($A117="","",IF(pf_BU="All",IF(SUMPRODUCT((calc_state=$A117)*_calc!$BY$4:$BY$72)=0,"",SUMPRODUCT((calc_state=$A117)*_calc!$BY$4:$BY$72*_calc!$AO$4:$AO$72)/SUMPRODUCT((calc_state=$A117)*_calc!$BY$4:$BY$72)),IF($P$23=0,"",INDEX(_calc!$N:$N,$P$23+29)/INDEX(_calc!$N:$N,$P$23+17)*IF(INDEX(_calc!$O:$O,$P$23)=1,INDEX(_calc!$O:$O,$P$23+29)/INDEX(_calc!$O:$O,$P$23+17),1)-1)))</f>
        <v>-8.0323052716129162E-3</v>
      </c>
      <c r="E117" s="167">
        <f>IF($A117="","",IF(pf_BU="All",IF(SUMPRODUCT((calc_state=$A117)*_calc!$BZ$4:$BZ$72)=0,"",SUMPRODUCT((calc_state=$A117)*_calc!$BZ$4:$BZ$72*_calc!$AP$4:$AP$72)/SUMPRODUCT((calc_state=$A117)*_calc!$BZ$4:$BZ$72)),IF($P$23=0,"",INDEX(_calc!$N:$N,$P$23+30)/INDEX(_calc!$N:$N,$P$23+18)*IF(INDEX(_calc!$O:$O,$P$23)=1,INDEX(_calc!$O:$O,$P$23+30)/INDEX(_calc!$O:$O,$P$23+18),1)-1)))</f>
        <v>-8.0377001167117879E-3</v>
      </c>
      <c r="F117" s="167">
        <f>IF($A117="","",IF(pf_BU="All",IF(SUMPRODUCT((calc_state=$A117)*_calc!$CA$4:$CA$72)=0,"",SUMPRODUCT((calc_state=$A117)*_calc!$CA$4:$CA$72*_calc!$AQ$4:$AQ$72)/SUMPRODUCT((calc_state=$A117)*_calc!$CA$4:$CA$72)),IF($P$23=0,"",INDEX(_calc!$N:$N,$P$23+31)/INDEX(_calc!$N:$N,$P$23+19)*IF(INDEX(_calc!$O:$O,$P$23)=1,INDEX(_calc!$O:$O,$P$23+31)/INDEX(_calc!$O:$O,$P$23+19),1)-1)))</f>
        <v>-8.0431022135057928E-3</v>
      </c>
      <c r="G117" s="167">
        <f>IF($A117="","",IF(pf_BU="All",IF(SUMPRODUCT((calc_state=$A117)*_calc!$CB$4:$CB$72)=0,"",SUMPRODUCT((calc_state=$A117)*_calc!$CB$4:$CB$72*_calc!$AR$4:$AR$72)/SUMPRODUCT((calc_state=$A117)*_calc!$CB$4:$CB$72)),IF($P$23=0,"",INDEX(_calc!$N:$N,$P$23+32)/INDEX(_calc!$N:$N,$P$23+20)*IF(INDEX(_calc!$O:$O,$P$23)=1,INDEX(_calc!$O:$O,$P$23+32)/INDEX(_calc!$O:$O,$P$23+20),1)-1)))</f>
        <v>-8.0485115766262272E-3</v>
      </c>
      <c r="H117" s="167">
        <f>IF($A117="","",IF(pf_BU="All",IF(SUMPRODUCT((calc_state=$A117)*_calc!$CC$4:$CC$72)=0,"",SUMPRODUCT((calc_state=$A117)*_calc!$CC$4:$CC$72*_calc!$AS$4:$AS$72)/SUMPRODUCT((calc_state=$A117)*_calc!$CC$4:$CC$72)),IF($P$23=0,"",INDEX(_calc!$N:$N,$P$23+33)/INDEX(_calc!$N:$N,$P$23+21)*IF(INDEX(_calc!$O:$O,$P$23)=1,INDEX(_calc!$O:$O,$P$23+33)/INDEX(_calc!$O:$O,$P$23+21),1)-1)))</f>
        <v>-8.0539282207438001E-3</v>
      </c>
      <c r="I117" s="167">
        <f>IF($A117="","",IF(pf_BU="All",IF(SUMPRODUCT((calc_state=$A117)*_calc!$CD$4:$CD$72)=0,"",SUMPRODUCT((calc_state=$A117)*_calc!$CD$4:$CD$72*_calc!$AT$4:$AT$72)/SUMPRODUCT((calc_state=$A117)*_calc!$CD$4:$CD$72)),IF($P$23=0,"",INDEX(_calc!$N:$N,$P$23+34)/INDEX(_calc!$N:$N,$P$23+22)*IF(INDEX(_calc!$O:$O,$P$23)=1,INDEX(_calc!$O:$O,$P$23+34)/INDEX(_calc!$O:$O,$P$23+22),1)-1)))</f>
        <v>-8.0594411384788955E-3</v>
      </c>
      <c r="J117" s="167">
        <f>IF($A117="","",IF(pf_BU="All",IF(SUMPRODUCT((calc_state=$A117)*_calc!$CE$4:$CE$72)=0,"",SUMPRODUCT((calc_state=$A117)*_calc!$CE$4:$CE$72*_calc!$AU$4:$AU$72)/SUMPRODUCT((calc_state=$A117)*_calc!$CE$4:$CE$72)),IF($P$23=0,"",INDEX(_calc!$N:$N,$P$23+35)/INDEX(_calc!$N:$N,$P$23+23)*IF(INDEX(_calc!$O:$O,$P$23)=1,INDEX(_calc!$O:$O,$P$23+35)/INDEX(_calc!$O:$O,$P$23+23),1)-1)))</f>
        <v>-8.0648725087276718E-3</v>
      </c>
      <c r="K117" s="167">
        <f>IF($A117="","",IF(pf_BU="All",IF(SUMPRODUCT((calc_state=$A117)*_calc!$CF$4:$CF$72)=0,"",SUMPRODUCT((calc_state=$A117)*_calc!$CF$4:$CF$72*_calc!$AV$4:$AV$72)/SUMPRODUCT((calc_state=$A117)*_calc!$CF$4:$CF$72)),IF($P$23=0,"",INDEX(_calc!$N:$N,$P$23+36)/INDEX(_calc!$N:$N,$P$23+24)*IF(INDEX(_calc!$O:$O,$P$23)=1,INDEX(_calc!$O:$O,$P$23+36)/INDEX(_calc!$O:$O,$P$23+24),1)-1)))</f>
        <v>-8.0703112044664405E-3</v>
      </c>
      <c r="L117" s="167">
        <f>IF($A117="","",IF(pf_BU="All",IF(SUMPRODUCT((calc_state=$A117)*_calc!$CG$4:$CG$72)=0,"",SUMPRODUCT((calc_state=$A117)*_calc!$CG$4:$CG$72*_calc!$AW$4:$AW$72)/SUMPRODUCT((calc_state=$A117)*_calc!$CG$4:$CG$72)),IF($P$23=0,"",INDEX(_calc!$N:$N,$P$23+37)/INDEX(_calc!$N:$N,$P$23+25)*IF(INDEX(_calc!$O:$O,$P$23)=1,INDEX(_calc!$O:$O,$P$23+37)/INDEX(_calc!$O:$O,$P$23+25),1)-1)))</f>
        <v>-8.0757572405247835E-3</v>
      </c>
      <c r="M117" s="167">
        <f>IF($A117="","",IF(pf_BU="All",IF(SUMPRODUCT((calc_state=$A117)*_calc!$CH$4:$CH$72)=0,"",SUMPRODUCT((calc_state=$A117)*_calc!$CH$4:$CH$72*_calc!$AX$4:$AX$72)/SUMPRODUCT((calc_state=$A117)*_calc!$CH$4:$CH$72)),IF($P$23=0,"",INDEX(_calc!$N:$N,$P$23+38)/INDEX(_calc!$N:$N,$P$23+26)*IF(INDEX(_calc!$O:$O,$P$23)=1,INDEX(_calc!$O:$O,$P$23+38)/INDEX(_calc!$O:$O,$P$23+26),1)-1)))</f>
        <v>-8.0812106317735832E-3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2.4126190726876828E-2</v>
      </c>
      <c r="C118" s="167">
        <f>IF($A118="","",IF(pf_BU="All",IF(SUMPRODUCT((calc_state=$A118)*_calc!$BX$4:$BX$72)=0,"",SUMPRODUCT((calc_state=$A118)*_calc!$BX$4:$BX$72*_calc!$AN$4:$AN$72)/SUMPRODUCT((calc_state=$A118)*_calc!$BX$4:$BX$72)),IF($P$24=0,"",INDEX(_calc!$N:$N,$P$24+28)/INDEX(_calc!$N:$N,$P$24+16)*IF(INDEX(_calc!$O:$O,$P$24)=1,INDEX(_calc!$O:$O,$P$24+28)/INDEX(_calc!$O:$O,$P$24+16),1)-1)))</f>
        <v>2.4124842119258139E-2</v>
      </c>
      <c r="D118" s="167">
        <f>IF($A118="","",IF(pf_BU="All",IF(SUMPRODUCT((calc_state=$A118)*_calc!$BY$4:$BY$72)=0,"",SUMPRODUCT((calc_state=$A118)*_calc!$BY$4:$BY$72*_calc!$AO$4:$AO$72)/SUMPRODUCT((calc_state=$A118)*_calc!$BY$4:$BY$72)),IF($P$24=0,"",INDEX(_calc!$N:$N,$P$24+29)/INDEX(_calc!$N:$N,$P$24+17)*IF(INDEX(_calc!$O:$O,$P$24)=1,INDEX(_calc!$O:$O,$P$24+29)/INDEX(_calc!$O:$O,$P$24+17),1)-1)))</f>
        <v>2.4123494392911393E-2</v>
      </c>
      <c r="E118" s="167">
        <f>IF($A118="","",IF(pf_BU="All",IF(SUMPRODUCT((calc_state=$A118)*_calc!$BZ$4:$BZ$72)=0,"",SUMPRODUCT((calc_state=$A118)*_calc!$BZ$4:$BZ$72*_calc!$AP$4:$AP$72)/SUMPRODUCT((calc_state=$A118)*_calc!$BZ$4:$BZ$72)),IF($P$24=0,"",INDEX(_calc!$N:$N,$P$24+30)/INDEX(_calc!$N:$N,$P$24+18)*IF(INDEX(_calc!$O:$O,$P$24)=1,INDEX(_calc!$O:$O,$P$24+30)/INDEX(_calc!$O:$O,$P$24+18),1)-1)))</f>
        <v>4.0412763790163009E-3</v>
      </c>
      <c r="F118" s="167">
        <f>IF($A118="","",IF(pf_BU="All",IF(SUMPRODUCT((calc_state=$A118)*_calc!$CA$4:$CA$72)=0,"",SUMPRODUCT((calc_state=$A118)*_calc!$CA$4:$CA$72*_calc!$AQ$4:$AQ$72)/SUMPRODUCT((calc_state=$A118)*_calc!$CA$4:$CA$72)),IF($P$24=0,"",INDEX(_calc!$N:$N,$P$24+31)/INDEX(_calc!$N:$N,$P$24+19)*IF(INDEX(_calc!$O:$O,$P$24)=1,INDEX(_calc!$O:$O,$P$24+31)/INDEX(_calc!$O:$O,$P$24+19),1)-1)))</f>
        <v>4.0399121180760833E-3</v>
      </c>
      <c r="G118" s="167">
        <f>IF($A118="","",IF(pf_BU="All",IF(SUMPRODUCT((calc_state=$A118)*_calc!$CB$4:$CB$72)=0,"",SUMPRODUCT((calc_state=$A118)*_calc!$CB$4:$CB$72*_calc!$AR$4:$AR$72)/SUMPRODUCT((calc_state=$A118)*_calc!$CB$4:$CB$72)),IF($P$24=0,"",INDEX(_calc!$N:$N,$P$24+32)/INDEX(_calc!$N:$N,$P$24+20)*IF(INDEX(_calc!$O:$O,$P$24)=1,INDEX(_calc!$O:$O,$P$24+32)/INDEX(_calc!$O:$O,$P$24+20),1)-1)))</f>
        <v>4.0385487779239782E-3</v>
      </c>
      <c r="H118" s="167">
        <f>IF($A118="","",IF(pf_BU="All",IF(SUMPRODUCT((calc_state=$A118)*_calc!$CC$4:$CC$72)=0,"",SUMPRODUCT((calc_state=$A118)*_calc!$CC$4:$CC$72*_calc!$AS$4:$AS$72)/SUMPRODUCT((calc_state=$A118)*_calc!$CC$4:$CC$72)),IF($P$24=0,"",INDEX(_calc!$N:$N,$P$24+33)/INDEX(_calc!$N:$N,$P$24+21)*IF(INDEX(_calc!$O:$O,$P$24)=1,INDEX(_calc!$O:$O,$P$24+33)/INDEX(_calc!$O:$O,$P$24+21),1)-1)))</f>
        <v>4.0371863576282863E-3</v>
      </c>
      <c r="I118" s="167">
        <f>IF($A118="","",IF(pf_BU="All",IF(SUMPRODUCT((calc_state=$A118)*_calc!$CD$4:$CD$72)=0,"",SUMPRODUCT((calc_state=$A118)*_calc!$CD$4:$CD$72*_calc!$AT$4:$AT$72)/SUMPRODUCT((calc_state=$A118)*_calc!$CD$4:$CD$72)),IF($P$24=0,"",INDEX(_calc!$N:$N,$P$24+34)/INDEX(_calc!$N:$N,$P$24+22)*IF(INDEX(_calc!$O:$O,$P$24)=1,INDEX(_calc!$O:$O,$P$24+34)/INDEX(_calc!$O:$O,$P$24+22),1)-1)))</f>
        <v>4.0358025442142065E-3</v>
      </c>
      <c r="J118" s="167">
        <f>IF($A118="","",IF(pf_BU="All",IF(SUMPRODUCT((calc_state=$A118)*_calc!$CE$4:$CE$72)=0,"",SUMPRODUCT((calc_state=$A118)*_calc!$CE$4:$CE$72*_calc!$AU$4:$AU$72)/SUMPRODUCT((calc_state=$A118)*_calc!$CE$4:$CE$72)),IF($P$24=0,"",INDEX(_calc!$N:$N,$P$24+35)/INDEX(_calc!$N:$N,$P$24+23)*IF(INDEX(_calc!$O:$O,$P$24)=1,INDEX(_calc!$O:$O,$P$24+35)/INDEX(_calc!$O:$O,$P$24+23),1)-1)))</f>
        <v>4.034441975881764E-3</v>
      </c>
      <c r="K118" s="167">
        <f>IF($A118="","",IF(pf_BU="All",IF(SUMPRODUCT((calc_state=$A118)*_calc!$CF$4:$CF$72)=0,"",SUMPRODUCT((calc_state=$A118)*_calc!$CF$4:$CF$72*_calc!$AV$4:$AV$72)/SUMPRODUCT((calc_state=$A118)*_calc!$CF$4:$CF$72)),IF($P$24=0,"",INDEX(_calc!$N:$N,$P$24+36)/INDEX(_calc!$N:$N,$P$24+24)*IF(INDEX(_calc!$O:$O,$P$24)=1,INDEX(_calc!$O:$O,$P$24+36)/INDEX(_calc!$O:$O,$P$24+24),1)-1)))</f>
        <v>4.0330823246024217E-3</v>
      </c>
      <c r="L118" s="167">
        <f>IF($A118="","",IF(pf_BU="All",IF(SUMPRODUCT((calc_state=$A118)*_calc!$CG$4:$CG$72)=0,"",SUMPRODUCT((calc_state=$A118)*_calc!$CG$4:$CG$72*_calc!$AW$4:$AW$72)/SUMPRODUCT((calc_state=$A118)*_calc!$CG$4:$CG$72)),IF($P$24=0,"",INDEX(_calc!$N:$N,$P$24+37)/INDEX(_calc!$N:$N,$P$24+25)*IF(INDEX(_calc!$O:$O,$P$24)=1,INDEX(_calc!$O:$O,$P$24+37)/INDEX(_calc!$O:$O,$P$24+25),1)-1)))</f>
        <v>4.0317235894489212E-3</v>
      </c>
      <c r="M118" s="167">
        <f>IF($A118="","",IF(pf_BU="All",IF(SUMPRODUCT((calc_state=$A118)*_calc!$CH$4:$CH$72)=0,"",SUMPRODUCT((calc_state=$A118)*_calc!$CH$4:$CH$72*_calc!$AX$4:$AX$72)/SUMPRODUCT((calc_state=$A118)*_calc!$CH$4:$CH$72)),IF($P$24=0,"",INDEX(_calc!$N:$N,$P$24+38)/INDEX(_calc!$N:$N,$P$24+26)*IF(INDEX(_calc!$O:$O,$P$24)=1,INDEX(_calc!$O:$O,$P$24+38)/INDEX(_calc!$O:$O,$P$24+26),1)-1)))</f>
        <v>4.0303657694962247E-3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4.6810499016276319E-2</v>
      </c>
      <c r="C119" s="167">
        <f>IF($A119="","",IF(pf_BU="All",IF(SUMPRODUCT((calc_state=$A119)*_calc!$BX$4:$BX$72)=0,"",SUMPRODUCT((calc_state=$A119)*_calc!$BX$4:$BX$72*_calc!$AN$4:$AN$72)/SUMPRODUCT((calc_state=$A119)*_calc!$BX$4:$BX$72)),IF($P$25=0,"",INDEX(_calc!$N:$N,$P$25+28)/INDEX(_calc!$N:$N,$P$25+16)*IF(INDEX(_calc!$O:$O,$P$25)=1,INDEX(_calc!$O:$O,$P$25+28)/INDEX(_calc!$O:$O,$P$25+16),1)-1)))</f>
        <v>4.6788353763368873E-2</v>
      </c>
      <c r="D119" s="167">
        <f>IF($A119="","",IF(pf_BU="All",IF(SUMPRODUCT((calc_state=$A119)*_calc!$BY$4:$BY$72)=0,"",SUMPRODUCT((calc_state=$A119)*_calc!$BY$4:$BY$72*_calc!$AO$4:$AO$72)/SUMPRODUCT((calc_state=$A119)*_calc!$BY$4:$BY$72)),IF($P$25=0,"",INDEX(_calc!$N:$N,$P$25+29)/INDEX(_calc!$N:$N,$P$25+17)*IF(INDEX(_calc!$O:$O,$P$25)=1,INDEX(_calc!$O:$O,$P$25+29)/INDEX(_calc!$O:$O,$P$25+17),1)-1)))</f>
        <v>4.6766266779646015E-2</v>
      </c>
      <c r="E119" s="167">
        <f>IF($A119="","",IF(pf_BU="All",IF(SUMPRODUCT((calc_state=$A119)*_calc!$BZ$4:$BZ$72)=0,"",SUMPRODUCT((calc_state=$A119)*_calc!$BZ$4:$BZ$72*_calc!$AP$4:$AP$72)/SUMPRODUCT((calc_state=$A119)*_calc!$BZ$4:$BZ$72)),IF($P$25=0,"",INDEX(_calc!$N:$N,$P$25+30)/INDEX(_calc!$N:$N,$P$25+18)*IF(INDEX(_calc!$O:$O,$P$25)=1,INDEX(_calc!$O:$O,$P$25+30)/INDEX(_calc!$O:$O,$P$25+18),1)-1)))</f>
        <v>4.674349210590778E-2</v>
      </c>
      <c r="F119" s="167">
        <f>IF($A119="","",IF(pf_BU="All",IF(SUMPRODUCT((calc_state=$A119)*_calc!$CA$4:$CA$72)=0,"",SUMPRODUCT((calc_state=$A119)*_calc!$CA$4:$CA$72*_calc!$AQ$4:$AQ$72)/SUMPRODUCT((calc_state=$A119)*_calc!$CA$4:$CA$72)),IF($P$25=0,"",INDEX(_calc!$N:$N,$P$25+31)/INDEX(_calc!$N:$N,$P$25+19)*IF(INDEX(_calc!$O:$O,$P$25)=1,INDEX(_calc!$O:$O,$P$25+31)/INDEX(_calc!$O:$O,$P$25+19),1)-1)))</f>
        <v>1.6233766233766378E-2</v>
      </c>
      <c r="G119" s="167">
        <f>IF($A119="","",IF(pf_BU="All",IF(SUMPRODUCT((calc_state=$A119)*_calc!$CB$4:$CB$72)=0,"",SUMPRODUCT((calc_state=$A119)*_calc!$CB$4:$CB$72*_calc!$AR$4:$AR$72)/SUMPRODUCT((calc_state=$A119)*_calc!$CB$4:$CB$72)),IF($P$25=0,"",INDEX(_calc!$N:$N,$P$25+32)/INDEX(_calc!$N:$N,$P$25+20)*IF(INDEX(_calc!$O:$O,$P$25)=1,INDEX(_calc!$O:$O,$P$25+32)/INDEX(_calc!$O:$O,$P$25+20),1)-1)))</f>
        <v>1.6211774634124598E-2</v>
      </c>
      <c r="H119" s="167">
        <f>IF($A119="","",IF(pf_BU="All",IF(SUMPRODUCT((calc_state=$A119)*_calc!$CC$4:$CC$72)=0,"",SUMPRODUCT((calc_state=$A119)*_calc!$CC$4:$CC$72*_calc!$AS$4:$AS$72)/SUMPRODUCT((calc_state=$A119)*_calc!$CC$4:$CC$72)),IF($P$25=0,"",INDEX(_calc!$N:$N,$P$25+33)/INDEX(_calc!$N:$N,$P$25+21)*IF(INDEX(_calc!$O:$O,$P$25)=1,INDEX(_calc!$O:$O,$P$25+33)/INDEX(_calc!$O:$O,$P$25+21),1)-1)))</f>
        <v>1.6189842537148058E-2</v>
      </c>
      <c r="I119" s="167">
        <f>IF($A119="","",IF(pf_BU="All",IF(SUMPRODUCT((calc_state=$A119)*_calc!$CD$4:$CD$72)=0,"",SUMPRODUCT((calc_state=$A119)*_calc!$CD$4:$CD$72*_calc!$AT$4:$AT$72)/SUMPRODUCT((calc_state=$A119)*_calc!$CD$4:$CD$72)),IF($P$25=0,"",INDEX(_calc!$N:$N,$P$25+34)/INDEX(_calc!$N:$N,$P$25+22)*IF(INDEX(_calc!$O:$O,$P$25)=1,INDEX(_calc!$O:$O,$P$25+34)/INDEX(_calc!$O:$O,$P$25+22),1)-1)))</f>
        <v>1.6167611622962541E-2</v>
      </c>
      <c r="J119" s="167">
        <f>IF($A119="","",IF(pf_BU="All",IF(SUMPRODUCT((calc_state=$A119)*_calc!$CE$4:$CE$72)=0,"",SUMPRODUCT((calc_state=$A119)*_calc!$CE$4:$CE$72*_calc!$AU$4:$AU$72)/SUMPRODUCT((calc_state=$A119)*_calc!$CE$4:$CE$72)),IF($P$25=0,"",INDEX(_calc!$N:$N,$P$25+35)/INDEX(_calc!$N:$N,$P$25+23)*IF(INDEX(_calc!$O:$O,$P$25)=1,INDEX(_calc!$O:$O,$P$25+35)/INDEX(_calc!$O:$O,$P$25+23),1)-1)))</f>
        <v>1.6145798774688691E-2</v>
      </c>
      <c r="K119" s="167">
        <f>IF($A119="","",IF(pf_BU="All",IF(SUMPRODUCT((calc_state=$A119)*_calc!$CF$4:$CF$72)=0,"",SUMPRODUCT((calc_state=$A119)*_calc!$CF$4:$CF$72*_calc!$AV$4:$AV$72)/SUMPRODUCT((calc_state=$A119)*_calc!$CF$4:$CF$72)),IF($P$25=0,"",INDEX(_calc!$N:$N,$P$25+36)/INDEX(_calc!$N:$N,$P$25+24)*IF(INDEX(_calc!$O:$O,$P$25)=1,INDEX(_calc!$O:$O,$P$25+36)/INDEX(_calc!$O:$O,$P$25+24),1)-1)))</f>
        <v>1.6124044705570606E-2</v>
      </c>
      <c r="L119" s="167">
        <f>IF($A119="","",IF(pf_BU="All",IF(SUMPRODUCT((calc_state=$A119)*_calc!$CG$4:$CG$72)=0,"",SUMPRODUCT((calc_state=$A119)*_calc!$CG$4:$CG$72*_calc!$AW$4:$AW$72)/SUMPRODUCT((calc_state=$A119)*_calc!$CG$4:$CG$72)),IF($P$25=0,"",INDEX(_calc!$N:$N,$P$25+37)/INDEX(_calc!$N:$N,$P$25+25)*IF(INDEX(_calc!$O:$O,$P$25)=1,INDEX(_calc!$O:$O,$P$25+37)/INDEX(_calc!$O:$O,$P$25+25),1)-1)))</f>
        <v>1.6102349178338971E-2</v>
      </c>
      <c r="M119" s="167">
        <f>IF($A119="","",IF(pf_BU="All",IF(SUMPRODUCT((calc_state=$A119)*_calc!$CH$4:$CH$72)=0,"",SUMPRODUCT((calc_state=$A119)*_calc!$CH$4:$CH$72*_calc!$AX$4:$AX$72)/SUMPRODUCT((calc_state=$A119)*_calc!$CH$4:$CH$72)),IF($P$25=0,"",INDEX(_calc!$N:$N,$P$25+38)/INDEX(_calc!$N:$N,$P$25+26)*IF(INDEX(_calc!$O:$O,$P$25)=1,INDEX(_calc!$O:$O,$P$25+38)/INDEX(_calc!$O:$O,$P$25+26),1)-1)))</f>
        <v>1.608071195700056E-2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6.2815796953635816E-2</v>
      </c>
      <c r="C121" s="167">
        <f>IF($A121="","",IF(pf_BU="All",IF(SUMPRODUCT((calc_state=$A121)*_calc!$BX$4:$BX$72)=0,"",SUMPRODUCT((calc_state=$A121)*_calc!$BX$4:$BX$72*_calc!$AN$4:$AN$72)/SUMPRODUCT((calc_state=$A121)*_calc!$BX$4:$BX$72)),IF($P$27=0,"",INDEX(_calc!$N:$N,$P$27+28)/INDEX(_calc!$N:$N,$P$27+16)*IF(INDEX(_calc!$O:$O,$P$27)=1,INDEX(_calc!$O:$O,$P$27+28)/INDEX(_calc!$O:$O,$P$27+16),1)-1)))</f>
        <v>6.2803166967328128E-2</v>
      </c>
      <c r="D121" s="167">
        <f>IF($A121="","",IF(pf_BU="All",IF(SUMPRODUCT((calc_state=$A121)*_calc!$BY$4:$BY$72)=0,"",SUMPRODUCT((calc_state=$A121)*_calc!$BY$4:$BY$72*_calc!$AO$4:$AO$72)/SUMPRODUCT((calc_state=$A121)*_calc!$BY$4:$BY$72)),IF($P$27=0,"",INDEX(_calc!$N:$N,$P$27+29)/INDEX(_calc!$N:$N,$P$27+17)*IF(INDEX(_calc!$O:$O,$P$27)=1,INDEX(_calc!$O:$O,$P$27+29)/INDEX(_calc!$O:$O,$P$27+17),1)-1)))</f>
        <v>6.2790561850250892E-2</v>
      </c>
      <c r="E121" s="167">
        <f>IF($A121="","",IF(pf_BU="All",IF(SUMPRODUCT((calc_state=$A121)*_calc!$BZ$4:$BZ$72)=0,"",SUMPRODUCT((calc_state=$A121)*_calc!$BZ$4:$BZ$72*_calc!$AP$4:$AP$72)/SUMPRODUCT((calc_state=$A121)*_calc!$BZ$4:$BZ$72)),IF($P$27=0,"",INDEX(_calc!$N:$N,$P$27+30)/INDEX(_calc!$N:$N,$P$27+18)*IF(INDEX(_calc!$O:$O,$P$27)=1,INDEX(_calc!$O:$O,$P$27+30)/INDEX(_calc!$O:$O,$P$27+18),1)-1)))</f>
        <v>6.277755551110209E-2</v>
      </c>
      <c r="F121" s="167">
        <f>IF($A121="","",IF(pf_BU="All",IF(SUMPRODUCT((calc_state=$A121)*_calc!$CA$4:$CA$72)=0,"",SUMPRODUCT((calc_state=$A121)*_calc!$CA$4:$CA$72*_calc!$AQ$4:$AQ$72)/SUMPRODUCT((calc_state=$A121)*_calc!$CA$4:$CA$72)),IF($P$27=0,"",INDEX(_calc!$N:$N,$P$27+31)/INDEX(_calc!$N:$N,$P$27+19)*IF(INDEX(_calc!$O:$O,$P$27)=1,INDEX(_calc!$O:$O,$P$27+31)/INDEX(_calc!$O:$O,$P$27+19),1)-1)))</f>
        <v>6.2764575596596206E-2</v>
      </c>
      <c r="G121" s="167">
        <f>IF($A121="","",IF(pf_BU="All",IF(SUMPRODUCT((calc_state=$A121)*_calc!$CB$4:$CB$72)=0,"",SUMPRODUCT((calc_state=$A121)*_calc!$CB$4:$CB$72*_calc!$AR$4:$AR$72)/SUMPRODUCT((calc_state=$A121)*_calc!$CB$4:$CB$72)),IF($P$27=0,"",INDEX(_calc!$N:$N,$P$27+32)/INDEX(_calc!$N:$N,$P$27+20)*IF(INDEX(_calc!$O:$O,$P$27)=1,INDEX(_calc!$O:$O,$P$27+32)/INDEX(_calc!$O:$O,$P$27+20),1)-1)))</f>
        <v>6.2751622026285148E-2</v>
      </c>
      <c r="H121" s="167">
        <f>IF($A121="","",IF(pf_BU="All",IF(SUMPRODUCT((calc_state=$A121)*_calc!$CC$4:$CC$72)=0,"",SUMPRODUCT((calc_state=$A121)*_calc!$CC$4:$CC$72*_calc!$AS$4:$AS$72)/SUMPRODUCT((calc_state=$A121)*_calc!$CC$4:$CC$72)),IF($P$27=0,"",INDEX(_calc!$N:$N,$P$27+33)/INDEX(_calc!$N:$N,$P$27+21)*IF(INDEX(_calc!$O:$O,$P$27)=1,INDEX(_calc!$O:$O,$P$27+33)/INDEX(_calc!$O:$O,$P$27+21),1)-1)))</f>
        <v>1.213209020956918E-2</v>
      </c>
      <c r="I121" s="167">
        <f>IF($A121="","",IF(pf_BU="All",IF(SUMPRODUCT((calc_state=$A121)*_calc!$CD$4:$CD$72)=0,"",SUMPRODUCT((calc_state=$A121)*_calc!$CD$4:$CD$72*_calc!$AT$4:$AT$72)/SUMPRODUCT((calc_state=$A121)*_calc!$CD$4:$CD$72)),IF($P$27=0,"",INDEX(_calc!$N:$N,$P$27+34)/INDEX(_calc!$N:$N,$P$27+22)*IF(INDEX(_calc!$O:$O,$P$27)=1,INDEX(_calc!$O:$O,$P$27+34)/INDEX(_calc!$O:$O,$P$27+22),1)-1)))</f>
        <v>1.2119602211412284E-2</v>
      </c>
      <c r="J121" s="167">
        <f>IF($A121="","",IF(pf_BU="All",IF(SUMPRODUCT((calc_state=$A121)*_calc!$CE$4:$CE$72)=0,"",SUMPRODUCT((calc_state=$A121)*_calc!$CE$4:$CE$72*_calc!$AU$4:$AU$72)/SUMPRODUCT((calc_state=$A121)*_calc!$CE$4:$CE$72)),IF($P$27=0,"",INDEX(_calc!$N:$N,$P$27+35)/INDEX(_calc!$N:$N,$P$27+23)*IF(INDEX(_calc!$O:$O,$P$27)=1,INDEX(_calc!$O:$O,$P$27+35)/INDEX(_calc!$O:$O,$P$27+23),1)-1)))</f>
        <v>1.2107340697250057E-2</v>
      </c>
      <c r="K121" s="167">
        <f>IF($A121="","",IF(pf_BU="All",IF(SUMPRODUCT((calc_state=$A121)*_calc!$CF$4:$CF$72)=0,"",SUMPRODUCT((calc_state=$A121)*_calc!$CF$4:$CF$72*_calc!$AV$4:$AV$72)/SUMPRODUCT((calc_state=$A121)*_calc!$CF$4:$CF$72)),IF($P$27=0,"",INDEX(_calc!$N:$N,$P$27+36)/INDEX(_calc!$N:$N,$P$27+24)*IF(INDEX(_calc!$O:$O,$P$27)=1,INDEX(_calc!$O:$O,$P$27+36)/INDEX(_calc!$O:$O,$P$27+24),1)-1)))</f>
        <v>1.2095103968188248E-2</v>
      </c>
      <c r="L121" s="167">
        <f>IF($A121="","",IF(pf_BU="All",IF(SUMPRODUCT((calc_state=$A121)*_calc!$CG$4:$CG$72)=0,"",SUMPRODUCT((calc_state=$A121)*_calc!$CG$4:$CG$72*_calc!$AW$4:$AW$72)/SUMPRODUCT((calc_state=$A121)*_calc!$CG$4:$CG$72)),IF($P$27=0,"",INDEX(_calc!$N:$N,$P$27+37)/INDEX(_calc!$N:$N,$P$27+25)*IF(INDEX(_calc!$O:$O,$P$27)=1,INDEX(_calc!$O:$O,$P$27+37)/INDEX(_calc!$O:$O,$P$27+25),1)-1)))</f>
        <v>1.2082891949152463E-2</v>
      </c>
      <c r="M121" s="167">
        <f>IF($A121="","",IF(pf_BU="All",IF(SUMPRODUCT((calc_state=$A121)*_calc!$CH$4:$CH$72)=0,"",SUMPRODUCT((calc_state=$A121)*_calc!$CH$4:$CH$72*_calc!$AX$4:$AX$72)/SUMPRODUCT((calc_state=$A121)*_calc!$CH$4:$CH$72)),IF($P$27=0,"",INDEX(_calc!$N:$N,$P$27+38)/INDEX(_calc!$N:$N,$P$27+26)*IF(INDEX(_calc!$O:$O,$P$27)=1,INDEX(_calc!$O:$O,$P$27+38)/INDEX(_calc!$O:$O,$P$27+26),1)-1)))</f>
        <v>1.207070456537207E-2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5.5736333731892573E-2</v>
      </c>
      <c r="C122" s="167">
        <f>IF($A122="","",IF(pf_BU="All",IF(SUMPRODUCT((calc_state=$A122)*_calc!$BX$4:$BX$72)=0,"",SUMPRODUCT((calc_state=$A122)*_calc!$BX$4:$BX$72*_calc!$AN$4:$AN$72)/SUMPRODUCT((calc_state=$A122)*_calc!$BX$4:$BX$72)),IF($P$28=0,"",INDEX(_calc!$N:$N,$P$28+28)/INDEX(_calc!$N:$N,$P$28+16)*IF(INDEX(_calc!$O:$O,$P$28)=1,INDEX(_calc!$O:$O,$P$28+28)/INDEX(_calc!$O:$O,$P$28+16),1)-1)))</f>
        <v>5.5734947196684148E-2</v>
      </c>
      <c r="D122" s="167">
        <f>IF($A122="","",IF(pf_BU="All",IF(SUMPRODUCT((calc_state=$A122)*_calc!$BY$4:$BY$72)=0,"",SUMPRODUCT((calc_state=$A122)*_calc!$BY$4:$BY$72*_calc!$AO$4:$AO$72)/SUMPRODUCT((calc_state=$A122)*_calc!$BY$4:$BY$72)),IF($P$28=0,"",INDEX(_calc!$N:$N,$P$28+29)/INDEX(_calc!$N:$N,$P$28+17)*IF(INDEX(_calc!$O:$O,$P$28)=1,INDEX(_calc!$O:$O,$P$28+29)/INDEX(_calc!$O:$O,$P$28+17),1)-1)))</f>
        <v>5.5733559759385543E-2</v>
      </c>
      <c r="E122" s="167">
        <f>IF($A122="","",IF(pf_BU="All",IF(SUMPRODUCT((calc_state=$A122)*_calc!$BZ$4:$BZ$72)=0,"",SUMPRODUCT((calc_state=$A122)*_calc!$BZ$4:$BZ$72*_calc!$AP$4:$AP$72)/SUMPRODUCT((calc_state=$A122)*_calc!$BZ$4:$BZ$72)),IF($P$28=0,"",INDEX(_calc!$N:$N,$P$28+30)/INDEX(_calc!$N:$N,$P$28+18)*IF(INDEX(_calc!$O:$O,$P$28)=1,INDEX(_calc!$O:$O,$P$28+30)/INDEX(_calc!$O:$O,$P$28+18),1)-1)))</f>
        <v>5.573212434090058E-2</v>
      </c>
      <c r="F122" s="167">
        <f>IF($A122="","",IF(pf_BU="All",IF(SUMPRODUCT((calc_state=$A122)*_calc!$CA$4:$CA$72)=0,"",SUMPRODUCT((calc_state=$A122)*_calc!$CA$4:$CA$72*_calc!$AQ$4:$AQ$72)/SUMPRODUCT((calc_state=$A122)*_calc!$CA$4:$CA$72)),IF($P$28=0,"",INDEX(_calc!$N:$N,$P$28+31)/INDEX(_calc!$N:$N,$P$28+19)*IF(INDEX(_calc!$O:$O,$P$28)=1,INDEX(_calc!$O:$O,$P$28+31)/INDEX(_calc!$O:$O,$P$28+19),1)-1)))</f>
        <v>5.5730687956214497E-2</v>
      </c>
      <c r="G122" s="167">
        <f>IF($A122="","",IF(pf_BU="All",IF(SUMPRODUCT((calc_state=$A122)*_calc!$CB$4:$CB$72)=0,"",SUMPRODUCT((calc_state=$A122)*_calc!$CB$4:$CB$72*_calc!$AR$4:$AR$72)/SUMPRODUCT((calc_state=$A122)*_calc!$CB$4:$CB$72)),IF($P$28=0,"",INDEX(_calc!$N:$N,$P$28+32)/INDEX(_calc!$N:$N,$P$28+20)*IF(INDEX(_calc!$O:$O,$P$28)=1,INDEX(_calc!$O:$O,$P$28+32)/INDEX(_calc!$O:$O,$P$28+20),1)-1)))</f>
        <v>5.572925060435141E-2</v>
      </c>
      <c r="H122" s="167">
        <f>IF($A122="","",IF(pf_BU="All",IF(SUMPRODUCT((calc_state=$A122)*_calc!$CC$4:$CC$72)=0,"",SUMPRODUCT((calc_state=$A122)*_calc!$CC$4:$CC$72*_calc!$AS$4:$AS$72)/SUMPRODUCT((calc_state=$A122)*_calc!$CC$4:$CC$72)),IF($P$28=0,"",INDEX(_calc!$N:$N,$P$28+33)/INDEX(_calc!$N:$N,$P$28+21)*IF(INDEX(_calc!$O:$O,$P$28)=1,INDEX(_calc!$O:$O,$P$28+33)/INDEX(_calc!$O:$O,$P$28+21),1)-1)))</f>
        <v>5.57278122843341E-2</v>
      </c>
      <c r="I122" s="167">
        <f>IF($A122="","",IF(pf_BU="All",IF(SUMPRODUCT((calc_state=$A122)*_calc!$CD$4:$CD$72)=0,"",SUMPRODUCT((calc_state=$A122)*_calc!$CD$4:$CD$72*_calc!$AT$4:$AT$72)/SUMPRODUCT((calc_state=$A122)*_calc!$CD$4:$CD$72)),IF($P$28=0,"",INDEX(_calc!$N:$N,$P$28+34)/INDEX(_calc!$N:$N,$P$28+22)*IF(INDEX(_calc!$O:$O,$P$28)=1,INDEX(_calc!$O:$O,$P$28+34)/INDEX(_calc!$O:$O,$P$28+22),1)-1)))</f>
        <v>-4.0317458564146369E-3</v>
      </c>
      <c r="J122" s="167">
        <f>IF($A122="","",IF(pf_BU="All",IF(SUMPRODUCT((calc_state=$A122)*_calc!$CE$4:$CE$72)=0,"",SUMPRODUCT((calc_state=$A122)*_calc!$CE$4:$CE$72*_calc!$AU$4:$AU$72)/SUMPRODUCT((calc_state=$A122)*_calc!$CE$4:$CE$72)),IF($P$28=0,"",INDEX(_calc!$N:$N,$P$28+35)/INDEX(_calc!$N:$N,$P$28+23)*IF(INDEX(_calc!$O:$O,$P$28)=1,INDEX(_calc!$O:$O,$P$28+35)/INDEX(_calc!$O:$O,$P$28+23),1)-1)))</f>
        <v>-4.0331046065790188E-3</v>
      </c>
      <c r="K122" s="167">
        <f>IF($A122="","",IF(pf_BU="All",IF(SUMPRODUCT((calc_state=$A122)*_calc!$CF$4:$CF$72)=0,"",SUMPRODUCT((calc_state=$A122)*_calc!$CF$4:$CF$72*_calc!$AV$4:$AV$72)/SUMPRODUCT((calc_state=$A122)*_calc!$CF$4:$CF$72)),IF($P$28=0,"",INDEX(_calc!$N:$N,$P$28+36)/INDEX(_calc!$N:$N,$P$28+24)*IF(INDEX(_calc!$O:$O,$P$28)=1,INDEX(_calc!$O:$O,$P$28+36)/INDEX(_calc!$O:$O,$P$28+24),1)-1)))</f>
        <v>-4.0344642728845637E-3</v>
      </c>
      <c r="L122" s="167">
        <f>IF($A122="","",IF(pf_BU="All",IF(SUMPRODUCT((calc_state=$A122)*_calc!$CG$4:$CG$72)=0,"",SUMPRODUCT((calc_state=$A122)*_calc!$CG$4:$CG$72*_calc!$AW$4:$AW$72)/SUMPRODUCT((calc_state=$A122)*_calc!$CG$4:$CG$72)),IF($P$28=0,"",INDEX(_calc!$N:$N,$P$28+37)/INDEX(_calc!$N:$N,$P$28+25)*IF(INDEX(_calc!$O:$O,$P$28)=1,INDEX(_calc!$O:$O,$P$28+37)/INDEX(_calc!$O:$O,$P$28+25),1)-1)))</f>
        <v>-4.0358248562583077E-3</v>
      </c>
      <c r="M122" s="167">
        <f>IF($A122="","",IF(pf_BU="All",IF(SUMPRODUCT((calc_state=$A122)*_calc!$CH$4:$CH$72)=0,"",SUMPRODUCT((calc_state=$A122)*_calc!$CH$4:$CH$72*_calc!$AX$4:$AX$72)/SUMPRODUCT((calc_state=$A122)*_calc!$CH$4:$CH$72)),IF($P$28=0,"",INDEX(_calc!$N:$N,$P$28+38)/INDEX(_calc!$N:$N,$P$28+26)*IF(INDEX(_calc!$O:$O,$P$28)=1,INDEX(_calc!$O:$O,$P$28+38)/INDEX(_calc!$O:$O,$P$28+26),1)-1)))</f>
        <v>-4.0371863576282863E-3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8.1137255337830894E-3</v>
      </c>
      <c r="C123" s="167">
        <f>IF($A123="","",IF(pf_BU="All",IF(SUMPRODUCT((calc_state=$A123)*_calc!$BX$4:$BX$72)=0,"",SUMPRODUCT((calc_state=$A123)*_calc!$BX$4:$BX$72*_calc!$AN$4:$AN$72)/SUMPRODUCT((calc_state=$A123)*_calc!$BX$4:$BX$72)),IF($P$29=0,"",INDEX(_calc!$N:$N,$P$29+28)/INDEX(_calc!$N:$N,$P$29+16)*IF(INDEX(_calc!$O:$O,$P$29)=1,INDEX(_calc!$O:$O,$P$29+28)/INDEX(_calc!$O:$O,$P$29+16),1)-1)))</f>
        <v>8.1084083083415859E-3</v>
      </c>
      <c r="D123" s="167">
        <f>IF($A123="","",IF(pf_BU="All",IF(SUMPRODUCT((calc_state=$A123)*_calc!$BY$4:$BY$72)=0,"",SUMPRODUCT((calc_state=$A123)*_calc!$BY$4:$BY$72*_calc!$AO$4:$AO$72)/SUMPRODUCT((calc_state=$A123)*_calc!$BY$4:$BY$72)),IF($P$29=0,"",INDEX(_calc!$N:$N,$P$29+29)/INDEX(_calc!$N:$N,$P$29+17)*IF(INDEX(_calc!$O:$O,$P$29)=1,INDEX(_calc!$O:$O,$P$29+29)/INDEX(_calc!$O:$O,$P$29+17),1)-1)))</f>
        <v>8.1030980474863235E-3</v>
      </c>
      <c r="E123" s="167">
        <f>IF($A123="","",IF(pf_BU="All",IF(SUMPRODUCT((calc_state=$A123)*_calc!$BZ$4:$BZ$72)=0,"",SUMPRODUCT((calc_state=$A123)*_calc!$BZ$4:$BZ$72*_calc!$AP$4:$AP$72)/SUMPRODUCT((calc_state=$A123)*_calc!$BZ$4:$BZ$72)),IF($P$29=0,"",INDEX(_calc!$N:$N,$P$29+30)/INDEX(_calc!$N:$N,$P$29+18)*IF(INDEX(_calc!$O:$O,$P$29)=1,INDEX(_calc!$O:$O,$P$29+30)/INDEX(_calc!$O:$O,$P$29+18),1)-1)))</f>
        <v>8.0976150859677354E-3</v>
      </c>
      <c r="F123" s="167">
        <f>IF($A123="","",IF(pf_BU="All",IF(SUMPRODUCT((calc_state=$A123)*_calc!$CA$4:$CA$72)=0,"",SUMPRODUCT((calc_state=$A123)*_calc!$CA$4:$CA$72*_calc!$AQ$4:$AQ$72)/SUMPRODUCT((calc_state=$A123)*_calc!$CA$4:$CA$72)),IF($P$29=0,"",INDEX(_calc!$N:$N,$P$29+31)/INDEX(_calc!$N:$N,$P$29+19)*IF(INDEX(_calc!$O:$O,$P$29)=1,INDEX(_calc!$O:$O,$P$29+31)/INDEX(_calc!$O:$O,$P$29+19),1)-1)))</f>
        <v>8.0921395395239237E-3</v>
      </c>
      <c r="G123" s="167">
        <f>IF($A123="","",IF(pf_BU="All",IF(SUMPRODUCT((calc_state=$A123)*_calc!$CB$4:$CB$72)=0,"",SUMPRODUCT((calc_state=$A123)*_calc!$CB$4:$CB$72*_calc!$AR$4:$AR$72)/SUMPRODUCT((calc_state=$A123)*_calc!$CB$4:$CB$72)),IF($P$29=0,"",INDEX(_calc!$N:$N,$P$29+32)/INDEX(_calc!$N:$N,$P$29+20)*IF(INDEX(_calc!$O:$O,$P$29)=1,INDEX(_calc!$O:$O,$P$29+32)/INDEX(_calc!$O:$O,$P$29+20),1)-1)))</f>
        <v>8.0866713931229128E-3</v>
      </c>
      <c r="H123" s="167">
        <f>IF($A123="","",IF(pf_BU="All",IF(SUMPRODUCT((calc_state=$A123)*_calc!$CC$4:$CC$72)=0,"",SUMPRODUCT((calc_state=$A123)*_calc!$CC$4:$CC$72*_calc!$AS$4:$AS$72)/SUMPRODUCT((calc_state=$A123)*_calc!$CC$4:$CC$72)),IF($P$29=0,"",INDEX(_calc!$N:$N,$P$29+33)/INDEX(_calc!$N:$N,$P$29+21)*IF(INDEX(_calc!$O:$O,$P$29)=1,INDEX(_calc!$O:$O,$P$29+33)/INDEX(_calc!$O:$O,$P$29+21),1)-1)))</f>
        <v>8.0812106317735832E-3</v>
      </c>
      <c r="I123" s="167">
        <f>IF($A123="","",IF(pf_BU="All",IF(SUMPRODUCT((calc_state=$A123)*_calc!$CD$4:$CD$72)=0,"",SUMPRODUCT((calc_state=$A123)*_calc!$CD$4:$CD$72*_calc!$AT$4:$AT$72)/SUMPRODUCT((calc_state=$A123)*_calc!$CD$4:$CD$72)),IF($P$29=0,"",INDEX(_calc!$N:$N,$P$29+34)/INDEX(_calc!$N:$N,$P$29+22)*IF(INDEX(_calc!$O:$O,$P$29)=1,INDEX(_calc!$O:$O,$P$29+34)/INDEX(_calc!$O:$O,$P$29+22),1)-1)))</f>
        <v>8.0756679019857724E-3</v>
      </c>
      <c r="J123" s="167">
        <f>IF($A123="","",IF(pf_BU="All",IF(SUMPRODUCT((calc_state=$A123)*_calc!$CE$4:$CE$72)=0,"",SUMPRODUCT((calc_state=$A123)*_calc!$CE$4:$CE$72*_calc!$AU$4:$AU$72)/SUMPRODUCT((calc_state=$A123)*_calc!$CE$4:$CE$72)),IF($P$29=0,"",INDEX(_calc!$N:$N,$P$29+35)/INDEX(_calc!$N:$N,$P$29+23)*IF(INDEX(_calc!$O:$O,$P$29)=1,INDEX(_calc!$O:$O,$P$29+35)/INDEX(_calc!$O:$O,$P$29+23),1)-1)))</f>
        <v>8.0702219863801883E-3</v>
      </c>
      <c r="K123" s="167">
        <f>IF($A123="","",IF(pf_BU="All",IF(SUMPRODUCT((calc_state=$A123)*_calc!$CF$4:$CF$72)=0,"",SUMPRODUCT((calc_state=$A123)*_calc!$CF$4:$CF$72*_calc!$AV$4:$AV$72)/SUMPRODUCT((calc_state=$A123)*_calc!$CF$4:$CF$72)),IF($P$29=0,"",INDEX(_calc!$N:$N,$P$29+36)/INDEX(_calc!$N:$N,$P$29+24)*IF(INDEX(_calc!$O:$O,$P$29)=1,INDEX(_calc!$O:$O,$P$29+36)/INDEX(_calc!$O:$O,$P$29+24),1)-1)))</f>
        <v>8.0647834108511507E-3</v>
      </c>
      <c r="L123" s="167">
        <f>IF($A123="","",IF(pf_BU="All",IF(SUMPRODUCT((calc_state=$A123)*_calc!$CG$4:$CG$72)=0,"",SUMPRODUCT((calc_state=$A123)*_calc!$CG$4:$CG$72*_calc!$AW$4:$AW$72)/SUMPRODUCT((calc_state=$A123)*_calc!$CG$4:$CG$72)),IF($P$29=0,"",INDEX(_calc!$N:$N,$P$29+37)/INDEX(_calc!$N:$N,$P$29+25)*IF(INDEX(_calc!$O:$O,$P$29)=1,INDEX(_calc!$O:$O,$P$29+37)/INDEX(_calc!$O:$O,$P$29+25),1)-1)))</f>
        <v>8.0593521605687446E-3</v>
      </c>
      <c r="M123" s="167">
        <f>IF($A123="","",IF(pf_BU="All",IF(SUMPRODUCT((calc_state=$A123)*_calc!$CH$4:$CH$72)=0,"",SUMPRODUCT((calc_state=$A123)*_calc!$CH$4:$CH$72*_calc!$AX$4:$AX$72)/SUMPRODUCT((calc_state=$A123)*_calc!$CH$4:$CH$72)),IF($P$29=0,"",INDEX(_calc!$N:$N,$P$29+38)/INDEX(_calc!$N:$N,$P$29+26)*IF(INDEX(_calc!$O:$O,$P$29)=1,INDEX(_calc!$O:$O,$P$29+38)/INDEX(_calc!$O:$O,$P$29+26),1)-1)))</f>
        <v>8.0539282207439111E-3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3.6811521036042148E-2</v>
      </c>
      <c r="C127" s="169">
        <f>IF(SUMPRODUCT(((pf_BU="All")+(calc_bu=pf_BU))*_calc!$BX$4:$BX$72)=0,"",SUMPRODUCT(((pf_BU="All")+(calc_bu=pf_BU))*_calc!$BX$4:$BX$72*_calc!$AN$4:$AN$72)/SUMPRODUCT(((pf_BU="All")+(calc_bu=pf_BU))*_calc!$BX$4:$BX$72))</f>
        <v>3.3704948783505252E-2</v>
      </c>
      <c r="D127" s="169">
        <f>IF(SUMPRODUCT(((pf_BU="All")+(calc_bu=pf_BU))*_calc!$BY$4:$BY$72)=0,"",SUMPRODUCT(((pf_BU="All")+(calc_bu=pf_BU))*_calc!$BY$4:$BY$72*_calc!$AO$4:$AO$72)/SUMPRODUCT(((pf_BU="All")+(calc_bu=pf_BU))*_calc!$BY$4:$BY$72))</f>
        <v>3.3616314231733904E-2</v>
      </c>
      <c r="E127" s="169">
        <f>IF(SUMPRODUCT(((pf_BU="All")+(calc_bu=pf_BU))*_calc!$BZ$4:$BZ$72)=0,"",SUMPRODUCT(((pf_BU="All")+(calc_bu=pf_BU))*_calc!$BZ$4:$BZ$72*_calc!$AP$4:$AP$72)/SUMPRODUCT(((pf_BU="All")+(calc_bu=pf_BU))*_calc!$BZ$4:$BZ$72))</f>
        <v>3.4831321520913588E-2</v>
      </c>
      <c r="F127" s="169">
        <f>IF(SUMPRODUCT(((pf_BU="All")+(calc_bu=pf_BU))*_calc!$CA$4:$CA$72)=0,"",SUMPRODUCT(((pf_BU="All")+(calc_bu=pf_BU))*_calc!$CA$4:$CA$72*_calc!$AQ$4:$AQ$72)/SUMPRODUCT(((pf_BU="All")+(calc_bu=pf_BU))*_calc!$CA$4:$CA$72))</f>
        <v>3.1983382345221183E-2</v>
      </c>
      <c r="G127" s="169">
        <f>IF(SUMPRODUCT(((pf_BU="All")+(calc_bu=pf_BU))*_calc!$CB$4:$CB$72)=0,"",SUMPRODUCT(((pf_BU="All")+(calc_bu=pf_BU))*_calc!$CB$4:$CB$72*_calc!$AR$4:$AR$72)/SUMPRODUCT(((pf_BU="All")+(calc_bu=pf_BU))*_calc!$CB$4:$CB$72))</f>
        <v>3.1559808206087142E-2</v>
      </c>
      <c r="H127" s="169">
        <f>IF(SUMPRODUCT(((pf_BU="All")+(calc_bu=pf_BU))*_calc!$CC$4:$CC$72)=0,"",SUMPRODUCT(((pf_BU="All")+(calc_bu=pf_BU))*_calc!$CC$4:$CC$72*_calc!$AS$4:$AS$72)/SUMPRODUCT(((pf_BU="All")+(calc_bu=pf_BU))*_calc!$CC$4:$CC$72))</f>
        <v>2.5048526064912757E-2</v>
      </c>
      <c r="I127" s="169">
        <f>IF(SUMPRODUCT(((pf_BU="All")+(calc_bu=pf_BU))*_calc!$CD$4:$CD$72)=0,"",SUMPRODUCT(((pf_BU="All")+(calc_bu=pf_BU))*_calc!$CD$4:$CD$72*_calc!$AT$4:$AT$72)/SUMPRODUCT(((pf_BU="All")+(calc_bu=pf_BU))*_calc!$CD$4:$CD$72))</f>
        <v>2.1176110293210985E-2</v>
      </c>
      <c r="J127" s="169">
        <f>IF(SUMPRODUCT(((pf_BU="All")+(calc_bu=pf_BU))*_calc!$CE$4:$CE$72)=0,"",SUMPRODUCT(((pf_BU="All")+(calc_bu=pf_BU))*_calc!$CE$4:$CE$72*_calc!$AU$4:$AU$72)/SUMPRODUCT(((pf_BU="All")+(calc_bu=pf_BU))*_calc!$CE$4:$CE$72))</f>
        <v>2.1085936541081412E-2</v>
      </c>
      <c r="K127" s="169">
        <f>IF(SUMPRODUCT(((pf_BU="All")+(calc_bu=pf_BU))*_calc!$CF$4:$CF$72)=0,"",SUMPRODUCT(((pf_BU="All")+(calc_bu=pf_BU))*_calc!$CF$4:$CF$72*_calc!$AV$4:$AV$72)/SUMPRODUCT(((pf_BU="All")+(calc_bu=pf_BU))*_calc!$CF$4:$CF$72))</f>
        <v>1.962509142507448E-2</v>
      </c>
      <c r="L127" s="169">
        <f>IF(SUMPRODUCT(((pf_BU="All")+(calc_bu=pf_BU))*_calc!$CG$4:$CG$72)=0,"",SUMPRODUCT(((pf_BU="All")+(calc_bu=pf_BU))*_calc!$CG$4:$CG$72*_calc!$AW$4:$AW$72)/SUMPRODUCT(((pf_BU="All")+(calc_bu=pf_BU))*_calc!$CG$4:$CG$72))</f>
        <v>1.8468404697679588E-2</v>
      </c>
      <c r="M127" s="169">
        <f>IF(SUMPRODUCT(((pf_BU="All")+(calc_bu=pf_BU))*_calc!$CH$4:$CH$72)=0,"",SUMPRODUCT(((pf_BU="All")+(calc_bu=pf_BU))*_calc!$CH$4:$CH$72*_calc!$AX$4:$AX$72)/SUMPRODUCT(((pf_BU="All")+(calc_bu=pf_BU))*_calc!$CH$4:$CH$72))</f>
        <v>1.8459774951279279E-2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40000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92000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76000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60000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44000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96000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80000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64000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48000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2.5720139239735332E-2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0.97776574435834473</v>
      </c>
      <c r="N17" s="174">
        <f>IF(OR($A17="",nd_BU="All"),"",IF(_netcalc!$D$695=0,"—",IF(ISNUMBER(_netcalc!$H$746),(_netcalc!$H$746-_netcalc!$J$695)*100,"n/a")))</f>
        <v>-1.7234255641655261</v>
      </c>
      <c r="O17" s="118">
        <f>IF(OR($A17="",nd_BU="All"),"",IF(_netcalc!$D$695=0,"—",_netcalc!$L$746))</f>
        <v>0.75</v>
      </c>
      <c r="P17" s="109" t="str">
        <f>IF(OR($A17="",nd_BU="All"),"",IF(_netcalc!$D$695=0,"—",_netcalc!$M$746))</f>
        <v/>
      </c>
    </row>
    <row r="18" spans="1:16" x14ac:dyDescent="0.3">
      <c r="A18" s="122" t="str">
        <f>_lists!$B$12</f>
        <v>MD</v>
      </c>
      <c r="B18" s="161">
        <f t="shared" si="0"/>
        <v>32000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84000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68000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52000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36000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88000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72000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56000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40000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92000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76000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60000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1356000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0.98718271334792129</v>
      </c>
      <c r="C105" s="181">
        <f>_netcalc!$AI$1619</f>
        <v>0.98750547045951853</v>
      </c>
      <c r="D105" s="181">
        <f>_netcalc!$AI$1620</f>
        <v>0.98782822757111588</v>
      </c>
      <c r="E105" s="181">
        <f>_netcalc!$AI$1621</f>
        <v>0.95015569769399078</v>
      </c>
      <c r="F105" s="181">
        <f>_netcalc!$AI$1622</f>
        <v>0.95047656118498558</v>
      </c>
      <c r="G105" s="181">
        <f>_netcalc!$AI$1623</f>
        <v>0.9507974246759805</v>
      </c>
      <c r="H105" s="181">
        <f>_netcalc!$AI$1624</f>
        <v>0.95111828816697519</v>
      </c>
      <c r="I105" s="181">
        <f>_netcalc!$AI$1625</f>
        <v>0.95144441171519933</v>
      </c>
      <c r="J105" s="181">
        <f>_netcalc!$AI$1626</f>
        <v>0.95176527520619403</v>
      </c>
      <c r="K105" s="181">
        <f>_netcalc!$AI$1627</f>
        <v>1.0472947525669081</v>
      </c>
      <c r="L105" s="181">
        <f>_netcalc!$AI$1628</f>
        <v>1.0476477024070023</v>
      </c>
      <c r="M105" s="181">
        <f>_netcalc!$AI$1629</f>
        <v>1.0480006522470964</v>
      </c>
    </row>
    <row r="106" spans="1:13" x14ac:dyDescent="0.3">
      <c r="A106" s="20" t="s">
        <v>366</v>
      </c>
      <c r="B106" s="181">
        <f>_netcalc!$O$1618</f>
        <v>0.99117614879649885</v>
      </c>
      <c r="C106" s="181">
        <f>_netcalc!$O$1619</f>
        <v>0.99149890590809631</v>
      </c>
      <c r="D106" s="181">
        <f>_netcalc!$O$1620</f>
        <v>0.99182166301969366</v>
      </c>
      <c r="E106" s="181">
        <f>_netcalc!$O$1621</f>
        <v>0.9921553610503282</v>
      </c>
      <c r="F106" s="181">
        <f>_netcalc!$O$1622</f>
        <v>0.99248905908096274</v>
      </c>
      <c r="G106" s="181">
        <f>_netcalc!$O$1623</f>
        <v>0.9928227571115974</v>
      </c>
      <c r="H106" s="181">
        <f>_netcalc!$O$1624</f>
        <v>0.99315645514223194</v>
      </c>
      <c r="I106" s="181">
        <f>_netcalc!$O$1625</f>
        <v>0.99349562363238508</v>
      </c>
      <c r="J106" s="181">
        <f>_netcalc!$O$1626</f>
        <v>0.99382932166301974</v>
      </c>
      <c r="K106" s="181">
        <f>_netcalc!$O$1627</f>
        <v>0.99416301969365428</v>
      </c>
      <c r="L106" s="181">
        <f>_netcalc!$O$1628</f>
        <v>0.99449671772428883</v>
      </c>
      <c r="M106" s="181">
        <f>_netcalc!$O$1629</f>
        <v>0.99483041575492337</v>
      </c>
    </row>
    <row r="107" spans="1:13" x14ac:dyDescent="0.3">
      <c r="A107" s="20" t="s">
        <v>367</v>
      </c>
      <c r="B107" s="182">
        <f>IF(_netcalc!$AI$1618="","",(_netcalc!$AI$1618-_netcalc!$O$1618)*100)</f>
        <v>-0.39934354485775536</v>
      </c>
      <c r="C107" s="182">
        <f>IF(_netcalc!$AI$1619="","",(_netcalc!$AI$1619-_netcalc!$O$1619)*100)</f>
        <v>-0.39934354485777757</v>
      </c>
      <c r="D107" s="182">
        <f>IF(_netcalc!$AI$1620="","",(_netcalc!$AI$1620-_netcalc!$O$1620)*100)</f>
        <v>-0.39934354485777757</v>
      </c>
      <c r="E107" s="182">
        <f>IF(_netcalc!$AI$1621="","",(_netcalc!$AI$1621-_netcalc!$O$1621)*100)</f>
        <v>-4.1999663356337429</v>
      </c>
      <c r="F107" s="182">
        <f>IF(_netcalc!$AI$1622="","",(_netcalc!$AI$1622-_netcalc!$O$1622)*100)</f>
        <v>-4.2012497895977159</v>
      </c>
      <c r="G107" s="182">
        <f>IF(_netcalc!$AI$1623="","",(_netcalc!$AI$1623-_netcalc!$O$1623)*100)</f>
        <v>-4.2025332435616907</v>
      </c>
      <c r="H107" s="182">
        <f>IF(_netcalc!$AI$1624="","",(_netcalc!$AI$1624-_netcalc!$O$1624)*100)</f>
        <v>-4.2038166975256752</v>
      </c>
      <c r="I107" s="182">
        <f>IF(_netcalc!$AI$1625="","",(_netcalc!$AI$1625-_netcalc!$O$1625)*100)</f>
        <v>-4.2051211917185753</v>
      </c>
      <c r="J107" s="182">
        <f>IF(_netcalc!$AI$1626="","",(_netcalc!$AI$1626-_netcalc!$O$1626)*100)</f>
        <v>-4.2064046456825714</v>
      </c>
      <c r="K107" s="182">
        <f>IF(_netcalc!$AI$1627="","",(_netcalc!$AI$1627-_netcalc!$O$1627)*100)</f>
        <v>5.3131732873253785</v>
      </c>
      <c r="L107" s="182">
        <f>IF(_netcalc!$AI$1628="","",(_netcalc!$AI$1628-_netcalc!$O$1628)*100)</f>
        <v>5.3150984682713514</v>
      </c>
      <c r="M107" s="182">
        <f>IF(_netcalc!$AI$1629="","",(_netcalc!$AI$1629-_netcalc!$O$1629)*100)</f>
        <v>5.3170236492173011</v>
      </c>
    </row>
    <row r="109" spans="1:13" x14ac:dyDescent="0.3">
      <c r="A109" s="20" t="s">
        <v>368</v>
      </c>
      <c r="C109" s="106">
        <f>IF(ISNUMBER(_netcalc!$H$1642),_netcalc!$H$1642,"n/a")</f>
        <v>0.97776574435834473</v>
      </c>
    </row>
    <row r="110" spans="1:13" x14ac:dyDescent="0.3">
      <c r="A110" s="20" t="s">
        <v>369</v>
      </c>
      <c r="C110" s="115">
        <f>_netcalc!$N$1642</f>
        <v>0.65045504169836177</v>
      </c>
    </row>
    <row r="111" spans="1:13" x14ac:dyDescent="0.3">
      <c r="A111" s="20" t="s">
        <v>370</v>
      </c>
      <c r="C111" s="118">
        <f>_netcalc!$O$1642</f>
        <v>0.65444889210961887</v>
      </c>
    </row>
    <row r="112" spans="1:13" x14ac:dyDescent="0.3">
      <c r="A112" s="20" t="s">
        <v>371</v>
      </c>
      <c r="C112" s="116">
        <f>IF(OR(NOT(ISNUMBER(_netcalc!$N$1642)),NOT(ISNUMBER(_netcalc!$O$1642))),"n/a",(_netcalc!$N$1642-_netcalc!$O$1642)*100)</f>
        <v>-0.39938504112571049</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0.10444981352898486</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0.10444835914821948</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0.10444690571784587</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0.14862322017759477</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0.14862165946307915</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0.14862009980194513</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0.1486185411931269</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0.14861695811058118</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0.14861540162040887</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4.4194405617586474E-2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4.4192992533026887E-2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4.4191580400276154E-2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0.99306145153262859</v>
      </c>
      <c r="D12" s="46">
        <f>$D11*$C12</f>
        <v>0.64548994349620858</v>
      </c>
      <c r="E12" s="186">
        <f>($D12-$D11)*100</f>
        <v>-0.45100565037914375</v>
      </c>
      <c r="F12" s="50">
        <f>nr_Arate_P1</f>
        <v>0.95380029806259314</v>
      </c>
      <c r="G12" s="46">
        <f>$G11*$F12</f>
        <v>0.61997019374068552</v>
      </c>
      <c r="H12" s="186">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86">
        <f>($D13-$D12)*100</f>
        <v>-1.1916706052448212</v>
      </c>
      <c r="F13" s="50">
        <f>nr_Amod_P1</f>
        <v>0.95940143921021315</v>
      </c>
      <c r="G13" s="46">
        <f>$G12*$F13</f>
        <v>0.59480029614224839</v>
      </c>
      <c r="H13" s="186">
        <f>($G13-$G12)*100</f>
        <v>-2.516989759843713</v>
      </c>
    </row>
    <row r="14" spans="2:8" x14ac:dyDescent="0.3">
      <c r="B14" s="20" t="s">
        <v>386</v>
      </c>
      <c r="C14" s="50">
        <f>nr_AOther</f>
        <v>1</v>
      </c>
      <c r="D14" s="46">
        <f>$D13*$C14</f>
        <v>0.63357323744376037</v>
      </c>
      <c r="E14" s="186">
        <f>($D14-$D13)*100</f>
        <v>0</v>
      </c>
      <c r="F14" s="50">
        <f>nr_AOther</f>
        <v>1</v>
      </c>
      <c r="G14" s="46">
        <f>$G13*$F14</f>
        <v>0.59480029614224839</v>
      </c>
      <c r="H14" s="186">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418</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46204</v>
      </c>
      <c r="D37" s="204">
        <f>INDEX('Rate Engine'!$B$17:$B$64,$I$38)</f>
        <v>45839</v>
      </c>
      <c r="E37" s="204">
        <f>INDEX('Rate Engine'!$B$17:$B$64,$I$39)</f>
        <v>46569</v>
      </c>
      <c r="H37" s="23" t="s">
        <v>450</v>
      </c>
      <c r="I37" s="43">
        <f>12+13-ROUND(nr_TermMonths/2,0)</f>
        <v>19</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1.04</v>
      </c>
      <c r="D39" s="50">
        <f>INDEX('Rate Engine'!$I$17:$I$64,$I$38)</f>
        <v>1</v>
      </c>
      <c r="E39" s="50">
        <f>INDEX('Rate Engine'!$I$17:$I$64,$I$39)</f>
        <v>1.1575200000000001</v>
      </c>
      <c r="H39" s="23" t="s">
        <v>456</v>
      </c>
      <c r="I39" s="43">
        <f>24+13-ROUND(nr_TermMonths/2,0)</f>
        <v>31</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1</v>
      </c>
      <c r="D41" s="206">
        <f>INDEX('Rate Engine'!$K$17:$K$64,$I$38)</f>
        <v>1</v>
      </c>
      <c r="E41" s="206">
        <f>INDEX('Rate Engine'!$K$17:$K$64,$I$39)</f>
        <v>0</v>
      </c>
      <c r="J41" s="27" t="s">
        <v>461</v>
      </c>
    </row>
    <row r="42" spans="2:10" ht="19.05" customHeight="1" x14ac:dyDescent="0.3">
      <c r="B42" s="20" t="s">
        <v>462</v>
      </c>
      <c r="C42" s="206">
        <f>INDEX('Rate Engine'!$L$17:$L$64,$I$37)</f>
        <v>31</v>
      </c>
      <c r="D42" s="206">
        <f>INDEX('Rate Engine'!$L$17:$L$64,$I$38)</f>
        <v>31</v>
      </c>
      <c r="E42" s="206">
        <f>INDEX('Rate Engine'!$L$17:$L$64,$I$39)</f>
        <v>0</v>
      </c>
      <c r="J42" s="27" t="s">
        <v>463</v>
      </c>
    </row>
    <row r="43" spans="2:10" ht="19.05" customHeight="1" x14ac:dyDescent="0.3">
      <c r="B43" s="20" t="s">
        <v>464</v>
      </c>
      <c r="C43" s="207">
        <f>INDEX('Rate Engine'!$M$17:$M$64,$I$37)</f>
        <v>1</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0.45833333333333331</v>
      </c>
      <c r="D45" s="50">
        <f>INDEX('Rate Engine'!$P$17:$P$64,$I$38)</f>
        <v>0.54166666666666674</v>
      </c>
      <c r="E45" s="50">
        <f>INDEX('Rate Engine'!$P$17:$P$64,$I$39)</f>
        <v>0</v>
      </c>
      <c r="J45" s="27" t="s">
        <v>469</v>
      </c>
    </row>
    <row r="46" spans="2:10" ht="19.05" customHeight="1" x14ac:dyDescent="0.3">
      <c r="B46" s="20" t="s">
        <v>470</v>
      </c>
      <c r="C46" s="50">
        <f>INDEX('Rate Engine'!$Q$17:$Q$64,$I$37)</f>
        <v>0.54166666666666674</v>
      </c>
      <c r="D46" s="50">
        <f>INDEX('Rate Engine'!$Q$17:$Q$64,$I$38)</f>
        <v>0</v>
      </c>
      <c r="E46" s="50">
        <f>INDEX('Rate Engine'!$Q$17:$Q$64,$I$39)</f>
        <v>0.45833333333333331</v>
      </c>
      <c r="J46" s="27" t="s">
        <v>471</v>
      </c>
    </row>
    <row r="47" spans="2:10" ht="19.05" customHeight="1" x14ac:dyDescent="0.3">
      <c r="B47" s="20" t="s">
        <v>472</v>
      </c>
      <c r="C47" s="50">
        <f>INDEX('Rate Engine'!$R$17:$R$64,$I$37)</f>
        <v>0</v>
      </c>
      <c r="D47" s="50">
        <f>INDEX('Rate Engine'!$R$17:$R$64,$I$38)</f>
        <v>0</v>
      </c>
      <c r="E47" s="50">
        <f>INDEX('Rate Engine'!$R$17:$R$64,$I$39)</f>
        <v>0.54166666666666674</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13.321229999999998</v>
      </c>
      <c r="J51" s="27" t="s">
        <v>479</v>
      </c>
    </row>
    <row r="52" spans="2:10" ht="19.05" customHeight="1" x14ac:dyDescent="0.3">
      <c r="B52" s="20" t="s">
        <v>480</v>
      </c>
      <c r="C52" s="113">
        <f>SUM('Rate Engine'!AH$67:AS$67)</f>
        <v>12.000000000000002</v>
      </c>
      <c r="J52" s="27" t="s">
        <v>481</v>
      </c>
    </row>
    <row r="53" spans="2:10" x14ac:dyDescent="0.3">
      <c r="B53" s="20" t="s">
        <v>482</v>
      </c>
      <c r="C53" s="202">
        <f>nr_ECY_P</f>
        <v>1.1101025000000002</v>
      </c>
      <c r="J53" s="51" t="str">
        <f>"Numerator / denominator — the level CY "&amp;nr_PlanYear&amp;" premium actually carries."</f>
        <v>Numerator / denominator — the level CY 2027 premium actually carries.</v>
      </c>
    </row>
    <row r="54" spans="2:10" x14ac:dyDescent="0.3">
      <c r="B54" s="20" t="s">
        <v>483</v>
      </c>
      <c r="C54" s="209">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0.8659874179431073</v>
      </c>
      <c r="J62" s="19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493</v>
      </c>
      <c r="C63" s="209">
        <f>nr_Amod_P</f>
        <v>0.98153851013092008</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0.99306145153262859</v>
      </c>
      <c r="D67" s="46">
        <f>$D66*$C67</f>
        <v>0.64548994349620858</v>
      </c>
    </row>
    <row r="68" spans="2:10" x14ac:dyDescent="0.3">
      <c r="B68" s="20" t="s">
        <v>498</v>
      </c>
      <c r="C68" s="42">
        <f>nr_Amod_P</f>
        <v>0.98153851013092008</v>
      </c>
      <c r="D68" s="46">
        <f>$D67*$C68</f>
        <v>0.63357323744376037</v>
      </c>
    </row>
    <row r="69" spans="2:10" x14ac:dyDescent="0.3">
      <c r="B69" s="20" t="s">
        <v>499</v>
      </c>
      <c r="C69" s="42">
        <f>nr_AOther</f>
        <v>1</v>
      </c>
      <c r="D69" s="46">
        <f>$D68*$C69</f>
        <v>0.63357323744376037</v>
      </c>
    </row>
    <row r="70" spans="2:10" x14ac:dyDescent="0.3">
      <c r="B70" s="18" t="s">
        <v>500</v>
      </c>
      <c r="D70" s="134">
        <f>$D69</f>
        <v>0.63357323744376037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0.59480029614224839</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515</v>
      </c>
      <c r="C11" s="42">
        <f>nr_AOther</f>
        <v>1</v>
      </c>
      <c r="D11" s="46">
        <f>$D10*$C11</f>
        <v>0.63357323744376037</v>
      </c>
    </row>
    <row r="12" spans="2:7" x14ac:dyDescent="0.3">
      <c r="B12" s="25" t="str">
        <f>"CY "&amp;nr_PlanYear&amp;" PLAN LOSS RATIO"</f>
        <v>CY 2027 PLAN LOSS RATIO</v>
      </c>
      <c r="D12" s="214">
        <f>nr_CYLR_P</f>
        <v>0.63357323744376037</v>
      </c>
    </row>
    <row r="13" spans="2:7" x14ac:dyDescent="0.3">
      <c r="B13" s="20" t="str">
        <f>"CY "&amp;(nr_PlanYear+1)&amp;" (indicative, + net trend)"</f>
        <v>CY 2028 (indicative, + net trend)</v>
      </c>
      <c r="D13" s="45">
        <f>nr_CYLR_P1</f>
        <v>0.59480029614224839</v>
      </c>
    </row>
    <row r="15" spans="2:7" ht="15.6" x14ac:dyDescent="0.3">
      <c r="B15" s="3" t="s">
        <v>516</v>
      </c>
    </row>
    <row r="16" spans="2:7" x14ac:dyDescent="0.3">
      <c r="B16" s="20" t="s">
        <v>517</v>
      </c>
      <c r="D16" s="215">
        <f>IF(br_selrow=0,"",N(INDEX(lr_ep,br_selrow)))</f>
        <v>32000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0">
        <f t="shared" si="4"/>
        <v>7.283613515496978E-3</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0">
        <f t="shared" si="4"/>
        <v>3.3543237866484527E-2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4.1671725909917745E-2</v>
      </c>
    </row>
    <row r="72" spans="2:21" x14ac:dyDescent="0.3">
      <c r="C72" s="20" t="s">
        <v>545</v>
      </c>
      <c r="G72" s="53">
        <f>(1+nr_YoY_P1)/EXP(SUM($H$63:$H$70))-1</f>
        <v>-4.8850353333040886E-4</v>
      </c>
    </row>
    <row r="73" spans="2:21" x14ac:dyDescent="0.3">
      <c r="C73" s="18" t="s">
        <v>546</v>
      </c>
      <c r="G73" s="217">
        <f>nr_YoY_P1</f>
        <v>4.1162865591240383E-2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1.0216666666666663</v>
      </c>
      <c r="E81" s="220">
        <f>'Mod Engine'!$E$29</f>
        <v>0.84309628008752735</v>
      </c>
      <c r="F81" s="220">
        <f>'Rate Engine'!V$72</f>
        <v>0.83104485776805215</v>
      </c>
      <c r="G81" s="160">
        <f t="shared" ref="G81:G116" si="5">IF(nr_NetMode,$C81,$C81*($E81/nr_MInd))</f>
        <v>1.031553095636504</v>
      </c>
      <c r="H81" s="160">
        <f t="shared" ref="H81:H116" si="6">IF(OR($D81="",$F81=""),"",IF(nr_NetMode,$D81,$D81*($F81/nr_MInd)))</f>
        <v>0.99888332904277599</v>
      </c>
      <c r="I81" s="43">
        <f t="shared" ref="I81:I116" si="7">IF(YEAR($B81)=nr_PlanYear,1,0)</f>
        <v>0</v>
      </c>
      <c r="J81" s="23"/>
      <c r="K81" s="23"/>
      <c r="L81" s="183">
        <f t="shared" ref="L81:L116" si="8">IF(OR($C81="",$D81=""),"",$C81/$D81-1)</f>
        <v>1.7944535073409984E-2</v>
      </c>
    </row>
    <row r="82" spans="2:18" x14ac:dyDescent="0.3">
      <c r="B82" s="219">
        <f>'Rate Engine'!W$16</f>
        <v>46054</v>
      </c>
      <c r="C82" s="160">
        <f>'Rate Engine'!$U$30</f>
        <v>1.04</v>
      </c>
      <c r="D82" s="160">
        <f>'Rate Engine'!W$68</f>
        <v>1.0249999999999997</v>
      </c>
      <c r="E82" s="220">
        <f>'Mod Engine'!$E$30</f>
        <v>0.84503282275711156</v>
      </c>
      <c r="F82" s="220">
        <f>'Rate Engine'!W$72</f>
        <v>0.83304157549234104</v>
      </c>
      <c r="G82" s="160">
        <f t="shared" si="5"/>
        <v>1.0339225125498777</v>
      </c>
      <c r="H82" s="160">
        <f t="shared" si="6"/>
        <v>1.0045501351525286</v>
      </c>
      <c r="I82" s="43">
        <f t="shared" si="7"/>
        <v>0</v>
      </c>
      <c r="J82" s="23"/>
      <c r="K82" s="23"/>
      <c r="L82" s="183">
        <f t="shared" si="8"/>
        <v>1.463414634146365E-2</v>
      </c>
    </row>
    <row r="83" spans="2:18" x14ac:dyDescent="0.3">
      <c r="B83" s="219">
        <f>'Rate Engine'!X$16</f>
        <v>46082</v>
      </c>
      <c r="C83" s="160">
        <f>'Rate Engine'!$U$31</f>
        <v>1.04</v>
      </c>
      <c r="D83" s="160">
        <f>'Rate Engine'!X$68</f>
        <v>1.0283333333333331</v>
      </c>
      <c r="E83" s="220">
        <f>'Mod Engine'!$E$31</f>
        <v>0.84696936542669587</v>
      </c>
      <c r="F83" s="220">
        <f>'Rate Engine'!X$72</f>
        <v>0.8350382932166297</v>
      </c>
      <c r="G83" s="160">
        <f t="shared" si="5"/>
        <v>1.0362919294632515</v>
      </c>
      <c r="H83" s="160">
        <f t="shared" si="6"/>
        <v>1.0102326017934518</v>
      </c>
      <c r="I83" s="43">
        <f t="shared" si="7"/>
        <v>0</v>
      </c>
      <c r="J83" s="23"/>
      <c r="K83" s="23"/>
      <c r="L83" s="183">
        <f t="shared" si="8"/>
        <v>1.1345218800648649E-2</v>
      </c>
    </row>
    <row r="84" spans="2:18" x14ac:dyDescent="0.3">
      <c r="B84" s="219">
        <f>'Rate Engine'!Y$16</f>
        <v>46113</v>
      </c>
      <c r="C84" s="160">
        <f>'Rate Engine'!$U$32</f>
        <v>1.04</v>
      </c>
      <c r="D84" s="160">
        <f>'Rate Engine'!Y$68</f>
        <v>1.0316666666666665</v>
      </c>
      <c r="E84" s="220">
        <f>'Mod Engine'!$E$32</f>
        <v>0.84897155361050325</v>
      </c>
      <c r="F84" s="220">
        <f>'Rate Engine'!Y$72</f>
        <v>0.83703501094091859</v>
      </c>
      <c r="G84" s="160">
        <f t="shared" si="5"/>
        <v>1.0387416655940276</v>
      </c>
      <c r="H84" s="160">
        <f t="shared" si="6"/>
        <v>1.0159307289655461</v>
      </c>
      <c r="I84" s="43">
        <f t="shared" si="7"/>
        <v>0</v>
      </c>
      <c r="J84" s="23"/>
      <c r="K84" s="23"/>
      <c r="L84" s="183">
        <f t="shared" si="8"/>
        <v>8.0775444264944429E-3</v>
      </c>
    </row>
    <row r="85" spans="2:18" x14ac:dyDescent="0.3">
      <c r="B85" s="219">
        <f>'Rate Engine'!Z$16</f>
        <v>46143</v>
      </c>
      <c r="C85" s="160">
        <f>'Rate Engine'!$U$33</f>
        <v>1.04</v>
      </c>
      <c r="D85" s="160">
        <f>'Rate Engine'!Z$68</f>
        <v>1.0349999999999999</v>
      </c>
      <c r="E85" s="220">
        <f>'Mod Engine'!$E$33</f>
        <v>0.85097374179431073</v>
      </c>
      <c r="F85" s="220">
        <f>'Rate Engine'!Z$72</f>
        <v>0.83903172866520759</v>
      </c>
      <c r="G85" s="160">
        <f t="shared" si="5"/>
        <v>1.0411914017248036</v>
      </c>
      <c r="H85" s="160">
        <f t="shared" si="6"/>
        <v>1.0216445166688115</v>
      </c>
      <c r="I85" s="43">
        <f t="shared" si="7"/>
        <v>0</v>
      </c>
      <c r="J85" s="23"/>
      <c r="K85" s="23"/>
      <c r="L85" s="183">
        <f t="shared" si="8"/>
        <v>4.8309178743961567E-3</v>
      </c>
    </row>
    <row r="86" spans="2:18" x14ac:dyDescent="0.3">
      <c r="B86" s="219">
        <f>'Rate Engine'!AA$16</f>
        <v>46174</v>
      </c>
      <c r="C86" s="160">
        <f>'Rate Engine'!$U$34</f>
        <v>1.04</v>
      </c>
      <c r="D86" s="160">
        <f>'Rate Engine'!AA$68</f>
        <v>1.0383333333333331</v>
      </c>
      <c r="E86" s="220">
        <f>'Mod Engine'!$E$34</f>
        <v>0.85297592997811811</v>
      </c>
      <c r="F86" s="220">
        <f>'Rate Engine'!AA$72</f>
        <v>0.84102844638949636</v>
      </c>
      <c r="G86" s="160">
        <f t="shared" si="5"/>
        <v>1.0436411378555797</v>
      </c>
      <c r="H86" s="160">
        <f t="shared" si="6"/>
        <v>1.0273739649032474</v>
      </c>
      <c r="I86" s="43">
        <f t="shared" si="7"/>
        <v>0</v>
      </c>
      <c r="J86" s="23"/>
      <c r="K86" s="23"/>
      <c r="L86" s="183">
        <f t="shared" si="8"/>
        <v>1.6051364365974319E-3</v>
      </c>
    </row>
    <row r="87" spans="2:18" x14ac:dyDescent="0.3">
      <c r="B87" s="219">
        <f>'Rate Engine'!AB$16</f>
        <v>46204</v>
      </c>
      <c r="C87" s="160">
        <f>'Rate Engine'!$U$35</f>
        <v>1.1024</v>
      </c>
      <c r="D87" s="160">
        <f>'Rate Engine'!AB$68</f>
        <v>1.0425999999999997</v>
      </c>
      <c r="E87" s="220">
        <f>'Mod Engine'!$E$35</f>
        <v>0.85497811816192559</v>
      </c>
      <c r="F87" s="220">
        <f>'Rate Engine'!AB$72</f>
        <v>0.84302516411378536</v>
      </c>
      <c r="G87" s="160">
        <f t="shared" si="5"/>
        <v>1.1088563264255376</v>
      </c>
      <c r="H87" s="160">
        <f t="shared" si="6"/>
        <v>1.0340447483588617</v>
      </c>
      <c r="I87" s="43">
        <f t="shared" si="7"/>
        <v>0</v>
      </c>
      <c r="J87" s="23"/>
      <c r="K87" s="23"/>
      <c r="L87" s="183">
        <f t="shared" si="8"/>
        <v>5.7356608478803306E-2</v>
      </c>
    </row>
    <row r="88" spans="2:18" x14ac:dyDescent="0.3">
      <c r="B88" s="219">
        <f>'Rate Engine'!AC$16</f>
        <v>46235</v>
      </c>
      <c r="C88" s="160">
        <f>'Rate Engine'!$U$36</f>
        <v>1.1024</v>
      </c>
      <c r="D88" s="160">
        <f>'Rate Engine'!AC$68</f>
        <v>1.0477999999999998</v>
      </c>
      <c r="E88" s="220">
        <f>'Mod Engine'!$E$36</f>
        <v>0.85701312910284466</v>
      </c>
      <c r="F88" s="220">
        <f>'Rate Engine'!AC$72</f>
        <v>0.84502188183807425</v>
      </c>
      <c r="G88" s="160">
        <f t="shared" si="5"/>
        <v>1.1114956159093834</v>
      </c>
      <c r="H88" s="160">
        <f t="shared" si="6"/>
        <v>1.041663444458746</v>
      </c>
      <c r="I88" s="43">
        <f t="shared" si="7"/>
        <v>0</v>
      </c>
      <c r="J88" s="23"/>
      <c r="K88" s="23"/>
      <c r="L88" s="183">
        <f t="shared" si="8"/>
        <v>5.2109181141439365E-2</v>
      </c>
    </row>
    <row r="89" spans="2:18" x14ac:dyDescent="0.3">
      <c r="B89" s="219">
        <f>'Rate Engine'!AD$16</f>
        <v>46266</v>
      </c>
      <c r="C89" s="160">
        <f>'Rate Engine'!$U$37</f>
        <v>1.1024</v>
      </c>
      <c r="D89" s="160">
        <f>'Rate Engine'!AD$68</f>
        <v>1.0529999999999999</v>
      </c>
      <c r="E89" s="220">
        <f>'Mod Engine'!$E$37</f>
        <v>0.85901531728665204</v>
      </c>
      <c r="F89" s="220">
        <f>'Rate Engine'!AD$72</f>
        <v>0.84701859956236303</v>
      </c>
      <c r="G89" s="160">
        <f t="shared" si="5"/>
        <v>1.1140923362080062</v>
      </c>
      <c r="H89" s="160">
        <f t="shared" si="6"/>
        <v>1.0493065709872567</v>
      </c>
      <c r="I89" s="43">
        <f t="shared" si="7"/>
        <v>0</v>
      </c>
      <c r="J89" s="23"/>
      <c r="K89" s="23"/>
      <c r="L89" s="183">
        <f t="shared" si="8"/>
        <v>4.6913580246913611E-2</v>
      </c>
    </row>
    <row r="90" spans="2:18" x14ac:dyDescent="0.3">
      <c r="B90" s="219">
        <f>'Rate Engine'!AE$16</f>
        <v>46296</v>
      </c>
      <c r="C90" s="160">
        <f>'Rate Engine'!$U$38</f>
        <v>1.1024</v>
      </c>
      <c r="D90" s="160">
        <f>'Rate Engine'!AE$68</f>
        <v>1.0581999999999998</v>
      </c>
      <c r="E90" s="220">
        <f>'Mod Engine'!$E$38</f>
        <v>0.86101750547045952</v>
      </c>
      <c r="F90" s="220">
        <f>'Rate Engine'!AE$72</f>
        <v>0.84901531728665192</v>
      </c>
      <c r="G90" s="160">
        <f t="shared" si="5"/>
        <v>1.116689056506629</v>
      </c>
      <c r="H90" s="160">
        <f t="shared" si="6"/>
        <v>1.056974127944394</v>
      </c>
      <c r="I90" s="43">
        <f t="shared" si="7"/>
        <v>0</v>
      </c>
      <c r="J90" s="23"/>
      <c r="K90" s="23"/>
      <c r="L90" s="183">
        <f t="shared" si="8"/>
        <v>4.1769041769041948E-2</v>
      </c>
    </row>
    <row r="91" spans="2:18" x14ac:dyDescent="0.3">
      <c r="B91" s="219">
        <f>'Rate Engine'!AF$16</f>
        <v>46327</v>
      </c>
      <c r="C91" s="160">
        <f>'Rate Engine'!$U$39</f>
        <v>1.1024</v>
      </c>
      <c r="D91" s="160">
        <f>'Rate Engine'!AF$68</f>
        <v>1.0633999999999999</v>
      </c>
      <c r="E91" s="220">
        <f>'Mod Engine'!$E$39</f>
        <v>0.8630196936542669</v>
      </c>
      <c r="F91" s="220">
        <f>'Rate Engine'!AF$72</f>
        <v>0.85101203501094069</v>
      </c>
      <c r="G91" s="160">
        <f t="shared" si="5"/>
        <v>1.1192857768052518</v>
      </c>
      <c r="H91" s="160">
        <f t="shared" si="6"/>
        <v>1.064666115330158</v>
      </c>
      <c r="I91" s="43">
        <f t="shared" si="7"/>
        <v>0</v>
      </c>
      <c r="J91" s="23"/>
      <c r="K91" s="23"/>
      <c r="L91" s="183">
        <f t="shared" si="8"/>
        <v>3.6674816625916984E-2</v>
      </c>
    </row>
    <row r="92" spans="2:18" x14ac:dyDescent="0.3">
      <c r="B92" s="219">
        <f>'Rate Engine'!AG$16</f>
        <v>46357</v>
      </c>
      <c r="C92" s="160">
        <f>'Rate Engine'!$U$40</f>
        <v>1.1024</v>
      </c>
      <c r="D92" s="160">
        <f>'Rate Engine'!AG$68</f>
        <v>1.0685999999999998</v>
      </c>
      <c r="E92" s="220">
        <f>'Mod Engine'!$E$40</f>
        <v>0.86502188183807438</v>
      </c>
      <c r="F92" s="220">
        <f>'Rate Engine'!AG$72</f>
        <v>0.85300875273522958</v>
      </c>
      <c r="G92" s="160">
        <f t="shared" si="5"/>
        <v>1.1218824971038743</v>
      </c>
      <c r="H92" s="160">
        <f t="shared" si="6"/>
        <v>1.0723825331445482</v>
      </c>
      <c r="I92" s="43">
        <f t="shared" si="7"/>
        <v>0</v>
      </c>
      <c r="J92" s="23"/>
      <c r="K92" s="23"/>
      <c r="L92" s="183">
        <f t="shared" si="8"/>
        <v>3.1630170316301998E-2</v>
      </c>
    </row>
    <row r="93" spans="2:18" x14ac:dyDescent="0.3">
      <c r="B93" s="219">
        <f>'Rate Engine'!AH$16</f>
        <v>46388</v>
      </c>
      <c r="C93" s="160">
        <f>'Rate Engine'!$U$41</f>
        <v>1.1024</v>
      </c>
      <c r="D93" s="160">
        <f>'Rate Engine'!AH$68</f>
        <v>1.0737999999999999</v>
      </c>
      <c r="E93" s="220">
        <f>'Mod Engine'!$E$41</f>
        <v>0.86705689277899345</v>
      </c>
      <c r="F93" s="220">
        <f>'Rate Engine'!AH$72</f>
        <v>0.85500547045951847</v>
      </c>
      <c r="G93" s="160">
        <f t="shared" si="5"/>
        <v>1.1245217865877206</v>
      </c>
      <c r="H93" s="160">
        <f t="shared" si="6"/>
        <v>1.0801233813875657</v>
      </c>
      <c r="I93" s="43">
        <f t="shared" si="7"/>
        <v>1</v>
      </c>
      <c r="J93" s="183">
        <f t="shared" ref="J93:J116" si="9">IF(OR($D93="",$D81=""),"",$D93/$D81-1)</f>
        <v>5.1027732463295505E-2</v>
      </c>
      <c r="K93" s="183">
        <f t="shared" ref="K93:K116" si="10">IF(OR($H93="",$H81=""),"",$H93/$H81-1)</f>
        <v>8.1330872167665103E-2</v>
      </c>
      <c r="L93" s="183">
        <f t="shared" si="8"/>
        <v>2.6634382566586234E-2</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1.0789999999999997</v>
      </c>
      <c r="E94" s="220">
        <f>'Mod Engine'!$E$42</f>
        <v>0.86899343544857766</v>
      </c>
      <c r="F94" s="220">
        <f>'Rate Engine'!AI$72</f>
        <v>0.85700218818380713</v>
      </c>
      <c r="G94" s="160">
        <f t="shared" si="5"/>
        <v>1.1270333685158964</v>
      </c>
      <c r="H94" s="160">
        <f t="shared" si="6"/>
        <v>1.087888660059209</v>
      </c>
      <c r="I94" s="43">
        <f t="shared" si="7"/>
        <v>1</v>
      </c>
      <c r="J94" s="183">
        <f t="shared" si="9"/>
        <v>5.2682926829268339E-2</v>
      </c>
      <c r="K94" s="183">
        <f t="shared" si="10"/>
        <v>8.2961040957927557E-2</v>
      </c>
      <c r="L94" s="183">
        <f t="shared" si="8"/>
        <v>2.1686746987952032E-2</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1.0841999999999998</v>
      </c>
      <c r="E95" s="220">
        <f>'Mod Engine'!$E$43</f>
        <v>0.87092997811816197</v>
      </c>
      <c r="F95" s="220">
        <f>'Rate Engine'!AJ$72</f>
        <v>0.85899890590809602</v>
      </c>
      <c r="G95" s="160">
        <f t="shared" si="5"/>
        <v>1.1295449504440729</v>
      </c>
      <c r="H95" s="160">
        <f t="shared" si="6"/>
        <v>1.0956783691594796</v>
      </c>
      <c r="I95" s="43">
        <f t="shared" si="7"/>
        <v>1</v>
      </c>
      <c r="J95" s="183">
        <f t="shared" si="9"/>
        <v>5.4327390599675951E-2</v>
      </c>
      <c r="K95" s="183">
        <f t="shared" si="10"/>
        <v>8.4580290929373358E-2</v>
      </c>
      <c r="L95" s="183">
        <f t="shared" si="8"/>
        <v>1.6786570743405393E-2</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1.0916966666666663</v>
      </c>
      <c r="E96" s="220">
        <f>'Mod Engine'!$E$44</f>
        <v>0.87293216630196935</v>
      </c>
      <c r="F96" s="220">
        <f>'Rate Engine'!AK$72</f>
        <v>0.86099562363238491</v>
      </c>
      <c r="G96" s="160">
        <f t="shared" si="5"/>
        <v>1.1887487542798303</v>
      </c>
      <c r="H96" s="160">
        <f t="shared" si="6"/>
        <v>1.1058188850988968</v>
      </c>
      <c r="I96" s="43">
        <f t="shared" si="7"/>
        <v>1</v>
      </c>
      <c r="J96" s="183">
        <f t="shared" si="9"/>
        <v>5.8187399030694475E-2</v>
      </c>
      <c r="K96" s="183">
        <f t="shared" si="10"/>
        <v>8.8478627105686325E-2</v>
      </c>
      <c r="L96" s="183">
        <f t="shared" si="8"/>
        <v>6.0294526257294034E-2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1.1014899999999996</v>
      </c>
      <c r="E97" s="220">
        <f>'Mod Engine'!$E$45</f>
        <v>0.87493435448577683</v>
      </c>
      <c r="F97" s="220">
        <f>'Rate Engine'!AL$72</f>
        <v>0.86299234135667369</v>
      </c>
      <c r="G97" s="160">
        <f t="shared" si="5"/>
        <v>1.191475310593384</v>
      </c>
      <c r="H97" s="160">
        <f t="shared" si="6"/>
        <v>1.1183263930364262</v>
      </c>
      <c r="I97" s="43">
        <f t="shared" si="7"/>
        <v>1</v>
      </c>
      <c r="J97" s="183">
        <f t="shared" si="9"/>
        <v>6.4241545893719554E-2</v>
      </c>
      <c r="K97" s="183">
        <f t="shared" si="10"/>
        <v>9.4633578304572197E-2</v>
      </c>
      <c r="L97" s="183">
        <f t="shared" si="8"/>
        <v>5.086746134781106E-2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1.111283333333333</v>
      </c>
      <c r="E98" s="220">
        <f>'Mod Engine'!$E$46</f>
        <v>0.87693654266958421</v>
      </c>
      <c r="F98" s="220">
        <f>'Rate Engine'!AM$72</f>
        <v>0.86498905908096246</v>
      </c>
      <c r="G98" s="160">
        <f t="shared" si="5"/>
        <v>1.1942018669069379</v>
      </c>
      <c r="H98" s="160">
        <f t="shared" si="6"/>
        <v>1.1308799116145356</v>
      </c>
      <c r="I98" s="43">
        <f t="shared" si="7"/>
        <v>1</v>
      </c>
      <c r="J98" s="183">
        <f t="shared" si="9"/>
        <v>7.0256821829855376E-2</v>
      </c>
      <c r="K98" s="183">
        <f t="shared" si="10"/>
        <v>0.10074807251032092</v>
      </c>
      <c r="L98" s="183">
        <f t="shared" si="8"/>
        <v>4.1606550984597757E-2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1.1184766666666663</v>
      </c>
      <c r="E99" s="220">
        <f>'Mod Engine'!$E$47</f>
        <v>0.87893873085339169</v>
      </c>
      <c r="F99" s="220">
        <f>'Rate Engine'!AN$72</f>
        <v>0.86698577680525124</v>
      </c>
      <c r="G99" s="160">
        <f t="shared" si="5"/>
        <v>1.1969284232204918</v>
      </c>
      <c r="H99" s="160">
        <f t="shared" si="6"/>
        <v>1.1408274843394679</v>
      </c>
      <c r="I99" s="43">
        <f t="shared" si="7"/>
        <v>1</v>
      </c>
      <c r="J99" s="183">
        <f t="shared" si="9"/>
        <v>7.2776392352452257E-2</v>
      </c>
      <c r="K99" s="183">
        <f t="shared" si="10"/>
        <v>0.10326703573523455</v>
      </c>
      <c r="L99" s="183">
        <f t="shared" si="8"/>
        <v>3.4907597535934753E-2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1.1230699999999998</v>
      </c>
      <c r="E100" s="220">
        <f>'Mod Engine'!$E$48</f>
        <v>0.88097374179431076</v>
      </c>
      <c r="F100" s="220">
        <f>'Rate Engine'!AO$72</f>
        <v>0.86898249452954013</v>
      </c>
      <c r="G100" s="160">
        <f t="shared" si="5"/>
        <v>1.1996996771785302</v>
      </c>
      <c r="H100" s="160">
        <f t="shared" si="6"/>
        <v>1.1481507883897535</v>
      </c>
      <c r="I100" s="43">
        <f t="shared" si="7"/>
        <v>1</v>
      </c>
      <c r="J100" s="183">
        <f t="shared" si="9"/>
        <v>7.1836228287841086E-2</v>
      </c>
      <c r="K100" s="183">
        <f t="shared" si="10"/>
        <v>0.10222816639815835</v>
      </c>
      <c r="L100" s="183">
        <f t="shared" si="8"/>
        <v>3.0674846625767138E-2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1.127663333333333</v>
      </c>
      <c r="E101" s="220">
        <f>'Mod Engine'!$E$49</f>
        <v>0.88297592997811813</v>
      </c>
      <c r="F101" s="220">
        <f>'Rate Engine'!AP$72</f>
        <v>0.8709792122538289</v>
      </c>
      <c r="G101" s="160">
        <f t="shared" si="5"/>
        <v>1.2024262334920839</v>
      </c>
      <c r="H101" s="160">
        <f t="shared" si="6"/>
        <v>1.155495672651992</v>
      </c>
      <c r="I101" s="43">
        <f t="shared" si="7"/>
        <v>1</v>
      </c>
      <c r="J101" s="183">
        <f t="shared" si="9"/>
        <v>7.0905349794238459E-2</v>
      </c>
      <c r="K101" s="183">
        <f t="shared" si="10"/>
        <v>0.10119931066935539</v>
      </c>
      <c r="L101" s="183">
        <f t="shared" si="8"/>
        <v>2.6476578411405605E-2</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1.1322566666666665</v>
      </c>
      <c r="E102" s="220">
        <f>'Mod Engine'!$E$50</f>
        <v>0.88497811816192562</v>
      </c>
      <c r="F102" s="220">
        <f>'Rate Engine'!AQ$72</f>
        <v>0.87297592997811768</v>
      </c>
      <c r="G102" s="160">
        <f t="shared" si="5"/>
        <v>1.205152789805638</v>
      </c>
      <c r="H102" s="160">
        <f t="shared" si="6"/>
        <v>1.1628621371261845</v>
      </c>
      <c r="I102" s="43">
        <f t="shared" si="7"/>
        <v>1</v>
      </c>
      <c r="J102" s="183">
        <f t="shared" si="9"/>
        <v>6.9983619983619905E-2</v>
      </c>
      <c r="K102" s="183">
        <f t="shared" si="10"/>
        <v>0.1001803226609923</v>
      </c>
      <c r="L102" s="183">
        <f t="shared" si="8"/>
        <v>2.2312373225152449E-2</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1.1368499999999997</v>
      </c>
      <c r="E103" s="220">
        <f>'Mod Engine'!$E$51</f>
        <v>0.8869803063457331</v>
      </c>
      <c r="F103" s="220">
        <f>'Rate Engine'!AR$72</f>
        <v>0.87497264770240646</v>
      </c>
      <c r="G103" s="160">
        <f t="shared" si="5"/>
        <v>1.2078793461191919</v>
      </c>
      <c r="H103" s="160">
        <f t="shared" si="6"/>
        <v>1.1702501818123301</v>
      </c>
      <c r="I103" s="43">
        <f t="shared" si="7"/>
        <v>1</v>
      </c>
      <c r="J103" s="183">
        <f t="shared" si="9"/>
        <v>6.9070904645476494E-2</v>
      </c>
      <c r="K103" s="183">
        <f t="shared" si="10"/>
        <v>9.9171059322602728E-2</v>
      </c>
      <c r="L103" s="183">
        <f t="shared" si="8"/>
        <v>1.8181818181818521E-2</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1.1414433333333331</v>
      </c>
      <c r="E104" s="220">
        <f>'Mod Engine'!$E$52</f>
        <v>0.88898249452954048</v>
      </c>
      <c r="F104" s="220">
        <f>'Rate Engine'!AS$72</f>
        <v>0.87696936542669557</v>
      </c>
      <c r="G104" s="160">
        <f t="shared" si="5"/>
        <v>1.2106059024327456</v>
      </c>
      <c r="H104" s="160">
        <f t="shared" si="6"/>
        <v>1.1776598067104298</v>
      </c>
      <c r="I104" s="43">
        <f t="shared" si="7"/>
        <v>1</v>
      </c>
      <c r="J104" s="183">
        <f t="shared" si="9"/>
        <v>6.8167072181670729E-2</v>
      </c>
      <c r="K104" s="183">
        <f t="shared" si="10"/>
        <v>9.8171380372241712E-2</v>
      </c>
      <c r="L104" s="183">
        <f t="shared" si="8"/>
        <v>1.4084507042253724E-2</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1.1460366666666664</v>
      </c>
      <c r="E105" s="220">
        <f>'Mod Engine'!$E$53</f>
        <v>0.89</v>
      </c>
      <c r="F105" s="220">
        <f>'Rate Engine'!AT$72</f>
        <v>0.87892368708971524</v>
      </c>
      <c r="G105" s="160">
        <f t="shared" si="5"/>
        <v>1.2119915294117649</v>
      </c>
      <c r="H105" s="160">
        <f t="shared" si="6"/>
        <v>1.1850338501254982</v>
      </c>
      <c r="I105" s="43">
        <f t="shared" si="7"/>
        <v>0</v>
      </c>
      <c r="J105" s="183">
        <f t="shared" si="9"/>
        <v>6.7271993543179809E-2</v>
      </c>
      <c r="K105" s="183">
        <f t="shared" si="10"/>
        <v>9.7128226780130111E-2</v>
      </c>
      <c r="L105" s="183">
        <f t="shared" si="8"/>
        <v>1.0020040080160664E-2</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1.1506299999999998</v>
      </c>
      <c r="E106" s="220">
        <f>'Mod Engine'!$E$54</f>
        <v>0.89</v>
      </c>
      <c r="F106" s="220">
        <f>'Rate Engine'!AU$72</f>
        <v>0.88075492341356654</v>
      </c>
      <c r="G106" s="160">
        <f t="shared" si="5"/>
        <v>1.2119915294117649</v>
      </c>
      <c r="H106" s="160">
        <f t="shared" si="6"/>
        <v>1.1922623970910022</v>
      </c>
      <c r="I106" s="43">
        <f t="shared" si="7"/>
        <v>0</v>
      </c>
      <c r="J106" s="183">
        <f t="shared" si="9"/>
        <v>6.638554216867476E-2</v>
      </c>
      <c r="K106" s="183">
        <f t="shared" si="10"/>
        <v>9.594156172756918E-2</v>
      </c>
      <c r="L106" s="183">
        <f t="shared" si="8"/>
        <v>5.9880239520959666E-3</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1.155223333333333</v>
      </c>
      <c r="E107" s="220">
        <f>'Mod Engine'!$E$55</f>
        <v>0.89</v>
      </c>
      <c r="F107" s="220">
        <f>'Rate Engine'!AV$72</f>
        <v>0.88242478118161927</v>
      </c>
      <c r="G107" s="160">
        <f t="shared" si="5"/>
        <v>1.2119915294117649</v>
      </c>
      <c r="H107" s="160">
        <f t="shared" si="6"/>
        <v>1.1992914083912556</v>
      </c>
      <c r="I107" s="43">
        <f t="shared" si="7"/>
        <v>0</v>
      </c>
      <c r="J107" s="183">
        <f t="shared" si="9"/>
        <v>6.5507593924859941E-2</v>
      </c>
      <c r="K107" s="183">
        <f t="shared" si="10"/>
        <v>9.456519554297671E-2</v>
      </c>
      <c r="L107" s="183">
        <f t="shared" si="8"/>
        <v>1.9880715705768992E-3</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1.1575199999999999</v>
      </c>
      <c r="E108" s="220">
        <f>'Mod Engine'!$E$56</f>
        <v>0.89</v>
      </c>
      <c r="F108" s="220">
        <f>'Rate Engine'!AW$72</f>
        <v>0.88393052516411363</v>
      </c>
      <c r="G108" s="160">
        <f t="shared" si="5"/>
        <v>1.2119915294117649</v>
      </c>
      <c r="H108" s="160">
        <f t="shared" si="6"/>
        <v>1.2037261899858409</v>
      </c>
      <c r="I108" s="43">
        <f t="shared" si="7"/>
        <v>0</v>
      </c>
      <c r="J108" s="183">
        <f t="shared" si="9"/>
        <v>6.0294526257294034E-2</v>
      </c>
      <c r="K108" s="183">
        <f t="shared" si="10"/>
        <v>8.8538282539991187E-2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1.1575199999999999</v>
      </c>
      <c r="E109" s="220">
        <f>'Mod Engine'!$E$57</f>
        <v>0.89</v>
      </c>
      <c r="F109" s="220">
        <f>'Rate Engine'!AX$72</f>
        <v>0.88526942013129095</v>
      </c>
      <c r="G109" s="160">
        <f t="shared" si="5"/>
        <v>1.2119915294117649</v>
      </c>
      <c r="H109" s="160">
        <f t="shared" si="6"/>
        <v>1.2055494814004375</v>
      </c>
      <c r="I109" s="43">
        <f t="shared" si="7"/>
        <v>0</v>
      </c>
      <c r="J109" s="183">
        <f t="shared" si="9"/>
        <v>5.0867461347810838E-2</v>
      </c>
      <c r="K109" s="183">
        <f t="shared" si="10"/>
        <v>7.7994303726649283E-2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1.1575199999999999</v>
      </c>
      <c r="E110" s="220">
        <f>'Mod Engine'!$E$58</f>
        <v>0.89</v>
      </c>
      <c r="F110" s="220">
        <f>'Rate Engine'!AY$72</f>
        <v>0.886441466083151</v>
      </c>
      <c r="G110" s="160">
        <f t="shared" si="5"/>
        <v>1.2119915294117649</v>
      </c>
      <c r="H110" s="160">
        <f t="shared" si="6"/>
        <v>1.2071455597889045</v>
      </c>
      <c r="I110" s="43">
        <f t="shared" si="7"/>
        <v>0</v>
      </c>
      <c r="J110" s="183">
        <f t="shared" si="9"/>
        <v>4.1606550984597535E-2</v>
      </c>
      <c r="K110" s="183">
        <f t="shared" si="10"/>
        <v>6.7439210291998064E-2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1.1575199999999999</v>
      </c>
      <c r="E111" s="220">
        <f>'Mod Engine'!$E$59</f>
        <v>0.89</v>
      </c>
      <c r="F111" s="220">
        <f>'Rate Engine'!AZ$72</f>
        <v>0.88744666301969355</v>
      </c>
      <c r="G111" s="160">
        <f t="shared" si="5"/>
        <v>1.2119915294117649</v>
      </c>
      <c r="H111" s="160">
        <f t="shared" si="6"/>
        <v>1.2085144251512419</v>
      </c>
      <c r="I111" s="43">
        <f t="shared" si="7"/>
        <v>0</v>
      </c>
      <c r="J111" s="183">
        <f t="shared" si="9"/>
        <v>3.4907597535934531E-2</v>
      </c>
      <c r="K111" s="183">
        <f t="shared" si="10"/>
        <v>5.9331442957796687E-2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1.1575199999999999</v>
      </c>
      <c r="E112" s="220">
        <f>'Mod Engine'!$E$60</f>
        <v>0.89</v>
      </c>
      <c r="F112" s="220">
        <f>'Rate Engine'!BA$72</f>
        <v>0.88828364332603926</v>
      </c>
      <c r="G112" s="160">
        <f t="shared" si="5"/>
        <v>1.2119915294117649</v>
      </c>
      <c r="H112" s="160">
        <f t="shared" si="6"/>
        <v>1.2096542150855965</v>
      </c>
      <c r="I112" s="43">
        <f t="shared" si="7"/>
        <v>0</v>
      </c>
      <c r="J112" s="183">
        <f t="shared" si="9"/>
        <v>3.0674846625766916E-2</v>
      </c>
      <c r="K112" s="183">
        <f t="shared" si="10"/>
        <v>5.3567377488892065E-2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1.1575199999999999</v>
      </c>
      <c r="E113" s="220">
        <f>'Mod Engine'!$E$61</f>
        <v>0.89</v>
      </c>
      <c r="F113" s="220">
        <f>'Rate Engine'!BB$72</f>
        <v>0.88895240700218814</v>
      </c>
      <c r="G113" s="160">
        <f t="shared" si="5"/>
        <v>1.2119915294117649</v>
      </c>
      <c r="H113" s="160">
        <f t="shared" si="6"/>
        <v>1.2105649295919678</v>
      </c>
      <c r="I113" s="43">
        <f t="shared" si="7"/>
        <v>0</v>
      </c>
      <c r="J113" s="183">
        <f t="shared" si="9"/>
        <v>2.6476578411405383E-2</v>
      </c>
      <c r="K113" s="183">
        <f t="shared" si="10"/>
        <v>4.7658557486057518E-2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1.1575199999999999</v>
      </c>
      <c r="E114" s="220">
        <f>'Mod Engine'!$E$62</f>
        <v>0.89</v>
      </c>
      <c r="F114" s="220">
        <f>'Rate Engine'!BC$72</f>
        <v>0.88945432166301952</v>
      </c>
      <c r="G114" s="160">
        <f t="shared" si="5"/>
        <v>1.2119915294117649</v>
      </c>
      <c r="H114" s="160">
        <f t="shared" si="6"/>
        <v>1.2112484310722098</v>
      </c>
      <c r="I114" s="43">
        <f t="shared" si="7"/>
        <v>0</v>
      </c>
      <c r="J114" s="183">
        <f t="shared" si="9"/>
        <v>2.2312373225152227E-2</v>
      </c>
      <c r="K114" s="183">
        <f t="shared" si="10"/>
        <v>4.1609656382487259E-2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1.1575199999999999</v>
      </c>
      <c r="E115" s="220">
        <f>'Mod Engine'!$E$63</f>
        <v>0.89</v>
      </c>
      <c r="F115" s="220">
        <f>'Rate Engine'!BD$72</f>
        <v>0.88978938730853385</v>
      </c>
      <c r="G115" s="160">
        <f t="shared" si="5"/>
        <v>1.2119915294117649</v>
      </c>
      <c r="H115" s="160">
        <f t="shared" si="6"/>
        <v>1.2117047195263224</v>
      </c>
      <c r="I115" s="43">
        <f t="shared" si="7"/>
        <v>0</v>
      </c>
      <c r="J115" s="183">
        <f t="shared" si="9"/>
        <v>1.8181818181818299E-2</v>
      </c>
      <c r="K115" s="183">
        <f t="shared" si="10"/>
        <v>3.5423654153843298E-2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1.1575199999999999</v>
      </c>
      <c r="E116" s="220">
        <f>'Mod Engine'!$E$64</f>
        <v>0.89</v>
      </c>
      <c r="F116" s="220">
        <f>'Rate Engine'!BE$72</f>
        <v>0.88995760393873069</v>
      </c>
      <c r="G116" s="160">
        <f t="shared" si="5"/>
        <v>1.2119915294117649</v>
      </c>
      <c r="H116" s="160">
        <f t="shared" si="6"/>
        <v>1.2119337949543052</v>
      </c>
      <c r="I116" s="43">
        <f t="shared" si="7"/>
        <v>0</v>
      </c>
      <c r="J116" s="183">
        <f t="shared" si="9"/>
        <v>1.4084507042253502E-2</v>
      </c>
      <c r="K116" s="183">
        <f t="shared" si="10"/>
        <v>2.9103471179519502E-2</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0.63357323744376037</v>
      </c>
      <c r="D14" s="222">
        <f>nr_LRcur*D16*D17*nr_AOther</f>
        <v>0.63005377553632336</v>
      </c>
      <c r="E14" s="222">
        <f>nr_LRcur*E16*E17*nr_AOther</f>
        <v>0.63357323744376037</v>
      </c>
      <c r="F14" s="222">
        <f>nr_LRcur*F16*F17*nr_AOther</f>
        <v>0.63357323744376037</v>
      </c>
      <c r="G14" s="222">
        <f>nr_LRcur*G16*G17*nr_AOther</f>
        <v>0.63357323744376037</v>
      </c>
    </row>
    <row r="15" spans="2:7" x14ac:dyDescent="0.3">
      <c r="B15" s="20" t="s">
        <v>580</v>
      </c>
      <c r="C15" s="82">
        <f>($C$14-$C$14)*100</f>
        <v>0</v>
      </c>
      <c r="D15" s="186">
        <f>(D14-$C$14)*100</f>
        <v>-0.35194619074370159</v>
      </c>
      <c r="E15" s="186">
        <f>(E14-$C$14)*100</f>
        <v>0</v>
      </c>
      <c r="F15" s="186">
        <f>(F14-$C$14)*100</f>
        <v>0</v>
      </c>
      <c r="G15" s="186">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587</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0.95380029806259314</v>
      </c>
      <c r="D23" s="113" t="str">
        <f>IF($H$6=0,"",INDEX(calc_arate_p1,$H$6))</f>
        <v/>
      </c>
      <c r="E23" s="47" t="str">
        <f t="shared" si="0"/>
        <v/>
      </c>
    </row>
    <row r="24" spans="2:5" x14ac:dyDescent="0.3">
      <c r="B24" s="20" t="s">
        <v>590</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591</v>
      </c>
      <c r="C26" s="108">
        <f>IF($H$5=0,"",INDEX(calc_carry,$H$5))</f>
        <v>4.1162865591240383E-2</v>
      </c>
      <c r="D26" s="108" t="str">
        <f>IF($H$6=0,"",INDEX(calc_carry,$H$6))</f>
        <v/>
      </c>
      <c r="E26" s="47" t="str">
        <f t="shared" si="0"/>
        <v/>
      </c>
    </row>
    <row r="27" spans="2:5" x14ac:dyDescent="0.3">
      <c r="B27" s="20" t="s">
        <v>517</v>
      </c>
      <c r="C27" s="104">
        <f>IF($H$5=0,"",INDEX(calc_ep,$H$5))</f>
        <v>32000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0.63357323744376037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9.4146000000000019</v>
      </c>
      <c r="F11" s="6" t="s">
        <v>608</v>
      </c>
      <c r="G11" s="75">
        <f>$G$9-$C$8+1</f>
        <v>30</v>
      </c>
    </row>
    <row r="12" spans="2:7" x14ac:dyDescent="0.3">
      <c r="B12" s="20" t="s">
        <v>609</v>
      </c>
      <c r="C12" s="223">
        <f>SUMPRODUCT((slv_absmi&gt;$G$7)*slv_w*slv_ecp*slv_widx)+$G$18*$G$15*$G$17</f>
        <v>3.7205999999999997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0.98153851013092008</v>
      </c>
      <c r="F14" s="6" t="s">
        <v>614</v>
      </c>
      <c r="G14" s="75">
        <f>IF($G$12,INDEX(slv_dfirst,$G$13),0)</f>
        <v>0</v>
      </c>
    </row>
    <row r="15" spans="2:7" x14ac:dyDescent="0.3">
      <c r="B15" s="20" t="s">
        <v>615</v>
      </c>
      <c r="C15" s="223">
        <f>IF(OR(slv_lrcur=0,$C$7=""),0,$C$7/(slv_lrcur*$C$14*slv_aother))</f>
        <v>0.99306145153262848</v>
      </c>
      <c r="F15" s="6" t="s">
        <v>616</v>
      </c>
      <c r="G15" s="224">
        <f>IF($G$12,MIN(1,MAX($G$11,$G$14)/$G$10),1)</f>
        <v>1</v>
      </c>
    </row>
    <row r="16" spans="2:7" x14ac:dyDescent="0.3">
      <c r="B16" s="20" t="s">
        <v>617</v>
      </c>
      <c r="C16" s="223">
        <f>IF($C$15=0,0,slv_crl/$C$15)</f>
        <v>1.1101025000000004</v>
      </c>
      <c r="F16" s="6" t="s">
        <v>618</v>
      </c>
      <c r="G16" s="73">
        <f>IF($G$12,INDEX(slv_wpre,$G$13),1)</f>
        <v>1.1024</v>
      </c>
    </row>
    <row r="17" spans="2:10" x14ac:dyDescent="0.3">
      <c r="B17" s="18" t="s">
        <v>619</v>
      </c>
      <c r="C17" s="225">
        <f>IF(OR($C$12=0,$C$16=0),"n/a",($C$16*$C$13-$C$11)/$C$12-1)</f>
        <v>5.0000000000000933E-2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5.0000000000000933E-2</v>
      </c>
      <c r="F18" s="6" t="s">
        <v>622</v>
      </c>
      <c r="G18" s="73">
        <f>IF($G$12,INDEX(slv_w,$G$13)*INDEX(slv_ecp,$G$13),0)</f>
        <v>0.70833333333333337</v>
      </c>
    </row>
    <row r="19" spans="2:10" x14ac:dyDescent="0.3">
      <c r="B19" s="20" t="s">
        <v>623</v>
      </c>
      <c r="C19" s="227">
        <f>$C$12/($C$11+$C$12)</f>
        <v>0.28325415676959614</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0.98153851013092008</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29">
        <f t="shared" ref="J29:J40" si="3">IF($C$7="","",$C$7)</f>
        <v>0.63357323744376037</v>
      </c>
    </row>
    <row r="30" spans="2:10" x14ac:dyDescent="0.3">
      <c r="B30" s="89" t="str">
        <f>TEXT(DATE(nr_PlanYear,2,1),"mmm yyyy")</f>
        <v>Feb 2027</v>
      </c>
      <c r="C30" s="228">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29">
        <f t="shared" si="3"/>
        <v>0.63357323744376037</v>
      </c>
    </row>
    <row r="31" spans="2:10" x14ac:dyDescent="0.3">
      <c r="B31" s="89" t="str">
        <f>TEXT(DATE(nr_PlanYear,3,1),"mmm yyyy")</f>
        <v>Mar 2027</v>
      </c>
      <c r="C31" s="228">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29">
        <f t="shared" si="3"/>
        <v>0.63357323744376037</v>
      </c>
    </row>
    <row r="32" spans="2:10" x14ac:dyDescent="0.3">
      <c r="B32" s="89" t="str">
        <f>TEXT(DATE(nr_PlanYear,4,1),"mmm yyyy")</f>
        <v>Apr 2027</v>
      </c>
      <c r="C32" s="228">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29">
        <f t="shared" si="3"/>
        <v>0.63357323744376037</v>
      </c>
    </row>
    <row r="33" spans="2:10" x14ac:dyDescent="0.3">
      <c r="B33" s="89" t="str">
        <f>TEXT(DATE(nr_PlanYear,5,1),"mmm yyyy")</f>
        <v>May 2027</v>
      </c>
      <c r="C33" s="228">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29">
        <f t="shared" si="3"/>
        <v>0.63357323744376037</v>
      </c>
    </row>
    <row r="34" spans="2:10" x14ac:dyDescent="0.3">
      <c r="B34" s="89" t="str">
        <f>TEXT(DATE(nr_PlanYear,6,1),"mmm yyyy")</f>
        <v>Jun 2027</v>
      </c>
      <c r="C34" s="228">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29">
        <f t="shared" si="3"/>
        <v>0.63357323744376037</v>
      </c>
    </row>
    <row r="35" spans="2:10" x14ac:dyDescent="0.3">
      <c r="B35" s="89" t="str">
        <f>TEXT(DATE(nr_PlanYear,7,1),"mmm yyyy")</f>
        <v>Jul 2027</v>
      </c>
      <c r="C35" s="228">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29">
        <f t="shared" si="3"/>
        <v>0.63357323744376037</v>
      </c>
    </row>
    <row r="36" spans="2:10" x14ac:dyDescent="0.3">
      <c r="B36" s="89" t="str">
        <f>TEXT(DATE(nr_PlanYear,8,1),"mmm yyyy")</f>
        <v>Aug 2027</v>
      </c>
      <c r="C36" s="228">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29">
        <f t="shared" si="3"/>
        <v>0.63357323744376037</v>
      </c>
    </row>
    <row r="37" spans="2:10" x14ac:dyDescent="0.3">
      <c r="B37" s="89" t="str">
        <f>TEXT(DATE(nr_PlanYear,9,1),"mmm yyyy")</f>
        <v>Sep 2027</v>
      </c>
      <c r="C37" s="228">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29">
        <f t="shared" si="3"/>
        <v>0.63357323744376037</v>
      </c>
    </row>
    <row r="38" spans="2:10" x14ac:dyDescent="0.3">
      <c r="B38" s="89" t="str">
        <f>TEXT(DATE(nr_PlanYear,10,1),"mmm yyyy")</f>
        <v>Oct 2027</v>
      </c>
      <c r="C38" s="228">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29">
        <f t="shared" si="3"/>
        <v>0.63357323744376037</v>
      </c>
    </row>
    <row r="39" spans="2:10" x14ac:dyDescent="0.3">
      <c r="B39" s="89" t="str">
        <f>TEXT(DATE(nr_PlanYear,11,1),"mmm yyyy")</f>
        <v>Nov 2027</v>
      </c>
      <c r="C39" s="228">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29">
        <f t="shared" si="3"/>
        <v>0.63357323744376037</v>
      </c>
    </row>
    <row r="40" spans="2:10" x14ac:dyDescent="0.3">
      <c r="B40" s="89" t="str">
        <f>TEXT(DATE(nr_PlanYear,12,1),"mmm yyyy")</f>
        <v>Dec 2027</v>
      </c>
      <c r="C40" s="228">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29">
        <f t="shared" si="3"/>
        <v>0.63357323744376037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0.63357323744376037</v>
      </c>
    </row>
    <row r="26" spans="2:6" x14ac:dyDescent="0.3">
      <c r="B26" s="20" t="s">
        <v>660</v>
      </c>
      <c r="C26" s="50">
        <f>IF(nr_NetMode,1,nr_ECY_P/_calc!$B$4561)</f>
        <v>1</v>
      </c>
      <c r="D26" s="46">
        <f>$D25*$C26</f>
        <v>0.63357323744376037</v>
      </c>
      <c r="E26" s="186">
        <f>($D26-$D25)*100</f>
        <v>0</v>
      </c>
    </row>
    <row r="27" spans="2:6" x14ac:dyDescent="0.3">
      <c r="B27" s="20" t="s">
        <v>661</v>
      </c>
      <c r="C27" s="50">
        <f>IF(nr_NetMode,1,_calc!$B$4561/_calc!$B$4615)</f>
        <v>1</v>
      </c>
      <c r="D27" s="46">
        <f>$D26*$C27</f>
        <v>0.63357323744376037</v>
      </c>
      <c r="E27" s="186">
        <f>($D27-$D26)*100</f>
        <v>0</v>
      </c>
    </row>
    <row r="28" spans="2:6" x14ac:dyDescent="0.3">
      <c r="B28" s="20" t="s">
        <v>662</v>
      </c>
      <c r="C28" s="50">
        <f>IF(nr_NetMode,1,IF(AND(nr_ModAdjMaster="ON",nr_ModAdjRow="ON"),nr_MEarned_P/_calc!$B$4669,1))</f>
        <v>1</v>
      </c>
      <c r="D28" s="46">
        <f>$D27*$C28</f>
        <v>0.63357323744376037</v>
      </c>
      <c r="E28" s="186">
        <f>($D28-$D27)*100</f>
        <v>0</v>
      </c>
    </row>
    <row r="29" spans="2:6" x14ac:dyDescent="0.3">
      <c r="B29" s="20" t="s">
        <v>663</v>
      </c>
      <c r="C29" s="50">
        <f>IF(N(att_actlr)=0,1,att_actlr/$D$28)</f>
        <v>1</v>
      </c>
      <c r="D29" s="46">
        <f>$D28*$C29</f>
        <v>0.63357323744376037</v>
      </c>
      <c r="E29" s="186">
        <f>($D29-$D28)*100</f>
        <v>0</v>
      </c>
    </row>
    <row r="30" spans="2:6" x14ac:dyDescent="0.3">
      <c r="B30" s="18" t="s">
        <v>664</v>
      </c>
      <c r="D30" s="92">
        <f>$D$29</f>
        <v>0.63357323744376037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0.63357323744376037</v>
      </c>
    </row>
    <row r="39" spans="2:6" x14ac:dyDescent="0.3">
      <c r="B39" s="6" t="s">
        <v>666</v>
      </c>
      <c r="C39" s="72">
        <f>MIN($D$25,$D$26)</f>
        <v>0.63357323744376037</v>
      </c>
      <c r="D39" s="72">
        <f>MAX(0,$D$26-$D$25)</f>
        <v>0</v>
      </c>
      <c r="E39" s="72">
        <f>MAX(0,$D$25-$D$26)</f>
        <v>0</v>
      </c>
      <c r="F39" s="72">
        <f>0</f>
        <v>0</v>
      </c>
    </row>
    <row r="40" spans="2:6" x14ac:dyDescent="0.3">
      <c r="B40" s="6" t="s">
        <v>667</v>
      </c>
      <c r="C40" s="72">
        <f>MIN($D$26,$D$27)</f>
        <v>0.63357323744376037</v>
      </c>
      <c r="D40" s="72">
        <f>MAX(0,$D$27-$D$26)</f>
        <v>0</v>
      </c>
      <c r="E40" s="72">
        <f>MAX(0,$D$26-$D$27)</f>
        <v>0</v>
      </c>
      <c r="F40" s="72">
        <f>0</f>
        <v>0</v>
      </c>
    </row>
    <row r="41" spans="2:6" x14ac:dyDescent="0.3">
      <c r="B41" s="6" t="s">
        <v>668</v>
      </c>
      <c r="C41" s="72">
        <f>MIN($D$27,$D$28)</f>
        <v>0.63357323744376037</v>
      </c>
      <c r="D41" s="72">
        <f>MAX(0,$D$28-$D$27)</f>
        <v>0</v>
      </c>
      <c r="E41" s="72">
        <f>MAX(0,$D$27-$D$28)</f>
        <v>0</v>
      </c>
      <c r="F41" s="72">
        <f>0</f>
        <v>0</v>
      </c>
    </row>
    <row r="42" spans="2:6" x14ac:dyDescent="0.3">
      <c r="B42" s="6" t="s">
        <v>669</v>
      </c>
      <c r="C42" s="72">
        <f>MIN($D$28,$D$29)</f>
        <v>0.63357323744376037</v>
      </c>
      <c r="D42" s="72">
        <f>MAX(0,$D$29-$D$28)</f>
        <v>0</v>
      </c>
      <c r="E42" s="72">
        <f>MAX(0,$D$28-$D$29)</f>
        <v>0</v>
      </c>
      <c r="F42" s="72">
        <f>0</f>
        <v>0</v>
      </c>
    </row>
    <row r="43" spans="2:6" x14ac:dyDescent="0.3">
      <c r="B43" s="6" t="s">
        <v>664</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12</v>
      </c>
    </row>
    <row r="6" spans="1:58" x14ac:dyDescent="0.3">
      <c r="A6" s="20" t="str">
        <f>"CY "&amp;(nr_PlanYear-1)&amp;" earned rate level  E_CY(P-1)"</f>
        <v>CY 2026 earned rate level  E_CY(P-1)</v>
      </c>
      <c r="C6" s="223">
        <f>SUMPRODUCT($H$17:$H$64,$P$17:$P$64,$U$17:$U$64)/SUMPRODUCT($H$17:$H$64,$P$17:$P$64)</f>
        <v>1.0428000000000002</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1.1101025000000002</v>
      </c>
      <c r="E7" s="20" t="s">
        <v>676</v>
      </c>
      <c r="F7" s="238">
        <f>IF($F$6=0,0,INDEX(se_sum,$F$6))</f>
        <v>0</v>
      </c>
    </row>
    <row r="8" spans="1:58" x14ac:dyDescent="0.3">
      <c r="A8" s="20" t="str">
        <f>"CY "&amp;(nr_PlanYear+1)&amp;" earned rate level  E_CY(P+1)"</f>
        <v>CY 2028 earned rate level  E_CY(P+1)</v>
      </c>
      <c r="C8" s="223">
        <f>SUMPRODUCT($H$17:$H$64,$R$17:$R$64,$U$17:$U$64)/SUMPRODUCT($H$17:$H$64,$R$17:$R$64)</f>
        <v>1.1557975</v>
      </c>
      <c r="E8" s="20" t="s">
        <v>677</v>
      </c>
      <c r="F8" s="239" t="b">
        <f>AND(nr_SeasonOn="ON",$F$6&gt;0,$F$7&gt;0)</f>
        <v>0</v>
      </c>
    </row>
    <row r="9" spans="1:58" x14ac:dyDescent="0.3">
      <c r="A9" s="20" t="str">
        <f>"Rate earn-in factor  A_rate("&amp;nr_PlanYear&amp;") = CRL / E_CY"</f>
        <v>Rate earn-in factor  A_rate(2027) = CRL / E_CY</v>
      </c>
      <c r="C9" s="237">
        <f>nr_CRLind/nr_ECY_P</f>
        <v>0.99306145153262859</v>
      </c>
      <c r="E9" s="20" t="s">
        <v>678</v>
      </c>
      <c r="F9" s="236">
        <f>(nr_PlanYear-1)*12</f>
        <v>24312</v>
      </c>
      <c r="G9" s="120">
        <f>$F$9+11</f>
        <v>24323</v>
      </c>
    </row>
    <row r="10" spans="1:58" x14ac:dyDescent="0.3">
      <c r="A10" s="20" t="str">
        <f>"Rate earn-in factor  A_rate("&amp;(nr_PlanYear+1)&amp;")"</f>
        <v>Rate earn-in factor  A_rate(2028)</v>
      </c>
      <c r="C10" s="223">
        <f>nr_CRLind/nr_ECY_P1</f>
        <v>0.95380029806259314</v>
      </c>
      <c r="E10" s="20" t="s">
        <v>679</v>
      </c>
      <c r="F10" s="236">
        <f>nr_PlanYear*12</f>
        <v>24324</v>
      </c>
      <c r="G10" s="120">
        <f>$F$10+11</f>
        <v>24335</v>
      </c>
    </row>
    <row r="11" spans="1:58" x14ac:dyDescent="0.3">
      <c r="A11" s="20" t="s">
        <v>680</v>
      </c>
      <c r="C11" s="240">
        <f>nr_ECY_P/nr_CRLind-1</f>
        <v>6.9870283018869106E-3</v>
      </c>
      <c r="E11" s="20" t="s">
        <v>681</v>
      </c>
      <c r="F11" s="236">
        <f>(nr_PlanYear+1)*12</f>
        <v>24336</v>
      </c>
      <c r="G11" s="120">
        <f>$F$11+11</f>
        <v>24347</v>
      </c>
    </row>
    <row r="12" spans="1:58" x14ac:dyDescent="0.3">
      <c r="A12" s="20" t="str">
        <f>"Earned rate chg "&amp;(nr_PlanYear-1)&amp;" -&gt; "&amp;nr_PlanYear</f>
        <v>Earned rate chg 2026 -&gt; 2027</v>
      </c>
      <c r="C12" s="240">
        <f>nr_ECY_P/nr_ECY_Pm1-1</f>
        <v>6.4540180283851223E-2</v>
      </c>
      <c r="E12" s="20" t="s">
        <v>682</v>
      </c>
      <c r="F12" s="223">
        <f>SUM(AH66:AS66)/SUM(AH67:AS67)</f>
        <v>1.1101024999999998</v>
      </c>
    </row>
    <row r="13" spans="1:58" x14ac:dyDescent="0.3">
      <c r="A13" s="20" t="str">
        <f>"Earned rate chg "&amp;nr_PlanYear&amp;" -&gt; "&amp;(nr_PlanYear+1)&amp;" (carryover + new)"</f>
        <v>Earned rate chg 2027 -&gt; 2028 (carryover + new)</v>
      </c>
      <c r="C13" s="240">
        <f>nr_ECY_P1/nr_ECY_P-1</f>
        <v>4.1162865591240383E-2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4.1666666666666664E-2</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0.125</v>
      </c>
      <c r="Q18" s="121">
        <f t="shared" si="15"/>
        <v>0</v>
      </c>
      <c r="R18" s="121">
        <f t="shared" si="16"/>
        <v>0</v>
      </c>
      <c r="S18" s="121" t="str">
        <f t="shared" si="17"/>
        <v/>
      </c>
      <c r="T18" s="121" t="str">
        <f t="shared" si="18"/>
        <v/>
      </c>
      <c r="U18" s="121">
        <f t="shared" si="19"/>
        <v>1</v>
      </c>
      <c r="V18" s="220">
        <f t="shared" si="20"/>
        <v>8.3333333333333329E-2</v>
      </c>
      <c r="W18" s="220">
        <f t="shared" si="20"/>
        <v>4.1666666666666664E-2</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0.20833333333333337</v>
      </c>
      <c r="Q19" s="121">
        <f t="shared" si="15"/>
        <v>0</v>
      </c>
      <c r="R19" s="121">
        <f t="shared" si="16"/>
        <v>0</v>
      </c>
      <c r="S19" s="121" t="str">
        <f t="shared" si="17"/>
        <v/>
      </c>
      <c r="T19" s="121" t="str">
        <f t="shared" si="18"/>
        <v/>
      </c>
      <c r="U19" s="121">
        <f t="shared" si="19"/>
        <v>1</v>
      </c>
      <c r="V19" s="220">
        <f t="shared" si="20"/>
        <v>8.3333333333333329E-2</v>
      </c>
      <c r="W19" s="220">
        <f t="shared" si="20"/>
        <v>8.3333333333333329E-2</v>
      </c>
      <c r="X19" s="220">
        <f t="shared" si="20"/>
        <v>4.1666666666666664E-2</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0.29166666666666663</v>
      </c>
      <c r="Q20" s="121">
        <f t="shared" si="15"/>
        <v>0</v>
      </c>
      <c r="R20" s="121">
        <f t="shared" si="16"/>
        <v>0</v>
      </c>
      <c r="S20" s="121" t="str">
        <f t="shared" si="17"/>
        <v/>
      </c>
      <c r="T20" s="121" t="str">
        <f t="shared" si="18"/>
        <v/>
      </c>
      <c r="U20" s="121">
        <f t="shared" si="19"/>
        <v>1</v>
      </c>
      <c r="V20" s="220">
        <f t="shared" si="20"/>
        <v>8.3333333333333329E-2</v>
      </c>
      <c r="W20" s="220">
        <f t="shared" si="20"/>
        <v>8.3333333333333329E-2</v>
      </c>
      <c r="X20" s="220">
        <f t="shared" si="20"/>
        <v>8.3333333333333329E-2</v>
      </c>
      <c r="Y20" s="220">
        <f t="shared" si="20"/>
        <v>4.1666666666666664E-2</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0.375</v>
      </c>
      <c r="Q21" s="121">
        <f t="shared" si="15"/>
        <v>0</v>
      </c>
      <c r="R21" s="121">
        <f t="shared" si="16"/>
        <v>0</v>
      </c>
      <c r="S21" s="121" t="str">
        <f t="shared" si="17"/>
        <v/>
      </c>
      <c r="T21" s="121" t="str">
        <f t="shared" si="18"/>
        <v/>
      </c>
      <c r="U21" s="121">
        <f t="shared" si="19"/>
        <v>1</v>
      </c>
      <c r="V21" s="220">
        <f t="shared" si="20"/>
        <v>8.3333333333333329E-2</v>
      </c>
      <c r="W21" s="220">
        <f t="shared" si="20"/>
        <v>8.3333333333333329E-2</v>
      </c>
      <c r="X21" s="220">
        <f t="shared" si="20"/>
        <v>8.3333333333333329E-2</v>
      </c>
      <c r="Y21" s="220">
        <f t="shared" si="20"/>
        <v>8.3333333333333329E-2</v>
      </c>
      <c r="Z21" s="220">
        <f t="shared" si="20"/>
        <v>4.1666666666666664E-2</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0.45833333333333337</v>
      </c>
      <c r="Q22" s="121">
        <f t="shared" si="15"/>
        <v>0</v>
      </c>
      <c r="R22" s="121">
        <f t="shared" si="16"/>
        <v>0</v>
      </c>
      <c r="S22" s="121" t="str">
        <f t="shared" si="17"/>
        <v/>
      </c>
      <c r="T22" s="121" t="str">
        <f t="shared" si="18"/>
        <v/>
      </c>
      <c r="U22" s="121">
        <f t="shared" si="19"/>
        <v>1</v>
      </c>
      <c r="V22" s="220">
        <f t="shared" si="20"/>
        <v>8.3333333333333329E-2</v>
      </c>
      <c r="W22" s="220">
        <f t="shared" si="20"/>
        <v>8.3333333333333329E-2</v>
      </c>
      <c r="X22" s="220">
        <f t="shared" si="20"/>
        <v>8.3333333333333329E-2</v>
      </c>
      <c r="Y22" s="220">
        <f t="shared" si="20"/>
        <v>8.3333333333333329E-2</v>
      </c>
      <c r="Z22" s="220">
        <f t="shared" si="20"/>
        <v>8.3333333333333329E-2</v>
      </c>
      <c r="AA22" s="220">
        <f t="shared" si="20"/>
        <v>4.1666666666666664E-2</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0.54166666666666674</v>
      </c>
      <c r="Q23" s="121">
        <f t="shared" si="15"/>
        <v>0</v>
      </c>
      <c r="R23" s="121">
        <f t="shared" si="16"/>
        <v>0</v>
      </c>
      <c r="S23" s="121" t="str">
        <f t="shared" si="17"/>
        <v/>
      </c>
      <c r="T23" s="121" t="str">
        <f t="shared" si="18"/>
        <v/>
      </c>
      <c r="U23" s="121">
        <f t="shared" si="19"/>
        <v>1.04</v>
      </c>
      <c r="V23" s="220">
        <f t="shared" si="20"/>
        <v>8.3333333333333329E-2</v>
      </c>
      <c r="W23" s="220">
        <f t="shared" si="20"/>
        <v>8.3333333333333329E-2</v>
      </c>
      <c r="X23" s="220">
        <f t="shared" si="20"/>
        <v>8.3333333333333329E-2</v>
      </c>
      <c r="Y23" s="220">
        <f t="shared" si="20"/>
        <v>8.3333333333333329E-2</v>
      </c>
      <c r="Z23" s="220">
        <f t="shared" si="20"/>
        <v>8.3333333333333329E-2</v>
      </c>
      <c r="AA23" s="220">
        <f t="shared" si="20"/>
        <v>8.3333333333333329E-2</v>
      </c>
      <c r="AB23" s="220">
        <f t="shared" si="20"/>
        <v>4.1666666666666664E-2</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0.625</v>
      </c>
      <c r="Q24" s="121">
        <f t="shared" si="15"/>
        <v>0</v>
      </c>
      <c r="R24" s="121">
        <f t="shared" si="16"/>
        <v>0</v>
      </c>
      <c r="S24" s="121" t="str">
        <f t="shared" si="17"/>
        <v/>
      </c>
      <c r="T24" s="121" t="str">
        <f t="shared" si="18"/>
        <v/>
      </c>
      <c r="U24" s="121">
        <f t="shared" si="19"/>
        <v>1.04</v>
      </c>
      <c r="V24" s="220">
        <f t="shared" si="20"/>
        <v>8.3333333333333329E-2</v>
      </c>
      <c r="W24" s="220">
        <f t="shared" si="20"/>
        <v>8.3333333333333329E-2</v>
      </c>
      <c r="X24" s="220">
        <f t="shared" si="20"/>
        <v>8.3333333333333329E-2</v>
      </c>
      <c r="Y24" s="220">
        <f t="shared" si="20"/>
        <v>8.3333333333333329E-2</v>
      </c>
      <c r="Z24" s="220">
        <f t="shared" si="20"/>
        <v>8.3333333333333329E-2</v>
      </c>
      <c r="AA24" s="220">
        <f t="shared" si="20"/>
        <v>8.3333333333333329E-2</v>
      </c>
      <c r="AB24" s="220">
        <f t="shared" si="20"/>
        <v>8.3333333333333329E-2</v>
      </c>
      <c r="AC24" s="220">
        <f t="shared" si="20"/>
        <v>4.1666666666666664E-2</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0.70833333333333326</v>
      </c>
      <c r="Q25" s="121">
        <f t="shared" si="15"/>
        <v>0</v>
      </c>
      <c r="R25" s="121">
        <f t="shared" si="16"/>
        <v>0</v>
      </c>
      <c r="S25" s="121" t="str">
        <f t="shared" si="17"/>
        <v/>
      </c>
      <c r="T25" s="121" t="str">
        <f t="shared" si="18"/>
        <v/>
      </c>
      <c r="U25" s="121">
        <f t="shared" si="19"/>
        <v>1.04</v>
      </c>
      <c r="V25" s="220">
        <f t="shared" si="20"/>
        <v>8.3333333333333329E-2</v>
      </c>
      <c r="W25" s="220">
        <f t="shared" si="20"/>
        <v>8.3333333333333329E-2</v>
      </c>
      <c r="X25" s="220">
        <f t="shared" si="20"/>
        <v>8.3333333333333329E-2</v>
      </c>
      <c r="Y25" s="220">
        <f t="shared" si="20"/>
        <v>8.3333333333333329E-2</v>
      </c>
      <c r="Z25" s="220">
        <f t="shared" si="20"/>
        <v>8.3333333333333329E-2</v>
      </c>
      <c r="AA25" s="220">
        <f t="shared" si="20"/>
        <v>8.3333333333333329E-2</v>
      </c>
      <c r="AB25" s="220">
        <f t="shared" si="20"/>
        <v>8.3333333333333329E-2</v>
      </c>
      <c r="AC25" s="220">
        <f t="shared" si="20"/>
        <v>8.3333333333333329E-2</v>
      </c>
      <c r="AD25" s="220">
        <f t="shared" si="20"/>
        <v>4.1666666666666664E-2</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0.79166666666666663</v>
      </c>
      <c r="Q26" s="121">
        <f t="shared" si="15"/>
        <v>0</v>
      </c>
      <c r="R26" s="121">
        <f t="shared" si="16"/>
        <v>0</v>
      </c>
      <c r="S26" s="121" t="str">
        <f t="shared" si="17"/>
        <v/>
      </c>
      <c r="T26" s="121" t="str">
        <f t="shared" si="18"/>
        <v/>
      </c>
      <c r="U26" s="121">
        <f t="shared" si="19"/>
        <v>1.04</v>
      </c>
      <c r="V26" s="220">
        <f t="shared" si="20"/>
        <v>8.3333333333333329E-2</v>
      </c>
      <c r="W26" s="220">
        <f t="shared" si="20"/>
        <v>8.3333333333333329E-2</v>
      </c>
      <c r="X26" s="220">
        <f t="shared" si="20"/>
        <v>8.3333333333333329E-2</v>
      </c>
      <c r="Y26" s="220">
        <f t="shared" si="20"/>
        <v>8.3333333333333329E-2</v>
      </c>
      <c r="Z26" s="220">
        <f t="shared" si="20"/>
        <v>8.3333333333333329E-2</v>
      </c>
      <c r="AA26" s="220">
        <f t="shared" si="20"/>
        <v>8.3333333333333329E-2</v>
      </c>
      <c r="AB26" s="220">
        <f t="shared" si="20"/>
        <v>8.3333333333333329E-2</v>
      </c>
      <c r="AC26" s="220">
        <f t="shared" si="20"/>
        <v>8.3333333333333329E-2</v>
      </c>
      <c r="AD26" s="220">
        <f t="shared" si="20"/>
        <v>8.3333333333333329E-2</v>
      </c>
      <c r="AE26" s="220">
        <f t="shared" si="20"/>
        <v>4.1666666666666664E-2</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0.875</v>
      </c>
      <c r="Q27" s="121">
        <f t="shared" si="15"/>
        <v>0</v>
      </c>
      <c r="R27" s="121">
        <f t="shared" si="16"/>
        <v>0</v>
      </c>
      <c r="S27" s="121" t="str">
        <f t="shared" si="17"/>
        <v/>
      </c>
      <c r="T27" s="121" t="str">
        <f t="shared" si="18"/>
        <v/>
      </c>
      <c r="U27" s="121">
        <f t="shared" si="19"/>
        <v>1.04</v>
      </c>
      <c r="V27" s="220">
        <f t="shared" ref="V27:AE36" si="26">IF(OR(V$15&lt;$G27,V$15&gt;$G27+$F$5),0,IF(OR(V$15=$G27,V$15=$G27+$F$5),0.5,1)/$F$5)</f>
        <v>8.3333333333333329E-2</v>
      </c>
      <c r="W27" s="220">
        <f t="shared" si="26"/>
        <v>8.3333333333333329E-2</v>
      </c>
      <c r="X27" s="220">
        <f t="shared" si="26"/>
        <v>8.3333333333333329E-2</v>
      </c>
      <c r="Y27" s="220">
        <f t="shared" si="26"/>
        <v>8.3333333333333329E-2</v>
      </c>
      <c r="Z27" s="220">
        <f t="shared" si="26"/>
        <v>8.3333333333333329E-2</v>
      </c>
      <c r="AA27" s="220">
        <f t="shared" si="26"/>
        <v>8.3333333333333329E-2</v>
      </c>
      <c r="AB27" s="220">
        <f t="shared" si="26"/>
        <v>8.3333333333333329E-2</v>
      </c>
      <c r="AC27" s="220">
        <f t="shared" si="26"/>
        <v>8.3333333333333329E-2</v>
      </c>
      <c r="AD27" s="220">
        <f t="shared" si="26"/>
        <v>8.3333333333333329E-2</v>
      </c>
      <c r="AE27" s="220">
        <f t="shared" si="26"/>
        <v>8.3333333333333329E-2</v>
      </c>
      <c r="AF27" s="220">
        <f t="shared" ref="AF27:AO36" si="27">IF(OR(AF$15&lt;$G27,AF$15&gt;$G27+$F$5),0,IF(OR(AF$15=$G27,AF$15=$G27+$F$5),0.5,1)/$F$5)</f>
        <v>4.1666666666666664E-2</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0.95833333333333337</v>
      </c>
      <c r="Q28" s="121">
        <f t="shared" si="15"/>
        <v>0</v>
      </c>
      <c r="R28" s="121">
        <f t="shared" si="16"/>
        <v>0</v>
      </c>
      <c r="S28" s="121" t="str">
        <f t="shared" si="17"/>
        <v/>
      </c>
      <c r="T28" s="121" t="str">
        <f t="shared" si="18"/>
        <v/>
      </c>
      <c r="U28" s="121">
        <f t="shared" si="19"/>
        <v>1.04</v>
      </c>
      <c r="V28" s="220">
        <f t="shared" si="26"/>
        <v>8.3333333333333329E-2</v>
      </c>
      <c r="W28" s="220">
        <f t="shared" si="26"/>
        <v>8.3333333333333329E-2</v>
      </c>
      <c r="X28" s="220">
        <f t="shared" si="26"/>
        <v>8.3333333333333329E-2</v>
      </c>
      <c r="Y28" s="220">
        <f t="shared" si="26"/>
        <v>8.3333333333333329E-2</v>
      </c>
      <c r="Z28" s="220">
        <f t="shared" si="26"/>
        <v>8.3333333333333329E-2</v>
      </c>
      <c r="AA28" s="220">
        <f t="shared" si="26"/>
        <v>8.3333333333333329E-2</v>
      </c>
      <c r="AB28" s="220">
        <f t="shared" si="26"/>
        <v>8.3333333333333329E-2</v>
      </c>
      <c r="AC28" s="220">
        <f t="shared" si="26"/>
        <v>8.3333333333333329E-2</v>
      </c>
      <c r="AD28" s="220">
        <f t="shared" si="26"/>
        <v>8.3333333333333329E-2</v>
      </c>
      <c r="AE28" s="220">
        <f t="shared" si="26"/>
        <v>8.3333333333333329E-2</v>
      </c>
      <c r="AF28" s="220">
        <f t="shared" si="27"/>
        <v>8.3333333333333329E-2</v>
      </c>
      <c r="AG28" s="220">
        <f t="shared" si="27"/>
        <v>4.1666666666666664E-2</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0">
        <f t="shared" si="26"/>
        <v>4.1666666666666664E-2</v>
      </c>
      <c r="W29" s="220">
        <f t="shared" si="26"/>
        <v>8.3333333333333329E-2</v>
      </c>
      <c r="X29" s="220">
        <f t="shared" si="26"/>
        <v>8.3333333333333329E-2</v>
      </c>
      <c r="Y29" s="220">
        <f t="shared" si="26"/>
        <v>8.3333333333333329E-2</v>
      </c>
      <c r="Z29" s="220">
        <f t="shared" si="26"/>
        <v>8.3333333333333329E-2</v>
      </c>
      <c r="AA29" s="220">
        <f t="shared" si="26"/>
        <v>8.3333333333333329E-2</v>
      </c>
      <c r="AB29" s="220">
        <f t="shared" si="26"/>
        <v>8.3333333333333329E-2</v>
      </c>
      <c r="AC29" s="220">
        <f t="shared" si="26"/>
        <v>8.3333333333333329E-2</v>
      </c>
      <c r="AD29" s="220">
        <f t="shared" si="26"/>
        <v>8.3333333333333329E-2</v>
      </c>
      <c r="AE29" s="220">
        <f t="shared" si="26"/>
        <v>8.3333333333333329E-2</v>
      </c>
      <c r="AF29" s="220">
        <f t="shared" si="27"/>
        <v>8.3333333333333329E-2</v>
      </c>
      <c r="AG29" s="220">
        <f t="shared" si="27"/>
        <v>8.3333333333333329E-2</v>
      </c>
      <c r="AH29" s="220">
        <f t="shared" si="27"/>
        <v>4.1666666666666664E-2</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2.2204460492503131E-16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0.875</v>
      </c>
      <c r="Q30" s="121">
        <f t="shared" si="15"/>
        <v>0.125</v>
      </c>
      <c r="R30" s="121">
        <f t="shared" si="16"/>
        <v>0</v>
      </c>
      <c r="S30" s="121" t="str">
        <f t="shared" si="17"/>
        <v/>
      </c>
      <c r="T30" s="121" t="str">
        <f t="shared" si="18"/>
        <v/>
      </c>
      <c r="U30" s="121">
        <f t="shared" si="19"/>
        <v>1.04</v>
      </c>
      <c r="V30" s="220">
        <f t="shared" si="26"/>
        <v>0</v>
      </c>
      <c r="W30" s="220">
        <f t="shared" si="26"/>
        <v>4.1666666666666664E-2</v>
      </c>
      <c r="X30" s="220">
        <f t="shared" si="26"/>
        <v>8.3333333333333329E-2</v>
      </c>
      <c r="Y30" s="220">
        <f t="shared" si="26"/>
        <v>8.3333333333333329E-2</v>
      </c>
      <c r="Z30" s="220">
        <f t="shared" si="26"/>
        <v>8.3333333333333329E-2</v>
      </c>
      <c r="AA30" s="220">
        <f t="shared" si="26"/>
        <v>8.3333333333333329E-2</v>
      </c>
      <c r="AB30" s="220">
        <f t="shared" si="26"/>
        <v>8.3333333333333329E-2</v>
      </c>
      <c r="AC30" s="220">
        <f t="shared" si="26"/>
        <v>8.3333333333333329E-2</v>
      </c>
      <c r="AD30" s="220">
        <f t="shared" si="26"/>
        <v>8.3333333333333329E-2</v>
      </c>
      <c r="AE30" s="220">
        <f t="shared" si="26"/>
        <v>8.3333333333333329E-2</v>
      </c>
      <c r="AF30" s="220">
        <f t="shared" si="27"/>
        <v>8.3333333333333329E-2</v>
      </c>
      <c r="AG30" s="220">
        <f t="shared" si="27"/>
        <v>8.3333333333333329E-2</v>
      </c>
      <c r="AH30" s="220">
        <f t="shared" si="27"/>
        <v>8.3333333333333329E-2</v>
      </c>
      <c r="AI30" s="220">
        <f t="shared" si="27"/>
        <v>4.1666666666666664E-2</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2.2204460492503131E-16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0">
        <f t="shared" si="26"/>
        <v>0</v>
      </c>
      <c r="W31" s="220">
        <f t="shared" si="26"/>
        <v>0</v>
      </c>
      <c r="X31" s="220">
        <f t="shared" si="26"/>
        <v>4.1666666666666664E-2</v>
      </c>
      <c r="Y31" s="220">
        <f t="shared" si="26"/>
        <v>8.3333333333333329E-2</v>
      </c>
      <c r="Z31" s="220">
        <f t="shared" si="26"/>
        <v>8.3333333333333329E-2</v>
      </c>
      <c r="AA31" s="220">
        <f t="shared" si="26"/>
        <v>8.3333333333333329E-2</v>
      </c>
      <c r="AB31" s="220">
        <f t="shared" si="26"/>
        <v>8.3333333333333329E-2</v>
      </c>
      <c r="AC31" s="220">
        <f t="shared" si="26"/>
        <v>8.3333333333333329E-2</v>
      </c>
      <c r="AD31" s="220">
        <f t="shared" si="26"/>
        <v>8.3333333333333329E-2</v>
      </c>
      <c r="AE31" s="220">
        <f t="shared" si="26"/>
        <v>8.3333333333333329E-2</v>
      </c>
      <c r="AF31" s="220">
        <f t="shared" si="27"/>
        <v>8.3333333333333329E-2</v>
      </c>
      <c r="AG31" s="220">
        <f t="shared" si="27"/>
        <v>8.3333333333333329E-2</v>
      </c>
      <c r="AH31" s="220">
        <f t="shared" si="27"/>
        <v>8.3333333333333329E-2</v>
      </c>
      <c r="AI31" s="220">
        <f t="shared" si="27"/>
        <v>8.3333333333333329E-2</v>
      </c>
      <c r="AJ31" s="220">
        <f t="shared" si="27"/>
        <v>4.1666666666666664E-2</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2.2204460492503131E-16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0">
        <f t="shared" si="26"/>
        <v>0</v>
      </c>
      <c r="W32" s="220">
        <f t="shared" si="26"/>
        <v>0</v>
      </c>
      <c r="X32" s="220">
        <f t="shared" si="26"/>
        <v>0</v>
      </c>
      <c r="Y32" s="220">
        <f t="shared" si="26"/>
        <v>4.1666666666666664E-2</v>
      </c>
      <c r="Z32" s="220">
        <f t="shared" si="26"/>
        <v>8.3333333333333329E-2</v>
      </c>
      <c r="AA32" s="220">
        <f t="shared" si="26"/>
        <v>8.3333333333333329E-2</v>
      </c>
      <c r="AB32" s="220">
        <f t="shared" si="26"/>
        <v>8.3333333333333329E-2</v>
      </c>
      <c r="AC32" s="220">
        <f t="shared" si="26"/>
        <v>8.3333333333333329E-2</v>
      </c>
      <c r="AD32" s="220">
        <f t="shared" si="26"/>
        <v>8.3333333333333329E-2</v>
      </c>
      <c r="AE32" s="220">
        <f t="shared" si="26"/>
        <v>8.3333333333333329E-2</v>
      </c>
      <c r="AF32" s="220">
        <f t="shared" si="27"/>
        <v>8.3333333333333329E-2</v>
      </c>
      <c r="AG32" s="220">
        <f t="shared" si="27"/>
        <v>8.3333333333333329E-2</v>
      </c>
      <c r="AH32" s="220">
        <f t="shared" si="27"/>
        <v>8.3333333333333329E-2</v>
      </c>
      <c r="AI32" s="220">
        <f t="shared" si="27"/>
        <v>8.3333333333333329E-2</v>
      </c>
      <c r="AJ32" s="220">
        <f t="shared" si="27"/>
        <v>8.3333333333333329E-2</v>
      </c>
      <c r="AK32" s="220">
        <f t="shared" si="27"/>
        <v>4.1666666666666664E-2</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2.2204460492503131E-16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0.625</v>
      </c>
      <c r="Q33" s="121">
        <f t="shared" si="15"/>
        <v>0.375</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4.1666666666666664E-2</v>
      </c>
      <c r="AA33" s="220">
        <f t="shared" si="26"/>
        <v>8.3333333333333329E-2</v>
      </c>
      <c r="AB33" s="220">
        <f t="shared" si="26"/>
        <v>8.3333333333333329E-2</v>
      </c>
      <c r="AC33" s="220">
        <f t="shared" si="26"/>
        <v>8.3333333333333329E-2</v>
      </c>
      <c r="AD33" s="220">
        <f t="shared" si="26"/>
        <v>8.3333333333333329E-2</v>
      </c>
      <c r="AE33" s="220">
        <f t="shared" si="26"/>
        <v>8.3333333333333329E-2</v>
      </c>
      <c r="AF33" s="220">
        <f t="shared" si="27"/>
        <v>8.3333333333333329E-2</v>
      </c>
      <c r="AG33" s="220">
        <f t="shared" si="27"/>
        <v>8.3333333333333329E-2</v>
      </c>
      <c r="AH33" s="220">
        <f t="shared" si="27"/>
        <v>8.3333333333333329E-2</v>
      </c>
      <c r="AI33" s="220">
        <f t="shared" si="27"/>
        <v>8.3333333333333329E-2</v>
      </c>
      <c r="AJ33" s="220">
        <f t="shared" si="27"/>
        <v>8.3333333333333329E-2</v>
      </c>
      <c r="AK33" s="220">
        <f t="shared" si="27"/>
        <v>8.3333333333333329E-2</v>
      </c>
      <c r="AL33" s="220">
        <f t="shared" si="27"/>
        <v>4.1666666666666664E-2</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2.2204460492503131E-16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4.1666666666666664E-2</v>
      </c>
      <c r="AB34" s="220">
        <f t="shared" si="26"/>
        <v>8.3333333333333329E-2</v>
      </c>
      <c r="AC34" s="220">
        <f t="shared" si="26"/>
        <v>8.3333333333333329E-2</v>
      </c>
      <c r="AD34" s="220">
        <f t="shared" si="26"/>
        <v>8.3333333333333329E-2</v>
      </c>
      <c r="AE34" s="220">
        <f t="shared" si="26"/>
        <v>8.3333333333333329E-2</v>
      </c>
      <c r="AF34" s="220">
        <f t="shared" si="27"/>
        <v>8.3333333333333329E-2</v>
      </c>
      <c r="AG34" s="220">
        <f t="shared" si="27"/>
        <v>8.3333333333333329E-2</v>
      </c>
      <c r="AH34" s="220">
        <f t="shared" si="27"/>
        <v>8.3333333333333329E-2</v>
      </c>
      <c r="AI34" s="220">
        <f t="shared" si="27"/>
        <v>8.3333333333333329E-2</v>
      </c>
      <c r="AJ34" s="220">
        <f t="shared" si="27"/>
        <v>8.3333333333333329E-2</v>
      </c>
      <c r="AK34" s="220">
        <f t="shared" si="27"/>
        <v>8.3333333333333329E-2</v>
      </c>
      <c r="AL34" s="220">
        <f t="shared" si="27"/>
        <v>8.3333333333333329E-2</v>
      </c>
      <c r="AM34" s="220">
        <f t="shared" si="27"/>
        <v>4.1666666666666664E-2</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2.2204460492503131E-16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4.1666666666666664E-2</v>
      </c>
      <c r="AC35" s="220">
        <f t="shared" si="26"/>
        <v>8.3333333333333329E-2</v>
      </c>
      <c r="AD35" s="220">
        <f t="shared" si="26"/>
        <v>8.3333333333333329E-2</v>
      </c>
      <c r="AE35" s="220">
        <f t="shared" si="26"/>
        <v>8.3333333333333329E-2</v>
      </c>
      <c r="AF35" s="220">
        <f t="shared" si="27"/>
        <v>8.3333333333333329E-2</v>
      </c>
      <c r="AG35" s="220">
        <f t="shared" si="27"/>
        <v>8.3333333333333329E-2</v>
      </c>
      <c r="AH35" s="220">
        <f t="shared" si="27"/>
        <v>8.3333333333333329E-2</v>
      </c>
      <c r="AI35" s="220">
        <f t="shared" si="27"/>
        <v>8.3333333333333329E-2</v>
      </c>
      <c r="AJ35" s="220">
        <f t="shared" si="27"/>
        <v>8.3333333333333329E-2</v>
      </c>
      <c r="AK35" s="220">
        <f t="shared" si="27"/>
        <v>8.3333333333333329E-2</v>
      </c>
      <c r="AL35" s="220">
        <f t="shared" si="27"/>
        <v>8.3333333333333329E-2</v>
      </c>
      <c r="AM35" s="220">
        <f t="shared" si="27"/>
        <v>8.3333333333333329E-2</v>
      </c>
      <c r="AN35" s="220">
        <f t="shared" si="27"/>
        <v>4.1666666666666664E-2</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2.2204460492503131E-16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0.375</v>
      </c>
      <c r="Q36" s="121">
        <f t="shared" si="15"/>
        <v>0.625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4.1666666666666664E-2</v>
      </c>
      <c r="AD36" s="220">
        <f t="shared" si="26"/>
        <v>8.3333333333333329E-2</v>
      </c>
      <c r="AE36" s="220">
        <f t="shared" si="26"/>
        <v>8.3333333333333329E-2</v>
      </c>
      <c r="AF36" s="220">
        <f t="shared" si="27"/>
        <v>8.3333333333333329E-2</v>
      </c>
      <c r="AG36" s="220">
        <f t="shared" si="27"/>
        <v>8.3333333333333329E-2</v>
      </c>
      <c r="AH36" s="220">
        <f t="shared" si="27"/>
        <v>8.3333333333333329E-2</v>
      </c>
      <c r="AI36" s="220">
        <f t="shared" si="27"/>
        <v>8.3333333333333329E-2</v>
      </c>
      <c r="AJ36" s="220">
        <f t="shared" si="27"/>
        <v>8.3333333333333329E-2</v>
      </c>
      <c r="AK36" s="220">
        <f t="shared" si="27"/>
        <v>8.3333333333333329E-2</v>
      </c>
      <c r="AL36" s="220">
        <f t="shared" si="27"/>
        <v>8.3333333333333329E-2</v>
      </c>
      <c r="AM36" s="220">
        <f t="shared" si="27"/>
        <v>8.3333333333333329E-2</v>
      </c>
      <c r="AN36" s="220">
        <f t="shared" si="27"/>
        <v>8.3333333333333329E-2</v>
      </c>
      <c r="AO36" s="220">
        <f t="shared" si="27"/>
        <v>4.1666666666666664E-2</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2.2204460492503131E-16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4.1666666666666664E-2</v>
      </c>
      <c r="AE37" s="220">
        <f t="shared" si="30"/>
        <v>8.3333333333333329E-2</v>
      </c>
      <c r="AF37" s="220">
        <f t="shared" ref="AF37:AO46" si="31">IF(OR(AF$15&lt;$G37,AF$15&gt;$G37+$F$5),0,IF(OR(AF$15=$G37,AF$15=$G37+$F$5),0.5,1)/$F$5)</f>
        <v>8.3333333333333329E-2</v>
      </c>
      <c r="AG37" s="220">
        <f t="shared" si="31"/>
        <v>8.3333333333333329E-2</v>
      </c>
      <c r="AH37" s="220">
        <f t="shared" si="31"/>
        <v>8.3333333333333329E-2</v>
      </c>
      <c r="AI37" s="220">
        <f t="shared" si="31"/>
        <v>8.3333333333333329E-2</v>
      </c>
      <c r="AJ37" s="220">
        <f t="shared" si="31"/>
        <v>8.3333333333333329E-2</v>
      </c>
      <c r="AK37" s="220">
        <f t="shared" si="31"/>
        <v>8.3333333333333329E-2</v>
      </c>
      <c r="AL37" s="220">
        <f t="shared" si="31"/>
        <v>8.3333333333333329E-2</v>
      </c>
      <c r="AM37" s="220">
        <f t="shared" si="31"/>
        <v>8.3333333333333329E-2</v>
      </c>
      <c r="AN37" s="220">
        <f t="shared" si="31"/>
        <v>8.3333333333333329E-2</v>
      </c>
      <c r="AO37" s="220">
        <f t="shared" si="31"/>
        <v>8.3333333333333329E-2</v>
      </c>
      <c r="AP37" s="220">
        <f t="shared" ref="AP37:AY46" si="32">IF(OR(AP$15&lt;$G37,AP$15&gt;$G37+$F$5),0,IF(OR(AP$15=$G37,AP$15=$G37+$F$5),0.5,1)/$F$5)</f>
        <v>4.1666666666666664E-2</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2.2204460492503131E-16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4.1666666666666664E-2</v>
      </c>
      <c r="AF38" s="220">
        <f t="shared" si="31"/>
        <v>8.3333333333333329E-2</v>
      </c>
      <c r="AG38" s="220">
        <f t="shared" si="31"/>
        <v>8.3333333333333329E-2</v>
      </c>
      <c r="AH38" s="220">
        <f t="shared" si="31"/>
        <v>8.3333333333333329E-2</v>
      </c>
      <c r="AI38" s="220">
        <f t="shared" si="31"/>
        <v>8.3333333333333329E-2</v>
      </c>
      <c r="AJ38" s="220">
        <f t="shared" si="31"/>
        <v>8.3333333333333329E-2</v>
      </c>
      <c r="AK38" s="220">
        <f t="shared" si="31"/>
        <v>8.3333333333333329E-2</v>
      </c>
      <c r="AL38" s="220">
        <f t="shared" si="31"/>
        <v>8.3333333333333329E-2</v>
      </c>
      <c r="AM38" s="220">
        <f t="shared" si="31"/>
        <v>8.3333333333333329E-2</v>
      </c>
      <c r="AN38" s="220">
        <f t="shared" si="31"/>
        <v>8.3333333333333329E-2</v>
      </c>
      <c r="AO38" s="220">
        <f t="shared" si="31"/>
        <v>8.3333333333333329E-2</v>
      </c>
      <c r="AP38" s="220">
        <f t="shared" si="32"/>
        <v>8.3333333333333329E-2</v>
      </c>
      <c r="AQ38" s="220">
        <f t="shared" si="32"/>
        <v>4.1666666666666664E-2</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2.2204460492503131E-16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0.125</v>
      </c>
      <c r="Q39" s="121">
        <f t="shared" si="15"/>
        <v>0.875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4.1666666666666664E-2</v>
      </c>
      <c r="AG39" s="220">
        <f t="shared" si="31"/>
        <v>8.3333333333333329E-2</v>
      </c>
      <c r="AH39" s="220">
        <f t="shared" si="31"/>
        <v>8.3333333333333329E-2</v>
      </c>
      <c r="AI39" s="220">
        <f t="shared" si="31"/>
        <v>8.3333333333333329E-2</v>
      </c>
      <c r="AJ39" s="220">
        <f t="shared" si="31"/>
        <v>8.3333333333333329E-2</v>
      </c>
      <c r="AK39" s="220">
        <f t="shared" si="31"/>
        <v>8.3333333333333329E-2</v>
      </c>
      <c r="AL39" s="220">
        <f t="shared" si="31"/>
        <v>8.3333333333333329E-2</v>
      </c>
      <c r="AM39" s="220">
        <f t="shared" si="31"/>
        <v>8.3333333333333329E-2</v>
      </c>
      <c r="AN39" s="220">
        <f t="shared" si="31"/>
        <v>8.3333333333333329E-2</v>
      </c>
      <c r="AO39" s="220">
        <f t="shared" si="31"/>
        <v>8.3333333333333329E-2</v>
      </c>
      <c r="AP39" s="220">
        <f t="shared" si="32"/>
        <v>8.3333333333333329E-2</v>
      </c>
      <c r="AQ39" s="220">
        <f t="shared" si="32"/>
        <v>8.3333333333333329E-2</v>
      </c>
      <c r="AR39" s="220">
        <f t="shared" si="32"/>
        <v>4.1666666666666664E-2</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2.2204460492503131E-16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4.1666666666666664E-2</v>
      </c>
      <c r="AH40" s="220">
        <f t="shared" si="31"/>
        <v>8.3333333333333329E-2</v>
      </c>
      <c r="AI40" s="220">
        <f t="shared" si="31"/>
        <v>8.3333333333333329E-2</v>
      </c>
      <c r="AJ40" s="220">
        <f t="shared" si="31"/>
        <v>8.3333333333333329E-2</v>
      </c>
      <c r="AK40" s="220">
        <f t="shared" si="31"/>
        <v>8.3333333333333329E-2</v>
      </c>
      <c r="AL40" s="220">
        <f t="shared" si="31"/>
        <v>8.3333333333333329E-2</v>
      </c>
      <c r="AM40" s="220">
        <f t="shared" si="31"/>
        <v>8.3333333333333329E-2</v>
      </c>
      <c r="AN40" s="220">
        <f t="shared" si="31"/>
        <v>8.3333333333333329E-2</v>
      </c>
      <c r="AO40" s="220">
        <f t="shared" si="31"/>
        <v>8.3333333333333329E-2</v>
      </c>
      <c r="AP40" s="220">
        <f t="shared" si="32"/>
        <v>8.3333333333333329E-2</v>
      </c>
      <c r="AQ40" s="220">
        <f t="shared" si="32"/>
        <v>8.3333333333333329E-2</v>
      </c>
      <c r="AR40" s="220">
        <f t="shared" si="32"/>
        <v>8.3333333333333329E-2</v>
      </c>
      <c r="AS40" s="220">
        <f t="shared" si="32"/>
        <v>4.1666666666666664E-2</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2.2204460492503131E-16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4.1666666666666664E-2</v>
      </c>
      <c r="AI41" s="220">
        <f t="shared" si="31"/>
        <v>8.3333333333333329E-2</v>
      </c>
      <c r="AJ41" s="220">
        <f t="shared" si="31"/>
        <v>8.3333333333333329E-2</v>
      </c>
      <c r="AK41" s="220">
        <f t="shared" si="31"/>
        <v>8.3333333333333329E-2</v>
      </c>
      <c r="AL41" s="220">
        <f t="shared" si="31"/>
        <v>8.3333333333333329E-2</v>
      </c>
      <c r="AM41" s="220">
        <f t="shared" si="31"/>
        <v>8.3333333333333329E-2</v>
      </c>
      <c r="AN41" s="220">
        <f t="shared" si="31"/>
        <v>8.3333333333333329E-2</v>
      </c>
      <c r="AO41" s="220">
        <f t="shared" si="31"/>
        <v>8.3333333333333329E-2</v>
      </c>
      <c r="AP41" s="220">
        <f t="shared" si="32"/>
        <v>8.3333333333333329E-2</v>
      </c>
      <c r="AQ41" s="220">
        <f t="shared" si="32"/>
        <v>8.3333333333333329E-2</v>
      </c>
      <c r="AR41" s="220">
        <f t="shared" si="32"/>
        <v>8.3333333333333329E-2</v>
      </c>
      <c r="AS41" s="220">
        <f t="shared" si="32"/>
        <v>8.3333333333333329E-2</v>
      </c>
      <c r="AT41" s="220">
        <f t="shared" si="32"/>
        <v>4.1666666666666664E-2</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2.2204460492503131E-16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0.875</v>
      </c>
      <c r="R42" s="121">
        <f t="shared" si="16"/>
        <v>0.125</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4.1666666666666664E-2</v>
      </c>
      <c r="AJ42" s="220">
        <f t="shared" si="31"/>
        <v>8.3333333333333329E-2</v>
      </c>
      <c r="AK42" s="220">
        <f t="shared" si="31"/>
        <v>8.3333333333333329E-2</v>
      </c>
      <c r="AL42" s="220">
        <f t="shared" si="31"/>
        <v>8.3333333333333329E-2</v>
      </c>
      <c r="AM42" s="220">
        <f t="shared" si="31"/>
        <v>8.3333333333333329E-2</v>
      </c>
      <c r="AN42" s="220">
        <f t="shared" si="31"/>
        <v>8.3333333333333329E-2</v>
      </c>
      <c r="AO42" s="220">
        <f t="shared" si="31"/>
        <v>8.3333333333333329E-2</v>
      </c>
      <c r="AP42" s="220">
        <f t="shared" si="32"/>
        <v>8.3333333333333329E-2</v>
      </c>
      <c r="AQ42" s="220">
        <f t="shared" si="32"/>
        <v>8.3333333333333329E-2</v>
      </c>
      <c r="AR42" s="220">
        <f t="shared" si="32"/>
        <v>8.3333333333333329E-2</v>
      </c>
      <c r="AS42" s="220">
        <f t="shared" si="32"/>
        <v>8.3333333333333329E-2</v>
      </c>
      <c r="AT42" s="220">
        <f t="shared" si="32"/>
        <v>8.3333333333333329E-2</v>
      </c>
      <c r="AU42" s="220">
        <f t="shared" si="32"/>
        <v>4.1666666666666664E-2</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2.2204460492503131E-16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4.1666666666666664E-2</v>
      </c>
      <c r="AK43" s="220">
        <f t="shared" si="31"/>
        <v>8.3333333333333329E-2</v>
      </c>
      <c r="AL43" s="220">
        <f t="shared" si="31"/>
        <v>8.3333333333333329E-2</v>
      </c>
      <c r="AM43" s="220">
        <f t="shared" si="31"/>
        <v>8.3333333333333329E-2</v>
      </c>
      <c r="AN43" s="220">
        <f t="shared" si="31"/>
        <v>8.3333333333333329E-2</v>
      </c>
      <c r="AO43" s="220">
        <f t="shared" si="31"/>
        <v>8.3333333333333329E-2</v>
      </c>
      <c r="AP43" s="220">
        <f t="shared" si="32"/>
        <v>8.3333333333333329E-2</v>
      </c>
      <c r="AQ43" s="220">
        <f t="shared" si="32"/>
        <v>8.3333333333333329E-2</v>
      </c>
      <c r="AR43" s="220">
        <f t="shared" si="32"/>
        <v>8.3333333333333329E-2</v>
      </c>
      <c r="AS43" s="220">
        <f t="shared" si="32"/>
        <v>8.3333333333333329E-2</v>
      </c>
      <c r="AT43" s="220">
        <f t="shared" si="32"/>
        <v>8.3333333333333329E-2</v>
      </c>
      <c r="AU43" s="220">
        <f t="shared" si="32"/>
        <v>8.3333333333333329E-2</v>
      </c>
      <c r="AV43" s="220">
        <f t="shared" si="32"/>
        <v>4.1666666666666664E-2</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2.2204460492503131E-16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4.1666666666666664E-2</v>
      </c>
      <c r="AL44" s="220">
        <f t="shared" si="31"/>
        <v>8.3333333333333329E-2</v>
      </c>
      <c r="AM44" s="220">
        <f t="shared" si="31"/>
        <v>8.3333333333333329E-2</v>
      </c>
      <c r="AN44" s="220">
        <f t="shared" si="31"/>
        <v>8.3333333333333329E-2</v>
      </c>
      <c r="AO44" s="220">
        <f t="shared" si="31"/>
        <v>8.3333333333333329E-2</v>
      </c>
      <c r="AP44" s="220">
        <f t="shared" si="32"/>
        <v>8.3333333333333329E-2</v>
      </c>
      <c r="AQ44" s="220">
        <f t="shared" si="32"/>
        <v>8.3333333333333329E-2</v>
      </c>
      <c r="AR44" s="220">
        <f t="shared" si="32"/>
        <v>8.3333333333333329E-2</v>
      </c>
      <c r="AS44" s="220">
        <f t="shared" si="32"/>
        <v>8.3333333333333329E-2</v>
      </c>
      <c r="AT44" s="220">
        <f t="shared" si="32"/>
        <v>8.3333333333333329E-2</v>
      </c>
      <c r="AU44" s="220">
        <f t="shared" si="32"/>
        <v>8.3333333333333329E-2</v>
      </c>
      <c r="AV44" s="220">
        <f t="shared" si="32"/>
        <v>8.3333333333333329E-2</v>
      </c>
      <c r="AW44" s="220">
        <f t="shared" si="32"/>
        <v>4.1666666666666664E-2</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2.2204460492503131E-16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0.625</v>
      </c>
      <c r="R45" s="121">
        <f t="shared" si="16"/>
        <v>0.375</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4.1666666666666664E-2</v>
      </c>
      <c r="AM45" s="220">
        <f t="shared" si="31"/>
        <v>8.3333333333333329E-2</v>
      </c>
      <c r="AN45" s="220">
        <f t="shared" si="31"/>
        <v>8.3333333333333329E-2</v>
      </c>
      <c r="AO45" s="220">
        <f t="shared" si="31"/>
        <v>8.3333333333333329E-2</v>
      </c>
      <c r="AP45" s="220">
        <f t="shared" si="32"/>
        <v>8.3333333333333329E-2</v>
      </c>
      <c r="AQ45" s="220">
        <f t="shared" si="32"/>
        <v>8.3333333333333329E-2</v>
      </c>
      <c r="AR45" s="220">
        <f t="shared" si="32"/>
        <v>8.3333333333333329E-2</v>
      </c>
      <c r="AS45" s="220">
        <f t="shared" si="32"/>
        <v>8.3333333333333329E-2</v>
      </c>
      <c r="AT45" s="220">
        <f t="shared" si="32"/>
        <v>8.3333333333333329E-2</v>
      </c>
      <c r="AU45" s="220">
        <f t="shared" si="32"/>
        <v>8.3333333333333329E-2</v>
      </c>
      <c r="AV45" s="220">
        <f t="shared" si="32"/>
        <v>8.3333333333333329E-2</v>
      </c>
      <c r="AW45" s="220">
        <f t="shared" si="32"/>
        <v>8.3333333333333329E-2</v>
      </c>
      <c r="AX45" s="220">
        <f t="shared" si="32"/>
        <v>4.1666666666666664E-2</v>
      </c>
      <c r="AY45" s="220">
        <f t="shared" si="32"/>
        <v>0</v>
      </c>
      <c r="AZ45" s="220">
        <f t="shared" si="33"/>
        <v>0</v>
      </c>
      <c r="BA45" s="220">
        <f t="shared" si="33"/>
        <v>0</v>
      </c>
      <c r="BB45" s="220">
        <f t="shared" si="33"/>
        <v>0</v>
      </c>
      <c r="BC45" s="220">
        <f t="shared" si="33"/>
        <v>0</v>
      </c>
      <c r="BD45" s="220">
        <f t="shared" si="33"/>
        <v>0</v>
      </c>
      <c r="BE45" s="220">
        <f t="shared" si="33"/>
        <v>0</v>
      </c>
      <c r="BF45" s="248">
        <f t="shared" si="24"/>
        <v>2.2204460492503131E-16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4.1666666666666664E-2</v>
      </c>
      <c r="AN46" s="220">
        <f t="shared" si="31"/>
        <v>8.3333333333333329E-2</v>
      </c>
      <c r="AO46" s="220">
        <f t="shared" si="31"/>
        <v>8.3333333333333329E-2</v>
      </c>
      <c r="AP46" s="220">
        <f t="shared" si="32"/>
        <v>8.3333333333333329E-2</v>
      </c>
      <c r="AQ46" s="220">
        <f t="shared" si="32"/>
        <v>8.3333333333333329E-2</v>
      </c>
      <c r="AR46" s="220">
        <f t="shared" si="32"/>
        <v>8.3333333333333329E-2</v>
      </c>
      <c r="AS46" s="220">
        <f t="shared" si="32"/>
        <v>8.3333333333333329E-2</v>
      </c>
      <c r="AT46" s="220">
        <f t="shared" si="32"/>
        <v>8.3333333333333329E-2</v>
      </c>
      <c r="AU46" s="220">
        <f t="shared" si="32"/>
        <v>8.3333333333333329E-2</v>
      </c>
      <c r="AV46" s="220">
        <f t="shared" si="32"/>
        <v>8.3333333333333329E-2</v>
      </c>
      <c r="AW46" s="220">
        <f t="shared" si="32"/>
        <v>8.3333333333333329E-2</v>
      </c>
      <c r="AX46" s="220">
        <f t="shared" si="32"/>
        <v>8.3333333333333329E-2</v>
      </c>
      <c r="AY46" s="220">
        <f t="shared" si="32"/>
        <v>4.1666666666666664E-2</v>
      </c>
      <c r="AZ46" s="220">
        <f t="shared" si="33"/>
        <v>0</v>
      </c>
      <c r="BA46" s="220">
        <f t="shared" si="33"/>
        <v>0</v>
      </c>
      <c r="BB46" s="220">
        <f t="shared" si="33"/>
        <v>0</v>
      </c>
      <c r="BC46" s="220">
        <f t="shared" si="33"/>
        <v>0</v>
      </c>
      <c r="BD46" s="220">
        <f t="shared" si="33"/>
        <v>0</v>
      </c>
      <c r="BE46" s="220">
        <f t="shared" si="33"/>
        <v>0</v>
      </c>
      <c r="BF46" s="248">
        <f t="shared" si="24"/>
        <v>2.2204460492503131E-16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4.1666666666666664E-2</v>
      </c>
      <c r="AO47" s="220">
        <f t="shared" si="35"/>
        <v>8.3333333333333329E-2</v>
      </c>
      <c r="AP47" s="220">
        <f t="shared" ref="AP47:AY56" si="36">IF(OR(AP$15&lt;$G47,AP$15&gt;$G47+$F$5),0,IF(OR(AP$15=$G47,AP$15=$G47+$F$5),0.5,1)/$F$5)</f>
        <v>8.3333333333333329E-2</v>
      </c>
      <c r="AQ47" s="220">
        <f t="shared" si="36"/>
        <v>8.3333333333333329E-2</v>
      </c>
      <c r="AR47" s="220">
        <f t="shared" si="36"/>
        <v>8.3333333333333329E-2</v>
      </c>
      <c r="AS47" s="220">
        <f t="shared" si="36"/>
        <v>8.3333333333333329E-2</v>
      </c>
      <c r="AT47" s="220">
        <f t="shared" si="36"/>
        <v>8.3333333333333329E-2</v>
      </c>
      <c r="AU47" s="220">
        <f t="shared" si="36"/>
        <v>8.3333333333333329E-2</v>
      </c>
      <c r="AV47" s="220">
        <f t="shared" si="36"/>
        <v>8.3333333333333329E-2</v>
      </c>
      <c r="AW47" s="220">
        <f t="shared" si="36"/>
        <v>8.3333333333333329E-2</v>
      </c>
      <c r="AX47" s="220">
        <f t="shared" si="36"/>
        <v>8.3333333333333329E-2</v>
      </c>
      <c r="AY47" s="220">
        <f t="shared" si="36"/>
        <v>8.3333333333333329E-2</v>
      </c>
      <c r="AZ47" s="220">
        <f t="shared" ref="AZ47:BE56" si="37">IF(OR(AZ$15&lt;$G47,AZ$15&gt;$G47+$F$5),0,IF(OR(AZ$15=$G47,AZ$15=$G47+$F$5),0.5,1)/$F$5)</f>
        <v>4.1666666666666664E-2</v>
      </c>
      <c r="BA47" s="220">
        <f t="shared" si="37"/>
        <v>0</v>
      </c>
      <c r="BB47" s="220">
        <f t="shared" si="37"/>
        <v>0</v>
      </c>
      <c r="BC47" s="220">
        <f t="shared" si="37"/>
        <v>0</v>
      </c>
      <c r="BD47" s="220">
        <f t="shared" si="37"/>
        <v>0</v>
      </c>
      <c r="BE47" s="220">
        <f t="shared" si="37"/>
        <v>0</v>
      </c>
      <c r="BF47" s="248">
        <f t="shared" si="24"/>
        <v>2.2204460492503131E-16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0.375</v>
      </c>
      <c r="R48" s="121">
        <f t="shared" si="16"/>
        <v>0.625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4.1666666666666664E-2</v>
      </c>
      <c r="AP48" s="220">
        <f t="shared" si="36"/>
        <v>8.3333333333333329E-2</v>
      </c>
      <c r="AQ48" s="220">
        <f t="shared" si="36"/>
        <v>8.3333333333333329E-2</v>
      </c>
      <c r="AR48" s="220">
        <f t="shared" si="36"/>
        <v>8.3333333333333329E-2</v>
      </c>
      <c r="AS48" s="220">
        <f t="shared" si="36"/>
        <v>8.3333333333333329E-2</v>
      </c>
      <c r="AT48" s="220">
        <f t="shared" si="36"/>
        <v>8.3333333333333329E-2</v>
      </c>
      <c r="AU48" s="220">
        <f t="shared" si="36"/>
        <v>8.3333333333333329E-2</v>
      </c>
      <c r="AV48" s="220">
        <f t="shared" si="36"/>
        <v>8.3333333333333329E-2</v>
      </c>
      <c r="AW48" s="220">
        <f t="shared" si="36"/>
        <v>8.3333333333333329E-2</v>
      </c>
      <c r="AX48" s="220">
        <f t="shared" si="36"/>
        <v>8.3333333333333329E-2</v>
      </c>
      <c r="AY48" s="220">
        <f t="shared" si="36"/>
        <v>8.3333333333333329E-2</v>
      </c>
      <c r="AZ48" s="220">
        <f t="shared" si="37"/>
        <v>8.3333333333333329E-2</v>
      </c>
      <c r="BA48" s="220">
        <f t="shared" si="37"/>
        <v>4.1666666666666664E-2</v>
      </c>
      <c r="BB48" s="220">
        <f t="shared" si="37"/>
        <v>0</v>
      </c>
      <c r="BC48" s="220">
        <f t="shared" si="37"/>
        <v>0</v>
      </c>
      <c r="BD48" s="220">
        <f t="shared" si="37"/>
        <v>0</v>
      </c>
      <c r="BE48" s="220">
        <f t="shared" si="37"/>
        <v>0</v>
      </c>
      <c r="BF48" s="248">
        <f t="shared" si="24"/>
        <v>2.2204460492503131E-16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4.1666666666666664E-2</v>
      </c>
      <c r="AQ49" s="220">
        <f t="shared" si="36"/>
        <v>8.3333333333333329E-2</v>
      </c>
      <c r="AR49" s="220">
        <f t="shared" si="36"/>
        <v>8.3333333333333329E-2</v>
      </c>
      <c r="AS49" s="220">
        <f t="shared" si="36"/>
        <v>8.3333333333333329E-2</v>
      </c>
      <c r="AT49" s="220">
        <f t="shared" si="36"/>
        <v>8.3333333333333329E-2</v>
      </c>
      <c r="AU49" s="220">
        <f t="shared" si="36"/>
        <v>8.3333333333333329E-2</v>
      </c>
      <c r="AV49" s="220">
        <f t="shared" si="36"/>
        <v>8.3333333333333329E-2</v>
      </c>
      <c r="AW49" s="220">
        <f t="shared" si="36"/>
        <v>8.3333333333333329E-2</v>
      </c>
      <c r="AX49" s="220">
        <f t="shared" si="36"/>
        <v>8.3333333333333329E-2</v>
      </c>
      <c r="AY49" s="220">
        <f t="shared" si="36"/>
        <v>8.3333333333333329E-2</v>
      </c>
      <c r="AZ49" s="220">
        <f t="shared" si="37"/>
        <v>8.3333333333333329E-2</v>
      </c>
      <c r="BA49" s="220">
        <f t="shared" si="37"/>
        <v>8.3333333333333329E-2</v>
      </c>
      <c r="BB49" s="220">
        <f t="shared" si="37"/>
        <v>4.1666666666666664E-2</v>
      </c>
      <c r="BC49" s="220">
        <f t="shared" si="37"/>
        <v>0</v>
      </c>
      <c r="BD49" s="220">
        <f t="shared" si="37"/>
        <v>0</v>
      </c>
      <c r="BE49" s="220">
        <f t="shared" si="37"/>
        <v>0</v>
      </c>
      <c r="BF49" s="248">
        <f t="shared" si="24"/>
        <v>2.2204460492503131E-16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4.1666666666666664E-2</v>
      </c>
      <c r="AR50" s="220">
        <f t="shared" si="36"/>
        <v>8.3333333333333329E-2</v>
      </c>
      <c r="AS50" s="220">
        <f t="shared" si="36"/>
        <v>8.3333333333333329E-2</v>
      </c>
      <c r="AT50" s="220">
        <f t="shared" si="36"/>
        <v>8.3333333333333329E-2</v>
      </c>
      <c r="AU50" s="220">
        <f t="shared" si="36"/>
        <v>8.3333333333333329E-2</v>
      </c>
      <c r="AV50" s="220">
        <f t="shared" si="36"/>
        <v>8.3333333333333329E-2</v>
      </c>
      <c r="AW50" s="220">
        <f t="shared" si="36"/>
        <v>8.3333333333333329E-2</v>
      </c>
      <c r="AX50" s="220">
        <f t="shared" si="36"/>
        <v>8.3333333333333329E-2</v>
      </c>
      <c r="AY50" s="220">
        <f t="shared" si="36"/>
        <v>8.3333333333333329E-2</v>
      </c>
      <c r="AZ50" s="220">
        <f t="shared" si="37"/>
        <v>8.3333333333333329E-2</v>
      </c>
      <c r="BA50" s="220">
        <f t="shared" si="37"/>
        <v>8.3333333333333329E-2</v>
      </c>
      <c r="BB50" s="220">
        <f t="shared" si="37"/>
        <v>8.3333333333333329E-2</v>
      </c>
      <c r="BC50" s="220">
        <f t="shared" si="37"/>
        <v>4.1666666666666664E-2</v>
      </c>
      <c r="BD50" s="220">
        <f t="shared" si="37"/>
        <v>0</v>
      </c>
      <c r="BE50" s="220">
        <f t="shared" si="37"/>
        <v>0</v>
      </c>
      <c r="BF50" s="248">
        <f t="shared" si="24"/>
        <v>2.2204460492503131E-16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0.125</v>
      </c>
      <c r="R51" s="121">
        <f t="shared" si="16"/>
        <v>0.875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4.1666666666666664E-2</v>
      </c>
      <c r="AS51" s="220">
        <f t="shared" si="36"/>
        <v>8.3333333333333329E-2</v>
      </c>
      <c r="AT51" s="220">
        <f t="shared" si="36"/>
        <v>8.3333333333333329E-2</v>
      </c>
      <c r="AU51" s="220">
        <f t="shared" si="36"/>
        <v>8.3333333333333329E-2</v>
      </c>
      <c r="AV51" s="220">
        <f t="shared" si="36"/>
        <v>8.3333333333333329E-2</v>
      </c>
      <c r="AW51" s="220">
        <f t="shared" si="36"/>
        <v>8.3333333333333329E-2</v>
      </c>
      <c r="AX51" s="220">
        <f t="shared" si="36"/>
        <v>8.3333333333333329E-2</v>
      </c>
      <c r="AY51" s="220">
        <f t="shared" si="36"/>
        <v>8.3333333333333329E-2</v>
      </c>
      <c r="AZ51" s="220">
        <f t="shared" si="37"/>
        <v>8.3333333333333329E-2</v>
      </c>
      <c r="BA51" s="220">
        <f t="shared" si="37"/>
        <v>8.3333333333333329E-2</v>
      </c>
      <c r="BB51" s="220">
        <f t="shared" si="37"/>
        <v>8.3333333333333329E-2</v>
      </c>
      <c r="BC51" s="220">
        <f t="shared" si="37"/>
        <v>8.3333333333333329E-2</v>
      </c>
      <c r="BD51" s="220">
        <f t="shared" si="37"/>
        <v>4.1666666666666664E-2</v>
      </c>
      <c r="BE51" s="220">
        <f t="shared" si="37"/>
        <v>0</v>
      </c>
      <c r="BF51" s="248">
        <f t="shared" si="24"/>
        <v>2.2204460492503131E-16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4.1666666666666664E-2</v>
      </c>
      <c r="AT52" s="220">
        <f t="shared" si="36"/>
        <v>8.3333333333333329E-2</v>
      </c>
      <c r="AU52" s="220">
        <f t="shared" si="36"/>
        <v>8.3333333333333329E-2</v>
      </c>
      <c r="AV52" s="220">
        <f t="shared" si="36"/>
        <v>8.3333333333333329E-2</v>
      </c>
      <c r="AW52" s="220">
        <f t="shared" si="36"/>
        <v>8.3333333333333329E-2</v>
      </c>
      <c r="AX52" s="220">
        <f t="shared" si="36"/>
        <v>8.3333333333333329E-2</v>
      </c>
      <c r="AY52" s="220">
        <f t="shared" si="36"/>
        <v>8.3333333333333329E-2</v>
      </c>
      <c r="AZ52" s="220">
        <f t="shared" si="37"/>
        <v>8.3333333333333329E-2</v>
      </c>
      <c r="BA52" s="220">
        <f t="shared" si="37"/>
        <v>8.3333333333333329E-2</v>
      </c>
      <c r="BB52" s="220">
        <f t="shared" si="37"/>
        <v>8.3333333333333329E-2</v>
      </c>
      <c r="BC52" s="220">
        <f t="shared" si="37"/>
        <v>8.3333333333333329E-2</v>
      </c>
      <c r="BD52" s="220">
        <f t="shared" si="37"/>
        <v>8.3333333333333329E-2</v>
      </c>
      <c r="BE52" s="220">
        <f t="shared" si="37"/>
        <v>4.1666666666666664E-2</v>
      </c>
      <c r="BF52" s="248">
        <f t="shared" si="24"/>
        <v>2.2204460492503131E-16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0.95833333333333337</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4.1666666666666664E-2</v>
      </c>
      <c r="AU53" s="220">
        <f t="shared" si="36"/>
        <v>8.3333333333333329E-2</v>
      </c>
      <c r="AV53" s="220">
        <f t="shared" si="36"/>
        <v>8.3333333333333329E-2</v>
      </c>
      <c r="AW53" s="220">
        <f t="shared" si="36"/>
        <v>8.3333333333333329E-2</v>
      </c>
      <c r="AX53" s="220">
        <f t="shared" si="36"/>
        <v>8.3333333333333329E-2</v>
      </c>
      <c r="AY53" s="220">
        <f t="shared" si="36"/>
        <v>8.3333333333333329E-2</v>
      </c>
      <c r="AZ53" s="220">
        <f t="shared" si="37"/>
        <v>8.3333333333333329E-2</v>
      </c>
      <c r="BA53" s="220">
        <f t="shared" si="37"/>
        <v>8.3333333333333329E-2</v>
      </c>
      <c r="BB53" s="220">
        <f t="shared" si="37"/>
        <v>8.3333333333333329E-2</v>
      </c>
      <c r="BC53" s="220">
        <f t="shared" si="37"/>
        <v>8.3333333333333329E-2</v>
      </c>
      <c r="BD53" s="220">
        <f t="shared" si="37"/>
        <v>8.3333333333333329E-2</v>
      </c>
      <c r="BE53" s="220">
        <f t="shared" si="37"/>
        <v>8.3333333333333329E-2</v>
      </c>
      <c r="BF53" s="248">
        <f t="shared" si="24"/>
        <v>0</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0.875</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4.1666666666666664E-2</v>
      </c>
      <c r="AV54" s="220">
        <f t="shared" si="36"/>
        <v>8.3333333333333329E-2</v>
      </c>
      <c r="AW54" s="220">
        <f t="shared" si="36"/>
        <v>8.3333333333333329E-2</v>
      </c>
      <c r="AX54" s="220">
        <f t="shared" si="36"/>
        <v>8.3333333333333329E-2</v>
      </c>
      <c r="AY54" s="220">
        <f t="shared" si="36"/>
        <v>8.3333333333333329E-2</v>
      </c>
      <c r="AZ54" s="220">
        <f t="shared" si="37"/>
        <v>8.3333333333333329E-2</v>
      </c>
      <c r="BA54" s="220">
        <f t="shared" si="37"/>
        <v>8.3333333333333329E-2</v>
      </c>
      <c r="BB54" s="220">
        <f t="shared" si="37"/>
        <v>8.3333333333333329E-2</v>
      </c>
      <c r="BC54" s="220">
        <f t="shared" si="37"/>
        <v>8.3333333333333329E-2</v>
      </c>
      <c r="BD54" s="220">
        <f t="shared" si="37"/>
        <v>8.3333333333333329E-2</v>
      </c>
      <c r="BE54" s="220">
        <f t="shared" si="37"/>
        <v>8.3333333333333329E-2</v>
      </c>
      <c r="BF54" s="248">
        <f t="shared" si="24"/>
        <v>0</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0.79166666666666663</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4.1666666666666664E-2</v>
      </c>
      <c r="AW55" s="220">
        <f t="shared" si="36"/>
        <v>8.3333333333333329E-2</v>
      </c>
      <c r="AX55" s="220">
        <f t="shared" si="36"/>
        <v>8.3333333333333329E-2</v>
      </c>
      <c r="AY55" s="220">
        <f t="shared" si="36"/>
        <v>8.3333333333333329E-2</v>
      </c>
      <c r="AZ55" s="220">
        <f t="shared" si="37"/>
        <v>8.3333333333333329E-2</v>
      </c>
      <c r="BA55" s="220">
        <f t="shared" si="37"/>
        <v>8.3333333333333329E-2</v>
      </c>
      <c r="BB55" s="220">
        <f t="shared" si="37"/>
        <v>8.3333333333333329E-2</v>
      </c>
      <c r="BC55" s="220">
        <f t="shared" si="37"/>
        <v>8.3333333333333329E-2</v>
      </c>
      <c r="BD55" s="220">
        <f t="shared" si="37"/>
        <v>8.3333333333333329E-2</v>
      </c>
      <c r="BE55" s="220">
        <f t="shared" si="37"/>
        <v>8.3333333333333329E-2</v>
      </c>
      <c r="BF55" s="248">
        <f t="shared" si="24"/>
        <v>0</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0.70833333333333337</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4.1666666666666664E-2</v>
      </c>
      <c r="AX56" s="220">
        <f t="shared" si="36"/>
        <v>8.3333333333333329E-2</v>
      </c>
      <c r="AY56" s="220">
        <f t="shared" si="36"/>
        <v>8.3333333333333329E-2</v>
      </c>
      <c r="AZ56" s="220">
        <f t="shared" si="37"/>
        <v>8.3333333333333329E-2</v>
      </c>
      <c r="BA56" s="220">
        <f t="shared" si="37"/>
        <v>8.3333333333333329E-2</v>
      </c>
      <c r="BB56" s="220">
        <f t="shared" si="37"/>
        <v>8.3333333333333329E-2</v>
      </c>
      <c r="BC56" s="220">
        <f t="shared" si="37"/>
        <v>8.3333333333333329E-2</v>
      </c>
      <c r="BD56" s="220">
        <f t="shared" si="37"/>
        <v>8.3333333333333329E-2</v>
      </c>
      <c r="BE56" s="220">
        <f t="shared" si="37"/>
        <v>8.3333333333333329E-2</v>
      </c>
      <c r="BF56" s="248">
        <f t="shared" si="24"/>
        <v>0</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0.625</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4.1666666666666664E-2</v>
      </c>
      <c r="AY57" s="220">
        <f t="shared" si="40"/>
        <v>8.3333333333333329E-2</v>
      </c>
      <c r="AZ57" s="220">
        <f t="shared" ref="AZ57:BE64" si="41">IF(OR(AZ$15&lt;$G57,AZ$15&gt;$G57+$F$5),0,IF(OR(AZ$15=$G57,AZ$15=$G57+$F$5),0.5,1)/$F$5)</f>
        <v>8.3333333333333329E-2</v>
      </c>
      <c r="BA57" s="220">
        <f t="shared" si="41"/>
        <v>8.3333333333333329E-2</v>
      </c>
      <c r="BB57" s="220">
        <f t="shared" si="41"/>
        <v>8.3333333333333329E-2</v>
      </c>
      <c r="BC57" s="220">
        <f t="shared" si="41"/>
        <v>8.3333333333333329E-2</v>
      </c>
      <c r="BD57" s="220">
        <f t="shared" si="41"/>
        <v>8.3333333333333329E-2</v>
      </c>
      <c r="BE57" s="220">
        <f t="shared" si="41"/>
        <v>8.3333333333333329E-2</v>
      </c>
      <c r="BF57" s="248">
        <f t="shared" si="24"/>
        <v>0</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0.54166666666666663</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4.1666666666666664E-2</v>
      </c>
      <c r="AZ58" s="220">
        <f t="shared" si="41"/>
        <v>8.3333333333333329E-2</v>
      </c>
      <c r="BA58" s="220">
        <f t="shared" si="41"/>
        <v>8.3333333333333329E-2</v>
      </c>
      <c r="BB58" s="220">
        <f t="shared" si="41"/>
        <v>8.3333333333333329E-2</v>
      </c>
      <c r="BC58" s="220">
        <f t="shared" si="41"/>
        <v>8.3333333333333329E-2</v>
      </c>
      <c r="BD58" s="220">
        <f t="shared" si="41"/>
        <v>8.3333333333333329E-2</v>
      </c>
      <c r="BE58" s="220">
        <f t="shared" si="41"/>
        <v>8.3333333333333329E-2</v>
      </c>
      <c r="BF58" s="248">
        <f t="shared" si="24"/>
        <v>0</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0.45833333333333331</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4.1666666666666664E-2</v>
      </c>
      <c r="BA59" s="220">
        <f t="shared" si="41"/>
        <v>8.3333333333333329E-2</v>
      </c>
      <c r="BB59" s="220">
        <f t="shared" si="41"/>
        <v>8.3333333333333329E-2</v>
      </c>
      <c r="BC59" s="220">
        <f t="shared" si="41"/>
        <v>8.3333333333333329E-2</v>
      </c>
      <c r="BD59" s="220">
        <f t="shared" si="41"/>
        <v>8.3333333333333329E-2</v>
      </c>
      <c r="BE59" s="220">
        <f t="shared" si="41"/>
        <v>8.3333333333333329E-2</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0.375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4.1666666666666664E-2</v>
      </c>
      <c r="BB60" s="220">
        <f t="shared" si="41"/>
        <v>8.3333333333333329E-2</v>
      </c>
      <c r="BC60" s="220">
        <f t="shared" si="41"/>
        <v>8.3333333333333329E-2</v>
      </c>
      <c r="BD60" s="220">
        <f t="shared" si="41"/>
        <v>8.3333333333333329E-2</v>
      </c>
      <c r="BE60" s="220">
        <f t="shared" si="41"/>
        <v>8.3333333333333329E-2</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0.29166666666666669</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4.1666666666666664E-2</v>
      </c>
      <c r="BC61" s="220">
        <f t="shared" si="41"/>
        <v>8.3333333333333329E-2</v>
      </c>
      <c r="BD61" s="220">
        <f t="shared" si="41"/>
        <v>8.3333333333333329E-2</v>
      </c>
      <c r="BE61" s="220">
        <f t="shared" si="41"/>
        <v>8.3333333333333329E-2</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0.20833333333333334</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4.1666666666666664E-2</v>
      </c>
      <c r="BD62" s="220">
        <f t="shared" si="41"/>
        <v>8.3333333333333329E-2</v>
      </c>
      <c r="BE62" s="220">
        <f t="shared" si="41"/>
        <v>8.3333333333333329E-2</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0.125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4.1666666666666664E-2</v>
      </c>
      <c r="BE63" s="220">
        <f t="shared" si="41"/>
        <v>8.3333333333333329E-2</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4.1666666666666664E-2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4.1666666666666664E-2</v>
      </c>
      <c r="BF64" s="248">
        <f t="shared" si="24"/>
        <v>0</v>
      </c>
    </row>
    <row r="66" spans="21:59" x14ac:dyDescent="0.3">
      <c r="U66" s="6" t="s">
        <v>704</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705</v>
      </c>
    </row>
    <row r="68" spans="21:59" x14ac:dyDescent="0.3">
      <c r="U68" s="6" t="s">
        <v>706</v>
      </c>
      <c r="V68" s="249">
        <f t="shared" ref="V68:BE68" si="44">IF(V67=0,"",V66/V67)</f>
        <v>1.0216666666666663</v>
      </c>
      <c r="W68" s="249">
        <f t="shared" si="44"/>
        <v>1.0249999999999997</v>
      </c>
      <c r="X68" s="249">
        <f t="shared" si="44"/>
        <v>1.0283333333333331</v>
      </c>
      <c r="Y68" s="249">
        <f t="shared" si="44"/>
        <v>1.0316666666666665</v>
      </c>
      <c r="Z68" s="249">
        <f t="shared" si="44"/>
        <v>1.0349999999999999</v>
      </c>
      <c r="AA68" s="249">
        <f t="shared" si="44"/>
        <v>1.0383333333333331</v>
      </c>
      <c r="AB68" s="249">
        <f t="shared" si="44"/>
        <v>1.0425999999999997</v>
      </c>
      <c r="AC68" s="249">
        <f t="shared" si="44"/>
        <v>1.0477999999999998</v>
      </c>
      <c r="AD68" s="249">
        <f t="shared" si="44"/>
        <v>1.0529999999999999</v>
      </c>
      <c r="AE68" s="249">
        <f t="shared" si="44"/>
        <v>1.0581999999999998</v>
      </c>
      <c r="AF68" s="249">
        <f t="shared" si="44"/>
        <v>1.0633999999999999</v>
      </c>
      <c r="AG68" s="249">
        <f t="shared" si="44"/>
        <v>1.0685999999999998</v>
      </c>
      <c r="AH68" s="249">
        <f t="shared" si="44"/>
        <v>1.0737999999999999</v>
      </c>
      <c r="AI68" s="249">
        <f t="shared" si="44"/>
        <v>1.0789999999999997</v>
      </c>
      <c r="AJ68" s="249">
        <f t="shared" si="44"/>
        <v>1.0841999999999998</v>
      </c>
      <c r="AK68" s="249">
        <f t="shared" si="44"/>
        <v>1.0916966666666663</v>
      </c>
      <c r="AL68" s="249">
        <f t="shared" si="44"/>
        <v>1.1014899999999996</v>
      </c>
      <c r="AM68" s="249">
        <f t="shared" si="44"/>
        <v>1.111283333333333</v>
      </c>
      <c r="AN68" s="249">
        <f t="shared" si="44"/>
        <v>1.1184766666666663</v>
      </c>
      <c r="AO68" s="249">
        <f t="shared" si="44"/>
        <v>1.1230699999999998</v>
      </c>
      <c r="AP68" s="249">
        <f t="shared" si="44"/>
        <v>1.127663333333333</v>
      </c>
      <c r="AQ68" s="249">
        <f t="shared" si="44"/>
        <v>1.1322566666666665</v>
      </c>
      <c r="AR68" s="249">
        <f t="shared" si="44"/>
        <v>1.1368499999999997</v>
      </c>
      <c r="AS68" s="249">
        <f t="shared" si="44"/>
        <v>1.1414433333333331</v>
      </c>
      <c r="AT68" s="249">
        <f t="shared" si="44"/>
        <v>1.1460366666666664</v>
      </c>
      <c r="AU68" s="249">
        <f t="shared" si="44"/>
        <v>1.1506299999999998</v>
      </c>
      <c r="AV68" s="249">
        <f t="shared" si="44"/>
        <v>1.155223333333333</v>
      </c>
      <c r="AW68" s="249">
        <f t="shared" si="44"/>
        <v>1.1575199999999999</v>
      </c>
      <c r="AX68" s="249">
        <f t="shared" si="44"/>
        <v>1.1575199999999999</v>
      </c>
      <c r="AY68" s="249">
        <f t="shared" si="44"/>
        <v>1.1575199999999999</v>
      </c>
      <c r="AZ68" s="249">
        <f t="shared" si="44"/>
        <v>1.1575199999999999</v>
      </c>
      <c r="BA68" s="249">
        <f t="shared" si="44"/>
        <v>1.1575199999999999</v>
      </c>
      <c r="BB68" s="249">
        <f t="shared" si="44"/>
        <v>1.1575199999999999</v>
      </c>
      <c r="BC68" s="249">
        <f t="shared" si="44"/>
        <v>1.1575199999999999</v>
      </c>
      <c r="BD68" s="249">
        <f t="shared" si="44"/>
        <v>1.1575199999999999</v>
      </c>
      <c r="BE68" s="249">
        <f t="shared" si="44"/>
        <v>1.1575199999999999</v>
      </c>
      <c r="BG68" s="6" t="s">
        <v>706</v>
      </c>
    </row>
    <row r="69" spans="21:59" x14ac:dyDescent="0.3">
      <c r="U69" s="6" t="s">
        <v>707</v>
      </c>
      <c r="V69" s="160">
        <f>MIN(INDEX($U$17:$U$64,MAX(1,V$15-$G$17-$F$5+1)):INDEX($U$17:$U$64,V$15-$G$17+1))</f>
        <v>1</v>
      </c>
      <c r="W69" s="160">
        <f>MIN(INDEX($U$17:$U$64,MAX(1,W$15-$G$17-$F$5+1)):INDEX($U$17:$U$64,W$15-$G$17+1))</f>
        <v>1</v>
      </c>
      <c r="X69" s="160">
        <f>MIN(INDEX($U$17:$U$64,MAX(1,X$15-$G$17-$F$5+1)):INDEX($U$17:$U$64,X$15-$G$17+1))</f>
        <v>1</v>
      </c>
      <c r="Y69" s="160">
        <f>MIN(INDEX($U$17:$U$64,MAX(1,Y$15-$G$17-$F$5+1)):INDEX($U$17:$U$64,Y$15-$G$17+1))</f>
        <v>1</v>
      </c>
      <c r="Z69" s="160">
        <f>MIN(INDEX($U$17:$U$64,MAX(1,Z$15-$G$17-$F$5+1)):INDEX($U$17:$U$64,Z$15-$G$17+1))</f>
        <v>1</v>
      </c>
      <c r="AA69" s="160">
        <f>MIN(INDEX($U$17:$U$64,MAX(1,AA$15-$G$17-$F$5+1)):INDEX($U$17:$U$64,AA$15-$G$17+1))</f>
        <v>1</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1.04</v>
      </c>
      <c r="AI69" s="160">
        <f>MIN(INDEX($U$17:$U$64,MAX(1,AI$15-$G$17-$F$5+1)):INDEX($U$17:$U$64,AI$15-$G$17+1))</f>
        <v>1.04</v>
      </c>
      <c r="AJ69" s="160">
        <f>MIN(INDEX($U$17:$U$64,MAX(1,AJ$15-$G$17-$F$5+1)):INDEX($U$17:$U$64,AJ$15-$G$17+1))</f>
        <v>1.04</v>
      </c>
      <c r="AK69" s="160">
        <f>MIN(INDEX($U$17:$U$64,MAX(1,AK$15-$G$17-$F$5+1)):INDEX($U$17:$U$64,AK$15-$G$17+1))</f>
        <v>1.04</v>
      </c>
      <c r="AL69" s="160">
        <f>MIN(INDEX($U$17:$U$64,MAX(1,AL$15-$G$17-$F$5+1)):INDEX($U$17:$U$64,AL$15-$G$17+1))</f>
        <v>1.04</v>
      </c>
      <c r="AM69" s="160">
        <f>MIN(INDEX($U$17:$U$64,MAX(1,AM$15-$G$17-$F$5+1)):INDEX($U$17:$U$64,AM$15-$G$17+1))</f>
        <v>1.04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1.1024</v>
      </c>
      <c r="AR69" s="160">
        <f>MIN(INDEX($U$17:$U$64,MAX(1,AR$15-$G$17-$F$5+1)):INDEX($U$17:$U$64,AR$15-$G$17+1))</f>
        <v>1.1024</v>
      </c>
      <c r="AS69" s="160">
        <f>MIN(INDEX($U$17:$U$64,MAX(1,AS$15-$G$17-$F$5+1)):INDEX($U$17:$U$64,AS$15-$G$17+1))</f>
        <v>1.1024</v>
      </c>
      <c r="AT69" s="160">
        <f>MIN(INDEX($U$17:$U$64,MAX(1,AT$15-$G$17-$F$5+1)):INDEX($U$17:$U$64,AT$15-$G$17+1))</f>
        <v>1.1024</v>
      </c>
      <c r="AU69" s="160">
        <f>MIN(INDEX($U$17:$U$64,MAX(1,AU$15-$G$17-$F$5+1)):INDEX($U$17:$U$64,AU$15-$G$17+1))</f>
        <v>1.1024</v>
      </c>
      <c r="AV69" s="160">
        <f>MIN(INDEX($U$17:$U$64,MAX(1,AV$15-$G$17-$F$5+1)):INDEX($U$17:$U$64,AV$15-$G$17+1))</f>
        <v>1.1024</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0</v>
      </c>
      <c r="W71" s="248">
        <f t="shared" si="45"/>
        <v>0</v>
      </c>
      <c r="X71" s="248">
        <f t="shared" si="45"/>
        <v>0</v>
      </c>
      <c r="Y71" s="248">
        <f t="shared" si="45"/>
        <v>0</v>
      </c>
      <c r="Z71" s="248">
        <f t="shared" si="45"/>
        <v>0</v>
      </c>
      <c r="AA71" s="248">
        <f t="shared" si="45"/>
        <v>0</v>
      </c>
      <c r="AB71" s="248">
        <f t="shared" si="45"/>
        <v>0</v>
      </c>
      <c r="AC71" s="248">
        <f t="shared" si="45"/>
        <v>0</v>
      </c>
      <c r="AD71" s="248">
        <f t="shared" si="45"/>
        <v>0</v>
      </c>
      <c r="AE71" s="248">
        <f t="shared" si="45"/>
        <v>0</v>
      </c>
      <c r="AF71" s="248">
        <f t="shared" si="45"/>
        <v>0</v>
      </c>
      <c r="AG71" s="248">
        <f t="shared" si="45"/>
        <v>0</v>
      </c>
      <c r="AH71" s="248">
        <f t="shared" si="45"/>
        <v>0</v>
      </c>
      <c r="AI71" s="248">
        <f t="shared" si="45"/>
        <v>0</v>
      </c>
      <c r="AJ71" s="248">
        <f t="shared" si="45"/>
        <v>0</v>
      </c>
      <c r="AK71" s="248">
        <f t="shared" si="45"/>
        <v>0</v>
      </c>
      <c r="AL71" s="248">
        <f t="shared" si="45"/>
        <v>0</v>
      </c>
      <c r="AM71" s="248">
        <f t="shared" si="45"/>
        <v>0</v>
      </c>
      <c r="AN71" s="248">
        <f t="shared" si="45"/>
        <v>0</v>
      </c>
      <c r="AO71" s="248">
        <f t="shared" si="45"/>
        <v>0</v>
      </c>
      <c r="AP71" s="248">
        <f t="shared" si="45"/>
        <v>0</v>
      </c>
      <c r="AQ71" s="248">
        <f t="shared" si="45"/>
        <v>0</v>
      </c>
      <c r="AR71" s="248">
        <f t="shared" si="45"/>
        <v>0</v>
      </c>
      <c r="AS71" s="248">
        <f t="shared" si="45"/>
        <v>0</v>
      </c>
      <c r="AT71" s="248">
        <f t="shared" si="45"/>
        <v>0</v>
      </c>
      <c r="AU71" s="248">
        <f t="shared" si="45"/>
        <v>0</v>
      </c>
      <c r="AV71" s="248">
        <f t="shared" si="45"/>
        <v>0</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0.83104485776805215</v>
      </c>
      <c r="W72" s="220">
        <f>IF(W67=0,"",SUMPRODUCT(W$17:W$64,$H$17:$H$64,'Mod Engine'!$E$17:$E$64)/W67)</f>
        <v>0.83304157549234104</v>
      </c>
      <c r="X72" s="220">
        <f>IF(X67=0,"",SUMPRODUCT(X$17:X$64,$H$17:$H$64,'Mod Engine'!$E$17:$E$64)/X67)</f>
        <v>0.8350382932166297</v>
      </c>
      <c r="Y72" s="220">
        <f>IF(Y67=0,"",SUMPRODUCT(Y$17:Y$64,$H$17:$H$64,'Mod Engine'!$E$17:$E$64)/Y67)</f>
        <v>0.83703501094091859</v>
      </c>
      <c r="Z72" s="220">
        <f>IF(Z67=0,"",SUMPRODUCT(Z$17:Z$64,$H$17:$H$64,'Mod Engine'!$E$17:$E$64)/Z67)</f>
        <v>0.83903172866520759</v>
      </c>
      <c r="AA72" s="220">
        <f>IF(AA67=0,"",SUMPRODUCT(AA$17:AA$64,$H$17:$H$64,'Mod Engine'!$E$17:$E$64)/AA67)</f>
        <v>0.84102844638949636</v>
      </c>
      <c r="AB72" s="220">
        <f>IF(AB67=0,"",SUMPRODUCT(AB$17:AB$64,$H$17:$H$64,'Mod Engine'!$E$17:$E$64)/AB67)</f>
        <v>0.84302516411378536</v>
      </c>
      <c r="AC72" s="220">
        <f>IF(AC67=0,"",SUMPRODUCT(AC$17:AC$64,$H$17:$H$64,'Mod Engine'!$E$17:$E$64)/AC67)</f>
        <v>0.84502188183807425</v>
      </c>
      <c r="AD72" s="220">
        <f>IF(AD67=0,"",SUMPRODUCT(AD$17:AD$64,$H$17:$H$64,'Mod Engine'!$E$17:$E$64)/AD67)</f>
        <v>0.84701859956236303</v>
      </c>
      <c r="AE72" s="220">
        <f>IF(AE67=0,"",SUMPRODUCT(AE$17:AE$64,$H$17:$H$64,'Mod Engine'!$E$17:$E$64)/AE67)</f>
        <v>0.84901531728665192</v>
      </c>
      <c r="AF72" s="220">
        <f>IF(AF67=0,"",SUMPRODUCT(AF$17:AF$64,$H$17:$H$64,'Mod Engine'!$E$17:$E$64)/AF67)</f>
        <v>0.85101203501094069</v>
      </c>
      <c r="AG72" s="220">
        <f>IF(AG67=0,"",SUMPRODUCT(AG$17:AG$64,$H$17:$H$64,'Mod Engine'!$E$17:$E$64)/AG67)</f>
        <v>0.85300875273522958</v>
      </c>
      <c r="AH72" s="220">
        <f>IF(AH67=0,"",SUMPRODUCT(AH$17:AH$64,$H$17:$H$64,'Mod Engine'!$E$17:$E$64)/AH67)</f>
        <v>0.85500547045951847</v>
      </c>
      <c r="AI72" s="220">
        <f>IF(AI67=0,"",SUMPRODUCT(AI$17:AI$64,$H$17:$H$64,'Mod Engine'!$E$17:$E$64)/AI67)</f>
        <v>0.85700218818380713</v>
      </c>
      <c r="AJ72" s="220">
        <f>IF(AJ67=0,"",SUMPRODUCT(AJ$17:AJ$64,$H$17:$H$64,'Mod Engine'!$E$17:$E$64)/AJ67)</f>
        <v>0.85899890590809602</v>
      </c>
      <c r="AK72" s="220">
        <f>IF(AK67=0,"",SUMPRODUCT(AK$17:AK$64,$H$17:$H$64,'Mod Engine'!$E$17:$E$64)/AK67)</f>
        <v>0.86099562363238491</v>
      </c>
      <c r="AL72" s="220">
        <f>IF(AL67=0,"",SUMPRODUCT(AL$17:AL$64,$H$17:$H$64,'Mod Engine'!$E$17:$E$64)/AL67)</f>
        <v>0.86299234135667369</v>
      </c>
      <c r="AM72" s="220">
        <f>IF(AM67=0,"",SUMPRODUCT(AM$17:AM$64,$H$17:$H$64,'Mod Engine'!$E$17:$E$64)/AM67)</f>
        <v>0.86498905908096246</v>
      </c>
      <c r="AN72" s="220">
        <f>IF(AN67=0,"",SUMPRODUCT(AN$17:AN$64,$H$17:$H$64,'Mod Engine'!$E$17:$E$64)/AN67)</f>
        <v>0.86698577680525124</v>
      </c>
      <c r="AO72" s="220">
        <f>IF(AO67=0,"",SUMPRODUCT(AO$17:AO$64,$H$17:$H$64,'Mod Engine'!$E$17:$E$64)/AO67)</f>
        <v>0.86898249452954013</v>
      </c>
      <c r="AP72" s="220">
        <f>IF(AP67=0,"",SUMPRODUCT(AP$17:AP$64,$H$17:$H$64,'Mod Engine'!$E$17:$E$64)/AP67)</f>
        <v>0.8709792122538289</v>
      </c>
      <c r="AQ72" s="220">
        <f>IF(AQ67=0,"",SUMPRODUCT(AQ$17:AQ$64,$H$17:$H$64,'Mod Engine'!$E$17:$E$64)/AQ67)</f>
        <v>0.87297592997811768</v>
      </c>
      <c r="AR72" s="220">
        <f>IF(AR67=0,"",SUMPRODUCT(AR$17:AR$64,$H$17:$H$64,'Mod Engine'!$E$17:$E$64)/AR67)</f>
        <v>0.87497264770240646</v>
      </c>
      <c r="AS72" s="220">
        <f>IF(AS67=0,"",SUMPRODUCT(AS$17:AS$64,$H$17:$H$64,'Mod Engine'!$E$17:$E$64)/AS67)</f>
        <v>0.87696936542669557</v>
      </c>
      <c r="AT72" s="220">
        <f>IF(AT67=0,"",SUMPRODUCT(AT$17:AT$64,$H$17:$H$64,'Mod Engine'!$E$17:$E$64)/AT67)</f>
        <v>0.87892368708971524</v>
      </c>
      <c r="AU72" s="220">
        <f>IF(AU67=0,"",SUMPRODUCT(AU$17:AU$64,$H$17:$H$64,'Mod Engine'!$E$17:$E$64)/AU67)</f>
        <v>0.88075492341356654</v>
      </c>
      <c r="AV72" s="220">
        <f>IF(AV67=0,"",SUMPRODUCT(AV$17:AV$64,$H$17:$H$64,'Mod Engine'!$E$17:$E$64)/AV67)</f>
        <v>0.88242478118161927</v>
      </c>
      <c r="AW72" s="220">
        <f>IF(AW67=0,"",SUMPRODUCT(AW$17:AW$64,$H$17:$H$64,'Mod Engine'!$E$17:$E$64)/AW67)</f>
        <v>0.88393052516411363</v>
      </c>
      <c r="AX72" s="220">
        <f>IF(AX67=0,"",SUMPRODUCT(AX$17:AX$64,$H$17:$H$64,'Mod Engine'!$E$17:$E$64)/AX67)</f>
        <v>0.88526942013129095</v>
      </c>
      <c r="AY72" s="220">
        <f>IF(AY67=0,"",SUMPRODUCT(AY$17:AY$64,$H$17:$H$64,'Mod Engine'!$E$17:$E$64)/AY67)</f>
        <v>0.886441466083151</v>
      </c>
      <c r="AZ72" s="220">
        <f>IF(AZ67=0,"",SUMPRODUCT(AZ$17:AZ$64,$H$17:$H$64,'Mod Engine'!$E$17:$E$64)/AZ67)</f>
        <v>0.88744666301969355</v>
      </c>
      <c r="BA72" s="220">
        <f>IF(BA67=0,"",SUMPRODUCT(BA$17:BA$64,$H$17:$H$64,'Mod Engine'!$E$17:$E$64)/BA67)</f>
        <v>0.88828364332603926</v>
      </c>
      <c r="BB72" s="220">
        <f>IF(BB67=0,"",SUMPRODUCT(BB$17:BB$64,$H$17:$H$64,'Mod Engine'!$E$17:$E$64)/BB67)</f>
        <v>0.88895240700218814</v>
      </c>
      <c r="BC72" s="220">
        <f>IF(BC67=0,"",SUMPRODUCT(BC$17:BC$64,$H$17:$H$64,'Mod Engine'!$E$17:$E$64)/BC67)</f>
        <v>0.88945432166301952</v>
      </c>
      <c r="BD72" s="220">
        <f>IF(BD67=0,"",SUMPRODUCT(BD$17:BD$64,$H$17:$H$64,'Mod Engine'!$E$17:$E$64)/BD67)</f>
        <v>0.88978938730853385</v>
      </c>
      <c r="BE72" s="220">
        <f>IF(BE67=0,"",SUMPRODUCT(BE$17:BE$64,$H$17:$H$64,'Mod Engine'!$E$17:$E$64)/BE67)</f>
        <v>0.88995760393873069</v>
      </c>
      <c r="BG72" s="6" t="s">
        <v>710</v>
      </c>
    </row>
    <row r="73" spans="21:59" x14ac:dyDescent="0.3">
      <c r="U73" s="6" t="s">
        <v>711</v>
      </c>
      <c r="V73" s="160">
        <f>SUMPRODUCT(V$17:V$64,$H$17:$H$64,'Mod Engine'!$E$17:$E$64)</f>
        <v>0.83104485776805237</v>
      </c>
      <c r="W73" s="160">
        <f>SUMPRODUCT(W$17:W$64,$H$17:$H$64,'Mod Engine'!$E$17:$E$64)</f>
        <v>0.83304157549234126</v>
      </c>
      <c r="X73" s="160">
        <f>SUMPRODUCT(X$17:X$64,$H$17:$H$64,'Mod Engine'!$E$17:$E$64)</f>
        <v>0.83503829321662992</v>
      </c>
      <c r="Y73" s="160">
        <f>SUMPRODUCT(Y$17:Y$64,$H$17:$H$64,'Mod Engine'!$E$17:$E$64)</f>
        <v>0.83703501094091881</v>
      </c>
      <c r="Z73" s="160">
        <f>SUMPRODUCT(Z$17:Z$64,$H$17:$H$64,'Mod Engine'!$E$17:$E$64)</f>
        <v>0.83903172866520781</v>
      </c>
      <c r="AA73" s="160">
        <f>SUMPRODUCT(AA$17:AA$64,$H$17:$H$64,'Mod Engine'!$E$17:$E$64)</f>
        <v>0.84102844638949659</v>
      </c>
      <c r="AB73" s="160">
        <f>SUMPRODUCT(AB$17:AB$64,$H$17:$H$64,'Mod Engine'!$E$17:$E$64)</f>
        <v>0.84302516411378559</v>
      </c>
      <c r="AC73" s="160">
        <f>SUMPRODUCT(AC$17:AC$64,$H$17:$H$64,'Mod Engine'!$E$17:$E$64)</f>
        <v>0.84502188183807447</v>
      </c>
      <c r="AD73" s="160">
        <f>SUMPRODUCT(AD$17:AD$64,$H$17:$H$64,'Mod Engine'!$E$17:$E$64)</f>
        <v>0.84701859956236325</v>
      </c>
      <c r="AE73" s="160">
        <f>SUMPRODUCT(AE$17:AE$64,$H$17:$H$64,'Mod Engine'!$E$17:$E$64)</f>
        <v>0.84901531728665214</v>
      </c>
      <c r="AF73" s="160">
        <f>SUMPRODUCT(AF$17:AF$64,$H$17:$H$64,'Mod Engine'!$E$17:$E$64)</f>
        <v>0.85101203501094091</v>
      </c>
      <c r="AG73" s="160">
        <f>SUMPRODUCT(AG$17:AG$64,$H$17:$H$64,'Mod Engine'!$E$17:$E$64)</f>
        <v>0.8530087527352298</v>
      </c>
      <c r="AH73" s="160">
        <f>SUMPRODUCT(AH$17:AH$64,$H$17:$H$64,'Mod Engine'!$E$17:$E$64)</f>
        <v>0.85500547045951869</v>
      </c>
      <c r="AI73" s="160">
        <f>SUMPRODUCT(AI$17:AI$64,$H$17:$H$64,'Mod Engine'!$E$17:$E$64)</f>
        <v>0.85700218818380736</v>
      </c>
      <c r="AJ73" s="160">
        <f>SUMPRODUCT(AJ$17:AJ$64,$H$17:$H$64,'Mod Engine'!$E$17:$E$64)</f>
        <v>0.85899890590809624</v>
      </c>
      <c r="AK73" s="160">
        <f>SUMPRODUCT(AK$17:AK$64,$H$17:$H$64,'Mod Engine'!$E$17:$E$64)</f>
        <v>0.86099562363238513</v>
      </c>
      <c r="AL73" s="160">
        <f>SUMPRODUCT(AL$17:AL$64,$H$17:$H$64,'Mod Engine'!$E$17:$E$64)</f>
        <v>0.86299234135667391</v>
      </c>
      <c r="AM73" s="160">
        <f>SUMPRODUCT(AM$17:AM$64,$H$17:$H$64,'Mod Engine'!$E$17:$E$64)</f>
        <v>0.86498905908096269</v>
      </c>
      <c r="AN73" s="160">
        <f>SUMPRODUCT(AN$17:AN$64,$H$17:$H$64,'Mod Engine'!$E$17:$E$64)</f>
        <v>0.86698577680525146</v>
      </c>
      <c r="AO73" s="160">
        <f>SUMPRODUCT(AO$17:AO$64,$H$17:$H$64,'Mod Engine'!$E$17:$E$64)</f>
        <v>0.86898249452954035</v>
      </c>
      <c r="AP73" s="160">
        <f>SUMPRODUCT(AP$17:AP$64,$H$17:$H$64,'Mod Engine'!$E$17:$E$64)</f>
        <v>0.87097921225382913</v>
      </c>
      <c r="AQ73" s="160">
        <f>SUMPRODUCT(AQ$17:AQ$64,$H$17:$H$64,'Mod Engine'!$E$17:$E$64)</f>
        <v>0.8729759299781179</v>
      </c>
      <c r="AR73" s="160">
        <f>SUMPRODUCT(AR$17:AR$64,$H$17:$H$64,'Mod Engine'!$E$17:$E$64)</f>
        <v>0.87497264770240668</v>
      </c>
      <c r="AS73" s="160">
        <f>SUMPRODUCT(AS$17:AS$64,$H$17:$H$64,'Mod Engine'!$E$17:$E$64)</f>
        <v>0.87696936542669579</v>
      </c>
      <c r="AT73" s="160">
        <f>SUMPRODUCT(AT$17:AT$64,$H$17:$H$64,'Mod Engine'!$E$17:$E$64)</f>
        <v>0.87892368708971547</v>
      </c>
      <c r="AU73" s="160">
        <f>SUMPRODUCT(AU$17:AU$64,$H$17:$H$64,'Mod Engine'!$E$17:$E$64)</f>
        <v>0.88075492341356676</v>
      </c>
      <c r="AV73" s="160">
        <f>SUMPRODUCT(AV$17:AV$64,$H$17:$H$64,'Mod Engine'!$E$17:$E$64)</f>
        <v>0.88242478118161949</v>
      </c>
      <c r="AW73" s="160">
        <f>SUMPRODUCT(AW$17:AW$64,$H$17:$H$64,'Mod Engine'!$E$17:$E$64)</f>
        <v>0.88393052516411386</v>
      </c>
      <c r="AX73" s="160">
        <f>SUMPRODUCT(AX$17:AX$64,$H$17:$H$64,'Mod Engine'!$E$17:$E$64)</f>
        <v>0.88526942013129117</v>
      </c>
      <c r="AY73" s="160">
        <f>SUMPRODUCT(AY$17:AY$64,$H$17:$H$64,'Mod Engine'!$E$17:$E$64)</f>
        <v>0.88644146608315122</v>
      </c>
      <c r="AZ73" s="160">
        <f>SUMPRODUCT(AZ$17:AZ$64,$H$17:$H$64,'Mod Engine'!$E$17:$E$64)</f>
        <v>0.88744666301969377</v>
      </c>
      <c r="BA73" s="160">
        <f>SUMPRODUCT(BA$17:BA$64,$H$17:$H$64,'Mod Engine'!$E$17:$E$64)</f>
        <v>0.88828364332603948</v>
      </c>
      <c r="BB73" s="160">
        <f>SUMPRODUCT(BB$17:BB$64,$H$17:$H$64,'Mod Engine'!$E$17:$E$64)</f>
        <v>0.88895240700218836</v>
      </c>
      <c r="BC73" s="160">
        <f>SUMPRODUCT(BC$17:BC$64,$H$17:$H$64,'Mod Engine'!$E$17:$E$64)</f>
        <v>0.88945432166301974</v>
      </c>
      <c r="BD73" s="160">
        <f>SUMPRODUCT(BD$17:BD$64,$H$17:$H$64,'Mod Engine'!$E$17:$E$64)</f>
        <v>0.88978938730853407</v>
      </c>
      <c r="BE73" s="160">
        <f>SUMPRODUCT(BE$17:BE$64,$H$17:$H$64,'Mod Engine'!$E$17:$E$64)</f>
        <v>0.88995760393873091</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0.84202680525164109</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0.8659874179431073</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0.88596906911013884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0.98153851013092008</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0.95940143921021315</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1</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4.166666666666663E-2</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0.125</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0.20833333333333337</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0.29166666666666663</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0.375</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0.45833333333333337</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0.54166666666666674</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0.625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0.70833333333333326</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0.79166666666666663</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0.875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0.95833333333333337</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0.95833333333333337</v>
      </c>
      <c r="G29" s="261">
        <f>'Rate Engine'!$Q29</f>
        <v>4.166666666666663E-2</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0.875</v>
      </c>
      <c r="G30" s="261">
        <f>'Rate Engine'!$Q30</f>
        <v>0.125</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0.79166666666666663</v>
      </c>
      <c r="G31" s="261">
        <f>'Rate Engine'!$Q31</f>
        <v>0.20833333333333337</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0.70833333333333337</v>
      </c>
      <c r="G32" s="261">
        <f>'Rate Engine'!$Q32</f>
        <v>0.29166666666666663</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0.625</v>
      </c>
      <c r="G33" s="261">
        <f>'Rate Engine'!$Q33</f>
        <v>0.375</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0.54166666666666663</v>
      </c>
      <c r="G34" s="261">
        <f>'Rate Engine'!$Q34</f>
        <v>0.45833333333333337</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0.45833333333333331</v>
      </c>
      <c r="G35" s="261">
        <f>'Rate Engine'!$Q35</f>
        <v>0.54166666666666674</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0.375</v>
      </c>
      <c r="G36" s="261">
        <f>'Rate Engine'!$Q36</f>
        <v>0.625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0.29166666666666669</v>
      </c>
      <c r="G37" s="261">
        <f>'Rate Engine'!$Q37</f>
        <v>0.70833333333333326</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0.20833333333333334</v>
      </c>
      <c r="G38" s="261">
        <f>'Rate Engine'!$Q38</f>
        <v>0.79166666666666663</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0.125</v>
      </c>
      <c r="G39" s="261">
        <f>'Rate Engine'!$Q39</f>
        <v>0.875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4.1666666666666664E-2</v>
      </c>
      <c r="G40" s="261">
        <f>'Rate Engine'!$Q40</f>
        <v>0.95833333333333337</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0.95833333333333337</v>
      </c>
      <c r="H41" s="261">
        <f>'Rate Engine'!$R41</f>
        <v>4.166666666666663E-2</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0.875</v>
      </c>
      <c r="H42" s="261">
        <f>'Rate Engine'!$R42</f>
        <v>0.125</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0.79166666666666663</v>
      </c>
      <c r="H43" s="261">
        <f>'Rate Engine'!$R43</f>
        <v>0.20833333333333337</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0.70833333333333337</v>
      </c>
      <c r="H44" s="261">
        <f>'Rate Engine'!$R44</f>
        <v>0.29166666666666663</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0.625</v>
      </c>
      <c r="H45" s="261">
        <f>'Rate Engine'!$R45</f>
        <v>0.375</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0.54166666666666663</v>
      </c>
      <c r="H46" s="261">
        <f>'Rate Engine'!$R46</f>
        <v>0.45833333333333337</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0.45833333333333331</v>
      </c>
      <c r="H47" s="261">
        <f>'Rate Engine'!$R47</f>
        <v>0.54166666666666674</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0.375</v>
      </c>
      <c r="H48" s="261">
        <f>'Rate Engine'!$R48</f>
        <v>0.625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0.29166666666666669</v>
      </c>
      <c r="H49" s="261">
        <f>'Rate Engine'!$R49</f>
        <v>0.70833333333333326</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0.20833333333333334</v>
      </c>
      <c r="H50" s="261">
        <f>'Rate Engine'!$R50</f>
        <v>0.79166666666666663</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0.125</v>
      </c>
      <c r="H51" s="261">
        <f>'Rate Engine'!$R51</f>
        <v>0.875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4.1666666666666664E-2</v>
      </c>
      <c r="H52" s="261">
        <f>'Rate Engine'!$R52</f>
        <v>0.95833333333333337</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0.95833333333333337</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0.875</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0.79166666666666663</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0.70833333333333337</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0.625</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0.54166666666666663</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0.45833333333333331</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0.375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0.29166666666666669</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0.20833333333333334</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0.125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1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1 / 1 pass</v>
      </c>
      <c r="K5" s="262" t="str">
        <f>IF(COUNTIFS($B$6:$B$62,"Identity",$G$6:$G$62,"FAIL")&gt;0,"FAIL",IF(COUNTIFS($B$6:$B$62,"Identity",$G$6:$G$62,"WARN")&gt;0,"WARN",IF(COUNTIFS($B$6:$B$62,"Identity",$G$6:$G$62,"N/A")=COUNTIF($B$6:$B$62,"Identity"),"N/A","OK")))</f>
        <v>OK</v>
      </c>
    </row>
    <row r="6" spans="1:15" x14ac:dyDescent="0.3">
      <c r="A6" s="187">
        <v>1</v>
      </c>
      <c r="B6" s="6" t="s">
        <v>739</v>
      </c>
      <c r="C6" s="20" t="s">
        <v>747</v>
      </c>
      <c r="D6" s="263">
        <f>0</f>
        <v>0</v>
      </c>
      <c r="E6" s="263">
        <f>MAX(re_rowsum_chk)</f>
        <v>2.2204460492503131E-16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1.1101025000000002</v>
      </c>
      <c r="E8" s="263">
        <f>re_ecy_matrix</f>
        <v>1.1101024999999998</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0.8659874179431073</v>
      </c>
      <c r="F15" s="265">
        <f>MAX(0.0002,ABS('Mod Engine'!$H$7)*2)</f>
        <v>2.0000000000000001E-4</v>
      </c>
      <c r="G15" s="262" t="str">
        <f>IF(NOT(me_identity_ok),"N/A",IF(ABS(nr_MEarned_P-me_identity)&lt;=$F15,"PASS","FAIL"))</f>
        <v>PASS</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1.0427999999999999</v>
      </c>
      <c r="E18" s="263">
        <f>nr_ECY_Pm1</f>
        <v>1.0428000000000002</v>
      </c>
      <c r="F18" s="264">
        <v>9.9999999999999995E-7</v>
      </c>
      <c r="G18" s="262" t="str">
        <f t="shared" si="2"/>
        <v>PASS</v>
      </c>
      <c r="H18" s="19" t="str">
        <f t="shared" si="3"/>
        <v>Walkthrough</v>
      </c>
    </row>
    <row r="19" spans="1:8" x14ac:dyDescent="0.3">
      <c r="A19" s="187">
        <v>14</v>
      </c>
      <c r="B19" s="6" t="s">
        <v>748</v>
      </c>
      <c r="C19" s="20" t="s">
        <v>763</v>
      </c>
      <c r="D19" s="263">
        <f>orc_ecy_p</f>
        <v>1.1101025</v>
      </c>
      <c r="E19" s="263">
        <f>nr_ECY_P</f>
        <v>1.1101025000000002</v>
      </c>
      <c r="F19" s="264">
        <v>9.9999999999999995E-7</v>
      </c>
      <c r="G19" s="262" t="str">
        <f t="shared" si="2"/>
        <v>PASS</v>
      </c>
      <c r="H19" s="19" t="str">
        <f t="shared" si="3"/>
        <v>Walkthrough</v>
      </c>
    </row>
    <row r="20" spans="1:8" x14ac:dyDescent="0.3">
      <c r="A20" s="187">
        <v>15</v>
      </c>
      <c r="B20" s="6" t="s">
        <v>748</v>
      </c>
      <c r="C20" s="20" t="s">
        <v>764</v>
      </c>
      <c r="D20" s="263">
        <f>orc_ecy_p1</f>
        <v>1.1557975</v>
      </c>
      <c r="E20" s="263">
        <f>nr_ECY_P1</f>
        <v>1.1557975</v>
      </c>
      <c r="F20" s="264">
        <v>9.9999999999999995E-7</v>
      </c>
      <c r="G20" s="262" t="str">
        <f t="shared" si="2"/>
        <v>PASS</v>
      </c>
      <c r="H20" s="19" t="str">
        <f t="shared" si="3"/>
        <v>Walkthrough</v>
      </c>
    </row>
    <row r="21" spans="1:8" x14ac:dyDescent="0.3">
      <c r="A21" s="187">
        <v>16</v>
      </c>
      <c r="B21" s="6" t="s">
        <v>748</v>
      </c>
      <c r="C21" s="20" t="s">
        <v>765</v>
      </c>
      <c r="D21" s="263">
        <f>orc_mbar_p</f>
        <v>0.8659874179431073</v>
      </c>
      <c r="E21" s="263">
        <f>nr_MEarned_P</f>
        <v>0.8659874179431073</v>
      </c>
      <c r="F21" s="264">
        <v>9.9999999999999995E-7</v>
      </c>
      <c r="G21" s="262" t="str">
        <f t="shared" si="2"/>
        <v>PASS</v>
      </c>
      <c r="H21" s="19" t="str">
        <f t="shared" si="3"/>
        <v>Walkthrough</v>
      </c>
    </row>
    <row r="22" spans="1:8" x14ac:dyDescent="0.3">
      <c r="A22" s="187">
        <v>17</v>
      </c>
      <c r="B22" s="6" t="s">
        <v>748</v>
      </c>
      <c r="C22" s="20" t="s">
        <v>766</v>
      </c>
      <c r="D22" s="263">
        <f>orc_arate_p</f>
        <v>0.99306145153262859</v>
      </c>
      <c r="E22" s="263">
        <f>nr_Arate_P</f>
        <v>0.99306145153262859</v>
      </c>
      <c r="F22" s="264">
        <v>9.9999999999999995E-7</v>
      </c>
      <c r="G22" s="262" t="str">
        <f t="shared" si="2"/>
        <v>PASS</v>
      </c>
      <c r="H22" s="19" t="str">
        <f t="shared" si="3"/>
        <v>Walkthrough</v>
      </c>
    </row>
    <row r="23" spans="1:8" x14ac:dyDescent="0.3">
      <c r="A23" s="187">
        <v>18</v>
      </c>
      <c r="B23" s="6" t="s">
        <v>748</v>
      </c>
      <c r="C23" s="20" t="s">
        <v>767</v>
      </c>
      <c r="D23" s="263">
        <f>orc_arate_p1</f>
        <v>0.95380029806259314</v>
      </c>
      <c r="E23" s="263">
        <f>nr_Arate_P1</f>
        <v>0.95380029806259314</v>
      </c>
      <c r="F23" s="264">
        <v>9.9999999999999995E-7</v>
      </c>
      <c r="G23" s="262" t="str">
        <f t="shared" si="2"/>
        <v>PASS</v>
      </c>
      <c r="H23" s="19" t="str">
        <f t="shared" si="3"/>
        <v>Walkthrough</v>
      </c>
    </row>
    <row r="24" spans="1:8" x14ac:dyDescent="0.3">
      <c r="A24" s="187">
        <v>19</v>
      </c>
      <c r="B24" s="6" t="s">
        <v>748</v>
      </c>
      <c r="C24" s="20" t="s">
        <v>768</v>
      </c>
      <c r="D24" s="263">
        <f>orc_amod_p</f>
        <v>0.98153851013092008</v>
      </c>
      <c r="E24" s="263">
        <f>nr_Amod_P</f>
        <v>0.98153851013092008</v>
      </c>
      <c r="F24" s="264">
        <v>9.9999999999999995E-7</v>
      </c>
      <c r="G24" s="262" t="str">
        <f t="shared" si="2"/>
        <v>PASS</v>
      </c>
      <c r="H24" s="19" t="str">
        <f t="shared" si="3"/>
        <v>Walkthrough</v>
      </c>
    </row>
    <row r="25" spans="1:8" x14ac:dyDescent="0.3">
      <c r="A25" s="187">
        <v>20</v>
      </c>
      <c r="B25" s="6" t="s">
        <v>748</v>
      </c>
      <c r="C25" s="20" t="s">
        <v>769</v>
      </c>
      <c r="D25" s="263">
        <f>orc_cylr_p</f>
        <v>0.63357323744376037</v>
      </c>
      <c r="E25" s="263">
        <f>nr_CYLR_P</f>
        <v>0.63357323744376037</v>
      </c>
      <c r="F25" s="264">
        <v>9.9999999999999995E-7</v>
      </c>
      <c r="G25" s="262" t="str">
        <f t="shared" si="2"/>
        <v>PASS</v>
      </c>
      <c r="H25" s="19" t="str">
        <f t="shared" si="3"/>
        <v>Walkthrough</v>
      </c>
    </row>
    <row r="26" spans="1:8" x14ac:dyDescent="0.3">
      <c r="A26" s="187">
        <v>21</v>
      </c>
      <c r="B26" s="6" t="s">
        <v>748</v>
      </c>
      <c r="C26" s="20" t="s">
        <v>770</v>
      </c>
      <c r="D26" s="263">
        <f>orc_cylr_p1</f>
        <v>0.59480029614224839</v>
      </c>
      <c r="E26" s="263">
        <f>nr_CYLR_P1</f>
        <v>0.59480029614224839</v>
      </c>
      <c r="F26" s="264">
        <v>9.9999999999999995E-7</v>
      </c>
      <c r="G26" s="262" t="str">
        <f t="shared" si="2"/>
        <v>PASS</v>
      </c>
      <c r="H26" s="19" t="str">
        <f t="shared" si="3"/>
        <v>Walkthrough</v>
      </c>
    </row>
    <row r="27" spans="1:8" x14ac:dyDescent="0.3">
      <c r="A27" s="187">
        <v>22</v>
      </c>
      <c r="B27" s="6" t="s">
        <v>748</v>
      </c>
      <c r="C27" s="20" t="s">
        <v>771</v>
      </c>
      <c r="D27" s="263">
        <f>orc_cylr_p_cont</f>
        <v>0.63356403229997393</v>
      </c>
      <c r="E27" s="263">
        <f>nr_CYLR_P</f>
        <v>0.63357323744376037</v>
      </c>
      <c r="F27" s="264">
        <v>1E-3</v>
      </c>
      <c r="G27" s="262" t="str">
        <f t="shared" si="2"/>
        <v>PASS</v>
      </c>
      <c r="H27" s="19" t="str">
        <f t="shared" si="3"/>
        <v>Walkthrough</v>
      </c>
    </row>
    <row r="28" spans="1:8" x14ac:dyDescent="0.3">
      <c r="A28" s="187">
        <v>23</v>
      </c>
      <c r="B28" s="6" t="s">
        <v>748</v>
      </c>
      <c r="C28" s="20" t="s">
        <v>772</v>
      </c>
      <c r="D28" s="266">
        <f>orc_solver_r</f>
        <v>5.0000000000000933E-2</v>
      </c>
      <c r="E28" s="266">
        <f>IF(ISNUMBER(nr_SolverR),nr_SolverR,-999)</f>
        <v>5.0000000000000933E-2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0.63357323744376037</v>
      </c>
      <c r="E29" s="46">
        <f>Solver!$G$32</f>
        <v>0.63357323744376037</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0</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1136</v>
      </c>
    </row>
    <row r="181" spans="2:4" x14ac:dyDescent="0.3">
      <c r="B181" s="269" t="s">
        <v>1137</v>
      </c>
      <c r="C181" s="6" t="s">
        <v>1138</v>
      </c>
      <c r="D181" s="6" t="s">
        <v>1139</v>
      </c>
    </row>
    <row r="182" spans="2:4" x14ac:dyDescent="0.3">
      <c r="B182" s="269" t="s">
        <v>1140</v>
      </c>
      <c r="C182" s="6" t="s">
        <v>1141</v>
      </c>
      <c r="D182" s="6" t="s">
        <v>164</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row r="342" spans="2:4" x14ac:dyDescent="0.3">
      <c r="B342" s="269" t="s">
        <v>1619</v>
      </c>
      <c r="C342" s="6" t="s">
        <v>1620</v>
      </c>
      <c r="D342" s="6" t="s">
        <v>1621</v>
      </c>
    </row>
    <row r="343" spans="2:4" x14ac:dyDescent="0.3">
      <c r="B343" s="269" t="s">
        <v>1622</v>
      </c>
      <c r="C343" s="6" t="s">
        <v>1623</v>
      </c>
      <c r="D343" s="6" t="s">
        <v>1624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1625</v>
      </c>
      <c r="M1" s="18" t="s">
        <v>1626</v>
      </c>
      <c r="N1" s="22">
        <f>SUM($M$3:$M$71)</f>
        <v>3</v>
      </c>
      <c r="P1" s="22">
        <f>SUM($O$3:$O$71)</f>
        <v>21</v>
      </c>
    </row>
    <row r="2" spans="1:16" x14ac:dyDescent="0.3">
      <c r="A2" s="18" t="s">
        <v>1627</v>
      </c>
      <c r="B2" s="18" t="s">
        <v>1628</v>
      </c>
      <c r="C2" s="18" t="s">
        <v>1165</v>
      </c>
      <c r="D2" s="18" t="s">
        <v>1168</v>
      </c>
      <c r="E2" s="18" t="s">
        <v>164</v>
      </c>
      <c r="F2" s="18" t="s">
        <v>1153</v>
      </c>
      <c r="G2" s="18" t="s">
        <v>1156</v>
      </c>
      <c r="H2" s="18" t="s">
        <v>1144</v>
      </c>
      <c r="I2" s="18" t="s">
        <v>1629</v>
      </c>
      <c r="M2" s="18" t="s">
        <v>1630</v>
      </c>
      <c r="N2" s="18" t="s">
        <v>1631</v>
      </c>
      <c r="O2" s="18" t="s">
        <v>1632</v>
      </c>
      <c r="P2" s="18" t="s">
        <v>1633</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1634</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H4776"/>
  <sheetViews>
    <sheetView workbookViewId="0"/>
  </sheetViews>
  <sheetFormatPr defaultRowHeight="14.4" x14ac:dyDescent="0.3"/>
  <sheetData>
    <row r="1" spans="1:112" x14ac:dyDescent="0.3">
      <c r="A1" s="270" t="s">
        <v>1635</v>
      </c>
    </row>
    <row r="3" spans="1:112" x14ac:dyDescent="0.3">
      <c r="A3" s="270" t="s">
        <v>328</v>
      </c>
      <c r="B3" s="270" t="s">
        <v>894</v>
      </c>
      <c r="C3" s="270" t="s">
        <v>1636</v>
      </c>
      <c r="D3" s="270" t="s">
        <v>1637</v>
      </c>
      <c r="E3" s="270" t="s">
        <v>637</v>
      </c>
      <c r="F3" s="270" t="s">
        <v>1638</v>
      </c>
      <c r="G3" s="270" t="s">
        <v>1639</v>
      </c>
      <c r="H3" s="270" t="s">
        <v>1640</v>
      </c>
      <c r="I3" s="270" t="s">
        <v>1641</v>
      </c>
      <c r="J3" s="270" t="s">
        <v>1642</v>
      </c>
      <c r="K3" s="270" t="s">
        <v>1643</v>
      </c>
      <c r="L3" s="270" t="s">
        <v>1644</v>
      </c>
      <c r="M3" s="270" t="s">
        <v>1645</v>
      </c>
      <c r="N3" s="270" t="s">
        <v>1646</v>
      </c>
      <c r="O3" s="270" t="s">
        <v>1647</v>
      </c>
      <c r="P3" s="270" t="s">
        <v>1648</v>
      </c>
      <c r="Q3" s="270" t="s">
        <v>78</v>
      </c>
      <c r="R3" s="270" t="s">
        <v>1649</v>
      </c>
      <c r="S3" s="270" t="s">
        <v>1650</v>
      </c>
    </row>
    <row r="4" spans="1:112" x14ac:dyDescent="0.3">
      <c r="A4" s="6" t="str">
        <f>$A$76</f>
        <v>ABD|AZ</v>
      </c>
      <c r="B4" s="75">
        <f>$C$76</f>
        <v>12</v>
      </c>
      <c r="C4" s="73">
        <f>$B$127</f>
        <v>1.1024</v>
      </c>
      <c r="D4" s="73">
        <f>$C$127</f>
        <v>1.0428000000000002</v>
      </c>
      <c r="E4" s="73">
        <f>$D$127</f>
        <v>1.1101025000000002</v>
      </c>
      <c r="F4" s="73">
        <f>$E$127</f>
        <v>1.1557975</v>
      </c>
      <c r="G4" s="224">
        <f>$F$127</f>
        <v>0.8659874179431073</v>
      </c>
      <c r="H4" s="224">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1">
        <f>N(INDEX(lr_ep,1))</f>
        <v>32000</v>
      </c>
      <c r="W4" s="73">
        <f>N(INDEX(lr_mind,1))*$V4</f>
        <v>27200</v>
      </c>
      <c r="X4" s="73">
        <f>N(INDEX(lr_m0,1))*$V4</f>
        <v>27520</v>
      </c>
      <c r="Y4" s="73">
        <f>N(INDEX(lr_m1,1))*$V4</f>
        <v>28480</v>
      </c>
      <c r="Z4" s="73">
        <f t="shared" ref="Z4:Z35" si="6">$C4*$V4</f>
        <v>35276.800000000003</v>
      </c>
      <c r="AA4" s="73">
        <f t="shared" ref="AA4:AA35" si="7">$E4*$V4</f>
        <v>35523.280000000006</v>
      </c>
      <c r="AB4" s="73">
        <f t="shared" ref="AB4:AB35" si="8">$I4*$V4</f>
        <v>31777.966449044114</v>
      </c>
      <c r="AC4" s="73">
        <f t="shared" ref="AC4:AC35" si="9">$G4*$V4</f>
        <v>27711.597374179433</v>
      </c>
      <c r="AD4" s="73">
        <f t="shared" ref="AD4:AD35" si="10">$K4*$V4</f>
        <v>31409.232324189441</v>
      </c>
      <c r="AE4" s="73">
        <f t="shared" ref="AE4:AE35" si="11">$M4*$V4</f>
        <v>20800</v>
      </c>
      <c r="AF4" s="73">
        <f t="shared" ref="AF4:AF35" si="12">$N4*$V4</f>
        <v>20274.343598200332</v>
      </c>
      <c r="AG4" s="73">
        <f t="shared" ref="AG4:AG35" si="13">$S4*$V4</f>
        <v>0</v>
      </c>
      <c r="AH4" s="73">
        <f t="shared" ref="AH4:AH35" si="14">$J4*$V4</f>
        <v>30521.60953800298</v>
      </c>
      <c r="AI4" s="73">
        <f t="shared" ref="AI4:AI35" si="15">$L4*$V4</f>
        <v>30700.846054726822</v>
      </c>
      <c r="AJ4" s="73">
        <f t="shared" ref="AJ4:AJ35" si="16">$O4*$V4</f>
        <v>19033.609476551948</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32000</v>
      </c>
      <c r="BX4" s="73">
        <f>$V4*$H$104</f>
        <v>32000</v>
      </c>
      <c r="BY4" s="73">
        <f>$V4*$H$105</f>
        <v>32000</v>
      </c>
      <c r="BZ4" s="73">
        <f>$V4*$H$106</f>
        <v>32000</v>
      </c>
      <c r="CA4" s="73">
        <f>$V4*$H$107</f>
        <v>32000</v>
      </c>
      <c r="CB4" s="73">
        <f>$V4*$H$108</f>
        <v>32000</v>
      </c>
      <c r="CC4" s="73">
        <f>$V4*$H$109</f>
        <v>32000</v>
      </c>
      <c r="CD4" s="73">
        <f>$V4*$H$110</f>
        <v>32000</v>
      </c>
      <c r="CE4" s="73">
        <f>$V4*$H$111</f>
        <v>32000</v>
      </c>
      <c r="CF4" s="73">
        <f>$V4*$H$112</f>
        <v>32000</v>
      </c>
      <c r="CG4" s="73">
        <f>$V4*$H$113</f>
        <v>32000</v>
      </c>
      <c r="CH4" s="73">
        <f>$V4*$H$114</f>
        <v>32000</v>
      </c>
      <c r="CI4" s="75">
        <f>$O$76</f>
        <v>1</v>
      </c>
      <c r="CJ4" s="73">
        <f>$H$127</f>
        <v>1.0682500000000001</v>
      </c>
      <c r="CK4" s="73">
        <f>$I$127</f>
        <v>1.0280585220280047</v>
      </c>
      <c r="CL4" s="73">
        <f>$J$127</f>
        <v>1.0982258046786184</v>
      </c>
      <c r="CM4" s="73">
        <f t="shared" ref="CM4:CM35" si="17">IF($AK4=1,ABS($CL4-1-$AL4),0)</f>
        <v>0</v>
      </c>
      <c r="CN4" s="73">
        <f t="shared" ref="CN4:CN35" si="18">$R4*$V4</f>
        <v>32000</v>
      </c>
      <c r="CO4" s="72">
        <f>$M4*($C4/$K$127)*IF($O$76=1,$F$76/$G4,1)*$R4</f>
        <v>0.63357323744376037</v>
      </c>
      <c r="CP4" s="72">
        <f>$M4*(1+$S4)*($C4/$L$127)*IF($O$76=1,$F$76/$H4,1)*$R4</f>
        <v>0.59480029614224839</v>
      </c>
      <c r="CQ4" s="73">
        <f t="shared" ref="CQ4:CQ35" si="19">$CO4*$V4</f>
        <v>20274.343598200332</v>
      </c>
      <c r="CR4" s="73">
        <f t="shared" ref="CR4:CR35" si="20">$CP4*$V4</f>
        <v>19033.609476551948</v>
      </c>
      <c r="CS4" s="73">
        <f t="shared" ref="CS4:CS35" si="21">IF($AK4=1,0,ABS($CO4-$N4)+ABS($CP4-$O4))</f>
        <v>0</v>
      </c>
      <c r="CT4" s="272">
        <f t="shared" ref="CT4:CT35" si="22">IF($AK4=0,0,($CO4-$N4)*100)</f>
        <v>0</v>
      </c>
      <c r="CU4" s="75">
        <f t="shared" ref="CU4:CU35" si="23">COUNTIFS(rl_key,$A4,rl_status,"taken",rl_eff,"&lt;&gt;")</f>
        <v>2</v>
      </c>
      <c r="CV4" s="75">
        <f t="shared" ref="CV4:CV35" si="24">COUNTIFS(rl_key,$A4,rl_status,"planned",rl_eff,"&lt;&gt;")</f>
        <v>1</v>
      </c>
      <c r="CW4" s="273">
        <f t="shared" ref="CW4:CW35" si="25">IF(COUNTIFS(rl_key,$A4,rl_seq,1)=0,"",SUMIFS(rl_eff,rl_key,$A4,rl_seq,1))</f>
        <v>45839</v>
      </c>
      <c r="CX4" s="274">
        <f t="shared" ref="CX4:CX35" si="26">IF(COUNTIFS(rl_key,$A4,rl_seq,1)=0,"",SUMIFS(rl_reff,rl_key,$A4,rl_seq,1))</f>
        <v>0.04</v>
      </c>
      <c r="CY4" s="6" t="str">
        <f t="shared" ref="CY4:CY35" si="27">IF(COUNTIFS(rl_key,$A4,rl_seq,1)=0,"",IF(COUNTIFS(rl_key,$A4,rl_seq,1,rl_status,"planned")&gt;0,"P","T")&amp;IF(COUNTIFS(rl_key,$A4,rl_seq,1,rl_cons,"Y")&gt;0,"","*"))</f>
        <v>T</v>
      </c>
      <c r="CZ4" s="273">
        <f t="shared" ref="CZ4:CZ35" si="28">IF(COUNTIFS(rl_key,$A4,rl_seq,2)=0,"",SUMIFS(rl_eff,rl_key,$A4,rl_seq,2))</f>
        <v>46204</v>
      </c>
      <c r="DA4" s="274">
        <f t="shared" ref="DA4:DA35" si="29">IF(COUNTIFS(rl_key,$A4,rl_seq,2)=0,"",SUMIFS(rl_reff,rl_key,$A4,rl_seq,2))</f>
        <v>0.06</v>
      </c>
      <c r="DB4" s="6" t="str">
        <f t="shared" ref="DB4:DB35" si="30">IF(COUNTIFS(rl_key,$A4,rl_seq,2)=0,"",IF(COUNTIFS(rl_key,$A4,rl_seq,2,rl_status,"planned")&gt;0,"P","T")&amp;IF(COUNTIFS(rl_key,$A4,rl_seq,2,rl_cons,"Y")&gt;0,"","*"))</f>
        <v>T</v>
      </c>
      <c r="DC4" s="273">
        <f t="shared" ref="DC4:DC35" si="31">IF(COUNTIFS(rl_key,$A4,rl_seq,3)=0,"",SUMIFS(rl_eff,rl_key,$A4,rl_seq,3))</f>
        <v>46478</v>
      </c>
      <c r="DD4" s="274">
        <f t="shared" ref="DD4:DD35" si="32">IF(COUNTIFS(rl_key,$A4,rl_seq,3)=0,"",SUMIFS(rl_reff,rl_key,$A4,rl_seq,3))</f>
        <v>0.05</v>
      </c>
      <c r="DE4" s="6" t="str">
        <f t="shared" ref="DE4:DE35" si="33">IF(COUNTIFS(rl_key,$A4,rl_seq,3)=0,"",IF(COUNTIFS(rl_key,$A4,rl_seq,3,rl_status,"planned")&gt;0,"P","T")&amp;IF(COUNTIFS(rl_key,$A4,rl_seq,3,rl_cons,"Y")&gt;0,"","*"))</f>
        <v>P*</v>
      </c>
      <c r="DF4" s="273" t="str">
        <f t="shared" ref="DF4:DF35" si="34">IF(COUNTIFS(rl_key,$A4,rl_seq,4)=0,"",SUMIFS(rl_eff,rl_key,$A4,rl_seq,4))</f>
        <v/>
      </c>
      <c r="DG4" s="274" t="str">
        <f t="shared" ref="DG4:DG35" si="35">IF(COUNTIFS(rl_key,$A4,rl_seq,4)=0,"",SUMIFS(rl_reff,rl_key,$A4,rl_seq,4))</f>
        <v/>
      </c>
      <c r="DH4" s="6" t="str">
        <f t="shared" ref="DH4:DH35" si="36">IF(COUNTIFS(rl_key,$A4,rl_seq,4)=0,"",IF(COUNTIFS(rl_key,$A4,rl_seq,4,rl_status,"planned")&gt;0,"P","T")&amp;IF(COUNTIFS(rl_key,$A4,rl_seq,4,rl_cons,"Y")&gt;0,"","*"))</f>
        <v/>
      </c>
    </row>
    <row r="5" spans="1:112" x14ac:dyDescent="0.3">
      <c r="A5" s="6" t="str">
        <f>$A$130</f>
        <v>ABD|CO</v>
      </c>
      <c r="B5" s="75">
        <f>$C$130</f>
        <v>12</v>
      </c>
      <c r="C5" s="73">
        <f>$B$181</f>
        <v>1.03</v>
      </c>
      <c r="D5" s="73">
        <f>$C$181</f>
        <v>1.012604166666667</v>
      </c>
      <c r="E5" s="73">
        <f>$D$181</f>
        <v>1.0472055555555555</v>
      </c>
      <c r="F5" s="73">
        <f>$E$181</f>
        <v>1.0710569444444447</v>
      </c>
      <c r="G5" s="224">
        <f>$F$181</f>
        <v>0.99099790299051793</v>
      </c>
      <c r="H5" s="224">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0.68799999999999994</v>
      </c>
      <c r="N5" s="72">
        <f t="shared" si="2"/>
        <v>0.68284320158399892</v>
      </c>
      <c r="O5" s="72">
        <f t="shared" si="3"/>
        <v>0.66540085490558076</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1">
        <f>N(INDEX(lr_ep,2))</f>
        <v>84000</v>
      </c>
      <c r="W5" s="73">
        <f>N(INDEX(lr_mind,2))*$V5</f>
        <v>84000</v>
      </c>
      <c r="X5" s="73">
        <f>N(INDEX(lr_m0,2))*$V5</f>
        <v>83160</v>
      </c>
      <c r="Y5" s="73">
        <f>N(INDEX(lr_m1,2))*$V5</f>
        <v>83580</v>
      </c>
      <c r="Z5" s="73">
        <f t="shared" si="6"/>
        <v>86520</v>
      </c>
      <c r="AA5" s="73">
        <f t="shared" si="7"/>
        <v>87965.266666666663</v>
      </c>
      <c r="AB5" s="73">
        <f t="shared" si="8"/>
        <v>82619.882544549793</v>
      </c>
      <c r="AC5" s="73">
        <f t="shared" si="9"/>
        <v>83243.823851203502</v>
      </c>
      <c r="AD5" s="73">
        <f t="shared" si="10"/>
        <v>84763.045155307191</v>
      </c>
      <c r="AE5" s="73">
        <f t="shared" si="11"/>
        <v>57791.999999999993</v>
      </c>
      <c r="AF5" s="73">
        <f t="shared" si="12"/>
        <v>57358.828933055906</v>
      </c>
      <c r="AG5" s="73">
        <f t="shared" si="13"/>
        <v>0</v>
      </c>
      <c r="AH5" s="73">
        <f t="shared" si="14"/>
        <v>80780.018699078384</v>
      </c>
      <c r="AI5" s="73">
        <f t="shared" si="15"/>
        <v>84479.150689793096</v>
      </c>
      <c r="AJ5" s="73">
        <f t="shared" si="16"/>
        <v>55893.671812068787</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84000</v>
      </c>
      <c r="BX5" s="73">
        <f>$V5*$H$158</f>
        <v>84000</v>
      </c>
      <c r="BY5" s="73">
        <f>$V5*$H$159</f>
        <v>84000</v>
      </c>
      <c r="BZ5" s="73">
        <f>$V5*$H$160</f>
        <v>84000</v>
      </c>
      <c r="CA5" s="73">
        <f>$V5*$H$161</f>
        <v>84000</v>
      </c>
      <c r="CB5" s="73">
        <f>$V5*$H$162</f>
        <v>84000</v>
      </c>
      <c r="CC5" s="73">
        <f>$V5*$H$163</f>
        <v>84000</v>
      </c>
      <c r="CD5" s="73">
        <f>$V5*$H$164</f>
        <v>84000</v>
      </c>
      <c r="CE5" s="73">
        <f>$V5*$H$165</f>
        <v>84000</v>
      </c>
      <c r="CF5" s="73">
        <f>$V5*$H$166</f>
        <v>84000</v>
      </c>
      <c r="CG5" s="73">
        <f>$V5*$H$167</f>
        <v>84000</v>
      </c>
      <c r="CH5" s="73">
        <f>$V5*$H$168</f>
        <v>84000</v>
      </c>
      <c r="CI5" s="75">
        <f>$O$130</f>
        <v>1</v>
      </c>
      <c r="CJ5" s="73">
        <f>$H$181</f>
        <v>1.0391666666666666</v>
      </c>
      <c r="CK5" s="73">
        <f>$I$181</f>
        <v>1.004037852440528</v>
      </c>
      <c r="CL5" s="73">
        <f>$J$181</f>
        <v>1.0433626621339605</v>
      </c>
      <c r="CM5" s="73">
        <f t="shared" si="17"/>
        <v>0</v>
      </c>
      <c r="CN5" s="73">
        <f t="shared" si="18"/>
        <v>84000</v>
      </c>
      <c r="CO5" s="72">
        <f>$M5*($C5/$K$181)*IF($O$130=1,$F$130/$G5,1)*$R5</f>
        <v>0.68284320158399892</v>
      </c>
      <c r="CP5" s="72">
        <f>$M5*(1+$S5)*($C5/$L$181)*IF($O$130=1,$F$130/$H5,1)*$R5</f>
        <v>0.66540085490558076</v>
      </c>
      <c r="CQ5" s="73">
        <f t="shared" si="19"/>
        <v>57358.828933055906</v>
      </c>
      <c r="CR5" s="73">
        <f t="shared" si="20"/>
        <v>55893.671812068787</v>
      </c>
      <c r="CS5" s="73">
        <f t="shared" si="21"/>
        <v>0</v>
      </c>
      <c r="CT5" s="272">
        <f t="shared" si="22"/>
        <v>0</v>
      </c>
      <c r="CU5" s="75">
        <f t="shared" si="23"/>
        <v>1</v>
      </c>
      <c r="CV5" s="75">
        <f t="shared" si="24"/>
        <v>1</v>
      </c>
      <c r="CW5" s="273">
        <f t="shared" si="25"/>
        <v>46054</v>
      </c>
      <c r="CX5" s="274">
        <f t="shared" si="26"/>
        <v>0.03</v>
      </c>
      <c r="CY5" s="6" t="str">
        <f t="shared" si="27"/>
        <v>T</v>
      </c>
      <c r="CZ5" s="273">
        <f t="shared" si="28"/>
        <v>46419</v>
      </c>
      <c r="DA5" s="274">
        <f t="shared" si="29"/>
        <v>0.04</v>
      </c>
      <c r="DB5" s="6" t="str">
        <f t="shared" si="30"/>
        <v>P*</v>
      </c>
      <c r="DC5" s="273" t="str">
        <f t="shared" si="31"/>
        <v/>
      </c>
      <c r="DD5" s="274" t="str">
        <f t="shared" si="32"/>
        <v/>
      </c>
      <c r="DE5" s="6" t="str">
        <f t="shared" si="33"/>
        <v/>
      </c>
      <c r="DF5" s="273" t="str">
        <f t="shared" si="34"/>
        <v/>
      </c>
      <c r="DG5" s="274" t="str">
        <f t="shared" si="35"/>
        <v/>
      </c>
      <c r="DH5" s="6" t="str">
        <f t="shared" si="36"/>
        <v/>
      </c>
    </row>
    <row r="6" spans="1:112" x14ac:dyDescent="0.3">
      <c r="A6" s="6" t="str">
        <f>$A$184</f>
        <v>ABD|DE</v>
      </c>
      <c r="B6" s="75">
        <f>$C$184</f>
        <v>12</v>
      </c>
      <c r="C6" s="73">
        <f>$B$235</f>
        <v>1</v>
      </c>
      <c r="D6" s="73">
        <f>$C$235</f>
        <v>1</v>
      </c>
      <c r="E6" s="73">
        <f>$D$235</f>
        <v>1</v>
      </c>
      <c r="F6" s="73">
        <f>$E$235</f>
        <v>1</v>
      </c>
      <c r="G6" s="224">
        <f>$F$235</f>
        <v>0.99399161196207142</v>
      </c>
      <c r="H6" s="224">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0.67200000000000004</v>
      </c>
      <c r="N6" s="72">
        <f t="shared" si="2"/>
        <v>0.67606204309261531</v>
      </c>
      <c r="O6" s="72">
        <f t="shared" si="3"/>
        <v>0.66712153187467016</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68000</v>
      </c>
      <c r="W6" s="73">
        <f>N(INDEX(lr_mind,3))*$V6</f>
        <v>68000</v>
      </c>
      <c r="X6" s="73">
        <f>N(INDEX(lr_m0,3))*$V6</f>
        <v>67320</v>
      </c>
      <c r="Y6" s="73">
        <f>N(INDEX(lr_m1,3))*$V6</f>
        <v>68680</v>
      </c>
      <c r="Z6" s="73">
        <f t="shared" si="6"/>
        <v>68000</v>
      </c>
      <c r="AA6" s="73">
        <f t="shared" si="7"/>
        <v>68000</v>
      </c>
      <c r="AB6" s="73">
        <f t="shared" si="8"/>
        <v>68000</v>
      </c>
      <c r="AC6" s="73">
        <f t="shared" si="9"/>
        <v>67591.429613420856</v>
      </c>
      <c r="AD6" s="73">
        <f t="shared" si="10"/>
        <v>68411.040074847973</v>
      </c>
      <c r="AE6" s="73">
        <f t="shared" si="11"/>
        <v>45696</v>
      </c>
      <c r="AF6" s="73">
        <f t="shared" si="12"/>
        <v>45972.218930297844</v>
      </c>
      <c r="AG6" s="73">
        <f t="shared" si="13"/>
        <v>0</v>
      </c>
      <c r="AH6" s="73">
        <f t="shared" si="14"/>
        <v>68000</v>
      </c>
      <c r="AI6" s="73">
        <f t="shared" si="15"/>
        <v>67506.345487317813</v>
      </c>
      <c r="AJ6" s="73">
        <f t="shared" si="16"/>
        <v>45364.264167477573</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68000</v>
      </c>
      <c r="BX6" s="73">
        <f>$V6*$H$212</f>
        <v>68000</v>
      </c>
      <c r="BY6" s="73">
        <f>$V6*$H$213</f>
        <v>68000</v>
      </c>
      <c r="BZ6" s="73">
        <f>$V6*$H$214</f>
        <v>68000</v>
      </c>
      <c r="CA6" s="73">
        <f>$V6*$H$215</f>
        <v>68000</v>
      </c>
      <c r="CB6" s="73">
        <f>$V6*$H$216</f>
        <v>68000</v>
      </c>
      <c r="CC6" s="73">
        <f>$V6*$H$217</f>
        <v>68000</v>
      </c>
      <c r="CD6" s="73">
        <f>$V6*$H$218</f>
        <v>68000</v>
      </c>
      <c r="CE6" s="73">
        <f>$V6*$H$219</f>
        <v>68000</v>
      </c>
      <c r="CF6" s="73">
        <f>$V6*$H$220</f>
        <v>68000</v>
      </c>
      <c r="CG6" s="73">
        <f>$V6*$H$221</f>
        <v>68000</v>
      </c>
      <c r="CH6" s="73">
        <f>$V6*$H$222</f>
        <v>68000</v>
      </c>
      <c r="CI6" s="75">
        <f>$O$184</f>
        <v>1</v>
      </c>
      <c r="CJ6" s="73">
        <f>$H$235</f>
        <v>1</v>
      </c>
      <c r="CK6" s="73">
        <f>$I$235</f>
        <v>1.0162008242959635</v>
      </c>
      <c r="CL6" s="73">
        <f>$J$235</f>
        <v>1.0162008242959635</v>
      </c>
      <c r="CM6" s="73">
        <f t="shared" si="17"/>
        <v>0</v>
      </c>
      <c r="CN6" s="73">
        <f t="shared" si="18"/>
        <v>68000</v>
      </c>
      <c r="CO6" s="72">
        <f>$M6*($C6/$K$235)*IF($O$184=1,$F$184/$G6,1)*$R6</f>
        <v>0.67606204309261531</v>
      </c>
      <c r="CP6" s="72">
        <f>$M6*(1+$S6)*($C6/$L$235)*IF($O$184=1,$F$184/$H6,1)*$R6</f>
        <v>0.66712153187467016</v>
      </c>
      <c r="CQ6" s="73">
        <f t="shared" si="19"/>
        <v>45972.218930297844</v>
      </c>
      <c r="CR6" s="73">
        <f t="shared" si="20"/>
        <v>45364.264167477573</v>
      </c>
      <c r="CS6" s="73">
        <f t="shared" si="21"/>
        <v>0</v>
      </c>
      <c r="CT6" s="272">
        <f t="shared" si="22"/>
        <v>0</v>
      </c>
      <c r="CU6" s="75">
        <f t="shared" si="23"/>
        <v>0</v>
      </c>
      <c r="CV6" s="75">
        <f t="shared" si="24"/>
        <v>0</v>
      </c>
      <c r="CW6" s="273" t="str">
        <f t="shared" si="25"/>
        <v/>
      </c>
      <c r="CX6" s="274" t="str">
        <f t="shared" si="26"/>
        <v/>
      </c>
      <c r="CY6" s="6" t="str">
        <f t="shared" si="27"/>
        <v/>
      </c>
      <c r="CZ6" s="273" t="str">
        <f t="shared" si="28"/>
        <v/>
      </c>
      <c r="DA6" s="274" t="str">
        <f t="shared" si="29"/>
        <v/>
      </c>
      <c r="DB6" s="6" t="str">
        <f t="shared" si="30"/>
        <v/>
      </c>
      <c r="DC6" s="273" t="str">
        <f t="shared" si="31"/>
        <v/>
      </c>
      <c r="DD6" s="274" t="str">
        <f t="shared" si="32"/>
        <v/>
      </c>
      <c r="DE6" s="6" t="str">
        <f t="shared" si="33"/>
        <v/>
      </c>
      <c r="DF6" s="273" t="str">
        <f t="shared" si="34"/>
        <v/>
      </c>
      <c r="DG6" s="274" t="str">
        <f t="shared" si="35"/>
        <v/>
      </c>
      <c r="DH6" s="6" t="str">
        <f t="shared" si="36"/>
        <v/>
      </c>
    </row>
    <row r="7" spans="1:112" x14ac:dyDescent="0.3">
      <c r="A7" s="6" t="str">
        <f>$A$238</f>
        <v>ABD|FL</v>
      </c>
      <c r="B7" s="75">
        <f>$C$238</f>
        <v>12</v>
      </c>
      <c r="C7" s="73">
        <f>$B$289</f>
        <v>1.05</v>
      </c>
      <c r="D7" s="73">
        <f>$C$289</f>
        <v>1.0140624999999999</v>
      </c>
      <c r="E7" s="73">
        <f>$D$289</f>
        <v>1.0484374999999999</v>
      </c>
      <c r="F7" s="73">
        <f>$E$289</f>
        <v>1.05</v>
      </c>
      <c r="G7" s="224">
        <f>$F$289</f>
        <v>1</v>
      </c>
      <c r="H7" s="224">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0.7</v>
      </c>
      <c r="N7" s="72">
        <f t="shared" si="2"/>
        <v>0.70104321907600597</v>
      </c>
      <c r="O7" s="72">
        <f t="shared" si="3"/>
        <v>0.7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1">
        <f>N(INDEX(lr_ep,4))</f>
        <v>52000</v>
      </c>
      <c r="W7" s="73">
        <f>N(INDEX(lr_mind,4))*$V7</f>
        <v>52000</v>
      </c>
      <c r="X7" s="73">
        <f>N(INDEX(lr_m0,4))*$V7</f>
        <v>52000</v>
      </c>
      <c r="Y7" s="73">
        <f>N(INDEX(lr_m1,4))*$V7</f>
        <v>52000</v>
      </c>
      <c r="Z7" s="73">
        <f t="shared" si="6"/>
        <v>54600</v>
      </c>
      <c r="AA7" s="73">
        <f t="shared" si="7"/>
        <v>54518.749999999993</v>
      </c>
      <c r="AB7" s="73">
        <f t="shared" si="8"/>
        <v>52077.496274217592</v>
      </c>
      <c r="AC7" s="73">
        <f t="shared" si="9"/>
        <v>52000</v>
      </c>
      <c r="AD7" s="73">
        <f t="shared" si="10"/>
        <v>52000</v>
      </c>
      <c r="AE7" s="73">
        <f t="shared" si="11"/>
        <v>36400</v>
      </c>
      <c r="AF7" s="73">
        <f t="shared" si="12"/>
        <v>36454.247391952311</v>
      </c>
      <c r="AG7" s="73">
        <f t="shared" si="13"/>
        <v>0</v>
      </c>
      <c r="AH7" s="73">
        <f t="shared" si="14"/>
        <v>52000</v>
      </c>
      <c r="AI7" s="73">
        <f t="shared" si="15"/>
        <v>52000</v>
      </c>
      <c r="AJ7" s="73">
        <f t="shared" si="16"/>
        <v>36400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52000</v>
      </c>
      <c r="BX7" s="73">
        <f>$V7*$H$266</f>
        <v>52000</v>
      </c>
      <c r="BY7" s="73">
        <f>$V7*$H$267</f>
        <v>52000</v>
      </c>
      <c r="BZ7" s="73">
        <f>$V7*$H$268</f>
        <v>52000</v>
      </c>
      <c r="CA7" s="73">
        <f>$V7*$H$269</f>
        <v>52000</v>
      </c>
      <c r="CB7" s="73">
        <f>$V7*$H$270</f>
        <v>52000</v>
      </c>
      <c r="CC7" s="73">
        <f>$V7*$H$271</f>
        <v>52000</v>
      </c>
      <c r="CD7" s="73">
        <f>$V7*$H$272</f>
        <v>52000</v>
      </c>
      <c r="CE7" s="73">
        <f>$V7*$H$273</f>
        <v>52000</v>
      </c>
      <c r="CF7" s="73">
        <f>$V7*$H$274</f>
        <v>52000</v>
      </c>
      <c r="CG7" s="73">
        <f>$V7*$H$275</f>
        <v>52000</v>
      </c>
      <c r="CH7" s="73">
        <f>$V7*$H$276</f>
        <v>52000</v>
      </c>
      <c r="CI7" s="75">
        <f>$O$238</f>
        <v>0</v>
      </c>
      <c r="CJ7" s="73">
        <f>$H$289</f>
        <v>1.0125</v>
      </c>
      <c r="CK7" s="73">
        <f>$I$289</f>
        <v>1</v>
      </c>
      <c r="CL7" s="73">
        <f>$J$289</f>
        <v>1.0125</v>
      </c>
      <c r="CM7" s="73">
        <f t="shared" si="17"/>
        <v>0</v>
      </c>
      <c r="CN7" s="73">
        <f t="shared" si="18"/>
        <v>52000</v>
      </c>
      <c r="CO7" s="72">
        <f>$M7*($C7/$K$289)*IF($O$238=1,$F$238/$G7,1)*$R7</f>
        <v>0.70104321907600597</v>
      </c>
      <c r="CP7" s="72">
        <f>$M7*(1+$S7)*($C7/$L$289)*IF($O$238=1,$F$238/$H7,1)*$R7</f>
        <v>0.7</v>
      </c>
      <c r="CQ7" s="73">
        <f t="shared" si="19"/>
        <v>36454.247391952311</v>
      </c>
      <c r="CR7" s="73">
        <f t="shared" si="20"/>
        <v>36400</v>
      </c>
      <c r="CS7" s="73">
        <f t="shared" si="21"/>
        <v>0</v>
      </c>
      <c r="CT7" s="272">
        <f t="shared" si="22"/>
        <v>0</v>
      </c>
      <c r="CU7" s="75">
        <f t="shared" si="23"/>
        <v>1</v>
      </c>
      <c r="CV7" s="75">
        <f t="shared" si="24"/>
        <v>0</v>
      </c>
      <c r="CW7" s="273">
        <f t="shared" si="25"/>
        <v>46113</v>
      </c>
      <c r="CX7" s="274">
        <f t="shared" si="26"/>
        <v>0.05</v>
      </c>
      <c r="CY7" s="6" t="str">
        <f t="shared" si="27"/>
        <v>T</v>
      </c>
      <c r="CZ7" s="273" t="str">
        <f t="shared" si="28"/>
        <v/>
      </c>
      <c r="DA7" s="274" t="str">
        <f t="shared" si="29"/>
        <v/>
      </c>
      <c r="DB7" s="6" t="str">
        <f t="shared" si="30"/>
        <v/>
      </c>
      <c r="DC7" s="273" t="str">
        <f t="shared" si="31"/>
        <v/>
      </c>
      <c r="DD7" s="274" t="str">
        <f t="shared" si="32"/>
        <v/>
      </c>
      <c r="DE7" s="6" t="str">
        <f t="shared" si="33"/>
        <v/>
      </c>
      <c r="DF7" s="273" t="str">
        <f t="shared" si="34"/>
        <v/>
      </c>
      <c r="DG7" s="274" t="str">
        <f t="shared" si="35"/>
        <v/>
      </c>
      <c r="DH7" s="6" t="str">
        <f t="shared" si="36"/>
        <v/>
      </c>
    </row>
    <row r="8" spans="1:112" x14ac:dyDescent="0.3">
      <c r="A8" s="6" t="str">
        <f>$A$292</f>
        <v>ABD|GA</v>
      </c>
      <c r="B8" s="75">
        <f>$C$292</f>
        <v>12</v>
      </c>
      <c r="C8" s="73">
        <f>$B$343</f>
        <v>1.06</v>
      </c>
      <c r="D8" s="73">
        <f>$C$343</f>
        <v>1.0133333333333334</v>
      </c>
      <c r="E8" s="73">
        <f>$D$343</f>
        <v>1.0566666666666669</v>
      </c>
      <c r="F8" s="73">
        <f>$E$343</f>
        <v>1.0600000000000003</v>
      </c>
      <c r="G8" s="224">
        <f>$F$343</f>
        <v>0.99299370897155337</v>
      </c>
      <c r="H8" s="224">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0.68400000000000005</v>
      </c>
      <c r="N8" s="72">
        <f t="shared" si="2"/>
        <v>0.69099906928643107</v>
      </c>
      <c r="O8" s="72">
        <f t="shared" si="3"/>
        <v>0.68196465292800068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1">
        <f>N(INDEX(lr_ep,5))</f>
        <v>36000</v>
      </c>
      <c r="W8" s="73">
        <f>N(INDEX(lr_mind,5))*$V8</f>
        <v>36000</v>
      </c>
      <c r="X8" s="73">
        <f>N(INDEX(lr_m0,5))*$V8</f>
        <v>35640</v>
      </c>
      <c r="Y8" s="73">
        <f>N(INDEX(lr_m1,5))*$V8</f>
        <v>36179.999999999993</v>
      </c>
      <c r="Z8" s="73">
        <f t="shared" si="6"/>
        <v>38160</v>
      </c>
      <c r="AA8" s="73">
        <f t="shared" si="7"/>
        <v>38040.000000000007</v>
      </c>
      <c r="AB8" s="73">
        <f t="shared" si="8"/>
        <v>36113.564668769708</v>
      </c>
      <c r="AC8" s="73">
        <f t="shared" si="9"/>
        <v>35747.77352297592</v>
      </c>
      <c r="AD8" s="73">
        <f t="shared" si="10"/>
        <v>36254.006117808451</v>
      </c>
      <c r="AE8" s="73">
        <f t="shared" si="11"/>
        <v>24624.000000000004</v>
      </c>
      <c r="AF8" s="73">
        <f t="shared" si="12"/>
        <v>24875.966494311517</v>
      </c>
      <c r="AG8" s="73">
        <f t="shared" si="13"/>
        <v>0</v>
      </c>
      <c r="AH8" s="73">
        <f t="shared" si="14"/>
        <v>35999.999999999993</v>
      </c>
      <c r="AI8" s="73">
        <f t="shared" si="15"/>
        <v>35892.876469894778</v>
      </c>
      <c r="AJ8" s="73">
        <f t="shared" si="16"/>
        <v>24550.727505408024</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36000</v>
      </c>
      <c r="BX8" s="73">
        <f>$V8*$H$320</f>
        <v>36000</v>
      </c>
      <c r="BY8" s="73">
        <f>$V8*$H$321</f>
        <v>36000</v>
      </c>
      <c r="BZ8" s="73">
        <f>$V8*$H$322</f>
        <v>36000</v>
      </c>
      <c r="CA8" s="73">
        <f>$V8*$H$323</f>
        <v>36000</v>
      </c>
      <c r="CB8" s="73">
        <f>$V8*$H$324</f>
        <v>36000</v>
      </c>
      <c r="CC8" s="73">
        <f>$V8*$H$325</f>
        <v>36000</v>
      </c>
      <c r="CD8" s="73">
        <f>$V8*$H$326</f>
        <v>36000</v>
      </c>
      <c r="CE8" s="73">
        <f>$V8*$H$327</f>
        <v>36000</v>
      </c>
      <c r="CF8" s="73">
        <f>$V8*$H$328</f>
        <v>36000</v>
      </c>
      <c r="CG8" s="73">
        <f>$V8*$H$329</f>
        <v>36000</v>
      </c>
      <c r="CH8" s="73">
        <f>$V8*$H$330</f>
        <v>36000</v>
      </c>
      <c r="CI8" s="75">
        <f>$O$292</f>
        <v>1</v>
      </c>
      <c r="CJ8" s="73">
        <f>$H$343</f>
        <v>1.02</v>
      </c>
      <c r="CK8" s="73">
        <f>$I$343</f>
        <v>1.0121382062846183</v>
      </c>
      <c r="CL8" s="73">
        <f>$J$343</f>
        <v>1.0323819542907244</v>
      </c>
      <c r="CM8" s="73">
        <f t="shared" si="17"/>
        <v>0</v>
      </c>
      <c r="CN8" s="73">
        <f t="shared" si="18"/>
        <v>36000</v>
      </c>
      <c r="CO8" s="72">
        <f>$M8*($C8/$K$343)*IF($O$292=1,$F$292/$G8,1)*$R8</f>
        <v>0.69099906928643107</v>
      </c>
      <c r="CP8" s="72">
        <f>$M8*(1+$S8)*($C8/$L$343)*IF($O$292=1,$F$292/$H8,1)*$R8</f>
        <v>0.68196465292800068</v>
      </c>
      <c r="CQ8" s="73">
        <f t="shared" si="19"/>
        <v>24875.966494311517</v>
      </c>
      <c r="CR8" s="73">
        <f t="shared" si="20"/>
        <v>24550.727505408024</v>
      </c>
      <c r="CS8" s="73">
        <f t="shared" si="21"/>
        <v>0</v>
      </c>
      <c r="CT8" s="272">
        <f t="shared" si="22"/>
        <v>0</v>
      </c>
      <c r="CU8" s="75">
        <f t="shared" si="23"/>
        <v>1</v>
      </c>
      <c r="CV8" s="75">
        <f t="shared" si="24"/>
        <v>0</v>
      </c>
      <c r="CW8" s="273">
        <f t="shared" si="25"/>
        <v>46143</v>
      </c>
      <c r="CX8" s="274">
        <f t="shared" si="26"/>
        <v>0.06</v>
      </c>
      <c r="CY8" s="6" t="str">
        <f t="shared" si="27"/>
        <v>T</v>
      </c>
      <c r="CZ8" s="273" t="str">
        <f t="shared" si="28"/>
        <v/>
      </c>
      <c r="DA8" s="274" t="str">
        <f t="shared" si="29"/>
        <v/>
      </c>
      <c r="DB8" s="6" t="str">
        <f t="shared" si="30"/>
        <v/>
      </c>
      <c r="DC8" s="273" t="str">
        <f t="shared" si="31"/>
        <v/>
      </c>
      <c r="DD8" s="274" t="str">
        <f t="shared" si="32"/>
        <v/>
      </c>
      <c r="DE8" s="6" t="str">
        <f t="shared" si="33"/>
        <v/>
      </c>
      <c r="DF8" s="273" t="str">
        <f t="shared" si="34"/>
        <v/>
      </c>
      <c r="DG8" s="274" t="str">
        <f t="shared" si="35"/>
        <v/>
      </c>
      <c r="DH8" s="6" t="str">
        <f t="shared" si="36"/>
        <v/>
      </c>
    </row>
    <row r="9" spans="1:112" x14ac:dyDescent="0.3">
      <c r="A9" s="6" t="str">
        <f>$A$346</f>
        <v>ABD|IA</v>
      </c>
      <c r="B9" s="75">
        <f>$C$346</f>
        <v>12</v>
      </c>
      <c r="C9" s="73">
        <f>$B$397</f>
        <v>1.0449999999999999</v>
      </c>
      <c r="D9" s="73">
        <f>$C$397</f>
        <v>1.0076562499999999</v>
      </c>
      <c r="E9" s="73">
        <f>$D$397</f>
        <v>1.0482055555555554</v>
      </c>
      <c r="F9" s="73">
        <f>$E$397</f>
        <v>1.0831715277777778</v>
      </c>
      <c r="G9" s="224">
        <f>$F$397</f>
        <v>0.98800949758575374</v>
      </c>
      <c r="H9" s="224">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0.66800000000000004</v>
      </c>
      <c r="N9" s="72">
        <f t="shared" si="2"/>
        <v>0.67403923395226362</v>
      </c>
      <c r="O9" s="72">
        <f t="shared" si="3"/>
        <v>0.65327521131815269</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1">
        <f>N(INDEX(lr_ep,6))</f>
        <v>88000</v>
      </c>
      <c r="W9" s="73">
        <f>N(INDEX(lr_mind,6))*$V9</f>
        <v>88000</v>
      </c>
      <c r="X9" s="73">
        <f>N(INDEX(lr_m0,6))*$V9</f>
        <v>87120</v>
      </c>
      <c r="Y9" s="73">
        <f>N(INDEX(lr_m1,6))*$V9</f>
        <v>86680</v>
      </c>
      <c r="Z9" s="73">
        <f t="shared" si="6"/>
        <v>91960</v>
      </c>
      <c r="AA9" s="73">
        <f t="shared" si="7"/>
        <v>92242.088888888873</v>
      </c>
      <c r="AB9" s="73">
        <f t="shared" si="8"/>
        <v>87730.883997519573</v>
      </c>
      <c r="AC9" s="73">
        <f t="shared" si="9"/>
        <v>86944.835787546326</v>
      </c>
      <c r="AD9" s="73">
        <f t="shared" si="10"/>
        <v>89067.969705789277</v>
      </c>
      <c r="AE9" s="73">
        <f t="shared" si="11"/>
        <v>58784</v>
      </c>
      <c r="AF9" s="73">
        <f t="shared" si="12"/>
        <v>59315.452587799198</v>
      </c>
      <c r="AG9" s="73">
        <f t="shared" si="13"/>
        <v>0</v>
      </c>
      <c r="AH9" s="73">
        <f t="shared" si="14"/>
        <v>84898.834248961532</v>
      </c>
      <c r="AI9" s="73">
        <f t="shared" si="15"/>
        <v>89203.795613341834</v>
      </c>
      <c r="AJ9" s="73">
        <f t="shared" si="16"/>
        <v>57488.218595997438</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88000</v>
      </c>
      <c r="BX9" s="73">
        <f>$V9*$H$374</f>
        <v>88000</v>
      </c>
      <c r="BY9" s="73">
        <f>$V9*$H$375</f>
        <v>88000</v>
      </c>
      <c r="BZ9" s="73">
        <f>$V9*$H$376</f>
        <v>88000</v>
      </c>
      <c r="CA9" s="73">
        <f>$V9*$H$377</f>
        <v>88000</v>
      </c>
      <c r="CB9" s="73">
        <f>$V9*$H$378</f>
        <v>88000</v>
      </c>
      <c r="CC9" s="73">
        <f>$V9*$H$379</f>
        <v>88000</v>
      </c>
      <c r="CD9" s="73">
        <f>$V9*$H$380</f>
        <v>88000</v>
      </c>
      <c r="CE9" s="73">
        <f>$V9*$H$381</f>
        <v>88000</v>
      </c>
      <c r="CF9" s="73">
        <f>$V9*$H$382</f>
        <v>88000</v>
      </c>
      <c r="CG9" s="73">
        <f>$V9*$H$383</f>
        <v>88000</v>
      </c>
      <c r="CH9" s="73">
        <f>$V9*$H$384</f>
        <v>88000</v>
      </c>
      <c r="CI9" s="75">
        <f>$O$346</f>
        <v>1</v>
      </c>
      <c r="CJ9" s="73">
        <f>$H$397</f>
        <v>1.042083333333333</v>
      </c>
      <c r="CK9" s="73">
        <f>$I$397</f>
        <v>0.99995498919404235</v>
      </c>
      <c r="CL9" s="73">
        <f>$J$397</f>
        <v>1.0420441302940218</v>
      </c>
      <c r="CM9" s="73">
        <f t="shared" si="17"/>
        <v>0</v>
      </c>
      <c r="CN9" s="73">
        <f t="shared" si="18"/>
        <v>88000</v>
      </c>
      <c r="CO9" s="72">
        <f>$M9*($C9/$K$397)*IF($O$346=1,$F$346/$G9,1)*$R9</f>
        <v>0.67403923395226362</v>
      </c>
      <c r="CP9" s="72">
        <f>$M9*(1+$S9)*($C9/$L$397)*IF($O$346=1,$F$346/$H9,1)*$R9</f>
        <v>0.65327521131815269</v>
      </c>
      <c r="CQ9" s="73">
        <f t="shared" si="19"/>
        <v>59315.452587799198</v>
      </c>
      <c r="CR9" s="73">
        <f t="shared" si="20"/>
        <v>57488.218595997438</v>
      </c>
      <c r="CS9" s="73">
        <f t="shared" si="21"/>
        <v>0</v>
      </c>
      <c r="CT9" s="272">
        <f t="shared" si="22"/>
        <v>0</v>
      </c>
      <c r="CU9" s="75">
        <f t="shared" si="23"/>
        <v>1</v>
      </c>
      <c r="CV9" s="75">
        <f t="shared" si="24"/>
        <v>1</v>
      </c>
      <c r="CW9" s="273">
        <f t="shared" si="25"/>
        <v>46174</v>
      </c>
      <c r="CX9" s="274">
        <f t="shared" si="26"/>
        <v>4.4999999999999998E-2</v>
      </c>
      <c r="CY9" s="6" t="str">
        <f t="shared" si="27"/>
        <v>T</v>
      </c>
      <c r="CZ9" s="273">
        <f t="shared" si="28"/>
        <v>46539</v>
      </c>
      <c r="DA9" s="274">
        <f t="shared" si="29"/>
        <v>0.04</v>
      </c>
      <c r="DB9" s="6" t="str">
        <f t="shared" si="30"/>
        <v>P*</v>
      </c>
      <c r="DC9" s="273" t="str">
        <f t="shared" si="31"/>
        <v/>
      </c>
      <c r="DD9" s="274" t="str">
        <f t="shared" si="32"/>
        <v/>
      </c>
      <c r="DE9" s="6" t="str">
        <f t="shared" si="33"/>
        <v/>
      </c>
      <c r="DF9" s="273" t="str">
        <f t="shared" si="34"/>
        <v/>
      </c>
      <c r="DG9" s="274" t="str">
        <f t="shared" si="35"/>
        <v/>
      </c>
      <c r="DH9" s="6" t="str">
        <f t="shared" si="36"/>
        <v/>
      </c>
    </row>
    <row r="10" spans="1:112" x14ac:dyDescent="0.3">
      <c r="A10" s="6" t="str">
        <f>$A$400</f>
        <v>ABD|IL</v>
      </c>
      <c r="B10" s="75">
        <f>$C$400</f>
        <v>12</v>
      </c>
      <c r="C10" s="73">
        <f>$B$451</f>
        <v>1.03</v>
      </c>
      <c r="D10" s="73">
        <f>$C$451</f>
        <v>1.0037500000000001</v>
      </c>
      <c r="E10" s="73">
        <f>$D$451</f>
        <v>1.0262500000000003</v>
      </c>
      <c r="F10" s="73">
        <f>$E$451</f>
        <v>1.0300000000000002</v>
      </c>
      <c r="G10" s="224">
        <f>$F$451</f>
        <v>0.99199580598103554</v>
      </c>
      <c r="H10" s="224">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0.69599999999999995</v>
      </c>
      <c r="N10" s="72">
        <f t="shared" si="2"/>
        <v>0.70417963033669628</v>
      </c>
      <c r="O10" s="72">
        <f t="shared" si="3"/>
        <v>0.69693643420029583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1">
        <f>N(INDEX(lr_ep,7))</f>
        <v>72000</v>
      </c>
      <c r="W10" s="73">
        <f>N(INDEX(lr_mind,7))*$V10</f>
        <v>72000</v>
      </c>
      <c r="X10" s="73">
        <f>N(INDEX(lr_m0,7))*$V10</f>
        <v>71280</v>
      </c>
      <c r="Y10" s="73">
        <f>N(INDEX(lr_m1,7))*$V10</f>
        <v>72000</v>
      </c>
      <c r="Z10" s="73">
        <f t="shared" si="6"/>
        <v>74160</v>
      </c>
      <c r="AA10" s="73">
        <f t="shared" si="7"/>
        <v>73890.000000000029</v>
      </c>
      <c r="AB10" s="73">
        <f t="shared" si="8"/>
        <v>72263.093788063314</v>
      </c>
      <c r="AC10" s="73">
        <f t="shared" si="9"/>
        <v>71423.698030634565</v>
      </c>
      <c r="AD10" s="73">
        <f t="shared" si="10"/>
        <v>72580.952022065772</v>
      </c>
      <c r="AE10" s="73">
        <f t="shared" si="11"/>
        <v>50112</v>
      </c>
      <c r="AF10" s="73">
        <f t="shared" si="12"/>
        <v>50700.933384242133</v>
      </c>
      <c r="AG10" s="73">
        <f t="shared" si="13"/>
        <v>0</v>
      </c>
      <c r="AH10" s="73">
        <f t="shared" si="14"/>
        <v>71999.999999999985</v>
      </c>
      <c r="AI10" s="73">
        <f t="shared" si="15"/>
        <v>72096.872503478895</v>
      </c>
      <c r="AJ10" s="73">
        <f t="shared" si="16"/>
        <v>50179.423262421296</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72000</v>
      </c>
      <c r="BX10" s="73">
        <f>$V10*$H$428</f>
        <v>72000</v>
      </c>
      <c r="BY10" s="73">
        <f>$V10*$H$429</f>
        <v>72000</v>
      </c>
      <c r="BZ10" s="73">
        <f>$V10*$H$430</f>
        <v>72000</v>
      </c>
      <c r="CA10" s="73">
        <f>$V10*$H$431</f>
        <v>72000</v>
      </c>
      <c r="CB10" s="73">
        <f>$V10*$H$432</f>
        <v>72000</v>
      </c>
      <c r="CC10" s="73">
        <f>$V10*$H$433</f>
        <v>72000</v>
      </c>
      <c r="CD10" s="73">
        <f>$V10*$H$434</f>
        <v>72000</v>
      </c>
      <c r="CE10" s="73">
        <f>$V10*$H$435</f>
        <v>72000</v>
      </c>
      <c r="CF10" s="73">
        <f>$V10*$H$436</f>
        <v>72000</v>
      </c>
      <c r="CG10" s="73">
        <f>$V10*$H$437</f>
        <v>72000</v>
      </c>
      <c r="CH10" s="73">
        <f>$V10*$H$438</f>
        <v>72000</v>
      </c>
      <c r="CI10" s="75">
        <f>$O$400</f>
        <v>1</v>
      </c>
      <c r="CJ10" s="73">
        <f>$H$451</f>
        <v>1.0149999999999999</v>
      </c>
      <c r="CK10" s="73">
        <f>$I$451</f>
        <v>1.0080839018517107</v>
      </c>
      <c r="CL10" s="73">
        <f>$J$451</f>
        <v>1.0232054059964812</v>
      </c>
      <c r="CM10" s="73">
        <f t="shared" si="17"/>
        <v>0</v>
      </c>
      <c r="CN10" s="73">
        <f t="shared" si="18"/>
        <v>72000</v>
      </c>
      <c r="CO10" s="72">
        <f>$M10*($C10/$K$451)*IF($O$400=1,$F$400/$G10,1)*$R10</f>
        <v>0.70417963033669628</v>
      </c>
      <c r="CP10" s="72">
        <f>$M10*(1+$S10)*($C10/$L$451)*IF($O$400=1,$F$400/$H10,1)*$R10</f>
        <v>0.69693643420029583</v>
      </c>
      <c r="CQ10" s="73">
        <f t="shared" si="19"/>
        <v>50700.933384242133</v>
      </c>
      <c r="CR10" s="73">
        <f t="shared" si="20"/>
        <v>50179.423262421296</v>
      </c>
      <c r="CS10" s="73">
        <f t="shared" si="21"/>
        <v>0</v>
      </c>
      <c r="CT10" s="272">
        <f t="shared" si="22"/>
        <v>0</v>
      </c>
      <c r="CU10" s="75">
        <f t="shared" si="23"/>
        <v>1</v>
      </c>
      <c r="CV10" s="75">
        <f t="shared" si="24"/>
        <v>0</v>
      </c>
      <c r="CW10" s="273">
        <f t="shared" si="25"/>
        <v>46204</v>
      </c>
      <c r="CX10" s="274">
        <f t="shared" si="26"/>
        <v>0.03</v>
      </c>
      <c r="CY10" s="6" t="str">
        <f t="shared" si="27"/>
        <v>T</v>
      </c>
      <c r="CZ10" s="273" t="str">
        <f t="shared" si="28"/>
        <v/>
      </c>
      <c r="DA10" s="274" t="str">
        <f t="shared" si="29"/>
        <v/>
      </c>
      <c r="DB10" s="6" t="str">
        <f t="shared" si="30"/>
        <v/>
      </c>
      <c r="DC10" s="273" t="str">
        <f t="shared" si="31"/>
        <v/>
      </c>
      <c r="DD10" s="274" t="str">
        <f t="shared" si="32"/>
        <v/>
      </c>
      <c r="DE10" s="6" t="str">
        <f t="shared" si="33"/>
        <v/>
      </c>
      <c r="DF10" s="273" t="str">
        <f t="shared" si="34"/>
        <v/>
      </c>
      <c r="DG10" s="274" t="str">
        <f t="shared" si="35"/>
        <v/>
      </c>
      <c r="DH10" s="6" t="str">
        <f t="shared" si="36"/>
        <v/>
      </c>
    </row>
    <row r="11" spans="1:112" x14ac:dyDescent="0.3">
      <c r="A11" s="6" t="str">
        <f>$A$454</f>
        <v>ABD|IN</v>
      </c>
      <c r="B11" s="75">
        <f>$C$454</f>
        <v>12</v>
      </c>
      <c r="C11" s="73">
        <f>$B$505</f>
        <v>1.04</v>
      </c>
      <c r="D11" s="73">
        <f>$C$505</f>
        <v>1.0034722222222223</v>
      </c>
      <c r="E11" s="73">
        <f>$D$505</f>
        <v>1.0331944444444445</v>
      </c>
      <c r="F11" s="73">
        <f>$E$505</f>
        <v>1.0400000000000003</v>
      </c>
      <c r="G11" s="224">
        <f>$F$505</f>
        <v>0.98800419401896411</v>
      </c>
      <c r="H11" s="224">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0.68</v>
      </c>
      <c r="N11" s="72">
        <f t="shared" si="2"/>
        <v>0.69278966708479151</v>
      </c>
      <c r="O11" s="72">
        <f t="shared" si="3"/>
        <v>0.69292750242382473</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1">
        <f>N(INDEX(lr_ep,8))</f>
        <v>56000</v>
      </c>
      <c r="W11" s="73">
        <f>N(INDEX(lr_mind,8))*$V11</f>
        <v>56000</v>
      </c>
      <c r="X11" s="73">
        <f>N(INDEX(lr_m0,8))*$V11</f>
        <v>55440</v>
      </c>
      <c r="Y11" s="73">
        <f>N(INDEX(lr_m1,8))*$V11</f>
        <v>54880</v>
      </c>
      <c r="Z11" s="73">
        <f t="shared" si="6"/>
        <v>58240</v>
      </c>
      <c r="AA11" s="73">
        <f t="shared" si="7"/>
        <v>57858.888888888891</v>
      </c>
      <c r="AB11" s="73">
        <f t="shared" si="8"/>
        <v>56368.866783169775</v>
      </c>
      <c r="AC11" s="73">
        <f t="shared" si="9"/>
        <v>55328.23486506199</v>
      </c>
      <c r="AD11" s="73">
        <f t="shared" si="10"/>
        <v>56679.921339407912</v>
      </c>
      <c r="AE11" s="73">
        <f t="shared" si="11"/>
        <v>38080</v>
      </c>
      <c r="AF11" s="73">
        <f t="shared" si="12"/>
        <v>38796.221356748327</v>
      </c>
      <c r="AG11" s="73">
        <f t="shared" si="13"/>
        <v>0</v>
      </c>
      <c r="AH11" s="73">
        <f t="shared" si="14"/>
        <v>55999.999999999985</v>
      </c>
      <c r="AI11" s="73">
        <f t="shared" si="15"/>
        <v>57064.617846667927</v>
      </c>
      <c r="AJ11" s="73">
        <f t="shared" si="16"/>
        <v>38803.940135734185</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56000</v>
      </c>
      <c r="BX11" s="73">
        <f>$V11*$H$482</f>
        <v>56000</v>
      </c>
      <c r="BY11" s="73">
        <f>$V11*$H$483</f>
        <v>56000</v>
      </c>
      <c r="BZ11" s="73">
        <f>$V11*$H$484</f>
        <v>56000</v>
      </c>
      <c r="CA11" s="73">
        <f>$V11*$H$485</f>
        <v>56000</v>
      </c>
      <c r="CB11" s="73">
        <f>$V11*$H$486</f>
        <v>56000</v>
      </c>
      <c r="CC11" s="73">
        <f>$V11*$H$487</f>
        <v>56000</v>
      </c>
      <c r="CD11" s="73">
        <f>$V11*$H$488</f>
        <v>56000</v>
      </c>
      <c r="CE11" s="73">
        <f>$V11*$H$489</f>
        <v>56000</v>
      </c>
      <c r="CF11" s="73">
        <f>$V11*$H$490</f>
        <v>56000</v>
      </c>
      <c r="CG11" s="73">
        <f>$V11*$H$491</f>
        <v>56000</v>
      </c>
      <c r="CH11" s="73">
        <f>$V11*$H$492</f>
        <v>56000</v>
      </c>
      <c r="CI11" s="75">
        <f>$O$454</f>
        <v>1</v>
      </c>
      <c r="CJ11" s="73">
        <f>$H$505</f>
        <v>1.0233333333333334</v>
      </c>
      <c r="CK11" s="73">
        <f>$I$505</f>
        <v>0.99194865631796525</v>
      </c>
      <c r="CL11" s="73">
        <f>$J$505</f>
        <v>1.0150944412130971</v>
      </c>
      <c r="CM11" s="73">
        <f t="shared" si="17"/>
        <v>0</v>
      </c>
      <c r="CN11" s="73">
        <f t="shared" si="18"/>
        <v>56000</v>
      </c>
      <c r="CO11" s="72">
        <f>$M11*($C11/$K$505)*IF($O$454=1,$F$454/$G11,1)*$R11</f>
        <v>0.69278966708479151</v>
      </c>
      <c r="CP11" s="72">
        <f>$M11*(1+$S11)*($C11/$L$505)*IF($O$454=1,$F$454/$H11,1)*$R11</f>
        <v>0.69292750242382473</v>
      </c>
      <c r="CQ11" s="73">
        <f t="shared" si="19"/>
        <v>38796.221356748327</v>
      </c>
      <c r="CR11" s="73">
        <f t="shared" si="20"/>
        <v>38803.940135734185</v>
      </c>
      <c r="CS11" s="73">
        <f t="shared" si="21"/>
        <v>0</v>
      </c>
      <c r="CT11" s="272">
        <f t="shared" si="22"/>
        <v>0</v>
      </c>
      <c r="CU11" s="75">
        <f t="shared" si="23"/>
        <v>1</v>
      </c>
      <c r="CV11" s="75">
        <f t="shared" si="24"/>
        <v>0</v>
      </c>
      <c r="CW11" s="273">
        <f t="shared" si="25"/>
        <v>46235</v>
      </c>
      <c r="CX11" s="274">
        <f t="shared" si="26"/>
        <v>0.04</v>
      </c>
      <c r="CY11" s="6" t="str">
        <f t="shared" si="27"/>
        <v>T</v>
      </c>
      <c r="CZ11" s="273" t="str">
        <f t="shared" si="28"/>
        <v/>
      </c>
      <c r="DA11" s="274" t="str">
        <f t="shared" si="29"/>
        <v/>
      </c>
      <c r="DB11" s="6" t="str">
        <f t="shared" si="30"/>
        <v/>
      </c>
      <c r="DC11" s="273" t="str">
        <f t="shared" si="31"/>
        <v/>
      </c>
      <c r="DD11" s="274" t="str">
        <f t="shared" si="32"/>
        <v/>
      </c>
      <c r="DE11" s="6" t="str">
        <f t="shared" si="33"/>
        <v/>
      </c>
      <c r="DF11" s="273" t="str">
        <f t="shared" si="34"/>
        <v/>
      </c>
      <c r="DG11" s="274" t="str">
        <f t="shared" si="35"/>
        <v/>
      </c>
      <c r="DH11" s="6" t="str">
        <f t="shared" si="36"/>
        <v/>
      </c>
    </row>
    <row r="12" spans="1:112" x14ac:dyDescent="0.3">
      <c r="A12" s="6" t="str">
        <f>$A$508</f>
        <v>ABD|KY</v>
      </c>
      <c r="B12" s="75">
        <f>$C$508</f>
        <v>12</v>
      </c>
      <c r="C12" s="73">
        <f>$B$559</f>
        <v>1</v>
      </c>
      <c r="D12" s="73">
        <f>$C$559</f>
        <v>1</v>
      </c>
      <c r="E12" s="73">
        <f>$D$559</f>
        <v>1</v>
      </c>
      <c r="F12" s="73">
        <f>$E$559</f>
        <v>1</v>
      </c>
      <c r="G12" s="224">
        <f>$F$559</f>
        <v>0.99099790299051793</v>
      </c>
      <c r="H12" s="224">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0.66400000000000003</v>
      </c>
      <c r="N12" s="72">
        <f t="shared" si="2"/>
        <v>0.67003169027528542</v>
      </c>
      <c r="O12" s="72">
        <f t="shared" si="3"/>
        <v>0.66778757211931683</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40000</v>
      </c>
      <c r="W12" s="73">
        <f>N(INDEX(lr_mind,9))*$V12</f>
        <v>40000</v>
      </c>
      <c r="X12" s="73">
        <f>N(INDEX(lr_m0,9))*$V12</f>
        <v>39600</v>
      </c>
      <c r="Y12" s="73">
        <f>N(INDEX(lr_m1,9))*$V12</f>
        <v>39800</v>
      </c>
      <c r="Z12" s="73">
        <f t="shared" si="6"/>
        <v>40000</v>
      </c>
      <c r="AA12" s="73">
        <f t="shared" si="7"/>
        <v>40000</v>
      </c>
      <c r="AB12" s="73">
        <f t="shared" si="8"/>
        <v>40000</v>
      </c>
      <c r="AC12" s="73">
        <f t="shared" si="9"/>
        <v>39639.916119620721</v>
      </c>
      <c r="AD12" s="73">
        <f t="shared" si="10"/>
        <v>40363.354835860569</v>
      </c>
      <c r="AE12" s="73">
        <f t="shared" si="11"/>
        <v>26560</v>
      </c>
      <c r="AF12" s="73">
        <f t="shared" si="12"/>
        <v>26801.267611011415</v>
      </c>
      <c r="AG12" s="73">
        <f t="shared" si="13"/>
        <v>0</v>
      </c>
      <c r="AH12" s="73">
        <f t="shared" si="14"/>
        <v>40000</v>
      </c>
      <c r="AI12" s="73">
        <f t="shared" si="15"/>
        <v>40228.166995139567</v>
      </c>
      <c r="AJ12" s="73">
        <f t="shared" si="16"/>
        <v>26711.502884772672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40000</v>
      </c>
      <c r="BX12" s="73">
        <f>$V12*$H$536</f>
        <v>40000</v>
      </c>
      <c r="BY12" s="73">
        <f>$V12*$H$537</f>
        <v>40000</v>
      </c>
      <c r="BZ12" s="73">
        <f>$V12*$H$538</f>
        <v>40000</v>
      </c>
      <c r="CA12" s="73">
        <f>$V12*$H$539</f>
        <v>40000</v>
      </c>
      <c r="CB12" s="73">
        <f>$V12*$H$540</f>
        <v>40000</v>
      </c>
      <c r="CC12" s="73">
        <f>$V12*$H$541</f>
        <v>40000</v>
      </c>
      <c r="CD12" s="73">
        <f>$V12*$H$542</f>
        <v>40000</v>
      </c>
      <c r="CE12" s="73">
        <f>$V12*$H$543</f>
        <v>40000</v>
      </c>
      <c r="CF12" s="73">
        <f>$V12*$H$544</f>
        <v>40000</v>
      </c>
      <c r="CG12" s="73">
        <f>$V12*$H$545</f>
        <v>40000</v>
      </c>
      <c r="CH12" s="73">
        <f>$V12*$H$546</f>
        <v>40000</v>
      </c>
      <c r="CI12" s="75">
        <f>$O$508</f>
        <v>1</v>
      </c>
      <c r="CJ12" s="73">
        <f>$H$559</f>
        <v>1</v>
      </c>
      <c r="CK12" s="73">
        <f>$I$559</f>
        <v>1.004037852440528</v>
      </c>
      <c r="CL12" s="73">
        <f>$J$559</f>
        <v>1.004037852440528</v>
      </c>
      <c r="CM12" s="73">
        <f t="shared" si="17"/>
        <v>0</v>
      </c>
      <c r="CN12" s="73">
        <f t="shared" si="18"/>
        <v>40000</v>
      </c>
      <c r="CO12" s="72">
        <f>$M12*($C12/$K$559)*IF($O$508=1,$F$508/$G12,1)*$R12</f>
        <v>0.67003169027528542</v>
      </c>
      <c r="CP12" s="72">
        <f>$M12*(1+$S12)*($C12/$L$559)*IF($O$508=1,$F$508/$H12,1)*$R12</f>
        <v>0.66778757211931683</v>
      </c>
      <c r="CQ12" s="73">
        <f t="shared" si="19"/>
        <v>26801.267611011415</v>
      </c>
      <c r="CR12" s="73">
        <f t="shared" si="20"/>
        <v>26711.502884772672</v>
      </c>
      <c r="CS12" s="73">
        <f t="shared" si="21"/>
        <v>0</v>
      </c>
      <c r="CT12" s="272">
        <f t="shared" si="22"/>
        <v>0</v>
      </c>
      <c r="CU12" s="75">
        <f t="shared" si="23"/>
        <v>0</v>
      </c>
      <c r="CV12" s="75">
        <f t="shared" si="24"/>
        <v>0</v>
      </c>
      <c r="CW12" s="273" t="str">
        <f t="shared" si="25"/>
        <v/>
      </c>
      <c r="CX12" s="274" t="str">
        <f t="shared" si="26"/>
        <v/>
      </c>
      <c r="CY12" s="6" t="str">
        <f t="shared" si="27"/>
        <v/>
      </c>
      <c r="CZ12" s="273" t="str">
        <f t="shared" si="28"/>
        <v/>
      </c>
      <c r="DA12" s="274" t="str">
        <f t="shared" si="29"/>
        <v/>
      </c>
      <c r="DB12" s="6" t="str">
        <f t="shared" si="30"/>
        <v/>
      </c>
      <c r="DC12" s="273" t="str">
        <f t="shared" si="31"/>
        <v/>
      </c>
      <c r="DD12" s="274" t="str">
        <f t="shared" si="32"/>
        <v/>
      </c>
      <c r="DE12" s="6" t="str">
        <f t="shared" si="33"/>
        <v/>
      </c>
      <c r="DF12" s="273" t="str">
        <f t="shared" si="34"/>
        <v/>
      </c>
      <c r="DG12" s="274" t="str">
        <f t="shared" si="35"/>
        <v/>
      </c>
      <c r="DH12" s="6" t="str">
        <f t="shared" si="36"/>
        <v/>
      </c>
    </row>
    <row r="13" spans="1:112" x14ac:dyDescent="0.3">
      <c r="A13" s="6" t="str">
        <f>$A$562</f>
        <v>ABD|MD</v>
      </c>
      <c r="B13" s="75">
        <f>$C$562</f>
        <v>12</v>
      </c>
      <c r="C13" s="73">
        <f>$B$613</f>
        <v>1.06</v>
      </c>
      <c r="D13" s="73">
        <f>$C$613</f>
        <v>1.0018750000000001</v>
      </c>
      <c r="E13" s="73">
        <f>$D$613</f>
        <v>1.0444500000000001</v>
      </c>
      <c r="F13" s="73">
        <f>$E$613</f>
        <v>1.0904750000000003</v>
      </c>
      <c r="G13" s="224">
        <f>$F$613</f>
        <v>0.99399161196207142</v>
      </c>
      <c r="H13" s="224">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0.69199999999999995</v>
      </c>
      <c r="N13" s="72">
        <f t="shared" si="2"/>
        <v>0.70654786104285794</v>
      </c>
      <c r="O13" s="72">
        <f t="shared" si="3"/>
        <v>0.66777772964368387</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1">
        <f>N(INDEX(lr_ep,10))</f>
        <v>92000</v>
      </c>
      <c r="W13" s="73">
        <f>N(INDEX(lr_mind,10))*$V13</f>
        <v>92000</v>
      </c>
      <c r="X13" s="73">
        <f>N(INDEX(lr_m0,10))*$V13</f>
        <v>91080</v>
      </c>
      <c r="Y13" s="73">
        <f>N(INDEX(lr_m1,10))*$V13</f>
        <v>92920</v>
      </c>
      <c r="Z13" s="73">
        <f t="shared" si="6"/>
        <v>97520</v>
      </c>
      <c r="AA13" s="73">
        <f t="shared" si="7"/>
        <v>96089.400000000009</v>
      </c>
      <c r="AB13" s="73">
        <f t="shared" si="8"/>
        <v>93369.716118531287</v>
      </c>
      <c r="AC13" s="73">
        <f t="shared" si="9"/>
        <v>91447.228300510571</v>
      </c>
      <c r="AD13" s="73">
        <f t="shared" si="10"/>
        <v>92556.113042441386</v>
      </c>
      <c r="AE13" s="73">
        <f t="shared" si="11"/>
        <v>63663.999999999993</v>
      </c>
      <c r="AF13" s="73">
        <f t="shared" si="12"/>
        <v>65002.403215942933</v>
      </c>
      <c r="AG13" s="73">
        <f t="shared" si="13"/>
        <v>0</v>
      </c>
      <c r="AH13" s="73">
        <f t="shared" si="14"/>
        <v>89428.918590522459</v>
      </c>
      <c r="AI13" s="73">
        <f t="shared" si="15"/>
        <v>91332.114482841745</v>
      </c>
      <c r="AJ13" s="73">
        <f t="shared" si="16"/>
        <v>61435.551127218918</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92000</v>
      </c>
      <c r="BX13" s="73">
        <f>$V13*$H$590</f>
        <v>92000</v>
      </c>
      <c r="BY13" s="73">
        <f>$V13*$H$591</f>
        <v>92000</v>
      </c>
      <c r="BZ13" s="73">
        <f>$V13*$H$592</f>
        <v>92000</v>
      </c>
      <c r="CA13" s="73">
        <f>$V13*$H$593</f>
        <v>92000</v>
      </c>
      <c r="CB13" s="73">
        <f>$V13*$H$594</f>
        <v>92000</v>
      </c>
      <c r="CC13" s="73">
        <f>$V13*$H$595</f>
        <v>92000</v>
      </c>
      <c r="CD13" s="73">
        <f>$V13*$H$596</f>
        <v>92000</v>
      </c>
      <c r="CE13" s="73">
        <f>$V13*$H$597</f>
        <v>92000</v>
      </c>
      <c r="CF13" s="73">
        <f>$V13*$H$598</f>
        <v>92000</v>
      </c>
      <c r="CG13" s="73">
        <f>$V13*$H$599</f>
        <v>92000</v>
      </c>
      <c r="CH13" s="73">
        <f>$V13*$H$600</f>
        <v>92000</v>
      </c>
      <c r="CI13" s="75">
        <f>$O$562</f>
        <v>1</v>
      </c>
      <c r="CJ13" s="73">
        <f>$H$613</f>
        <v>1.0549999999999999</v>
      </c>
      <c r="CK13" s="73">
        <f>$I$613</f>
        <v>1.0162008242959635</v>
      </c>
      <c r="CL13" s="73">
        <f>$J$613</f>
        <v>1.0720923619106528</v>
      </c>
      <c r="CM13" s="73">
        <f t="shared" si="17"/>
        <v>0</v>
      </c>
      <c r="CN13" s="73">
        <f t="shared" si="18"/>
        <v>92000</v>
      </c>
      <c r="CO13" s="72">
        <f>$M13*($C13/$K$613)*IF($O$562=1,$F$562/$G13,1)*$R13</f>
        <v>0.70654786104285794</v>
      </c>
      <c r="CP13" s="72">
        <f>$M13*(1+$S13)*($C13/$L$613)*IF($O$562=1,$F$562/$H13,1)*$R13</f>
        <v>0.66777772964368387</v>
      </c>
      <c r="CQ13" s="73">
        <f t="shared" si="19"/>
        <v>65002.403215942933</v>
      </c>
      <c r="CR13" s="73">
        <f t="shared" si="20"/>
        <v>61435.551127218918</v>
      </c>
      <c r="CS13" s="73">
        <f t="shared" si="21"/>
        <v>0</v>
      </c>
      <c r="CT13" s="272">
        <f t="shared" si="22"/>
        <v>0</v>
      </c>
      <c r="CU13" s="75">
        <f t="shared" si="23"/>
        <v>1</v>
      </c>
      <c r="CV13" s="75">
        <f t="shared" si="24"/>
        <v>1</v>
      </c>
      <c r="CW13" s="273">
        <f t="shared" si="25"/>
        <v>46296</v>
      </c>
      <c r="CX13" s="274">
        <f t="shared" si="26"/>
        <v>0.06</v>
      </c>
      <c r="CY13" s="6" t="str">
        <f t="shared" si="27"/>
        <v>T</v>
      </c>
      <c r="CZ13" s="273">
        <f t="shared" si="28"/>
        <v>46661</v>
      </c>
      <c r="DA13" s="274">
        <f t="shared" si="29"/>
        <v>0.04</v>
      </c>
      <c r="DB13" s="6" t="str">
        <f t="shared" si="30"/>
        <v>P*</v>
      </c>
      <c r="DC13" s="273" t="str">
        <f t="shared" si="31"/>
        <v/>
      </c>
      <c r="DD13" s="274" t="str">
        <f t="shared" si="32"/>
        <v/>
      </c>
      <c r="DE13" s="6" t="str">
        <f t="shared" si="33"/>
        <v/>
      </c>
      <c r="DF13" s="273" t="str">
        <f t="shared" si="34"/>
        <v/>
      </c>
      <c r="DG13" s="274" t="str">
        <f t="shared" si="35"/>
        <v/>
      </c>
      <c r="DH13" s="6" t="str">
        <f t="shared" si="36"/>
        <v/>
      </c>
    </row>
    <row r="14" spans="1:112" x14ac:dyDescent="0.3">
      <c r="A14" s="6" t="str">
        <f>$A$616</f>
        <v>ABD|MI</v>
      </c>
      <c r="B14" s="75">
        <f>$C$616</f>
        <v>12</v>
      </c>
      <c r="C14" s="73">
        <f>$B$667</f>
        <v>1.02</v>
      </c>
      <c r="D14" s="73">
        <f>$C$667</f>
        <v>1.0002777777777778</v>
      </c>
      <c r="E14" s="73">
        <f>$D$667</f>
        <v>1.0130555555555556</v>
      </c>
      <c r="F14" s="73">
        <f>$E$667</f>
        <v>1.0199999999999998</v>
      </c>
      <c r="G14" s="224">
        <f>$F$667</f>
        <v>0.9900000000000001</v>
      </c>
      <c r="H14" s="224">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0.67600000000000005</v>
      </c>
      <c r="N14" s="72">
        <f t="shared" si="2"/>
        <v>0.68750903606949665</v>
      </c>
      <c r="O14" s="72">
        <f t="shared" si="3"/>
        <v>0.6828282828282829</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1">
        <f>N(INDEX(lr_ep,11))</f>
        <v>76000</v>
      </c>
      <c r="W14" s="73">
        <f>N(INDEX(lr_mind,11))*$V14</f>
        <v>76000</v>
      </c>
      <c r="X14" s="73">
        <f>N(INDEX(lr_m0,11))*$V14</f>
        <v>75240</v>
      </c>
      <c r="Y14" s="73">
        <f>N(INDEX(lr_m1,11))*$V14</f>
        <v>75240</v>
      </c>
      <c r="Z14" s="73">
        <f t="shared" si="6"/>
        <v>77520</v>
      </c>
      <c r="AA14" s="73">
        <f t="shared" si="7"/>
        <v>76992.222222222219</v>
      </c>
      <c r="AB14" s="73">
        <f t="shared" si="8"/>
        <v>76520.976144776534</v>
      </c>
      <c r="AC14" s="73">
        <f t="shared" si="9"/>
        <v>75240.000000000015</v>
      </c>
      <c r="AD14" s="73">
        <f t="shared" si="10"/>
        <v>76767.676767676749</v>
      </c>
      <c r="AE14" s="73">
        <f t="shared" si="11"/>
        <v>51376</v>
      </c>
      <c r="AF14" s="73">
        <f t="shared" si="12"/>
        <v>52250.686741281745</v>
      </c>
      <c r="AG14" s="73">
        <f t="shared" si="13"/>
        <v>0</v>
      </c>
      <c r="AH14" s="73">
        <f t="shared" si="14"/>
        <v>76000.000000000015</v>
      </c>
      <c r="AI14" s="73">
        <f t="shared" si="15"/>
        <v>76767.676767676749</v>
      </c>
      <c r="AJ14" s="73">
        <f t="shared" si="16"/>
        <v>51894.949494949498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76000</v>
      </c>
      <c r="BX14" s="73">
        <f>$V14*$H$644</f>
        <v>76000</v>
      </c>
      <c r="BY14" s="73">
        <f>$V14*$H$645</f>
        <v>76000</v>
      </c>
      <c r="BZ14" s="73">
        <f>$V14*$H$646</f>
        <v>76000</v>
      </c>
      <c r="CA14" s="73">
        <f>$V14*$H$647</f>
        <v>76000</v>
      </c>
      <c r="CB14" s="73">
        <f>$V14*$H$648</f>
        <v>76000</v>
      </c>
      <c r="CC14" s="73">
        <f>$V14*$H$649</f>
        <v>76000</v>
      </c>
      <c r="CD14" s="73">
        <f>$V14*$H$650</f>
        <v>76000</v>
      </c>
      <c r="CE14" s="73">
        <f>$V14*$H$651</f>
        <v>76000</v>
      </c>
      <c r="CF14" s="73">
        <f>$V14*$H$652</f>
        <v>76000</v>
      </c>
      <c r="CG14" s="73">
        <f>$V14*$H$653</f>
        <v>76000</v>
      </c>
      <c r="CH14" s="73">
        <f>$V14*$H$654</f>
        <v>76000</v>
      </c>
      <c r="CI14" s="75">
        <f>$O$616</f>
        <v>1</v>
      </c>
      <c r="CJ14" s="73">
        <f>$H$667</f>
        <v>1.0166666666666664</v>
      </c>
      <c r="CK14" s="73">
        <f>$I$667</f>
        <v>1</v>
      </c>
      <c r="CL14" s="73">
        <f>$J$667</f>
        <v>1.0166666666666664</v>
      </c>
      <c r="CM14" s="73">
        <f t="shared" si="17"/>
        <v>0</v>
      </c>
      <c r="CN14" s="73">
        <f t="shared" si="18"/>
        <v>76000</v>
      </c>
      <c r="CO14" s="72">
        <f>$M14*($C14/$K$667)*IF($O$616=1,$F$616/$G14,1)*$R14</f>
        <v>0.68750903606949665</v>
      </c>
      <c r="CP14" s="72">
        <f>$M14*(1+$S14)*($C14/$L$667)*IF($O$616=1,$F$616/$H14,1)*$R14</f>
        <v>0.6828282828282829</v>
      </c>
      <c r="CQ14" s="73">
        <f t="shared" si="19"/>
        <v>52250.686741281745</v>
      </c>
      <c r="CR14" s="73">
        <f t="shared" si="20"/>
        <v>51894.949494949498</v>
      </c>
      <c r="CS14" s="73">
        <f t="shared" si="21"/>
        <v>0</v>
      </c>
      <c r="CT14" s="272">
        <f t="shared" si="22"/>
        <v>0</v>
      </c>
      <c r="CU14" s="75">
        <f t="shared" si="23"/>
        <v>1</v>
      </c>
      <c r="CV14" s="75">
        <f t="shared" si="24"/>
        <v>0</v>
      </c>
      <c r="CW14" s="273">
        <f t="shared" si="25"/>
        <v>46327</v>
      </c>
      <c r="CX14" s="274">
        <f t="shared" si="26"/>
        <v>0.02</v>
      </c>
      <c r="CY14" s="6" t="str">
        <f t="shared" si="27"/>
        <v>T</v>
      </c>
      <c r="CZ14" s="273" t="str">
        <f t="shared" si="28"/>
        <v/>
      </c>
      <c r="DA14" s="274" t="str">
        <f t="shared" si="29"/>
        <v/>
      </c>
      <c r="DB14" s="6" t="str">
        <f t="shared" si="30"/>
        <v/>
      </c>
      <c r="DC14" s="273" t="str">
        <f t="shared" si="31"/>
        <v/>
      </c>
      <c r="DD14" s="274" t="str">
        <f t="shared" si="32"/>
        <v/>
      </c>
      <c r="DE14" s="6" t="str">
        <f t="shared" si="33"/>
        <v/>
      </c>
      <c r="DF14" s="273" t="str">
        <f t="shared" si="34"/>
        <v/>
      </c>
      <c r="DG14" s="274" t="str">
        <f t="shared" si="35"/>
        <v/>
      </c>
      <c r="DH14" s="6" t="str">
        <f t="shared" si="36"/>
        <v/>
      </c>
    </row>
    <row r="15" spans="1:112" x14ac:dyDescent="0.3">
      <c r="A15" s="6" t="str">
        <f>$A$670</f>
        <v>ABD|MN</v>
      </c>
      <c r="B15" s="75">
        <f>$C$670</f>
        <v>12</v>
      </c>
      <c r="C15" s="73">
        <f>$B$721</f>
        <v>1</v>
      </c>
      <c r="D15" s="73">
        <f>$C$721</f>
        <v>1</v>
      </c>
      <c r="E15" s="73">
        <f>$D$721</f>
        <v>1</v>
      </c>
      <c r="F15" s="73">
        <f>$E$721</f>
        <v>1</v>
      </c>
      <c r="G15" s="224">
        <f>$F$721</f>
        <v>0.99299370897155337</v>
      </c>
      <c r="H15" s="224">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0.66</v>
      </c>
      <c r="N15" s="72">
        <f t="shared" si="2"/>
        <v>0.66465677882648833</v>
      </c>
      <c r="O15" s="72">
        <f t="shared" si="3"/>
        <v>0.65803606861473762</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60000</v>
      </c>
      <c r="W15" s="73">
        <f>N(INDEX(lr_mind,12))*$V15</f>
        <v>60000</v>
      </c>
      <c r="X15" s="73">
        <f>N(INDEX(lr_m0,12))*$V15</f>
        <v>59400</v>
      </c>
      <c r="Y15" s="73">
        <f>N(INDEX(lr_m1,12))*$V15</f>
        <v>60299.999999999993</v>
      </c>
      <c r="Z15" s="73">
        <f t="shared" si="6"/>
        <v>60000</v>
      </c>
      <c r="AA15" s="73">
        <f t="shared" si="7"/>
        <v>60000</v>
      </c>
      <c r="AB15" s="73">
        <f t="shared" si="8"/>
        <v>60000</v>
      </c>
      <c r="AC15" s="73">
        <f t="shared" si="9"/>
        <v>59579.622538293203</v>
      </c>
      <c r="AD15" s="73">
        <f t="shared" si="10"/>
        <v>60423.343529680758</v>
      </c>
      <c r="AE15" s="73">
        <f t="shared" si="11"/>
        <v>39600</v>
      </c>
      <c r="AF15" s="73">
        <f t="shared" si="12"/>
        <v>39879.406729589296</v>
      </c>
      <c r="AG15" s="73">
        <f t="shared" si="13"/>
        <v>0</v>
      </c>
      <c r="AH15" s="73">
        <f t="shared" si="14"/>
        <v>60000</v>
      </c>
      <c r="AI15" s="73">
        <f t="shared" si="15"/>
        <v>59821.460783157963</v>
      </c>
      <c r="AJ15" s="73">
        <f t="shared" si="16"/>
        <v>39482.164116884254</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60000</v>
      </c>
      <c r="BX15" s="73">
        <f>$V15*$H$698</f>
        <v>60000</v>
      </c>
      <c r="BY15" s="73">
        <f>$V15*$H$699</f>
        <v>60000</v>
      </c>
      <c r="BZ15" s="73">
        <f>$V15*$H$700</f>
        <v>60000</v>
      </c>
      <c r="CA15" s="73">
        <f>$V15*$H$701</f>
        <v>60000</v>
      </c>
      <c r="CB15" s="73">
        <f>$V15*$H$702</f>
        <v>60000</v>
      </c>
      <c r="CC15" s="73">
        <f>$V15*$H$703</f>
        <v>60000</v>
      </c>
      <c r="CD15" s="73">
        <f>$V15*$H$704</f>
        <v>60000</v>
      </c>
      <c r="CE15" s="73">
        <f>$V15*$H$705</f>
        <v>60000</v>
      </c>
      <c r="CF15" s="73">
        <f>$V15*$H$706</f>
        <v>60000</v>
      </c>
      <c r="CG15" s="73">
        <f>$V15*$H$707</f>
        <v>60000</v>
      </c>
      <c r="CH15" s="73">
        <f>$V15*$H$708</f>
        <v>60000</v>
      </c>
      <c r="CI15" s="75">
        <f>$O$670</f>
        <v>1</v>
      </c>
      <c r="CJ15" s="73">
        <f>$H$721</f>
        <v>1</v>
      </c>
      <c r="CK15" s="73">
        <f>$I$721</f>
        <v>1.0121382062846183</v>
      </c>
      <c r="CL15" s="73">
        <f>$J$721</f>
        <v>1.0121382062846183</v>
      </c>
      <c r="CM15" s="73">
        <f t="shared" si="17"/>
        <v>0</v>
      </c>
      <c r="CN15" s="73">
        <f t="shared" si="18"/>
        <v>60000</v>
      </c>
      <c r="CO15" s="72">
        <f>$M15*($C15/$K$721)*IF($O$670=1,$F$670/$G15,1)*$R15</f>
        <v>0.66465677882648833</v>
      </c>
      <c r="CP15" s="72">
        <f>$M15*(1+$S15)*($C15/$L$721)*IF($O$670=1,$F$670/$H15,1)*$R15</f>
        <v>0.65803606861473762</v>
      </c>
      <c r="CQ15" s="73">
        <f t="shared" si="19"/>
        <v>39879.406729589296</v>
      </c>
      <c r="CR15" s="73">
        <f t="shared" si="20"/>
        <v>39482.164116884254</v>
      </c>
      <c r="CS15" s="73">
        <f t="shared" si="21"/>
        <v>0</v>
      </c>
      <c r="CT15" s="272">
        <f t="shared" si="22"/>
        <v>0</v>
      </c>
      <c r="CU15" s="75">
        <f t="shared" si="23"/>
        <v>0</v>
      </c>
      <c r="CV15" s="75">
        <f t="shared" si="24"/>
        <v>0</v>
      </c>
      <c r="CW15" s="273" t="str">
        <f t="shared" si="25"/>
        <v/>
      </c>
      <c r="CX15" s="274" t="str">
        <f t="shared" si="26"/>
        <v/>
      </c>
      <c r="CY15" s="6" t="str">
        <f t="shared" si="27"/>
        <v/>
      </c>
      <c r="CZ15" s="273" t="str">
        <f t="shared" si="28"/>
        <v/>
      </c>
      <c r="DA15" s="274" t="str">
        <f t="shared" si="29"/>
        <v/>
      </c>
      <c r="DB15" s="6" t="str">
        <f t="shared" si="30"/>
        <v/>
      </c>
      <c r="DC15" s="273" t="str">
        <f t="shared" si="31"/>
        <v/>
      </c>
      <c r="DD15" s="274" t="str">
        <f t="shared" si="32"/>
        <v/>
      </c>
      <c r="DE15" s="6" t="str">
        <f t="shared" si="33"/>
        <v/>
      </c>
      <c r="DF15" s="273" t="str">
        <f t="shared" si="34"/>
        <v/>
      </c>
      <c r="DG15" s="274" t="str">
        <f t="shared" si="35"/>
        <v/>
      </c>
      <c r="DH15" s="6" t="str">
        <f t="shared" si="36"/>
        <v/>
      </c>
    </row>
    <row r="16" spans="1:112" x14ac:dyDescent="0.3">
      <c r="A16" s="6" t="str">
        <f>$A$724</f>
        <v>ABD|NM</v>
      </c>
      <c r="B16" s="75">
        <f>$C$724</f>
        <v>12</v>
      </c>
      <c r="C16" s="73">
        <f>$B$775</f>
        <v>1.04</v>
      </c>
      <c r="D16" s="73">
        <f>$C$775</f>
        <v>1.02</v>
      </c>
      <c r="E16" s="73">
        <f>$D$775</f>
        <v>1.0400000000000003</v>
      </c>
      <c r="F16" s="73">
        <f>$E$775</f>
        <v>1.0400000000000003</v>
      </c>
      <c r="G16" s="224">
        <f>$F$775</f>
        <v>0.98900209700948194</v>
      </c>
      <c r="H16" s="224">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0.68799999999999994</v>
      </c>
      <c r="N16" s="72">
        <f t="shared" si="2"/>
        <v>0.69565069890180797</v>
      </c>
      <c r="O16" s="72">
        <f t="shared" si="3"/>
        <v>0.69800108390350857</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44000</v>
      </c>
      <c r="W16" s="73">
        <f>N(INDEX(lr_mind,13))*$V16</f>
        <v>44000</v>
      </c>
      <c r="X16" s="73">
        <f>N(INDEX(lr_m0,13))*$V16</f>
        <v>43560</v>
      </c>
      <c r="Y16" s="73">
        <f>N(INDEX(lr_m1,13))*$V16</f>
        <v>43340</v>
      </c>
      <c r="Z16" s="73">
        <f t="shared" si="6"/>
        <v>45760</v>
      </c>
      <c r="AA16" s="73">
        <f t="shared" si="7"/>
        <v>45760.000000000015</v>
      </c>
      <c r="AB16" s="73">
        <f t="shared" si="8"/>
        <v>43999.999999999993</v>
      </c>
      <c r="AC16" s="73">
        <f t="shared" si="9"/>
        <v>43516.092268417204</v>
      </c>
      <c r="AD16" s="73">
        <f t="shared" si="10"/>
        <v>44489.288883255169</v>
      </c>
      <c r="AE16" s="73">
        <f t="shared" si="11"/>
        <v>30271.999999999996</v>
      </c>
      <c r="AF16" s="73">
        <f t="shared" si="12"/>
        <v>30608.63075167955</v>
      </c>
      <c r="AG16" s="73">
        <f t="shared" si="13"/>
        <v>0</v>
      </c>
      <c r="AH16" s="73">
        <f t="shared" si="14"/>
        <v>43999.999999999993</v>
      </c>
      <c r="AI16" s="73">
        <f t="shared" si="15"/>
        <v>44639.604203131377</v>
      </c>
      <c r="AJ16" s="73">
        <f t="shared" si="16"/>
        <v>30712.047691754378</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44000</v>
      </c>
      <c r="BX16" s="73">
        <f>$V16*$H$752</f>
        <v>44000</v>
      </c>
      <c r="BY16" s="73">
        <f>$V16*$H$753</f>
        <v>44000</v>
      </c>
      <c r="BZ16" s="73">
        <f>$V16*$H$754</f>
        <v>44000</v>
      </c>
      <c r="CA16" s="73">
        <f>$V16*$H$755</f>
        <v>44000</v>
      </c>
      <c r="CB16" s="73">
        <f>$V16*$H$756</f>
        <v>44000</v>
      </c>
      <c r="CC16" s="73">
        <f>$V16*$H$757</f>
        <v>44000</v>
      </c>
      <c r="CD16" s="73">
        <f>$V16*$H$758</f>
        <v>44000</v>
      </c>
      <c r="CE16" s="73">
        <f>$V16*$H$759</f>
        <v>44000</v>
      </c>
      <c r="CF16" s="73">
        <f>$V16*$H$760</f>
        <v>44000</v>
      </c>
      <c r="CG16" s="73">
        <f>$V16*$H$761</f>
        <v>44000</v>
      </c>
      <c r="CH16" s="73">
        <f>$V16*$H$762</f>
        <v>44000</v>
      </c>
      <c r="CI16" s="75">
        <f>$O$724</f>
        <v>1</v>
      </c>
      <c r="CJ16" s="73">
        <f>$H$775</f>
        <v>1</v>
      </c>
      <c r="CK16" s="73">
        <f>$I$775</f>
        <v>0.99597028697853884</v>
      </c>
      <c r="CL16" s="73">
        <f>$J$775</f>
        <v>0.99597028697853884</v>
      </c>
      <c r="CM16" s="73">
        <f t="shared" si="17"/>
        <v>0</v>
      </c>
      <c r="CN16" s="73">
        <f t="shared" si="18"/>
        <v>44000</v>
      </c>
      <c r="CO16" s="72">
        <f>$M16*($C16/$K$775)*IF($O$724=1,$F$724/$G16,1)*$R16</f>
        <v>0.69565069890180797</v>
      </c>
      <c r="CP16" s="72">
        <f>$M16*(1+$S16)*($C16/$L$775)*IF($O$724=1,$F$724/$H16,1)*$R16</f>
        <v>0.69800108390350857</v>
      </c>
      <c r="CQ16" s="73">
        <f t="shared" si="19"/>
        <v>30608.63075167955</v>
      </c>
      <c r="CR16" s="73">
        <f t="shared" si="20"/>
        <v>30712.047691754378</v>
      </c>
      <c r="CS16" s="73">
        <f t="shared" si="21"/>
        <v>0</v>
      </c>
      <c r="CT16" s="272">
        <f t="shared" si="22"/>
        <v>0</v>
      </c>
      <c r="CU16" s="75">
        <f t="shared" si="23"/>
        <v>1</v>
      </c>
      <c r="CV16" s="75">
        <f t="shared" si="24"/>
        <v>0</v>
      </c>
      <c r="CW16" s="273">
        <f t="shared" si="25"/>
        <v>46023</v>
      </c>
      <c r="CX16" s="274">
        <f t="shared" si="26"/>
        <v>0.04</v>
      </c>
      <c r="CY16" s="6" t="str">
        <f t="shared" si="27"/>
        <v>T</v>
      </c>
      <c r="CZ16" s="273" t="str">
        <f t="shared" si="28"/>
        <v/>
      </c>
      <c r="DA16" s="274" t="str">
        <f t="shared" si="29"/>
        <v/>
      </c>
      <c r="DB16" s="6" t="str">
        <f t="shared" si="30"/>
        <v/>
      </c>
      <c r="DC16" s="273" t="str">
        <f t="shared" si="31"/>
        <v/>
      </c>
      <c r="DD16" s="274" t="str">
        <f t="shared" si="32"/>
        <v/>
      </c>
      <c r="DE16" s="6" t="str">
        <f t="shared" si="33"/>
        <v/>
      </c>
      <c r="DF16" s="273" t="str">
        <f t="shared" si="34"/>
        <v/>
      </c>
      <c r="DG16" s="274" t="str">
        <f t="shared" si="35"/>
        <v/>
      </c>
      <c r="DH16" s="6" t="str">
        <f t="shared" si="36"/>
        <v/>
      </c>
    </row>
    <row r="17" spans="1:112" x14ac:dyDescent="0.3">
      <c r="A17" s="6" t="str">
        <f>$A$778</f>
        <v>ABD|NC</v>
      </c>
      <c r="B17" s="75">
        <f>$C$778</f>
        <v>12</v>
      </c>
      <c r="C17" s="73">
        <f>$B$829</f>
        <v>1.05</v>
      </c>
      <c r="D17" s="73">
        <f>$C$829</f>
        <v>1.0210069444444445</v>
      </c>
      <c r="E17" s="73">
        <f>$D$829</f>
        <v>1.0616388888888888</v>
      </c>
      <c r="F17" s="73">
        <f>$E$829</f>
        <v>1.0906875</v>
      </c>
      <c r="G17" s="224">
        <f>$F$829</f>
        <v>0.99199580598103554</v>
      </c>
      <c r="H17" s="224">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0.67200000000000004</v>
      </c>
      <c r="N17" s="72">
        <f t="shared" si="2"/>
        <v>0.66999554863771449</v>
      </c>
      <c r="O17" s="72">
        <f t="shared" si="3"/>
        <v>0.64780182273482856</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1">
        <f>N(INDEX(lr_ep,14))</f>
        <v>96000</v>
      </c>
      <c r="W17" s="73">
        <f>N(INDEX(lr_mind,14))*$V17</f>
        <v>96000</v>
      </c>
      <c r="X17" s="73">
        <f>N(INDEX(lr_m0,14))*$V17</f>
        <v>95040</v>
      </c>
      <c r="Y17" s="73">
        <f>N(INDEX(lr_m1,14))*$V17</f>
        <v>96000</v>
      </c>
      <c r="Z17" s="73">
        <f t="shared" si="6"/>
        <v>100800</v>
      </c>
      <c r="AA17" s="73">
        <f t="shared" si="7"/>
        <v>101917.33333333333</v>
      </c>
      <c r="AB17" s="73">
        <f t="shared" si="8"/>
        <v>94947.539182082226</v>
      </c>
      <c r="AC17" s="73">
        <f t="shared" si="9"/>
        <v>95231.597374179415</v>
      </c>
      <c r="AD17" s="73">
        <f t="shared" si="10"/>
        <v>96774.602696087692</v>
      </c>
      <c r="AE17" s="73">
        <f t="shared" si="11"/>
        <v>64512.000000000007</v>
      </c>
      <c r="AF17" s="73">
        <f t="shared" si="12"/>
        <v>64319.572669220594</v>
      </c>
      <c r="AG17" s="73">
        <f t="shared" si="13"/>
        <v>0</v>
      </c>
      <c r="AH17" s="73">
        <f t="shared" si="14"/>
        <v>92418.772563176899</v>
      </c>
      <c r="AI17" s="73">
        <f t="shared" si="15"/>
        <v>96129.163337971855</v>
      </c>
      <c r="AJ17" s="73">
        <f t="shared" si="16"/>
        <v>62188.974982543543</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96000</v>
      </c>
      <c r="BX17" s="73">
        <f>$V17*$H$806</f>
        <v>96000</v>
      </c>
      <c r="BY17" s="73">
        <f>$V17*$H$807</f>
        <v>96000</v>
      </c>
      <c r="BZ17" s="73">
        <f>$V17*$H$808</f>
        <v>96000</v>
      </c>
      <c r="CA17" s="73">
        <f>$V17*$H$809</f>
        <v>96000</v>
      </c>
      <c r="CB17" s="73">
        <f>$V17*$H$810</f>
        <v>96000</v>
      </c>
      <c r="CC17" s="73">
        <f>$V17*$H$811</f>
        <v>96000</v>
      </c>
      <c r="CD17" s="73">
        <f>$V17*$H$812</f>
        <v>96000</v>
      </c>
      <c r="CE17" s="73">
        <f>$V17*$H$813</f>
        <v>96000</v>
      </c>
      <c r="CF17" s="73">
        <f>$V17*$H$814</f>
        <v>96000</v>
      </c>
      <c r="CG17" s="73">
        <f>$V17*$H$815</f>
        <v>96000</v>
      </c>
      <c r="CH17" s="73">
        <f>$V17*$H$816</f>
        <v>96000</v>
      </c>
      <c r="CI17" s="75">
        <f>$O$778</f>
        <v>1</v>
      </c>
      <c r="CJ17" s="73">
        <f>$H$829</f>
        <v>1.0341666666666665</v>
      </c>
      <c r="CK17" s="73">
        <f>$I$829</f>
        <v>1.0080839018517107</v>
      </c>
      <c r="CL17" s="73">
        <f>$J$829</f>
        <v>1.0425266476758714</v>
      </c>
      <c r="CM17" s="73">
        <f t="shared" si="17"/>
        <v>0</v>
      </c>
      <c r="CN17" s="73">
        <f t="shared" si="18"/>
        <v>96000</v>
      </c>
      <c r="CO17" s="72">
        <f>$M17*($C17/$K$829)*IF($O$778=1,$F$778/$G17,1)*$R17</f>
        <v>0.66999554863771449</v>
      </c>
      <c r="CP17" s="72">
        <f>$M17*(1+$S17)*($C17/$L$829)*IF($O$778=1,$F$778/$H17,1)*$R17</f>
        <v>0.64780182273482856</v>
      </c>
      <c r="CQ17" s="73">
        <f t="shared" si="19"/>
        <v>64319.572669220594</v>
      </c>
      <c r="CR17" s="73">
        <f t="shared" si="20"/>
        <v>62188.974982543543</v>
      </c>
      <c r="CS17" s="73">
        <f t="shared" si="21"/>
        <v>0</v>
      </c>
      <c r="CT17" s="272">
        <f t="shared" si="22"/>
        <v>0</v>
      </c>
      <c r="CU17" s="75">
        <f t="shared" si="23"/>
        <v>1</v>
      </c>
      <c r="CV17" s="75">
        <f t="shared" si="24"/>
        <v>1</v>
      </c>
      <c r="CW17" s="273">
        <f t="shared" si="25"/>
        <v>46054</v>
      </c>
      <c r="CX17" s="274">
        <f t="shared" si="26"/>
        <v>0.05</v>
      </c>
      <c r="CY17" s="6" t="str">
        <f t="shared" si="27"/>
        <v>T</v>
      </c>
      <c r="CZ17" s="273">
        <f t="shared" si="28"/>
        <v>46478</v>
      </c>
      <c r="DA17" s="274">
        <f t="shared" si="29"/>
        <v>0.04</v>
      </c>
      <c r="DB17" s="6" t="str">
        <f t="shared" si="30"/>
        <v>P*</v>
      </c>
      <c r="DC17" s="273" t="str">
        <f t="shared" si="31"/>
        <v/>
      </c>
      <c r="DD17" s="274" t="str">
        <f t="shared" si="32"/>
        <v/>
      </c>
      <c r="DE17" s="6" t="str">
        <f t="shared" si="33"/>
        <v/>
      </c>
      <c r="DF17" s="273" t="str">
        <f t="shared" si="34"/>
        <v/>
      </c>
      <c r="DG17" s="274" t="str">
        <f t="shared" si="35"/>
        <v/>
      </c>
      <c r="DH17" s="6" t="str">
        <f t="shared" si="36"/>
        <v/>
      </c>
    </row>
    <row r="18" spans="1:112" x14ac:dyDescent="0.3">
      <c r="A18" s="6" t="str">
        <f>$A$832</f>
        <v>ABD|OH</v>
      </c>
      <c r="B18" s="75">
        <f>$C$832</f>
        <v>12</v>
      </c>
      <c r="C18" s="73">
        <f>$B$883</f>
        <v>1</v>
      </c>
      <c r="D18" s="73">
        <f>$C$883</f>
        <v>1</v>
      </c>
      <c r="E18" s="73">
        <f>$D$883</f>
        <v>1</v>
      </c>
      <c r="F18" s="73">
        <f>$E$883</f>
        <v>1</v>
      </c>
      <c r="G18" s="224">
        <f>$F$883</f>
        <v>0.98800419401896411</v>
      </c>
      <c r="H18" s="224">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0.7</v>
      </c>
      <c r="N18" s="72">
        <f t="shared" si="2"/>
        <v>0.70849901674259885</v>
      </c>
      <c r="O18" s="72">
        <f t="shared" si="3"/>
        <v>0.713307723083349</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80000</v>
      </c>
      <c r="W18" s="73">
        <f>N(INDEX(lr_mind,15))*$V18</f>
        <v>80000</v>
      </c>
      <c r="X18" s="73">
        <f>N(INDEX(lr_m0,15))*$V18</f>
        <v>79200</v>
      </c>
      <c r="Y18" s="73">
        <f>N(INDEX(lr_m1,15))*$V18</f>
        <v>78400</v>
      </c>
      <c r="Z18" s="73">
        <f t="shared" si="6"/>
        <v>80000</v>
      </c>
      <c r="AA18" s="73">
        <f t="shared" si="7"/>
        <v>80000</v>
      </c>
      <c r="AB18" s="73">
        <f t="shared" si="8"/>
        <v>80000</v>
      </c>
      <c r="AC18" s="73">
        <f t="shared" si="9"/>
        <v>79040.335521517132</v>
      </c>
      <c r="AD18" s="73">
        <f t="shared" si="10"/>
        <v>80971.316199154156</v>
      </c>
      <c r="AE18" s="73">
        <f t="shared" si="11"/>
        <v>56000</v>
      </c>
      <c r="AF18" s="73">
        <f t="shared" si="12"/>
        <v>56679.921339407905</v>
      </c>
      <c r="AG18" s="73">
        <f t="shared" si="13"/>
        <v>0</v>
      </c>
      <c r="AH18" s="73">
        <f t="shared" si="14"/>
        <v>80000</v>
      </c>
      <c r="AI18" s="73">
        <f t="shared" si="15"/>
        <v>81520.882638097042</v>
      </c>
      <c r="AJ18" s="73">
        <f t="shared" si="16"/>
        <v>57064.617846667919</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80000</v>
      </c>
      <c r="BX18" s="73">
        <f>$V18*$H$860</f>
        <v>80000</v>
      </c>
      <c r="BY18" s="73">
        <f>$V18*$H$861</f>
        <v>80000</v>
      </c>
      <c r="BZ18" s="73">
        <f>$V18*$H$862</f>
        <v>80000</v>
      </c>
      <c r="CA18" s="73">
        <f>$V18*$H$863</f>
        <v>80000</v>
      </c>
      <c r="CB18" s="73">
        <f>$V18*$H$864</f>
        <v>80000</v>
      </c>
      <c r="CC18" s="73">
        <f>$V18*$H$865</f>
        <v>80000</v>
      </c>
      <c r="CD18" s="73">
        <f>$V18*$H$866</f>
        <v>80000</v>
      </c>
      <c r="CE18" s="73">
        <f>$V18*$H$867</f>
        <v>80000</v>
      </c>
      <c r="CF18" s="73">
        <f>$V18*$H$868</f>
        <v>80000</v>
      </c>
      <c r="CG18" s="73">
        <f>$V18*$H$869</f>
        <v>80000</v>
      </c>
      <c r="CH18" s="73">
        <f>$V18*$H$870</f>
        <v>80000</v>
      </c>
      <c r="CI18" s="75">
        <f>$O$832</f>
        <v>1</v>
      </c>
      <c r="CJ18" s="73">
        <f>$H$883</f>
        <v>1</v>
      </c>
      <c r="CK18" s="73">
        <f>$I$883</f>
        <v>0.99194865631796525</v>
      </c>
      <c r="CL18" s="73">
        <f>$J$883</f>
        <v>0.99194865631796525</v>
      </c>
      <c r="CM18" s="73">
        <f t="shared" si="17"/>
        <v>0</v>
      </c>
      <c r="CN18" s="73">
        <f t="shared" si="18"/>
        <v>80000</v>
      </c>
      <c r="CO18" s="72">
        <f>$M18*($C18/$K$883)*IF($O$832=1,$F$832/$G18,1)*$R18</f>
        <v>0.70849901674259885</v>
      </c>
      <c r="CP18" s="72">
        <f>$M18*(1+$S18)*($C18/$L$883)*IF($O$832=1,$F$832/$H18,1)*$R18</f>
        <v>0.713307723083349</v>
      </c>
      <c r="CQ18" s="73">
        <f t="shared" si="19"/>
        <v>56679.921339407905</v>
      </c>
      <c r="CR18" s="73">
        <f t="shared" si="20"/>
        <v>57064.617846667919</v>
      </c>
      <c r="CS18" s="73">
        <f t="shared" si="21"/>
        <v>0</v>
      </c>
      <c r="CT18" s="272">
        <f t="shared" si="22"/>
        <v>0</v>
      </c>
      <c r="CU18" s="75">
        <f t="shared" si="23"/>
        <v>0</v>
      </c>
      <c r="CV18" s="75">
        <f t="shared" si="24"/>
        <v>0</v>
      </c>
      <c r="CW18" s="273" t="str">
        <f t="shared" si="25"/>
        <v/>
      </c>
      <c r="CX18" s="274" t="str">
        <f t="shared" si="26"/>
        <v/>
      </c>
      <c r="CY18" s="6" t="str">
        <f t="shared" si="27"/>
        <v/>
      </c>
      <c r="CZ18" s="273" t="str">
        <f t="shared" si="28"/>
        <v/>
      </c>
      <c r="DA18" s="274" t="str">
        <f t="shared" si="29"/>
        <v/>
      </c>
      <c r="DB18" s="6" t="str">
        <f t="shared" si="30"/>
        <v/>
      </c>
      <c r="DC18" s="273" t="str">
        <f t="shared" si="31"/>
        <v/>
      </c>
      <c r="DD18" s="274" t="str">
        <f t="shared" si="32"/>
        <v/>
      </c>
      <c r="DE18" s="6" t="str">
        <f t="shared" si="33"/>
        <v/>
      </c>
      <c r="DF18" s="273" t="str">
        <f t="shared" si="34"/>
        <v/>
      </c>
      <c r="DG18" s="274" t="str">
        <f t="shared" si="35"/>
        <v/>
      </c>
      <c r="DH18" s="6" t="str">
        <f t="shared" si="36"/>
        <v/>
      </c>
    </row>
    <row r="19" spans="1:112" x14ac:dyDescent="0.3">
      <c r="A19" s="6" t="str">
        <f>$A$886</f>
        <v>ABD|PA</v>
      </c>
      <c r="B19" s="75">
        <f>$C$886</f>
        <v>12</v>
      </c>
      <c r="C19" s="73">
        <f>$B$937</f>
        <v>1.02</v>
      </c>
      <c r="D19" s="73">
        <f>$C$937</f>
        <v>1.005625</v>
      </c>
      <c r="E19" s="73">
        <f>$D$937</f>
        <v>1.0193749999999999</v>
      </c>
      <c r="F19" s="73">
        <f>$E$937</f>
        <v>1.0199999999999998</v>
      </c>
      <c r="G19" s="224">
        <f>$F$937</f>
        <v>0.99099790299051793</v>
      </c>
      <c r="H19" s="224">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0.68400000000000005</v>
      </c>
      <c r="N19" s="72">
        <f t="shared" si="2"/>
        <v>0.6906365518548917</v>
      </c>
      <c r="O19" s="72">
        <f t="shared" si="3"/>
        <v>0.68790165561688676</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1">
        <f>N(INDEX(lr_ep,16))</f>
        <v>64000</v>
      </c>
      <c r="W19" s="73">
        <f>N(INDEX(lr_mind,16))*$V19</f>
        <v>64000</v>
      </c>
      <c r="X19" s="73">
        <f>N(INDEX(lr_m0,16))*$V19</f>
        <v>63360</v>
      </c>
      <c r="Y19" s="73">
        <f>N(INDEX(lr_m1,16))*$V19</f>
        <v>63680</v>
      </c>
      <c r="Z19" s="73">
        <f t="shared" si="6"/>
        <v>65280</v>
      </c>
      <c r="AA19" s="73">
        <f t="shared" si="7"/>
        <v>65239.999999999993</v>
      </c>
      <c r="AB19" s="73">
        <f t="shared" si="8"/>
        <v>64039.239730226866</v>
      </c>
      <c r="AC19" s="73">
        <f t="shared" si="9"/>
        <v>63423.865791393146</v>
      </c>
      <c r="AD19" s="73">
        <f t="shared" si="10"/>
        <v>64581.36773737691</v>
      </c>
      <c r="AE19" s="73">
        <f t="shared" si="11"/>
        <v>43776</v>
      </c>
      <c r="AF19" s="73">
        <f t="shared" si="12"/>
        <v>44200.739318713066</v>
      </c>
      <c r="AG19" s="73">
        <f t="shared" si="13"/>
        <v>0</v>
      </c>
      <c r="AH19" s="73">
        <f t="shared" si="14"/>
        <v>64000.000000000015</v>
      </c>
      <c r="AI19" s="73">
        <f t="shared" si="15"/>
        <v>64365.067192223309</v>
      </c>
      <c r="AJ19" s="73">
        <f t="shared" si="16"/>
        <v>44025.705959480751</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64000</v>
      </c>
      <c r="BX19" s="73">
        <f>$V19*$H$914</f>
        <v>64000</v>
      </c>
      <c r="BY19" s="73">
        <f>$V19*$H$915</f>
        <v>64000</v>
      </c>
      <c r="BZ19" s="73">
        <f>$V19*$H$916</f>
        <v>64000</v>
      </c>
      <c r="CA19" s="73">
        <f>$V19*$H$917</f>
        <v>64000</v>
      </c>
      <c r="CB19" s="73">
        <f>$V19*$H$918</f>
        <v>64000</v>
      </c>
      <c r="CC19" s="73">
        <f>$V19*$H$919</f>
        <v>64000</v>
      </c>
      <c r="CD19" s="73">
        <f>$V19*$H$920</f>
        <v>64000</v>
      </c>
      <c r="CE19" s="73">
        <f>$V19*$H$921</f>
        <v>64000</v>
      </c>
      <c r="CF19" s="73">
        <f>$V19*$H$922</f>
        <v>64000</v>
      </c>
      <c r="CG19" s="73">
        <f>$V19*$H$923</f>
        <v>64000</v>
      </c>
      <c r="CH19" s="73">
        <f>$V19*$H$924</f>
        <v>64000</v>
      </c>
      <c r="CI19" s="75">
        <f>$O$886</f>
        <v>1</v>
      </c>
      <c r="CJ19" s="73">
        <f>$H$937</f>
        <v>1.0050000000000001</v>
      </c>
      <c r="CK19" s="73">
        <f>$I$937</f>
        <v>1.004037852440528</v>
      </c>
      <c r="CL19" s="73">
        <f>$J$937</f>
        <v>1.0090580722562779</v>
      </c>
      <c r="CM19" s="73">
        <f t="shared" si="17"/>
        <v>0</v>
      </c>
      <c r="CN19" s="73">
        <f t="shared" si="18"/>
        <v>64000</v>
      </c>
      <c r="CO19" s="72">
        <f>$M19*($C19/$K$937)*IF($O$886=1,$F$886/$G19,1)*$R19</f>
        <v>0.6906365518548917</v>
      </c>
      <c r="CP19" s="72">
        <f>$M19*(1+$S19)*($C19/$L$937)*IF($O$886=1,$F$886/$H19,1)*$R19</f>
        <v>0.68790165561688676</v>
      </c>
      <c r="CQ19" s="73">
        <f t="shared" si="19"/>
        <v>44200.739318713066</v>
      </c>
      <c r="CR19" s="73">
        <f t="shared" si="20"/>
        <v>44025.705959480751</v>
      </c>
      <c r="CS19" s="73">
        <f t="shared" si="21"/>
        <v>0</v>
      </c>
      <c r="CT19" s="272">
        <f t="shared" si="22"/>
        <v>0</v>
      </c>
      <c r="CU19" s="75">
        <f t="shared" si="23"/>
        <v>1</v>
      </c>
      <c r="CV19" s="75">
        <f t="shared" si="24"/>
        <v>0</v>
      </c>
      <c r="CW19" s="273">
        <f t="shared" si="25"/>
        <v>46113</v>
      </c>
      <c r="CX19" s="274">
        <f t="shared" si="26"/>
        <v>0.02</v>
      </c>
      <c r="CY19" s="6" t="str">
        <f t="shared" si="27"/>
        <v>T</v>
      </c>
      <c r="CZ19" s="273" t="str">
        <f t="shared" si="28"/>
        <v/>
      </c>
      <c r="DA19" s="274" t="str">
        <f t="shared" si="29"/>
        <v/>
      </c>
      <c r="DB19" s="6" t="str">
        <f t="shared" si="30"/>
        <v/>
      </c>
      <c r="DC19" s="273" t="str">
        <f t="shared" si="31"/>
        <v/>
      </c>
      <c r="DD19" s="274" t="str">
        <f t="shared" si="32"/>
        <v/>
      </c>
      <c r="DE19" s="6" t="str">
        <f t="shared" si="33"/>
        <v/>
      </c>
      <c r="DF19" s="273" t="str">
        <f t="shared" si="34"/>
        <v/>
      </c>
      <c r="DG19" s="274" t="str">
        <f t="shared" si="35"/>
        <v/>
      </c>
      <c r="DH19" s="6" t="str">
        <f t="shared" si="36"/>
        <v/>
      </c>
    </row>
    <row r="20" spans="1:112" x14ac:dyDescent="0.3">
      <c r="A20" s="6" t="str">
        <f>$A$940</f>
        <v>ABD|SC</v>
      </c>
      <c r="B20" s="75">
        <f>$C$940</f>
        <v>12</v>
      </c>
      <c r="C20" s="73">
        <f>$B$991</f>
        <v>1.03</v>
      </c>
      <c r="D20" s="73">
        <f>$C$991</f>
        <v>1.006666666666667</v>
      </c>
      <c r="E20" s="73">
        <f>$D$991</f>
        <v>1.0283333333333335</v>
      </c>
      <c r="F20" s="73">
        <f>$E$991</f>
        <v>1.0300000000000002</v>
      </c>
      <c r="G20" s="224">
        <f>$F$991</f>
        <v>0.99399161196207142</v>
      </c>
      <c r="H20" s="224">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0.66800000000000004</v>
      </c>
      <c r="N20" s="72">
        <f t="shared" si="2"/>
        <v>0.67312706663788335</v>
      </c>
      <c r="O20" s="72">
        <f t="shared" si="3"/>
        <v>0.66315057037541603</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1">
        <f>N(INDEX(lr_ep,17))</f>
        <v>48000</v>
      </c>
      <c r="W20" s="73">
        <f>N(INDEX(lr_mind,17))*$V20</f>
        <v>48000</v>
      </c>
      <c r="X20" s="73">
        <f>N(INDEX(lr_m0,17))*$V20</f>
        <v>47520</v>
      </c>
      <c r="Y20" s="73">
        <f>N(INDEX(lr_m1,17))*$V20</f>
        <v>48480</v>
      </c>
      <c r="Z20" s="73">
        <f t="shared" si="6"/>
        <v>49440</v>
      </c>
      <c r="AA20" s="73">
        <f t="shared" si="7"/>
        <v>49360.000000000007</v>
      </c>
      <c r="AB20" s="73">
        <f t="shared" si="8"/>
        <v>48077.795786061579</v>
      </c>
      <c r="AC20" s="73">
        <f t="shared" si="9"/>
        <v>47711.59737417943</v>
      </c>
      <c r="AD20" s="73">
        <f t="shared" si="10"/>
        <v>48290.145935186803</v>
      </c>
      <c r="AE20" s="73">
        <f t="shared" si="11"/>
        <v>32064.000000000004</v>
      </c>
      <c r="AF20" s="73">
        <f t="shared" si="12"/>
        <v>32310.099198618402</v>
      </c>
      <c r="AG20" s="73">
        <f t="shared" si="13"/>
        <v>0</v>
      </c>
      <c r="AH20" s="73">
        <f t="shared" si="14"/>
        <v>47999.999999999993</v>
      </c>
      <c r="AI20" s="73">
        <f t="shared" si="15"/>
        <v>47651.537991047866</v>
      </c>
      <c r="AJ20" s="73">
        <f t="shared" si="16"/>
        <v>31831.227378019968</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48000</v>
      </c>
      <c r="BX20" s="73">
        <f>$V20*$H$968</f>
        <v>48000</v>
      </c>
      <c r="BY20" s="73">
        <f>$V20*$H$969</f>
        <v>48000</v>
      </c>
      <c r="BZ20" s="73">
        <f>$V20*$H$970</f>
        <v>48000</v>
      </c>
      <c r="CA20" s="73">
        <f>$V20*$H$971</f>
        <v>48000</v>
      </c>
      <c r="CB20" s="73">
        <f>$V20*$H$972</f>
        <v>48000</v>
      </c>
      <c r="CC20" s="73">
        <f>$V20*$H$973</f>
        <v>48000</v>
      </c>
      <c r="CD20" s="73">
        <f>$V20*$H$974</f>
        <v>48000</v>
      </c>
      <c r="CE20" s="73">
        <f>$V20*$H$975</f>
        <v>48000</v>
      </c>
      <c r="CF20" s="73">
        <f>$V20*$H$976</f>
        <v>48000</v>
      </c>
      <c r="CG20" s="73">
        <f>$V20*$H$977</f>
        <v>48000</v>
      </c>
      <c r="CH20" s="73">
        <f>$V20*$H$978</f>
        <v>48000</v>
      </c>
      <c r="CI20" s="75">
        <f>$O$940</f>
        <v>1</v>
      </c>
      <c r="CJ20" s="73">
        <f>$H$991</f>
        <v>1.01</v>
      </c>
      <c r="CK20" s="73">
        <f>$I$991</f>
        <v>1.0162008242959635</v>
      </c>
      <c r="CL20" s="73">
        <f>$J$991</f>
        <v>1.0263637092757334</v>
      </c>
      <c r="CM20" s="73">
        <f t="shared" si="17"/>
        <v>0</v>
      </c>
      <c r="CN20" s="73">
        <f t="shared" si="18"/>
        <v>48000</v>
      </c>
      <c r="CO20" s="72">
        <f>$M20*($C20/$K$991)*IF($O$940=1,$F$940/$G20,1)*$R20</f>
        <v>0.67312706663788335</v>
      </c>
      <c r="CP20" s="72">
        <f>$M20*(1+$S20)*($C20/$L$991)*IF($O$940=1,$F$940/$H20,1)*$R20</f>
        <v>0.66315057037541603</v>
      </c>
      <c r="CQ20" s="73">
        <f t="shared" si="19"/>
        <v>32310.099198618402</v>
      </c>
      <c r="CR20" s="73">
        <f t="shared" si="20"/>
        <v>31831.227378019968</v>
      </c>
      <c r="CS20" s="73">
        <f t="shared" si="21"/>
        <v>0</v>
      </c>
      <c r="CT20" s="272">
        <f t="shared" si="22"/>
        <v>0</v>
      </c>
      <c r="CU20" s="75">
        <f t="shared" si="23"/>
        <v>1</v>
      </c>
      <c r="CV20" s="75">
        <f t="shared" si="24"/>
        <v>0</v>
      </c>
      <c r="CW20" s="273">
        <f t="shared" si="25"/>
        <v>46143</v>
      </c>
      <c r="CX20" s="274">
        <f t="shared" si="26"/>
        <v>0.03</v>
      </c>
      <c r="CY20" s="6" t="str">
        <f t="shared" si="27"/>
        <v>T</v>
      </c>
      <c r="CZ20" s="273" t="str">
        <f t="shared" si="28"/>
        <v/>
      </c>
      <c r="DA20" s="274" t="str">
        <f t="shared" si="29"/>
        <v/>
      </c>
      <c r="DB20" s="6" t="str">
        <f t="shared" si="30"/>
        <v/>
      </c>
      <c r="DC20" s="273" t="str">
        <f t="shared" si="31"/>
        <v/>
      </c>
      <c r="DD20" s="274" t="str">
        <f t="shared" si="32"/>
        <v/>
      </c>
      <c r="DE20" s="6" t="str">
        <f t="shared" si="33"/>
        <v/>
      </c>
      <c r="DF20" s="273" t="str">
        <f t="shared" si="34"/>
        <v/>
      </c>
      <c r="DG20" s="274" t="str">
        <f t="shared" si="35"/>
        <v/>
      </c>
      <c r="DH20" s="6" t="str">
        <f t="shared" si="36"/>
        <v/>
      </c>
    </row>
    <row r="21" spans="1:112" x14ac:dyDescent="0.3">
      <c r="A21" s="6" t="str">
        <f>$A$994</f>
        <v>ABD|TN</v>
      </c>
      <c r="B21" s="75">
        <f>$C$994</f>
        <v>12</v>
      </c>
      <c r="C21" s="73">
        <f>$B$1045</f>
        <v>1</v>
      </c>
      <c r="D21" s="73">
        <f>$C$1045</f>
        <v>1</v>
      </c>
      <c r="E21" s="73">
        <f>$D$1045</f>
        <v>1.0034722222222223</v>
      </c>
      <c r="F21" s="73">
        <f>$E$1045</f>
        <v>1.0331944444444445</v>
      </c>
      <c r="G21" s="224">
        <f>$F$1045</f>
        <v>0.9900000000000001</v>
      </c>
      <c r="H21" s="224">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0.69599999999999995</v>
      </c>
      <c r="N21" s="72">
        <f t="shared" si="2"/>
        <v>0.70059767222396963</v>
      </c>
      <c r="O21" s="72">
        <f t="shared" si="3"/>
        <v>0.68044336359970159</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1">
        <f>N(INDEX(lr_ep,18))</f>
        <v>32000</v>
      </c>
      <c r="W21" s="73">
        <f>N(INDEX(lr_mind,18))*$V21</f>
        <v>32000</v>
      </c>
      <c r="X21" s="73">
        <f>N(INDEX(lr_m0,18))*$V21</f>
        <v>31680</v>
      </c>
      <c r="Y21" s="73">
        <f>N(INDEX(lr_m1,18))*$V21</f>
        <v>31680</v>
      </c>
      <c r="Z21" s="73">
        <f t="shared" si="6"/>
        <v>32000</v>
      </c>
      <c r="AA21" s="73">
        <f t="shared" si="7"/>
        <v>32111.111111111113</v>
      </c>
      <c r="AB21" s="73">
        <f t="shared" si="8"/>
        <v>31889.273356401383</v>
      </c>
      <c r="AC21" s="73">
        <f t="shared" si="9"/>
        <v>31680.000000000004</v>
      </c>
      <c r="AD21" s="73">
        <f t="shared" si="10"/>
        <v>32323.232323232318</v>
      </c>
      <c r="AE21" s="73">
        <f t="shared" si="11"/>
        <v>22272</v>
      </c>
      <c r="AF21" s="73">
        <f t="shared" si="12"/>
        <v>22419.125511167029</v>
      </c>
      <c r="AG21" s="73">
        <f t="shared" si="13"/>
        <v>0</v>
      </c>
      <c r="AH21" s="73">
        <f t="shared" si="14"/>
        <v>30971.90482591746</v>
      </c>
      <c r="AI21" s="73">
        <f t="shared" si="15"/>
        <v>32323.232323232318</v>
      </c>
      <c r="AJ21" s="73">
        <f t="shared" si="16"/>
        <v>21774.18763519045</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32000</v>
      </c>
      <c r="BX21" s="73">
        <f>$V21*$H$1022</f>
        <v>32000</v>
      </c>
      <c r="BY21" s="73">
        <f>$V21*$H$1023</f>
        <v>32000</v>
      </c>
      <c r="BZ21" s="73">
        <f>$V21*$H$1024</f>
        <v>32000</v>
      </c>
      <c r="CA21" s="73">
        <f>$V21*$H$1025</f>
        <v>32000</v>
      </c>
      <c r="CB21" s="73">
        <f>$V21*$H$1026</f>
        <v>32000</v>
      </c>
      <c r="CC21" s="73">
        <f>$V21*$H$1027</f>
        <v>32000</v>
      </c>
      <c r="CD21" s="73">
        <f>$V21*$H$1028</f>
        <v>32000</v>
      </c>
      <c r="CE21" s="73">
        <f>$V21*$H$1029</f>
        <v>32000</v>
      </c>
      <c r="CF21" s="73">
        <f>$V21*$H$1030</f>
        <v>32000</v>
      </c>
      <c r="CG21" s="73">
        <f>$V21*$H$1031</f>
        <v>32000</v>
      </c>
      <c r="CH21" s="73">
        <f>$V21*$H$1032</f>
        <v>32000</v>
      </c>
      <c r="CI21" s="75">
        <f>$O$994</f>
        <v>1</v>
      </c>
      <c r="CJ21" s="73">
        <f>$H$1045</f>
        <v>1.0166666666666664</v>
      </c>
      <c r="CK21" s="73">
        <f>$I$1045</f>
        <v>1</v>
      </c>
      <c r="CL21" s="73">
        <f>$J$1045</f>
        <v>1.0166666666666664</v>
      </c>
      <c r="CM21" s="73">
        <f t="shared" si="17"/>
        <v>0</v>
      </c>
      <c r="CN21" s="73">
        <f t="shared" si="18"/>
        <v>32000</v>
      </c>
      <c r="CO21" s="72">
        <f>$M21*($C21/$K$1045)*IF($O$994=1,$F$994/$G21,1)*$R21</f>
        <v>0.70059767222396963</v>
      </c>
      <c r="CP21" s="72">
        <f>$M21*(1+$S21)*($C21/$L$1045)*IF($O$994=1,$F$994/$H21,1)*$R21</f>
        <v>0.68044336359970159</v>
      </c>
      <c r="CQ21" s="73">
        <f t="shared" si="19"/>
        <v>22419.125511167029</v>
      </c>
      <c r="CR21" s="73">
        <f t="shared" si="20"/>
        <v>21774.18763519045</v>
      </c>
      <c r="CS21" s="73">
        <f t="shared" si="21"/>
        <v>0</v>
      </c>
      <c r="CT21" s="272">
        <f t="shared" si="22"/>
        <v>0</v>
      </c>
      <c r="CU21" s="75">
        <f t="shared" si="23"/>
        <v>0</v>
      </c>
      <c r="CV21" s="75">
        <f t="shared" si="24"/>
        <v>1</v>
      </c>
      <c r="CW21" s="273">
        <f t="shared" si="25"/>
        <v>46600</v>
      </c>
      <c r="CX21" s="274">
        <f t="shared" si="26"/>
        <v>0.04</v>
      </c>
      <c r="CY21" s="6" t="str">
        <f t="shared" si="27"/>
        <v>P*</v>
      </c>
      <c r="CZ21" s="273" t="str">
        <f t="shared" si="28"/>
        <v/>
      </c>
      <c r="DA21" s="274" t="str">
        <f t="shared" si="29"/>
        <v/>
      </c>
      <c r="DB21" s="6" t="str">
        <f t="shared" si="30"/>
        <v/>
      </c>
      <c r="DC21" s="273" t="str">
        <f t="shared" si="31"/>
        <v/>
      </c>
      <c r="DD21" s="274" t="str">
        <f t="shared" si="32"/>
        <v/>
      </c>
      <c r="DE21" s="6" t="str">
        <f t="shared" si="33"/>
        <v/>
      </c>
      <c r="DF21" s="273" t="str">
        <f t="shared" si="34"/>
        <v/>
      </c>
      <c r="DG21" s="274" t="str">
        <f t="shared" si="35"/>
        <v/>
      </c>
      <c r="DH21" s="6" t="str">
        <f t="shared" si="36"/>
        <v/>
      </c>
    </row>
    <row r="22" spans="1:112" x14ac:dyDescent="0.3">
      <c r="A22" s="6" t="str">
        <f>$A$1048</f>
        <v>ABD|VA</v>
      </c>
      <c r="B22" s="75">
        <f>$C$1048</f>
        <v>12</v>
      </c>
      <c r="C22" s="73">
        <f>$B$1099</f>
        <v>1.05</v>
      </c>
      <c r="D22" s="73">
        <f>$C$1099</f>
        <v>1.0062499999999999</v>
      </c>
      <c r="E22" s="73">
        <f>$D$1099</f>
        <v>1.04375</v>
      </c>
      <c r="F22" s="73">
        <f>$E$1099</f>
        <v>1.05</v>
      </c>
      <c r="G22" s="224">
        <f>$F$1099</f>
        <v>0.99299370897155337</v>
      </c>
      <c r="H22" s="224">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0.68</v>
      </c>
      <c r="N22" s="72">
        <f t="shared" si="2"/>
        <v>0.68889847952402505</v>
      </c>
      <c r="O22" s="72">
        <f t="shared" si="3"/>
        <v>0.67797655554245695</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1">
        <f>N(INDEX(lr_ep,19))</f>
        <v>84000</v>
      </c>
      <c r="W22" s="73">
        <f>N(INDEX(lr_mind,19))*$V22</f>
        <v>84000</v>
      </c>
      <c r="X22" s="73">
        <f>N(INDEX(lr_m0,19))*$V22</f>
        <v>83160</v>
      </c>
      <c r="Y22" s="73">
        <f>N(INDEX(lr_m1,19))*$V22</f>
        <v>84419.999999999985</v>
      </c>
      <c r="Z22" s="73">
        <f t="shared" si="6"/>
        <v>88200</v>
      </c>
      <c r="AA22" s="73">
        <f t="shared" si="7"/>
        <v>87675</v>
      </c>
      <c r="AB22" s="73">
        <f t="shared" si="8"/>
        <v>84502.994011976058</v>
      </c>
      <c r="AC22" s="73">
        <f t="shared" si="9"/>
        <v>83411.471553610478</v>
      </c>
      <c r="AD22" s="73">
        <f t="shared" si="10"/>
        <v>84592.680941553059</v>
      </c>
      <c r="AE22" s="73">
        <f t="shared" si="11"/>
        <v>57120.000000000007</v>
      </c>
      <c r="AF22" s="73">
        <f t="shared" si="12"/>
        <v>57867.472280018104</v>
      </c>
      <c r="AG22" s="73">
        <f t="shared" si="13"/>
        <v>0</v>
      </c>
      <c r="AH22" s="73">
        <f t="shared" si="14"/>
        <v>84000</v>
      </c>
      <c r="AI22" s="73">
        <f t="shared" si="15"/>
        <v>83750.045096421149</v>
      </c>
      <c r="AJ22" s="73">
        <f t="shared" si="16"/>
        <v>56950.030665566381</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84000</v>
      </c>
      <c r="BX22" s="73">
        <f>$V22*$H$1076</f>
        <v>84000</v>
      </c>
      <c r="BY22" s="73">
        <f>$V22*$H$1077</f>
        <v>84000</v>
      </c>
      <c r="BZ22" s="73">
        <f>$V22*$H$1078</f>
        <v>84000</v>
      </c>
      <c r="CA22" s="73">
        <f>$V22*$H$1079</f>
        <v>84000</v>
      </c>
      <c r="CB22" s="73">
        <f>$V22*$H$1080</f>
        <v>84000</v>
      </c>
      <c r="CC22" s="73">
        <f>$V22*$H$1081</f>
        <v>84000</v>
      </c>
      <c r="CD22" s="73">
        <f>$V22*$H$1082</f>
        <v>84000</v>
      </c>
      <c r="CE22" s="73">
        <f>$V22*$H$1083</f>
        <v>84000</v>
      </c>
      <c r="CF22" s="73">
        <f>$V22*$H$1084</f>
        <v>84000</v>
      </c>
      <c r="CG22" s="73">
        <f>$V22*$H$1085</f>
        <v>84000</v>
      </c>
      <c r="CH22" s="73">
        <f>$V22*$H$1086</f>
        <v>84000</v>
      </c>
      <c r="CI22" s="75">
        <f>$O$1048</f>
        <v>1</v>
      </c>
      <c r="CJ22" s="73">
        <f>$H$1099</f>
        <v>1.0250000000000001</v>
      </c>
      <c r="CK22" s="73">
        <f>$I$1099</f>
        <v>1.0121382062846183</v>
      </c>
      <c r="CL22" s="73">
        <f>$J$1099</f>
        <v>1.0374425843755117</v>
      </c>
      <c r="CM22" s="73">
        <f t="shared" si="17"/>
        <v>0</v>
      </c>
      <c r="CN22" s="73">
        <f t="shared" si="18"/>
        <v>84000</v>
      </c>
      <c r="CO22" s="72">
        <f>$M22*($C22/$K$1099)*IF($O$1048=1,$F$1048/$G22,1)*$R22</f>
        <v>0.68889847952402505</v>
      </c>
      <c r="CP22" s="72">
        <f>$M22*(1+$S22)*($C22/$L$1099)*IF($O$1048=1,$F$1048/$H22,1)*$R22</f>
        <v>0.67797655554245695</v>
      </c>
      <c r="CQ22" s="73">
        <f t="shared" si="19"/>
        <v>57867.472280018104</v>
      </c>
      <c r="CR22" s="73">
        <f t="shared" si="20"/>
        <v>56950.030665566381</v>
      </c>
      <c r="CS22" s="73">
        <f t="shared" si="21"/>
        <v>0</v>
      </c>
      <c r="CT22" s="272">
        <f t="shared" si="22"/>
        <v>0</v>
      </c>
      <c r="CU22" s="75">
        <f t="shared" si="23"/>
        <v>1</v>
      </c>
      <c r="CV22" s="75">
        <f t="shared" si="24"/>
        <v>0</v>
      </c>
      <c r="CW22" s="273">
        <f t="shared" si="25"/>
        <v>46204</v>
      </c>
      <c r="CX22" s="274">
        <f t="shared" si="26"/>
        <v>0.05</v>
      </c>
      <c r="CY22" s="6" t="str">
        <f t="shared" si="27"/>
        <v>T</v>
      </c>
      <c r="CZ22" s="273" t="str">
        <f t="shared" si="28"/>
        <v/>
      </c>
      <c r="DA22" s="274" t="str">
        <f t="shared" si="29"/>
        <v/>
      </c>
      <c r="DB22" s="6" t="str">
        <f t="shared" si="30"/>
        <v/>
      </c>
      <c r="DC22" s="273" t="str">
        <f t="shared" si="31"/>
        <v/>
      </c>
      <c r="DD22" s="274" t="str">
        <f t="shared" si="32"/>
        <v/>
      </c>
      <c r="DE22" s="6" t="str">
        <f t="shared" si="33"/>
        <v/>
      </c>
      <c r="DF22" s="273" t="str">
        <f t="shared" si="34"/>
        <v/>
      </c>
      <c r="DG22" s="274" t="str">
        <f t="shared" si="35"/>
        <v/>
      </c>
      <c r="DH22" s="6" t="str">
        <f t="shared" si="36"/>
        <v/>
      </c>
    </row>
    <row r="23" spans="1:112" x14ac:dyDescent="0.3">
      <c r="A23" s="6" t="str">
        <f>$A$1102</f>
        <v>ABD|WV</v>
      </c>
      <c r="B23" s="75">
        <f>$C$1102</f>
        <v>12</v>
      </c>
      <c r="C23" s="73">
        <f>$B$1153</f>
        <v>1.06</v>
      </c>
      <c r="D23" s="73">
        <f>$C$1153</f>
        <v>1.0052083333333335</v>
      </c>
      <c r="E23" s="73">
        <f>$D$1153</f>
        <v>1.0497916666666667</v>
      </c>
      <c r="F23" s="73">
        <f>$E$1153</f>
        <v>1.0600000000000003</v>
      </c>
      <c r="G23" s="224">
        <f>$F$1153</f>
        <v>0.98900209700948194</v>
      </c>
      <c r="H23" s="224">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0.66400000000000003</v>
      </c>
      <c r="N23" s="72">
        <f t="shared" si="2"/>
        <v>0.67791245205773853</v>
      </c>
      <c r="O23" s="72">
        <f t="shared" si="3"/>
        <v>0.67365220888361887</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1">
        <f>N(INDEX(lr_ep,20))</f>
        <v>68000</v>
      </c>
      <c r="W23" s="73">
        <f>N(INDEX(lr_mind,20))*$V23</f>
        <v>68000</v>
      </c>
      <c r="X23" s="73">
        <f>N(INDEX(lr_m0,20))*$V23</f>
        <v>67320</v>
      </c>
      <c r="Y23" s="73">
        <f>N(INDEX(lr_m1,20))*$V23</f>
        <v>66980</v>
      </c>
      <c r="Z23" s="73">
        <f t="shared" si="6"/>
        <v>72080</v>
      </c>
      <c r="AA23" s="73">
        <f t="shared" si="7"/>
        <v>71385.833333333328</v>
      </c>
      <c r="AB23" s="73">
        <f t="shared" si="8"/>
        <v>68661.242309982146</v>
      </c>
      <c r="AC23" s="73">
        <f t="shared" si="9"/>
        <v>67252.142596644771</v>
      </c>
      <c r="AD23" s="73">
        <f t="shared" si="10"/>
        <v>68756.173728667083</v>
      </c>
      <c r="AE23" s="73">
        <f t="shared" si="11"/>
        <v>45152</v>
      </c>
      <c r="AF23" s="73">
        <f t="shared" si="12"/>
        <v>46098.04673992622</v>
      </c>
      <c r="AG23" s="73">
        <f t="shared" si="13"/>
        <v>0</v>
      </c>
      <c r="AH23" s="73">
        <f t="shared" si="14"/>
        <v>67999.999999999985</v>
      </c>
      <c r="AI23" s="73">
        <f t="shared" si="15"/>
        <v>68988.479223021219</v>
      </c>
      <c r="AJ23" s="73">
        <f t="shared" si="16"/>
        <v>45808.350204086084</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68000</v>
      </c>
      <c r="BX23" s="73">
        <f>$V23*$H$1130</f>
        <v>68000</v>
      </c>
      <c r="BY23" s="73">
        <f>$V23*$H$1131</f>
        <v>68000</v>
      </c>
      <c r="BZ23" s="73">
        <f>$V23*$H$1132</f>
        <v>68000</v>
      </c>
      <c r="CA23" s="73">
        <f>$V23*$H$1133</f>
        <v>68000</v>
      </c>
      <c r="CB23" s="73">
        <f>$V23*$H$1134</f>
        <v>68000</v>
      </c>
      <c r="CC23" s="73">
        <f>$V23*$H$1135</f>
        <v>68000</v>
      </c>
      <c r="CD23" s="73">
        <f>$V23*$H$1136</f>
        <v>68000</v>
      </c>
      <c r="CE23" s="73">
        <f>$V23*$H$1137</f>
        <v>68000</v>
      </c>
      <c r="CF23" s="73">
        <f>$V23*$H$1138</f>
        <v>68000</v>
      </c>
      <c r="CG23" s="73">
        <f>$V23*$H$1139</f>
        <v>68000</v>
      </c>
      <c r="CH23" s="73">
        <f>$V23*$H$1140</f>
        <v>68000</v>
      </c>
      <c r="CI23" s="75">
        <f>$O$1102</f>
        <v>1</v>
      </c>
      <c r="CJ23" s="73">
        <f>$H$1153</f>
        <v>1.0350000000000001</v>
      </c>
      <c r="CK23" s="73">
        <f>$I$1153</f>
        <v>0.99597028697853884</v>
      </c>
      <c r="CL23" s="73">
        <f>$J$1153</f>
        <v>1.0308293658269998</v>
      </c>
      <c r="CM23" s="73">
        <f t="shared" si="17"/>
        <v>0</v>
      </c>
      <c r="CN23" s="73">
        <f t="shared" si="18"/>
        <v>68000</v>
      </c>
      <c r="CO23" s="72">
        <f>$M23*($C23/$K$1153)*IF($O$1102=1,$F$1102/$G23,1)*$R23</f>
        <v>0.67791245205773853</v>
      </c>
      <c r="CP23" s="72">
        <f>$M23*(1+$S23)*($C23/$L$1153)*IF($O$1102=1,$F$1102/$H23,1)*$R23</f>
        <v>0.67365220888361887</v>
      </c>
      <c r="CQ23" s="73">
        <f t="shared" si="19"/>
        <v>46098.04673992622</v>
      </c>
      <c r="CR23" s="73">
        <f t="shared" si="20"/>
        <v>45808.350204086084</v>
      </c>
      <c r="CS23" s="73">
        <f t="shared" si="21"/>
        <v>0</v>
      </c>
      <c r="CT23" s="272">
        <f t="shared" si="22"/>
        <v>0</v>
      </c>
      <c r="CU23" s="75">
        <f t="shared" si="23"/>
        <v>1</v>
      </c>
      <c r="CV23" s="75">
        <f t="shared" si="24"/>
        <v>0</v>
      </c>
      <c r="CW23" s="273">
        <f t="shared" si="25"/>
        <v>46235</v>
      </c>
      <c r="CX23" s="274">
        <f t="shared" si="26"/>
        <v>0.06</v>
      </c>
      <c r="CY23" s="6" t="str">
        <f t="shared" si="27"/>
        <v>T</v>
      </c>
      <c r="CZ23" s="273" t="str">
        <f t="shared" si="28"/>
        <v/>
      </c>
      <c r="DA23" s="274" t="str">
        <f t="shared" si="29"/>
        <v/>
      </c>
      <c r="DB23" s="6" t="str">
        <f t="shared" si="30"/>
        <v/>
      </c>
      <c r="DC23" s="273" t="str">
        <f t="shared" si="31"/>
        <v/>
      </c>
      <c r="DD23" s="274" t="str">
        <f t="shared" si="32"/>
        <v/>
      </c>
      <c r="DE23" s="6" t="str">
        <f t="shared" si="33"/>
        <v/>
      </c>
      <c r="DF23" s="273" t="str">
        <f t="shared" si="34"/>
        <v/>
      </c>
      <c r="DG23" s="274" t="str">
        <f t="shared" si="35"/>
        <v/>
      </c>
      <c r="DH23" s="6" t="str">
        <f t="shared" si="36"/>
        <v/>
      </c>
    </row>
    <row r="24" spans="1:112" x14ac:dyDescent="0.3">
      <c r="A24" s="6" t="str">
        <f>$A$1156</f>
        <v>ABD|WI</v>
      </c>
      <c r="B24" s="75">
        <f>$C$1156</f>
        <v>12</v>
      </c>
      <c r="C24" s="73">
        <f>$B$1207</f>
        <v>1</v>
      </c>
      <c r="D24" s="73">
        <f>$C$1207</f>
        <v>1</v>
      </c>
      <c r="E24" s="73">
        <f>$D$1207</f>
        <v>1</v>
      </c>
      <c r="F24" s="73">
        <f>$E$1207</f>
        <v>1</v>
      </c>
      <c r="G24" s="224">
        <f>$F$1207</f>
        <v>0.99199580598103554</v>
      </c>
      <c r="H24" s="224">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0.69199999999999995</v>
      </c>
      <c r="N24" s="72">
        <f t="shared" si="2"/>
        <v>0.69758359443429874</v>
      </c>
      <c r="O24" s="72">
        <f t="shared" si="3"/>
        <v>0.69293105239454711</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52000</v>
      </c>
      <c r="W24" s="73">
        <f>N(INDEX(lr_mind,21))*$V24</f>
        <v>52000</v>
      </c>
      <c r="X24" s="73">
        <f>N(INDEX(lr_m0,21))*$V24</f>
        <v>51480</v>
      </c>
      <c r="Y24" s="73">
        <f>N(INDEX(lr_m1,21))*$V24</f>
        <v>52000</v>
      </c>
      <c r="Z24" s="73">
        <f t="shared" si="6"/>
        <v>52000</v>
      </c>
      <c r="AA24" s="73">
        <f t="shared" si="7"/>
        <v>52000</v>
      </c>
      <c r="AB24" s="73">
        <f t="shared" si="8"/>
        <v>52000</v>
      </c>
      <c r="AC24" s="73">
        <f t="shared" si="9"/>
        <v>51583.781911013852</v>
      </c>
      <c r="AD24" s="73">
        <f t="shared" si="10"/>
        <v>52419.576460380835</v>
      </c>
      <c r="AE24" s="73">
        <f t="shared" si="11"/>
        <v>35984</v>
      </c>
      <c r="AF24" s="73">
        <f t="shared" si="12"/>
        <v>36274.346910583532</v>
      </c>
      <c r="AG24" s="73">
        <f t="shared" si="13"/>
        <v>0</v>
      </c>
      <c r="AH24" s="73">
        <f t="shared" si="14"/>
        <v>52000</v>
      </c>
      <c r="AI24" s="73">
        <f t="shared" si="15"/>
        <v>52069.963474734759</v>
      </c>
      <c r="AJ24" s="73">
        <f t="shared" si="16"/>
        <v>36032.414724516449</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52000</v>
      </c>
      <c r="BX24" s="73">
        <f>$V24*$H$1184</f>
        <v>52000</v>
      </c>
      <c r="BY24" s="73">
        <f>$V24*$H$1185</f>
        <v>52000</v>
      </c>
      <c r="BZ24" s="73">
        <f>$V24*$H$1186</f>
        <v>52000</v>
      </c>
      <c r="CA24" s="73">
        <f>$V24*$H$1187</f>
        <v>52000</v>
      </c>
      <c r="CB24" s="73">
        <f>$V24*$H$1188</f>
        <v>52000</v>
      </c>
      <c r="CC24" s="73">
        <f>$V24*$H$1189</f>
        <v>52000</v>
      </c>
      <c r="CD24" s="73">
        <f>$V24*$H$1190</f>
        <v>52000</v>
      </c>
      <c r="CE24" s="73">
        <f>$V24*$H$1191</f>
        <v>52000</v>
      </c>
      <c r="CF24" s="73">
        <f>$V24*$H$1192</f>
        <v>52000</v>
      </c>
      <c r="CG24" s="73">
        <f>$V24*$H$1193</f>
        <v>52000</v>
      </c>
      <c r="CH24" s="73">
        <f>$V24*$H$1194</f>
        <v>52000</v>
      </c>
      <c r="CI24" s="75">
        <f>$O$1156</f>
        <v>1</v>
      </c>
      <c r="CJ24" s="73">
        <f>$H$1207</f>
        <v>1</v>
      </c>
      <c r="CK24" s="73">
        <f>$I$1207</f>
        <v>1.0080839018517107</v>
      </c>
      <c r="CL24" s="73">
        <f>$J$1207</f>
        <v>1.0080839018517107</v>
      </c>
      <c r="CM24" s="73">
        <f t="shared" si="17"/>
        <v>0</v>
      </c>
      <c r="CN24" s="73">
        <f t="shared" si="18"/>
        <v>52000</v>
      </c>
      <c r="CO24" s="72">
        <f>$M24*($C24/$K$1207)*IF($O$1156=1,$F$1156/$G24,1)*$R24</f>
        <v>0.69758359443429874</v>
      </c>
      <c r="CP24" s="72">
        <f>$M24*(1+$S24)*($C24/$L$1207)*IF($O$1156=1,$F$1156/$H24,1)*$R24</f>
        <v>0.69293105239454711</v>
      </c>
      <c r="CQ24" s="73">
        <f t="shared" si="19"/>
        <v>36274.346910583532</v>
      </c>
      <c r="CR24" s="73">
        <f t="shared" si="20"/>
        <v>36032.414724516449</v>
      </c>
      <c r="CS24" s="73">
        <f t="shared" si="21"/>
        <v>0</v>
      </c>
      <c r="CT24" s="272">
        <f t="shared" si="22"/>
        <v>0</v>
      </c>
      <c r="CU24" s="75">
        <f t="shared" si="23"/>
        <v>0</v>
      </c>
      <c r="CV24" s="75">
        <f t="shared" si="24"/>
        <v>0</v>
      </c>
      <c r="CW24" s="273" t="str">
        <f t="shared" si="25"/>
        <v/>
      </c>
      <c r="CX24" s="274" t="str">
        <f t="shared" si="26"/>
        <v/>
      </c>
      <c r="CY24" s="6" t="str">
        <f t="shared" si="27"/>
        <v/>
      </c>
      <c r="CZ24" s="273" t="str">
        <f t="shared" si="28"/>
        <v/>
      </c>
      <c r="DA24" s="274" t="str">
        <f t="shared" si="29"/>
        <v/>
      </c>
      <c r="DB24" s="6" t="str">
        <f t="shared" si="30"/>
        <v/>
      </c>
      <c r="DC24" s="273" t="str">
        <f t="shared" si="31"/>
        <v/>
      </c>
      <c r="DD24" s="274" t="str">
        <f t="shared" si="32"/>
        <v/>
      </c>
      <c r="DE24" s="6" t="str">
        <f t="shared" si="33"/>
        <v/>
      </c>
      <c r="DF24" s="273" t="str">
        <f t="shared" si="34"/>
        <v/>
      </c>
      <c r="DG24" s="274" t="str">
        <f t="shared" si="35"/>
        <v/>
      </c>
      <c r="DH24" s="6" t="str">
        <f t="shared" si="36"/>
        <v/>
      </c>
    </row>
    <row r="25" spans="1:112" x14ac:dyDescent="0.3">
      <c r="A25" s="6" t="str">
        <f>$A$1210</f>
        <v>MM|AZ</v>
      </c>
      <c r="B25" s="75">
        <f>$C$1210</f>
        <v>12</v>
      </c>
      <c r="C25" s="73">
        <f>$B$1261</f>
        <v>1.03</v>
      </c>
      <c r="D25" s="73">
        <f>$C$1261</f>
        <v>1.0009375</v>
      </c>
      <c r="E25" s="73">
        <f>$D$1261</f>
        <v>1.0388722222222222</v>
      </c>
      <c r="F25" s="73">
        <f>$E$1261</f>
        <v>1.0710569444444447</v>
      </c>
      <c r="G25" s="224">
        <f>$F$1261</f>
        <v>0.98800419401896411</v>
      </c>
      <c r="H25" s="224">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0.67600000000000005</v>
      </c>
      <c r="N25" s="72">
        <f t="shared" si="2"/>
        <v>0.67836432187190643</v>
      </c>
      <c r="O25" s="72">
        <f t="shared" si="3"/>
        <v>0.66244563906796095</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1">
        <f>N(INDEX(lr_ep,22))</f>
        <v>36000</v>
      </c>
      <c r="W25" s="73">
        <f>N(INDEX(lr_mind,22))*$V25</f>
        <v>36000</v>
      </c>
      <c r="X25" s="73">
        <f>N(INDEX(lr_m0,22))*$V25</f>
        <v>35640</v>
      </c>
      <c r="Y25" s="73">
        <f>N(INDEX(lr_m1,22))*$V25</f>
        <v>35280</v>
      </c>
      <c r="Z25" s="73">
        <f t="shared" si="6"/>
        <v>37080</v>
      </c>
      <c r="AA25" s="73">
        <f t="shared" si="7"/>
        <v>37399.4</v>
      </c>
      <c r="AB25" s="73">
        <f t="shared" si="8"/>
        <v>35692.55121739921</v>
      </c>
      <c r="AC25" s="73">
        <f t="shared" si="9"/>
        <v>35568.15098468271</v>
      </c>
      <c r="AD25" s="73">
        <f t="shared" si="10"/>
        <v>36437.092289619373</v>
      </c>
      <c r="AE25" s="73">
        <f t="shared" si="11"/>
        <v>24336</v>
      </c>
      <c r="AF25" s="73">
        <f t="shared" si="12"/>
        <v>24421.115587388631</v>
      </c>
      <c r="AG25" s="73">
        <f t="shared" si="13"/>
        <v>0</v>
      </c>
      <c r="AH25" s="73">
        <f t="shared" si="14"/>
        <v>34620.008013890736</v>
      </c>
      <c r="AI25" s="73">
        <f t="shared" si="15"/>
        <v>36684.397187143666</v>
      </c>
      <c r="AJ25" s="73">
        <f t="shared" si="16"/>
        <v>23848.043006446595</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36000</v>
      </c>
      <c r="BX25" s="73">
        <f>$V25*$H$1238</f>
        <v>36000</v>
      </c>
      <c r="BY25" s="73">
        <f>$V25*$H$1239</f>
        <v>36000</v>
      </c>
      <c r="BZ25" s="73">
        <f>$V25*$H$1240</f>
        <v>36000</v>
      </c>
      <c r="CA25" s="73">
        <f>$V25*$H$1241</f>
        <v>36000</v>
      </c>
      <c r="CB25" s="73">
        <f>$V25*$H$1242</f>
        <v>36000</v>
      </c>
      <c r="CC25" s="73">
        <f>$V25*$H$1243</f>
        <v>36000</v>
      </c>
      <c r="CD25" s="73">
        <f>$V25*$H$1244</f>
        <v>36000</v>
      </c>
      <c r="CE25" s="73">
        <f>$V25*$H$1245</f>
        <v>36000</v>
      </c>
      <c r="CF25" s="73">
        <f>$V25*$H$1246</f>
        <v>36000</v>
      </c>
      <c r="CG25" s="73">
        <f>$V25*$H$1247</f>
        <v>36000</v>
      </c>
      <c r="CH25" s="73">
        <f>$V25*$H$1248</f>
        <v>36000</v>
      </c>
      <c r="CI25" s="75">
        <f>$O$1210</f>
        <v>1</v>
      </c>
      <c r="CJ25" s="73">
        <f>$H$1261</f>
        <v>1.0599666666666667</v>
      </c>
      <c r="CK25" s="73">
        <f>$I$1261</f>
        <v>0.99194865631796525</v>
      </c>
      <c r="CL25" s="73">
        <f>$J$1261</f>
        <v>1.0514326000619556</v>
      </c>
      <c r="CM25" s="73">
        <f t="shared" si="17"/>
        <v>0</v>
      </c>
      <c r="CN25" s="73">
        <f t="shared" si="18"/>
        <v>36000</v>
      </c>
      <c r="CO25" s="72">
        <f>$M25*($C25/$K$1261)*IF($O$1210=1,$F$1210/$G25,1)*$R25</f>
        <v>0.67836432187190643</v>
      </c>
      <c r="CP25" s="72">
        <f>$M25*(1+$S25)*($C25/$L$1261)*IF($O$1210=1,$F$1210/$H25,1)*$R25</f>
        <v>0.66244563906796095</v>
      </c>
      <c r="CQ25" s="73">
        <f t="shared" si="19"/>
        <v>24421.115587388631</v>
      </c>
      <c r="CR25" s="73">
        <f t="shared" si="20"/>
        <v>23848.043006446595</v>
      </c>
      <c r="CS25" s="73">
        <f t="shared" si="21"/>
        <v>0</v>
      </c>
      <c r="CT25" s="272">
        <f t="shared" si="22"/>
        <v>0</v>
      </c>
      <c r="CU25" s="75">
        <f t="shared" si="23"/>
        <v>1</v>
      </c>
      <c r="CV25" s="75">
        <f t="shared" si="24"/>
        <v>1</v>
      </c>
      <c r="CW25" s="273">
        <f t="shared" si="25"/>
        <v>46296</v>
      </c>
      <c r="CX25" s="274">
        <f t="shared" si="26"/>
        <v>0.03</v>
      </c>
      <c r="CY25" s="6" t="str">
        <f t="shared" si="27"/>
        <v>T</v>
      </c>
      <c r="CZ25" s="273">
        <f t="shared" si="28"/>
        <v>46419</v>
      </c>
      <c r="DA25" s="274">
        <f t="shared" si="29"/>
        <v>0.04</v>
      </c>
      <c r="DB25" s="6" t="str">
        <f t="shared" si="30"/>
        <v>P*</v>
      </c>
      <c r="DC25" s="273" t="str">
        <f t="shared" si="31"/>
        <v/>
      </c>
      <c r="DD25" s="274" t="str">
        <f t="shared" si="32"/>
        <v/>
      </c>
      <c r="DE25" s="6" t="str">
        <f t="shared" si="33"/>
        <v/>
      </c>
      <c r="DF25" s="273" t="str">
        <f t="shared" si="34"/>
        <v/>
      </c>
      <c r="DG25" s="274" t="str">
        <f t="shared" si="35"/>
        <v/>
      </c>
      <c r="DH25" s="6" t="str">
        <f t="shared" si="36"/>
        <v/>
      </c>
    </row>
    <row r="26" spans="1:112" x14ac:dyDescent="0.3">
      <c r="A26" s="6" t="str">
        <f>$A$1264</f>
        <v>MM|CO</v>
      </c>
      <c r="B26" s="75">
        <f>$C$1264</f>
        <v>12</v>
      </c>
      <c r="C26" s="73">
        <f>$B$1315</f>
        <v>1.04</v>
      </c>
      <c r="D26" s="73">
        <f>$C$1315</f>
        <v>1.0005555555555556</v>
      </c>
      <c r="E26" s="73">
        <f>$D$1315</f>
        <v>1.0261111111111112</v>
      </c>
      <c r="F26" s="73">
        <f>$E$1315</f>
        <v>1.0400000000000003</v>
      </c>
      <c r="G26" s="224">
        <f>$F$1315</f>
        <v>0.99099790299051793</v>
      </c>
      <c r="H26" s="224">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0.7128000000000001</v>
      </c>
      <c r="N26" s="72">
        <f t="shared" si="2"/>
        <v>0.72901070303392856</v>
      </c>
      <c r="O26" s="72">
        <f t="shared" si="3"/>
        <v>0.72403459521192093</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1">
        <f>N(INDEX(lr_ep,23))</f>
        <v>88000</v>
      </c>
      <c r="W26" s="73">
        <f>N(INDEX(lr_mind,23))*$V26</f>
        <v>88000</v>
      </c>
      <c r="X26" s="73">
        <f>N(INDEX(lr_m0,23))*$V26</f>
        <v>87120</v>
      </c>
      <c r="Y26" s="73">
        <f>N(INDEX(lr_m1,23))*$V26</f>
        <v>87560</v>
      </c>
      <c r="Z26" s="73">
        <f t="shared" si="6"/>
        <v>91520</v>
      </c>
      <c r="AA26" s="73">
        <f t="shared" si="7"/>
        <v>90297.777777777781</v>
      </c>
      <c r="AB26" s="73">
        <f t="shared" si="8"/>
        <v>89191.120736329176</v>
      </c>
      <c r="AC26" s="73">
        <f t="shared" si="9"/>
        <v>87207.815463165578</v>
      </c>
      <c r="AD26" s="73">
        <f t="shared" si="10"/>
        <v>88799.380638893243</v>
      </c>
      <c r="AE26" s="73">
        <f t="shared" si="11"/>
        <v>62726.400000000009</v>
      </c>
      <c r="AF26" s="73">
        <f t="shared" si="12"/>
        <v>64152.941866985711</v>
      </c>
      <c r="AG26" s="73">
        <f t="shared" si="13"/>
        <v>880</v>
      </c>
      <c r="AH26" s="73">
        <f t="shared" si="14"/>
        <v>87999.999999999985</v>
      </c>
      <c r="AI26" s="73">
        <f t="shared" si="15"/>
        <v>88501.967389307043</v>
      </c>
      <c r="AJ26" s="73">
        <f t="shared" si="16"/>
        <v>63715.044378649043</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88000</v>
      </c>
      <c r="BX26" s="73">
        <f>$V26*$H$1292</f>
        <v>88000</v>
      </c>
      <c r="BY26" s="73">
        <f>$V26*$H$1293</f>
        <v>88000</v>
      </c>
      <c r="BZ26" s="73">
        <f>$V26*$H$1294</f>
        <v>88000</v>
      </c>
      <c r="CA26" s="73">
        <f>$V26*$H$1295</f>
        <v>88000</v>
      </c>
      <c r="CB26" s="73">
        <f>$V26*$H$1296</f>
        <v>88000</v>
      </c>
      <c r="CC26" s="73">
        <f>$V26*$H$1297</f>
        <v>88000</v>
      </c>
      <c r="CD26" s="73">
        <f>$V26*$H$1298</f>
        <v>88000</v>
      </c>
      <c r="CE26" s="73">
        <f>$V26*$H$1299</f>
        <v>88000</v>
      </c>
      <c r="CF26" s="73">
        <f>$V26*$H$1300</f>
        <v>88000</v>
      </c>
      <c r="CG26" s="73">
        <f>$V26*$H$1301</f>
        <v>88000</v>
      </c>
      <c r="CH26" s="73">
        <f>$V26*$H$1302</f>
        <v>88000</v>
      </c>
      <c r="CI26" s="75">
        <f>$O$1264</f>
        <v>1</v>
      </c>
      <c r="CJ26" s="73">
        <f>$H$1315</f>
        <v>1.0333333333333332</v>
      </c>
      <c r="CK26" s="73">
        <f>$I$1315</f>
        <v>1.004037852440528</v>
      </c>
      <c r="CL26" s="73">
        <f>$J$1315</f>
        <v>1.0375058262402859</v>
      </c>
      <c r="CM26" s="73">
        <f t="shared" si="17"/>
        <v>0</v>
      </c>
      <c r="CN26" s="73">
        <f t="shared" si="18"/>
        <v>88000</v>
      </c>
      <c r="CO26" s="72">
        <f>$M26*($C26/$K$1315)*IF($O$1264=1,$F$1264/$G26,1)*$R26</f>
        <v>0.72901070303392856</v>
      </c>
      <c r="CP26" s="72">
        <f>$M26*(1+$S26)*($C26/$L$1315)*IF($O$1264=1,$F$1264/$H26,1)*$R26</f>
        <v>0.72403459521192093</v>
      </c>
      <c r="CQ26" s="73">
        <f t="shared" si="19"/>
        <v>64152.941866985711</v>
      </c>
      <c r="CR26" s="73">
        <f t="shared" si="20"/>
        <v>63715.044378649043</v>
      </c>
      <c r="CS26" s="73">
        <f t="shared" si="21"/>
        <v>0</v>
      </c>
      <c r="CT26" s="272">
        <f t="shared" si="22"/>
        <v>0</v>
      </c>
      <c r="CU26" s="75">
        <f t="shared" si="23"/>
        <v>1</v>
      </c>
      <c r="CV26" s="75">
        <f t="shared" si="24"/>
        <v>0</v>
      </c>
      <c r="CW26" s="273">
        <f t="shared" si="25"/>
        <v>46327</v>
      </c>
      <c r="CX26" s="274">
        <f t="shared" si="26"/>
        <v>0.04</v>
      </c>
      <c r="CY26" s="6" t="str">
        <f t="shared" si="27"/>
        <v>T</v>
      </c>
      <c r="CZ26" s="273" t="str">
        <f t="shared" si="28"/>
        <v/>
      </c>
      <c r="DA26" s="274" t="str">
        <f t="shared" si="29"/>
        <v/>
      </c>
      <c r="DB26" s="6" t="str">
        <f t="shared" si="30"/>
        <v/>
      </c>
      <c r="DC26" s="273" t="str">
        <f t="shared" si="31"/>
        <v/>
      </c>
      <c r="DD26" s="274" t="str">
        <f t="shared" si="32"/>
        <v/>
      </c>
      <c r="DE26" s="6" t="str">
        <f t="shared" si="33"/>
        <v/>
      </c>
      <c r="DF26" s="273" t="str">
        <f t="shared" si="34"/>
        <v/>
      </c>
      <c r="DG26" s="274" t="str">
        <f t="shared" si="35"/>
        <v/>
      </c>
      <c r="DH26" s="6" t="str">
        <f t="shared" si="36"/>
        <v/>
      </c>
    </row>
    <row r="27" spans="1:112" x14ac:dyDescent="0.3">
      <c r="A27" s="6" t="str">
        <f>$A$1318</f>
        <v>MM|DE</v>
      </c>
      <c r="B27" s="75">
        <f>$C$1318</f>
        <v>12</v>
      </c>
      <c r="C27" s="73">
        <f>$B$1369</f>
        <v>1.05</v>
      </c>
      <c r="D27" s="73">
        <f>$C$1369</f>
        <v>1.0140624999999999</v>
      </c>
      <c r="E27" s="73">
        <f>$D$1369</f>
        <v>1.0546965725806452</v>
      </c>
      <c r="F27" s="73">
        <f>$E$1369</f>
        <v>1.0793054435483873</v>
      </c>
      <c r="G27" s="224">
        <f>$F$1369</f>
        <v>0.99399161196207142</v>
      </c>
      <c r="H27" s="224">
        <f>$G$1369</f>
        <v>1.0073127127400925</v>
      </c>
      <c r="I27" s="73">
        <f t="shared" si="0"/>
        <v>0.99554699171046557</v>
      </c>
      <c r="J27" s="73">
        <f t="shared" si="1"/>
        <v>0.97284786829941206</v>
      </c>
      <c r="K27" s="73">
        <f>IF($L$1318,1,IF(AND(nr_ModAdjMaster="ON",INDEX(lr_modadj,24)="ON"),$F$1318/$G27,1))</f>
        <v>1.0060447069830585</v>
      </c>
      <c r="L27" s="73">
        <f>IF($L$1318,1,IF(AND(nr_ModAdjMaster="ON",INDEX(lr_modadj,24)="ON"),$F$1318/$H27,1))</f>
        <v>0.9927403748134972</v>
      </c>
      <c r="M27" s="72">
        <f>IF(INDEX(lr_basis,24)="proposed",N(INDEX(lr_lrproj,24))*(1+N(INDEX(lr_s,24))),N(INDEX(lr_lrproj,24)))</f>
        <v>0.68799999999999994</v>
      </c>
      <c r="N27" s="72">
        <f t="shared" si="2"/>
        <v>0.70285810110980573</v>
      </c>
      <c r="O27" s="72">
        <f t="shared" si="3"/>
        <v>0.67774953241749425</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1">
        <f>N(INDEX(lr_ep,24))</f>
        <v>72000</v>
      </c>
      <c r="W27" s="73">
        <f>N(INDEX(lr_mind,24))*$V27</f>
        <v>72000</v>
      </c>
      <c r="X27" s="73">
        <f>N(INDEX(lr_m0,24))*$V27</f>
        <v>71280</v>
      </c>
      <c r="Y27" s="73">
        <f>N(INDEX(lr_m1,24))*$V27</f>
        <v>72720</v>
      </c>
      <c r="Z27" s="73">
        <f t="shared" si="6"/>
        <v>75600</v>
      </c>
      <c r="AA27" s="73">
        <f t="shared" si="7"/>
        <v>75938.153225806454</v>
      </c>
      <c r="AB27" s="73">
        <f t="shared" si="8"/>
        <v>71679.383403153523</v>
      </c>
      <c r="AC27" s="73">
        <f t="shared" si="9"/>
        <v>71567.396061269144</v>
      </c>
      <c r="AD27" s="73">
        <f t="shared" si="10"/>
        <v>72435.218902780209</v>
      </c>
      <c r="AE27" s="73">
        <f t="shared" si="11"/>
        <v>49535.999999999993</v>
      </c>
      <c r="AF27" s="73">
        <f t="shared" si="12"/>
        <v>50605.783279906012</v>
      </c>
      <c r="AG27" s="73">
        <f t="shared" si="13"/>
        <v>0</v>
      </c>
      <c r="AH27" s="73">
        <f t="shared" si="14"/>
        <v>70045.046517557668</v>
      </c>
      <c r="AI27" s="73">
        <f t="shared" si="15"/>
        <v>71477.306986571799</v>
      </c>
      <c r="AJ27" s="73">
        <f t="shared" si="16"/>
        <v>48797.966334059587</v>
      </c>
      <c r="AK27" s="75">
        <f>IF($L$1318,1,0)</f>
        <v>0</v>
      </c>
      <c r="AL27" s="72">
        <f>IF($L$1318,$M$1318,0)</f>
        <v>0</v>
      </c>
      <c r="AM27" s="73">
        <f>$N$1345/$N$1333*IF($O$1318=1,$O$1345/$O$1333,1)-1</f>
        <v>6.7136916472902985E-2</v>
      </c>
      <c r="AN27" s="73">
        <f>$N$1346/$N$1334*IF($O$1318=1,$O$1346/$O$1334,1)-1</f>
        <v>6.711434121508475E-2</v>
      </c>
      <c r="AO27" s="73">
        <f>$N$1347/$N$1335*IF($O$1318=1,$O$1347/$O$1335,1)-1</f>
        <v>6.7091825357891599E-2</v>
      </c>
      <c r="AP27" s="73">
        <f>$N$1348/$N$1336*IF($O$1318=1,$O$1348/$O$1336,1)-1</f>
        <v>1.6255817578551213E-2</v>
      </c>
      <c r="AQ27" s="73">
        <f>$N$1349/$N$1337*IF($O$1318=1,$O$1349/$O$1337,1)-1</f>
        <v>3.2952450775031394E-2</v>
      </c>
      <c r="AR27" s="73">
        <f>$N$1350/$N$1338*IF($O$1318=1,$O$1350/$O$1338,1)-1</f>
        <v>4.6698127873148421E-2</v>
      </c>
      <c r="AS27" s="73">
        <f>$N$1351/$N$1339*IF($O$1318=1,$O$1351/$O$1339,1)-1</f>
        <v>4.6675537813262613E-2</v>
      </c>
      <c r="AT27" s="73">
        <f>$N$1352/$N$1340*IF($O$1318=1,$O$1352/$O$1340,1)-1</f>
        <v>4.6652639971651366E-2</v>
      </c>
      <c r="AU27" s="73">
        <f>$N$1353/$N$1341*IF($O$1318=1,$O$1353/$O$1341,1)-1</f>
        <v>4.6630172737929465E-2</v>
      </c>
      <c r="AV27" s="73">
        <f>$N$1354/$N$1342*IF($O$1318=1,$O$1354/$O$1342,1)-1</f>
        <v>4.6607766046737664E-2</v>
      </c>
      <c r="AW27" s="73">
        <f>$N$1355/$N$1343*IF($O$1318=1,$O$1355/$O$1343,1)-1</f>
        <v>4.6585419653689231E-2</v>
      </c>
      <c r="AX27" s="73">
        <f>$N$1356/$N$1344*IF($O$1318=1,$O$1356/$O$1344,1)-1</f>
        <v>4.6563133315710603E-2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1.6320872831336208E-2</v>
      </c>
      <c r="BL27" s="73">
        <f>$O$1346/$O$1334-1</f>
        <v>1.6299372585794947E-2</v>
      </c>
      <c r="BM27" s="73">
        <f>$O$1347/$O$1335-1</f>
        <v>1.6277928912277639E-2</v>
      </c>
      <c r="BN27" s="73">
        <f>$O$1348/$O$1336-1</f>
        <v>1.6255817578551213E-2</v>
      </c>
      <c r="BO27" s="73">
        <f>$O$1349/$O$1337-1</f>
        <v>1.6233766233766378E-2</v>
      </c>
      <c r="BP27" s="73">
        <f>$O$1350/$O$1338-1</f>
        <v>1.6211774634124598E-2</v>
      </c>
      <c r="BQ27" s="73">
        <f>$O$1351/$O$1339-1</f>
        <v>1.6189842537148058E-2</v>
      </c>
      <c r="BR27" s="73">
        <f>$O$1352/$O$1340-1</f>
        <v>1.6167611622962541E-2</v>
      </c>
      <c r="BS27" s="73">
        <f>$O$1353/$O$1341-1</f>
        <v>1.6145798774688691E-2</v>
      </c>
      <c r="BT27" s="73">
        <f>$O$1354/$O$1342-1</f>
        <v>1.6124044705570606E-2</v>
      </c>
      <c r="BU27" s="73">
        <f>$O$1355/$O$1343-1</f>
        <v>1.6102349178338971E-2</v>
      </c>
      <c r="BV27" s="73">
        <f>$O$1356/$O$1344-1</f>
        <v>1.608071195700056E-2</v>
      </c>
      <c r="BW27" s="73">
        <f>$V27*$H$1345</f>
        <v>72000</v>
      </c>
      <c r="BX27" s="73">
        <f>$V27*$H$1346</f>
        <v>72000</v>
      </c>
      <c r="BY27" s="73">
        <f>$V27*$H$1347</f>
        <v>72000</v>
      </c>
      <c r="BZ27" s="73">
        <f>$V27*$H$1348</f>
        <v>72000</v>
      </c>
      <c r="CA27" s="73">
        <f>$V27*$H$1349</f>
        <v>72000</v>
      </c>
      <c r="CB27" s="73">
        <f>$V27*$H$1350</f>
        <v>72000</v>
      </c>
      <c r="CC27" s="73">
        <f>$V27*$H$1351</f>
        <v>72000</v>
      </c>
      <c r="CD27" s="73">
        <f>$V27*$H$1352</f>
        <v>72000</v>
      </c>
      <c r="CE27" s="73">
        <f>$V27*$H$1353</f>
        <v>72000</v>
      </c>
      <c r="CF27" s="73">
        <f>$V27*$H$1354</f>
        <v>72000</v>
      </c>
      <c r="CG27" s="73">
        <f>$V27*$H$1355</f>
        <v>72000</v>
      </c>
      <c r="CH27" s="73">
        <f>$V27*$H$1356</f>
        <v>72000</v>
      </c>
      <c r="CI27" s="75">
        <f>$O$1318</f>
        <v>1</v>
      </c>
      <c r="CJ27" s="73">
        <f>$H$1369</f>
        <v>1.0313709677419354</v>
      </c>
      <c r="CK27" s="73">
        <f>$I$1369</f>
        <v>1.0162008242959635</v>
      </c>
      <c r="CL27" s="73">
        <f>$J$1369</f>
        <v>1.0480803457342993</v>
      </c>
      <c r="CM27" s="73">
        <f t="shared" si="17"/>
        <v>0</v>
      </c>
      <c r="CN27" s="73">
        <f t="shared" si="18"/>
        <v>73440</v>
      </c>
      <c r="CO27" s="72">
        <f>$M27*($C27/$K$1369)*IF($O$1318=1,$F$1318/$G27,1)*$R27</f>
        <v>0.70285810110980573</v>
      </c>
      <c r="CP27" s="72">
        <f>$M27*(1+$S27)*($C27/$L$1369)*IF($O$1318=1,$F$1318/$H27,1)*$R27</f>
        <v>0.67774953241749425</v>
      </c>
      <c r="CQ27" s="73">
        <f t="shared" si="19"/>
        <v>50605.783279906012</v>
      </c>
      <c r="CR27" s="73">
        <f t="shared" si="20"/>
        <v>48797.966334059587</v>
      </c>
      <c r="CS27" s="73">
        <f t="shared" si="21"/>
        <v>0</v>
      </c>
      <c r="CT27" s="272">
        <f t="shared" si="22"/>
        <v>0</v>
      </c>
      <c r="CU27" s="75">
        <f t="shared" si="23"/>
        <v>1</v>
      </c>
      <c r="CV27" s="75">
        <f t="shared" si="24"/>
        <v>1</v>
      </c>
      <c r="CW27" s="273">
        <f t="shared" si="25"/>
        <v>46113</v>
      </c>
      <c r="CX27" s="274">
        <f t="shared" si="26"/>
        <v>0.05</v>
      </c>
      <c r="CY27" s="6" t="str">
        <f t="shared" si="27"/>
        <v>T</v>
      </c>
      <c r="CZ27" s="273">
        <f t="shared" si="28"/>
        <v>46522</v>
      </c>
      <c r="DA27" s="274">
        <f t="shared" si="29"/>
        <v>0.03</v>
      </c>
      <c r="DB27" s="6" t="str">
        <f t="shared" si="30"/>
        <v>P*</v>
      </c>
      <c r="DC27" s="273" t="str">
        <f t="shared" si="31"/>
        <v/>
      </c>
      <c r="DD27" s="274" t="str">
        <f t="shared" si="32"/>
        <v/>
      </c>
      <c r="DE27" s="6" t="str">
        <f t="shared" si="33"/>
        <v/>
      </c>
      <c r="DF27" s="273" t="str">
        <f t="shared" si="34"/>
        <v/>
      </c>
      <c r="DG27" s="274" t="str">
        <f t="shared" si="35"/>
        <v/>
      </c>
      <c r="DH27" s="6" t="str">
        <f t="shared" si="36"/>
        <v/>
      </c>
    </row>
    <row r="28" spans="1:112" x14ac:dyDescent="0.3">
      <c r="A28" s="6" t="str">
        <f>$A$1372</f>
        <v>MM|FL</v>
      </c>
      <c r="B28" s="75">
        <f>$C$1372</f>
        <v>12</v>
      </c>
      <c r="C28" s="73">
        <f>$B$1423</f>
        <v>1.08</v>
      </c>
      <c r="D28" s="73">
        <f>$C$1423</f>
        <v>1.0024999999999999</v>
      </c>
      <c r="E28" s="73">
        <f>$D$1423</f>
        <v>1.0755000000000001</v>
      </c>
      <c r="F28" s="73">
        <f>$E$1423</f>
        <v>1.1311200000000001</v>
      </c>
      <c r="G28" s="224">
        <f>$F$1423</f>
        <v>0.9900000000000001</v>
      </c>
      <c r="H28" s="224">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0.67200000000000004</v>
      </c>
      <c r="N28" s="72">
        <f t="shared" si="2"/>
        <v>0.68162799543552677</v>
      </c>
      <c r="O28" s="72">
        <f t="shared" si="3"/>
        <v>0.64811064174526922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1">
        <f>N(INDEX(lr_ep,25))</f>
        <v>56000</v>
      </c>
      <c r="W28" s="73">
        <f>N(INDEX(lr_mind,25))*$V28</f>
        <v>56000</v>
      </c>
      <c r="X28" s="73">
        <f>N(INDEX(lr_m0,25))*$V28</f>
        <v>55440</v>
      </c>
      <c r="Y28" s="73">
        <f>N(INDEX(lr_m1,25))*$V28</f>
        <v>55440</v>
      </c>
      <c r="Z28" s="73">
        <f t="shared" si="6"/>
        <v>60480.000000000007</v>
      </c>
      <c r="AA28" s="73">
        <f t="shared" si="7"/>
        <v>60228.000000000007</v>
      </c>
      <c r="AB28" s="73">
        <f t="shared" si="8"/>
        <v>56234.309623430963</v>
      </c>
      <c r="AC28" s="73">
        <f t="shared" si="9"/>
        <v>55440.000000000007</v>
      </c>
      <c r="AD28" s="73">
        <f t="shared" si="10"/>
        <v>56565.656565656558</v>
      </c>
      <c r="AE28" s="73">
        <f t="shared" si="11"/>
        <v>37632</v>
      </c>
      <c r="AF28" s="73">
        <f t="shared" si="12"/>
        <v>38171.167744389502</v>
      </c>
      <c r="AG28" s="73">
        <f t="shared" si="13"/>
        <v>0</v>
      </c>
      <c r="AH28" s="73">
        <f t="shared" si="14"/>
        <v>53469.12794398472</v>
      </c>
      <c r="AI28" s="73">
        <f t="shared" si="15"/>
        <v>56565.656565656558</v>
      </c>
      <c r="AJ28" s="73">
        <f t="shared" si="16"/>
        <v>36294.195937735079</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56000</v>
      </c>
      <c r="BX28" s="73">
        <f>$V28*$H$1400</f>
        <v>56000</v>
      </c>
      <c r="BY28" s="73">
        <f>$V28*$H$1401</f>
        <v>56000</v>
      </c>
      <c r="BZ28" s="73">
        <f>$V28*$H$1402</f>
        <v>56000</v>
      </c>
      <c r="CA28" s="73">
        <f>$V28*$H$1403</f>
        <v>56000</v>
      </c>
      <c r="CB28" s="73">
        <f>$V28*$H$1404</f>
        <v>56000</v>
      </c>
      <c r="CC28" s="73">
        <f>$V28*$H$1405</f>
        <v>56000</v>
      </c>
      <c r="CD28" s="73">
        <f>$V28*$H$1406</f>
        <v>56000</v>
      </c>
      <c r="CE28" s="73">
        <f>$V28*$H$1407</f>
        <v>56000</v>
      </c>
      <c r="CF28" s="73">
        <f>$V28*$H$1408</f>
        <v>56000</v>
      </c>
      <c r="CG28" s="73">
        <f>$V28*$H$1409</f>
        <v>56000</v>
      </c>
      <c r="CH28" s="73">
        <f>$V28*$H$1410</f>
        <v>56000</v>
      </c>
      <c r="CI28" s="75">
        <f>$O$1372</f>
        <v>1</v>
      </c>
      <c r="CJ28" s="73">
        <f>$H$1423</f>
        <v>1.1022400000000003</v>
      </c>
      <c r="CK28" s="73">
        <f>$I$1423</f>
        <v>1</v>
      </c>
      <c r="CL28" s="73">
        <f>$J$1423</f>
        <v>1.1022400000000003</v>
      </c>
      <c r="CM28" s="73">
        <f t="shared" si="17"/>
        <v>0</v>
      </c>
      <c r="CN28" s="73">
        <f t="shared" si="18"/>
        <v>56000</v>
      </c>
      <c r="CO28" s="72">
        <f>$M28*($C28/$K$1423)*IF($O$1372=1,$F$1372/$G28,1)*$R28</f>
        <v>0.68162799543552677</v>
      </c>
      <c r="CP28" s="72">
        <f>$M28*(1+$S28)*($C28/$L$1423)*IF($O$1372=1,$F$1372/$H28,1)*$R28</f>
        <v>0.64811064174526922</v>
      </c>
      <c r="CQ28" s="73">
        <f t="shared" si="19"/>
        <v>38171.167744389502</v>
      </c>
      <c r="CR28" s="73">
        <f t="shared" si="20"/>
        <v>36294.195937735079</v>
      </c>
      <c r="CS28" s="73">
        <f t="shared" si="21"/>
        <v>0</v>
      </c>
      <c r="CT28" s="272">
        <f t="shared" si="22"/>
        <v>0</v>
      </c>
      <c r="CU28" s="75">
        <f t="shared" si="23"/>
        <v>1</v>
      </c>
      <c r="CV28" s="75">
        <f t="shared" si="24"/>
        <v>1</v>
      </c>
      <c r="CW28" s="273">
        <f t="shared" si="25"/>
        <v>46296</v>
      </c>
      <c r="CX28" s="274">
        <f t="shared" si="26"/>
        <v>0.08</v>
      </c>
      <c r="CY28" s="6" t="str">
        <f t="shared" si="27"/>
        <v>T</v>
      </c>
      <c r="CZ28" s="273">
        <f t="shared" si="28"/>
        <v>46447</v>
      </c>
      <c r="DA28" s="274">
        <f t="shared" si="29"/>
        <v>4.8000000000000001E-2</v>
      </c>
      <c r="DB28" s="6" t="str">
        <f t="shared" si="30"/>
        <v>P*</v>
      </c>
      <c r="DC28" s="273" t="str">
        <f t="shared" si="31"/>
        <v/>
      </c>
      <c r="DD28" s="274" t="str">
        <f t="shared" si="32"/>
        <v/>
      </c>
      <c r="DE28" s="6" t="str">
        <f t="shared" si="33"/>
        <v/>
      </c>
      <c r="DF28" s="273" t="str">
        <f t="shared" si="34"/>
        <v/>
      </c>
      <c r="DG28" s="274" t="str">
        <f t="shared" si="35"/>
        <v/>
      </c>
      <c r="DH28" s="6" t="str">
        <f t="shared" si="36"/>
        <v/>
      </c>
    </row>
    <row r="29" spans="1:112" x14ac:dyDescent="0.3">
      <c r="A29" s="6" t="str">
        <f>$A$1426</f>
        <v>MM|GA</v>
      </c>
      <c r="B29" s="75">
        <f>$C$1426</f>
        <v>12</v>
      </c>
      <c r="C29" s="73">
        <f>$B$1477</f>
        <v>1.02</v>
      </c>
      <c r="D29" s="73">
        <f>$C$1477</f>
        <v>1.0084027777777778</v>
      </c>
      <c r="E29" s="73">
        <f>$D$1477</f>
        <v>1.0268722222222222</v>
      </c>
      <c r="F29" s="73">
        <f>$E$1477</f>
        <v>1.0572583333333336</v>
      </c>
      <c r="G29" s="224">
        <f>$F$1477</f>
        <v>0.99299370897155337</v>
      </c>
      <c r="H29" s="224">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0.7</v>
      </c>
      <c r="N29" s="72">
        <f t="shared" si="2"/>
        <v>0.70022128600105049</v>
      </c>
      <c r="O29" s="72">
        <f t="shared" si="3"/>
        <v>0.67332208304773777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1">
        <f>N(INDEX(lr_ep,26))</f>
        <v>40000</v>
      </c>
      <c r="W29" s="73">
        <f>N(INDEX(lr_mind,26))*$V29</f>
        <v>40000</v>
      </c>
      <c r="X29" s="73">
        <f>N(INDEX(lr_m0,26))*$V29</f>
        <v>39600</v>
      </c>
      <c r="Y29" s="73">
        <f>N(INDEX(lr_m1,26))*$V29</f>
        <v>40199.999999999993</v>
      </c>
      <c r="Z29" s="73">
        <f t="shared" si="6"/>
        <v>40800</v>
      </c>
      <c r="AA29" s="73">
        <f t="shared" si="7"/>
        <v>41074.888888888891</v>
      </c>
      <c r="AB29" s="73">
        <f t="shared" si="8"/>
        <v>39732.304679257941</v>
      </c>
      <c r="AC29" s="73">
        <f t="shared" si="9"/>
        <v>39719.748358862133</v>
      </c>
      <c r="AD29" s="73">
        <f t="shared" si="10"/>
        <v>40282.22901978717</v>
      </c>
      <c r="AE29" s="73">
        <f t="shared" si="11"/>
        <v>28000</v>
      </c>
      <c r="AF29" s="73">
        <f t="shared" si="12"/>
        <v>28008.851440042021</v>
      </c>
      <c r="AG29" s="73">
        <f t="shared" si="13"/>
        <v>0</v>
      </c>
      <c r="AH29" s="73">
        <f t="shared" si="14"/>
        <v>38590.379204073419</v>
      </c>
      <c r="AI29" s="73">
        <f t="shared" si="15"/>
        <v>39880.973855438642</v>
      </c>
      <c r="AJ29" s="73">
        <f t="shared" si="16"/>
        <v>26932.88332190951</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40000</v>
      </c>
      <c r="BX29" s="73">
        <f>$V29*$H$1454</f>
        <v>40000</v>
      </c>
      <c r="BY29" s="73">
        <f>$V29*$H$1455</f>
        <v>40000</v>
      </c>
      <c r="BZ29" s="73">
        <f>$V29*$H$1456</f>
        <v>40000</v>
      </c>
      <c r="CA29" s="73">
        <f>$V29*$H$1457</f>
        <v>40000</v>
      </c>
      <c r="CB29" s="73">
        <f>$V29*$H$1458</f>
        <v>40000</v>
      </c>
      <c r="CC29" s="73">
        <f>$V29*$H$1459</f>
        <v>40000</v>
      </c>
      <c r="CD29" s="73">
        <f>$V29*$H$1460</f>
        <v>40000</v>
      </c>
      <c r="CE29" s="73">
        <f>$V29*$H$1461</f>
        <v>40000</v>
      </c>
      <c r="CF29" s="73">
        <f>$V29*$H$1462</f>
        <v>40000</v>
      </c>
      <c r="CG29" s="73">
        <f>$V29*$H$1463</f>
        <v>40000</v>
      </c>
      <c r="CH29" s="73">
        <f>$V29*$H$1464</f>
        <v>40000</v>
      </c>
      <c r="CI29" s="75">
        <f>$O$1426</f>
        <v>1</v>
      </c>
      <c r="CJ29" s="73">
        <f>$H$1477</f>
        <v>1.0249999999999997</v>
      </c>
      <c r="CK29" s="73">
        <f>$I$1477</f>
        <v>1.0121382062846183</v>
      </c>
      <c r="CL29" s="73">
        <f>$J$1477</f>
        <v>1.037441055937901</v>
      </c>
      <c r="CM29" s="73">
        <f t="shared" si="17"/>
        <v>0</v>
      </c>
      <c r="CN29" s="73">
        <f t="shared" si="18"/>
        <v>40000</v>
      </c>
      <c r="CO29" s="72">
        <f>$M29*($C29/$K$1477)*IF($O$1426=1,$F$1426/$G29,1)*$R29</f>
        <v>0.70022128600105049</v>
      </c>
      <c r="CP29" s="72">
        <f>$M29*(1+$S29)*($C29/$L$1477)*IF($O$1426=1,$F$1426/$H29,1)*$R29</f>
        <v>0.67332208304773777</v>
      </c>
      <c r="CQ29" s="73">
        <f t="shared" si="19"/>
        <v>28008.851440042021</v>
      </c>
      <c r="CR29" s="73">
        <f t="shared" si="20"/>
        <v>26932.88332190951</v>
      </c>
      <c r="CS29" s="73">
        <f t="shared" si="21"/>
        <v>0</v>
      </c>
      <c r="CT29" s="272">
        <f t="shared" si="22"/>
        <v>0</v>
      </c>
      <c r="CU29" s="75">
        <f t="shared" si="23"/>
        <v>1</v>
      </c>
      <c r="CV29" s="75">
        <f t="shared" si="24"/>
        <v>1</v>
      </c>
      <c r="CW29" s="273">
        <f t="shared" si="25"/>
        <v>46054</v>
      </c>
      <c r="CX29" s="274">
        <f t="shared" si="26"/>
        <v>0.02</v>
      </c>
      <c r="CY29" s="6" t="str">
        <f t="shared" si="27"/>
        <v>T</v>
      </c>
      <c r="CZ29" s="273">
        <f t="shared" si="28"/>
        <v>46539</v>
      </c>
      <c r="DA29" s="274">
        <f t="shared" si="29"/>
        <v>0.04</v>
      </c>
      <c r="DB29" s="6" t="str">
        <f t="shared" si="30"/>
        <v>P*</v>
      </c>
      <c r="DC29" s="273" t="str">
        <f t="shared" si="31"/>
        <v/>
      </c>
      <c r="DD29" s="274" t="str">
        <f t="shared" si="32"/>
        <v/>
      </c>
      <c r="DE29" s="6" t="str">
        <f t="shared" si="33"/>
        <v/>
      </c>
      <c r="DF29" s="273" t="str">
        <f t="shared" si="34"/>
        <v/>
      </c>
      <c r="DG29" s="274" t="str">
        <f t="shared" si="35"/>
        <v/>
      </c>
      <c r="DH29" s="6" t="str">
        <f t="shared" si="36"/>
        <v/>
      </c>
    </row>
    <row r="30" spans="1:112" x14ac:dyDescent="0.3">
      <c r="A30" s="6" t="str">
        <f>$A$1480</f>
        <v>MM|IA</v>
      </c>
      <c r="B30" s="75">
        <f>$C$1480</f>
        <v>12</v>
      </c>
      <c r="C30" s="73">
        <f>$B$1531</f>
        <v>1</v>
      </c>
      <c r="D30" s="73">
        <f>$C$1531</f>
        <v>1</v>
      </c>
      <c r="E30" s="73">
        <f>$D$1531</f>
        <v>1</v>
      </c>
      <c r="F30" s="73">
        <f>$E$1531</f>
        <v>1</v>
      </c>
      <c r="G30" s="224">
        <f>$F$1531</f>
        <v>0.98900209700948194</v>
      </c>
      <c r="H30" s="224">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0.68400000000000005</v>
      </c>
      <c r="N30" s="72">
        <f t="shared" si="2"/>
        <v>0.6916062180942395</v>
      </c>
      <c r="O30" s="72">
        <f t="shared" si="3"/>
        <v>0.69394293806686047</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92000</v>
      </c>
      <c r="W30" s="73">
        <f>N(INDEX(lr_mind,27))*$V30</f>
        <v>92000</v>
      </c>
      <c r="X30" s="73">
        <f>N(INDEX(lr_m0,27))*$V30</f>
        <v>91080</v>
      </c>
      <c r="Y30" s="73">
        <f>N(INDEX(lr_m1,27))*$V30</f>
        <v>90620</v>
      </c>
      <c r="Z30" s="73">
        <f t="shared" si="6"/>
        <v>92000</v>
      </c>
      <c r="AA30" s="73">
        <f t="shared" si="7"/>
        <v>92000</v>
      </c>
      <c r="AB30" s="73">
        <f t="shared" si="8"/>
        <v>92000</v>
      </c>
      <c r="AC30" s="73">
        <f t="shared" si="9"/>
        <v>90988.192924872332</v>
      </c>
      <c r="AD30" s="73">
        <f t="shared" si="10"/>
        <v>93023.058574078997</v>
      </c>
      <c r="AE30" s="73">
        <f t="shared" si="11"/>
        <v>62928.000000000007</v>
      </c>
      <c r="AF30" s="73">
        <f t="shared" si="12"/>
        <v>63627.772064670033</v>
      </c>
      <c r="AG30" s="73">
        <f t="shared" si="13"/>
        <v>0</v>
      </c>
      <c r="AH30" s="73">
        <f t="shared" si="14"/>
        <v>92000</v>
      </c>
      <c r="AI30" s="73">
        <f t="shared" si="15"/>
        <v>93337.354242911053</v>
      </c>
      <c r="AJ30" s="73">
        <f t="shared" si="16"/>
        <v>63842.750302151166</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92000</v>
      </c>
      <c r="BX30" s="73">
        <f>$V30*$H$1508</f>
        <v>92000</v>
      </c>
      <c r="BY30" s="73">
        <f>$V30*$H$1509</f>
        <v>92000</v>
      </c>
      <c r="BZ30" s="73">
        <f>$V30*$H$1510</f>
        <v>92000</v>
      </c>
      <c r="CA30" s="73">
        <f>$V30*$H$1511</f>
        <v>92000</v>
      </c>
      <c r="CB30" s="73">
        <f>$V30*$H$1512</f>
        <v>92000</v>
      </c>
      <c r="CC30" s="73">
        <f>$V30*$H$1513</f>
        <v>92000</v>
      </c>
      <c r="CD30" s="73">
        <f>$V30*$H$1514</f>
        <v>92000</v>
      </c>
      <c r="CE30" s="73">
        <f>$V30*$H$1515</f>
        <v>92000</v>
      </c>
      <c r="CF30" s="73">
        <f>$V30*$H$1516</f>
        <v>92000</v>
      </c>
      <c r="CG30" s="73">
        <f>$V30*$H$1517</f>
        <v>92000</v>
      </c>
      <c r="CH30" s="73">
        <f>$V30*$H$1518</f>
        <v>92000</v>
      </c>
      <c r="CI30" s="75">
        <f>$O$1480</f>
        <v>1</v>
      </c>
      <c r="CJ30" s="73">
        <f>$H$1531</f>
        <v>1</v>
      </c>
      <c r="CK30" s="73">
        <f>$I$1531</f>
        <v>0.99597028697853884</v>
      </c>
      <c r="CL30" s="73">
        <f>$J$1531</f>
        <v>0.99597028697853884</v>
      </c>
      <c r="CM30" s="73">
        <f t="shared" si="17"/>
        <v>0</v>
      </c>
      <c r="CN30" s="73">
        <f t="shared" si="18"/>
        <v>92000</v>
      </c>
      <c r="CO30" s="72">
        <f>$M30*($C30/$K$1531)*IF($O$1480=1,$F$1480/$G30,1)*$R30</f>
        <v>0.6916062180942395</v>
      </c>
      <c r="CP30" s="72">
        <f>$M30*(1+$S30)*($C30/$L$1531)*IF($O$1480=1,$F$1480/$H30,1)*$R30</f>
        <v>0.69394293806686047</v>
      </c>
      <c r="CQ30" s="73">
        <f t="shared" si="19"/>
        <v>63627.772064670033</v>
      </c>
      <c r="CR30" s="73">
        <f t="shared" si="20"/>
        <v>63842.750302151166</v>
      </c>
      <c r="CS30" s="73">
        <f t="shared" si="21"/>
        <v>0</v>
      </c>
      <c r="CT30" s="272">
        <f t="shared" si="22"/>
        <v>0</v>
      </c>
      <c r="CU30" s="75">
        <f t="shared" si="23"/>
        <v>0</v>
      </c>
      <c r="CV30" s="75">
        <f t="shared" si="24"/>
        <v>0</v>
      </c>
      <c r="CW30" s="273" t="str">
        <f t="shared" si="25"/>
        <v/>
      </c>
      <c r="CX30" s="274" t="str">
        <f t="shared" si="26"/>
        <v/>
      </c>
      <c r="CY30" s="6" t="str">
        <f t="shared" si="27"/>
        <v/>
      </c>
      <c r="CZ30" s="273" t="str">
        <f t="shared" si="28"/>
        <v/>
      </c>
      <c r="DA30" s="274" t="str">
        <f t="shared" si="29"/>
        <v/>
      </c>
      <c r="DB30" s="6" t="str">
        <f t="shared" si="30"/>
        <v/>
      </c>
      <c r="DC30" s="273" t="str">
        <f t="shared" si="31"/>
        <v/>
      </c>
      <c r="DD30" s="274" t="str">
        <f t="shared" si="32"/>
        <v/>
      </c>
      <c r="DE30" s="6" t="str">
        <f t="shared" si="33"/>
        <v/>
      </c>
      <c r="DF30" s="273" t="str">
        <f t="shared" si="34"/>
        <v/>
      </c>
      <c r="DG30" s="274" t="str">
        <f t="shared" si="35"/>
        <v/>
      </c>
      <c r="DH30" s="6" t="str">
        <f t="shared" si="36"/>
        <v/>
      </c>
    </row>
    <row r="31" spans="1:112" x14ac:dyDescent="0.3">
      <c r="A31" s="6" t="str">
        <f>$A$1534</f>
        <v>MM|IL</v>
      </c>
      <c r="B31" s="75">
        <f>$C$1534</f>
        <v>12</v>
      </c>
      <c r="C31" s="73">
        <f>$B$1585</f>
        <v>1.04</v>
      </c>
      <c r="D31" s="73">
        <f>$C$1585</f>
        <v>1.01125</v>
      </c>
      <c r="E31" s="73">
        <f>$D$1585</f>
        <v>1.0387500000000001</v>
      </c>
      <c r="F31" s="73">
        <f>$E$1585</f>
        <v>1.0400000000000003</v>
      </c>
      <c r="G31" s="224">
        <f>$F$1585</f>
        <v>0.99199580598103554</v>
      </c>
      <c r="H31" s="224">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0.66800000000000004</v>
      </c>
      <c r="N31" s="72">
        <f t="shared" si="2"/>
        <v>0.6742002806360412</v>
      </c>
      <c r="O31" s="72">
        <f t="shared" si="3"/>
        <v>0.66889876156005412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1">
        <f>N(INDEX(lr_ep,28))</f>
        <v>76000</v>
      </c>
      <c r="W31" s="73">
        <f>N(INDEX(lr_mind,28))*$V31</f>
        <v>76000</v>
      </c>
      <c r="X31" s="73">
        <f>N(INDEX(lr_m0,28))*$V31</f>
        <v>75240</v>
      </c>
      <c r="Y31" s="73">
        <f>N(INDEX(lr_m1,28))*$V31</f>
        <v>76000</v>
      </c>
      <c r="Z31" s="73">
        <f t="shared" si="6"/>
        <v>79040</v>
      </c>
      <c r="AA31" s="73">
        <f t="shared" si="7"/>
        <v>78945</v>
      </c>
      <c r="AB31" s="73">
        <f t="shared" si="8"/>
        <v>76091.456077015639</v>
      </c>
      <c r="AC31" s="73">
        <f t="shared" si="9"/>
        <v>75391.681254558702</v>
      </c>
      <c r="AD31" s="73">
        <f t="shared" si="10"/>
        <v>76613.227134402754</v>
      </c>
      <c r="AE31" s="73">
        <f t="shared" si="11"/>
        <v>50768</v>
      </c>
      <c r="AF31" s="73">
        <f t="shared" si="12"/>
        <v>51239.221328339132</v>
      </c>
      <c r="AG31" s="73">
        <f t="shared" si="13"/>
        <v>0</v>
      </c>
      <c r="AH31" s="73">
        <f t="shared" si="14"/>
        <v>75999.999999999985</v>
      </c>
      <c r="AI31" s="73">
        <f t="shared" si="15"/>
        <v>76102.254309227719</v>
      </c>
      <c r="AJ31" s="73">
        <f t="shared" si="16"/>
        <v>50836.305878564111</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76000</v>
      </c>
      <c r="BX31" s="73">
        <f>$V31*$H$1562</f>
        <v>76000</v>
      </c>
      <c r="BY31" s="73">
        <f>$V31*$H$1563</f>
        <v>76000</v>
      </c>
      <c r="BZ31" s="73">
        <f>$V31*$H$1564</f>
        <v>76000</v>
      </c>
      <c r="CA31" s="73">
        <f>$V31*$H$1565</f>
        <v>76000</v>
      </c>
      <c r="CB31" s="73">
        <f>$V31*$H$1566</f>
        <v>76000</v>
      </c>
      <c r="CC31" s="73">
        <f>$V31*$H$1567</f>
        <v>76000</v>
      </c>
      <c r="CD31" s="73">
        <f>$V31*$H$1568</f>
        <v>76000</v>
      </c>
      <c r="CE31" s="73">
        <f>$V31*$H$1569</f>
        <v>76000</v>
      </c>
      <c r="CF31" s="73">
        <f>$V31*$H$1570</f>
        <v>76000</v>
      </c>
      <c r="CG31" s="73">
        <f>$V31*$H$1571</f>
        <v>76000</v>
      </c>
      <c r="CH31" s="73">
        <f>$V31*$H$1572</f>
        <v>76000</v>
      </c>
      <c r="CI31" s="75">
        <f>$O$1534</f>
        <v>1</v>
      </c>
      <c r="CJ31" s="73">
        <f>$H$1585</f>
        <v>1.01</v>
      </c>
      <c r="CK31" s="73">
        <f>$I$1585</f>
        <v>1.0080839018517107</v>
      </c>
      <c r="CL31" s="73">
        <f>$J$1585</f>
        <v>1.0181649859580095</v>
      </c>
      <c r="CM31" s="73">
        <f t="shared" si="17"/>
        <v>0</v>
      </c>
      <c r="CN31" s="73">
        <f t="shared" si="18"/>
        <v>76000</v>
      </c>
      <c r="CO31" s="72">
        <f>$M31*($C31/$K$1585)*IF($O$1534=1,$F$1534/$G31,1)*$R31</f>
        <v>0.6742002806360412</v>
      </c>
      <c r="CP31" s="72">
        <f>$M31*(1+$S31)*($C31/$L$1585)*IF($O$1534=1,$F$1534/$H31,1)*$R31</f>
        <v>0.66889876156005412</v>
      </c>
      <c r="CQ31" s="73">
        <f t="shared" si="19"/>
        <v>51239.221328339132</v>
      </c>
      <c r="CR31" s="73">
        <f t="shared" si="20"/>
        <v>50836.305878564111</v>
      </c>
      <c r="CS31" s="73">
        <f t="shared" si="21"/>
        <v>0</v>
      </c>
      <c r="CT31" s="272">
        <f t="shared" si="22"/>
        <v>0</v>
      </c>
      <c r="CU31" s="75">
        <f t="shared" si="23"/>
        <v>1</v>
      </c>
      <c r="CV31" s="75">
        <f t="shared" si="24"/>
        <v>0</v>
      </c>
      <c r="CW31" s="273">
        <f t="shared" si="25"/>
        <v>46113</v>
      </c>
      <c r="CX31" s="274">
        <f t="shared" si="26"/>
        <v>0.04</v>
      </c>
      <c r="CY31" s="6" t="str">
        <f t="shared" si="27"/>
        <v>T</v>
      </c>
      <c r="CZ31" s="273" t="str">
        <f t="shared" si="28"/>
        <v/>
      </c>
      <c r="DA31" s="274" t="str">
        <f t="shared" si="29"/>
        <v/>
      </c>
      <c r="DB31" s="6" t="str">
        <f t="shared" si="30"/>
        <v/>
      </c>
      <c r="DC31" s="273" t="str">
        <f t="shared" si="31"/>
        <v/>
      </c>
      <c r="DD31" s="274" t="str">
        <f t="shared" si="32"/>
        <v/>
      </c>
      <c r="DE31" s="6" t="str">
        <f t="shared" si="33"/>
        <v/>
      </c>
      <c r="DF31" s="273" t="str">
        <f t="shared" si="34"/>
        <v/>
      </c>
      <c r="DG31" s="274" t="str">
        <f t="shared" si="35"/>
        <v/>
      </c>
      <c r="DH31" s="6" t="str">
        <f t="shared" si="36"/>
        <v/>
      </c>
    </row>
    <row r="32" spans="1:112" x14ac:dyDescent="0.3">
      <c r="A32" s="6" t="str">
        <f>$A$1588</f>
        <v>MM|IN</v>
      </c>
      <c r="B32" s="75">
        <f>$C$1588</f>
        <v>12</v>
      </c>
      <c r="C32" s="73">
        <f>$B$1639</f>
        <v>1.05</v>
      </c>
      <c r="D32" s="73">
        <f>$C$1639</f>
        <v>1.0111111111111111</v>
      </c>
      <c r="E32" s="73">
        <f>$D$1639</f>
        <v>1.0472222222222223</v>
      </c>
      <c r="F32" s="73">
        <f>$E$1639</f>
        <v>1.05</v>
      </c>
      <c r="G32" s="224">
        <f>$F$1639</f>
        <v>0.98800419401896411</v>
      </c>
      <c r="H32" s="224">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0.69599999999999995</v>
      </c>
      <c r="N32" s="72">
        <f t="shared" si="2"/>
        <v>0.70631901976800626</v>
      </c>
      <c r="O32" s="72">
        <f t="shared" si="3"/>
        <v>0.70923167895144423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1">
        <f>N(INDEX(lr_ep,29))</f>
        <v>60000</v>
      </c>
      <c r="W32" s="73">
        <f>N(INDEX(lr_mind,29))*$V32</f>
        <v>60000</v>
      </c>
      <c r="X32" s="73">
        <f>N(INDEX(lr_m0,29))*$V32</f>
        <v>59400</v>
      </c>
      <c r="Y32" s="73">
        <f>N(INDEX(lr_m1,29))*$V32</f>
        <v>58800</v>
      </c>
      <c r="Z32" s="73">
        <f t="shared" si="6"/>
        <v>63000</v>
      </c>
      <c r="AA32" s="73">
        <f t="shared" si="7"/>
        <v>62833.333333333336</v>
      </c>
      <c r="AB32" s="73">
        <f t="shared" si="8"/>
        <v>60159.151193633952</v>
      </c>
      <c r="AC32" s="73">
        <f t="shared" si="9"/>
        <v>59280.251641137846</v>
      </c>
      <c r="AD32" s="73">
        <f t="shared" si="10"/>
        <v>60728.487149365617</v>
      </c>
      <c r="AE32" s="73">
        <f t="shared" si="11"/>
        <v>41760</v>
      </c>
      <c r="AF32" s="73">
        <f t="shared" si="12"/>
        <v>42379.141186080378</v>
      </c>
      <c r="AG32" s="73">
        <f t="shared" si="13"/>
        <v>0</v>
      </c>
      <c r="AH32" s="73">
        <f t="shared" si="14"/>
        <v>60000</v>
      </c>
      <c r="AI32" s="73">
        <f t="shared" si="15"/>
        <v>61140.661978572782</v>
      </c>
      <c r="AJ32" s="73">
        <f t="shared" si="16"/>
        <v>42553.900737086653</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60000</v>
      </c>
      <c r="BX32" s="73">
        <f>$V32*$H$1616</f>
        <v>60000</v>
      </c>
      <c r="BY32" s="73">
        <f>$V32*$H$1617</f>
        <v>60000</v>
      </c>
      <c r="BZ32" s="73">
        <f>$V32*$H$1618</f>
        <v>60000</v>
      </c>
      <c r="CA32" s="73">
        <f>$V32*$H$1619</f>
        <v>60000</v>
      </c>
      <c r="CB32" s="73">
        <f>$V32*$H$1620</f>
        <v>60000</v>
      </c>
      <c r="CC32" s="73">
        <f>$V32*$H$1621</f>
        <v>60000</v>
      </c>
      <c r="CD32" s="73">
        <f>$V32*$H$1622</f>
        <v>60000</v>
      </c>
      <c r="CE32" s="73">
        <f>$V32*$H$1623</f>
        <v>60000</v>
      </c>
      <c r="CF32" s="73">
        <f>$V32*$H$1624</f>
        <v>60000</v>
      </c>
      <c r="CG32" s="73">
        <f>$V32*$H$1625</f>
        <v>60000</v>
      </c>
      <c r="CH32" s="73">
        <f>$V32*$H$1626</f>
        <v>60000</v>
      </c>
      <c r="CI32" s="75">
        <f>$O$1588</f>
        <v>1</v>
      </c>
      <c r="CJ32" s="73">
        <f>$H$1639</f>
        <v>1.0166666666666666</v>
      </c>
      <c r="CK32" s="73">
        <f>$I$1639</f>
        <v>0.99194865631796525</v>
      </c>
      <c r="CL32" s="73">
        <f>$J$1639</f>
        <v>1.0084814938619255</v>
      </c>
      <c r="CM32" s="73">
        <f t="shared" si="17"/>
        <v>0</v>
      </c>
      <c r="CN32" s="73">
        <f t="shared" si="18"/>
        <v>60000</v>
      </c>
      <c r="CO32" s="72">
        <f>$M32*($C32/$K$1639)*IF($O$1588=1,$F$1588/$G32,1)*$R32</f>
        <v>0.70631901976800626</v>
      </c>
      <c r="CP32" s="72">
        <f>$M32*(1+$S32)*($C32/$L$1639)*IF($O$1588=1,$F$1588/$H32,1)*$R32</f>
        <v>0.70923167895144423</v>
      </c>
      <c r="CQ32" s="73">
        <f t="shared" si="19"/>
        <v>42379.141186080378</v>
      </c>
      <c r="CR32" s="73">
        <f t="shared" si="20"/>
        <v>42553.900737086653</v>
      </c>
      <c r="CS32" s="73">
        <f t="shared" si="21"/>
        <v>0</v>
      </c>
      <c r="CT32" s="272">
        <f t="shared" si="22"/>
        <v>0</v>
      </c>
      <c r="CU32" s="75">
        <f t="shared" si="23"/>
        <v>1</v>
      </c>
      <c r="CV32" s="75">
        <f t="shared" si="24"/>
        <v>0</v>
      </c>
      <c r="CW32" s="273">
        <f t="shared" si="25"/>
        <v>46143</v>
      </c>
      <c r="CX32" s="274">
        <f t="shared" si="26"/>
        <v>0.05</v>
      </c>
      <c r="CY32" s="6" t="str">
        <f t="shared" si="27"/>
        <v>T</v>
      </c>
      <c r="CZ32" s="273" t="str">
        <f t="shared" si="28"/>
        <v/>
      </c>
      <c r="DA32" s="274" t="str">
        <f t="shared" si="29"/>
        <v/>
      </c>
      <c r="DB32" s="6" t="str">
        <f t="shared" si="30"/>
        <v/>
      </c>
      <c r="DC32" s="273" t="str">
        <f t="shared" si="31"/>
        <v/>
      </c>
      <c r="DD32" s="274" t="str">
        <f t="shared" si="32"/>
        <v/>
      </c>
      <c r="DE32" s="6" t="str">
        <f t="shared" si="33"/>
        <v/>
      </c>
      <c r="DF32" s="273" t="str">
        <f t="shared" si="34"/>
        <v/>
      </c>
      <c r="DG32" s="274" t="str">
        <f t="shared" si="35"/>
        <v/>
      </c>
      <c r="DH32" s="6" t="str">
        <f t="shared" si="36"/>
        <v/>
      </c>
    </row>
    <row r="33" spans="1:112" x14ac:dyDescent="0.3">
      <c r="A33" s="6" t="str">
        <f>$A$1642</f>
        <v>MM|KY</v>
      </c>
      <c r="B33" s="75">
        <f>$C$1642</f>
        <v>12</v>
      </c>
      <c r="C33" s="73">
        <f>$B$1693</f>
        <v>1</v>
      </c>
      <c r="D33" s="73">
        <f>$C$1693</f>
        <v>1</v>
      </c>
      <c r="E33" s="73">
        <f>$D$1693</f>
        <v>1.00125</v>
      </c>
      <c r="F33" s="73">
        <f>$E$1693</f>
        <v>1.0287500000000001</v>
      </c>
      <c r="G33" s="224">
        <f>$F$1693</f>
        <v>0.99099790299051793</v>
      </c>
      <c r="H33" s="224">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0.68</v>
      </c>
      <c r="N33" s="72">
        <f t="shared" si="2"/>
        <v>0.68532038173246401</v>
      </c>
      <c r="O33" s="72">
        <f t="shared" si="3"/>
        <v>0.66476679360133428</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1">
        <f>N(INDEX(lr_ep,30))</f>
        <v>44000</v>
      </c>
      <c r="W33" s="73">
        <f>N(INDEX(lr_mind,30))*$V33</f>
        <v>44000</v>
      </c>
      <c r="X33" s="73">
        <f>N(INDEX(lr_m0,30))*$V33</f>
        <v>43560</v>
      </c>
      <c r="Y33" s="73">
        <f>N(INDEX(lr_m1,30))*$V33</f>
        <v>43780</v>
      </c>
      <c r="Z33" s="73">
        <f t="shared" si="6"/>
        <v>44000</v>
      </c>
      <c r="AA33" s="73">
        <f t="shared" si="7"/>
        <v>44055</v>
      </c>
      <c r="AB33" s="73">
        <f t="shared" si="8"/>
        <v>43945.06866416979</v>
      </c>
      <c r="AC33" s="73">
        <f t="shared" si="9"/>
        <v>43603.907731582789</v>
      </c>
      <c r="AD33" s="73">
        <f t="shared" si="10"/>
        <v>44399.690319446621</v>
      </c>
      <c r="AE33" s="73">
        <f t="shared" si="11"/>
        <v>29920.000000000004</v>
      </c>
      <c r="AF33" s="73">
        <f t="shared" si="12"/>
        <v>30154.096796228416</v>
      </c>
      <c r="AG33" s="73">
        <f t="shared" si="13"/>
        <v>0</v>
      </c>
      <c r="AH33" s="73">
        <f t="shared" si="14"/>
        <v>42770.352369380314</v>
      </c>
      <c r="AI33" s="73">
        <f t="shared" si="15"/>
        <v>44250.983694653522</v>
      </c>
      <c r="AJ33" s="73">
        <f t="shared" si="16"/>
        <v>29249.738918458708</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44000</v>
      </c>
      <c r="BX33" s="73">
        <f>$V33*$H$1670</f>
        <v>44000</v>
      </c>
      <c r="BY33" s="73">
        <f>$V33*$H$1671</f>
        <v>44000</v>
      </c>
      <c r="BZ33" s="73">
        <f>$V33*$H$1672</f>
        <v>44000</v>
      </c>
      <c r="CA33" s="73">
        <f>$V33*$H$1673</f>
        <v>44000</v>
      </c>
      <c r="CB33" s="73">
        <f>$V33*$H$1674</f>
        <v>44000</v>
      </c>
      <c r="CC33" s="73">
        <f>$V33*$H$1675</f>
        <v>44000</v>
      </c>
      <c r="CD33" s="73">
        <f>$V33*$H$1676</f>
        <v>44000</v>
      </c>
      <c r="CE33" s="73">
        <f>$V33*$H$1677</f>
        <v>44000</v>
      </c>
      <c r="CF33" s="73">
        <f>$V33*$H$1678</f>
        <v>44000</v>
      </c>
      <c r="CG33" s="73">
        <f>$V33*$H$1679</f>
        <v>44000</v>
      </c>
      <c r="CH33" s="73">
        <f>$V33*$H$1680</f>
        <v>44000</v>
      </c>
      <c r="CI33" s="75">
        <f>$O$1642</f>
        <v>1</v>
      </c>
      <c r="CJ33" s="73">
        <f>$H$1693</f>
        <v>1.0099999999999998</v>
      </c>
      <c r="CK33" s="73">
        <f>$I$1693</f>
        <v>1.004037852440528</v>
      </c>
      <c r="CL33" s="73">
        <f>$J$1693</f>
        <v>1.0140781696794732</v>
      </c>
      <c r="CM33" s="73">
        <f t="shared" si="17"/>
        <v>0</v>
      </c>
      <c r="CN33" s="73">
        <f t="shared" si="18"/>
        <v>44000</v>
      </c>
      <c r="CO33" s="72">
        <f>$M33*($C33/$K$1693)*IF($O$1642=1,$F$1642/$G33,1)*$R33</f>
        <v>0.68532038173246401</v>
      </c>
      <c r="CP33" s="72">
        <f>$M33*(1+$S33)*($C33/$L$1693)*IF($O$1642=1,$F$1642/$H33,1)*$R33</f>
        <v>0.66476679360133428</v>
      </c>
      <c r="CQ33" s="73">
        <f t="shared" si="19"/>
        <v>30154.096796228416</v>
      </c>
      <c r="CR33" s="73">
        <f t="shared" si="20"/>
        <v>29249.738918458708</v>
      </c>
      <c r="CS33" s="73">
        <f t="shared" si="21"/>
        <v>0</v>
      </c>
      <c r="CT33" s="272">
        <f t="shared" si="22"/>
        <v>0</v>
      </c>
      <c r="CU33" s="75">
        <f t="shared" si="23"/>
        <v>0</v>
      </c>
      <c r="CV33" s="75">
        <f t="shared" si="24"/>
        <v>1</v>
      </c>
      <c r="CW33" s="273">
        <f t="shared" si="25"/>
        <v>46661</v>
      </c>
      <c r="CX33" s="274">
        <f t="shared" si="26"/>
        <v>0.04</v>
      </c>
      <c r="CY33" s="6" t="str">
        <f t="shared" si="27"/>
        <v>P*</v>
      </c>
      <c r="CZ33" s="273" t="str">
        <f t="shared" si="28"/>
        <v/>
      </c>
      <c r="DA33" s="274" t="str">
        <f t="shared" si="29"/>
        <v/>
      </c>
      <c r="DB33" s="6" t="str">
        <f t="shared" si="30"/>
        <v/>
      </c>
      <c r="DC33" s="273" t="str">
        <f t="shared" si="31"/>
        <v/>
      </c>
      <c r="DD33" s="274" t="str">
        <f t="shared" si="32"/>
        <v/>
      </c>
      <c r="DE33" s="6" t="str">
        <f t="shared" si="33"/>
        <v/>
      </c>
      <c r="DF33" s="273" t="str">
        <f t="shared" si="34"/>
        <v/>
      </c>
      <c r="DG33" s="274" t="str">
        <f t="shared" si="35"/>
        <v/>
      </c>
      <c r="DH33" s="6" t="str">
        <f t="shared" si="36"/>
        <v/>
      </c>
    </row>
    <row r="34" spans="1:112" x14ac:dyDescent="0.3">
      <c r="A34" s="6" t="str">
        <f>$A$1696</f>
        <v>MM|MD</v>
      </c>
      <c r="B34" s="75">
        <f>$C$1696</f>
        <v>12</v>
      </c>
      <c r="C34" s="73">
        <f>$B$1747</f>
        <v>1.02</v>
      </c>
      <c r="D34" s="73">
        <f>$C$1747</f>
        <v>1.0024999999999999</v>
      </c>
      <c r="E34" s="73">
        <f>$D$1747</f>
        <v>1.0174999999999998</v>
      </c>
      <c r="F34" s="73">
        <f>$E$1747</f>
        <v>1.0199999999999998</v>
      </c>
      <c r="G34" s="224">
        <f>$F$1747</f>
        <v>0.99399161196207142</v>
      </c>
      <c r="H34" s="224">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0.66400000000000003</v>
      </c>
      <c r="N34" s="72">
        <f t="shared" si="2"/>
        <v>0.66965499670318029</v>
      </c>
      <c r="O34" s="72">
        <f t="shared" si="3"/>
        <v>0.65917960887616234</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1">
        <f>N(INDEX(lr_ep,31))</f>
        <v>96000</v>
      </c>
      <c r="W34" s="73">
        <f>N(INDEX(lr_mind,31))*$V34</f>
        <v>96000</v>
      </c>
      <c r="X34" s="73">
        <f>N(INDEX(lr_m0,31))*$V34</f>
        <v>95040</v>
      </c>
      <c r="Y34" s="73">
        <f>N(INDEX(lr_m1,31))*$V34</f>
        <v>96960</v>
      </c>
      <c r="Z34" s="73">
        <f t="shared" si="6"/>
        <v>97920</v>
      </c>
      <c r="AA34" s="73">
        <f t="shared" si="7"/>
        <v>97679.999999999985</v>
      </c>
      <c r="AB34" s="73">
        <f t="shared" si="8"/>
        <v>96235.872235872244</v>
      </c>
      <c r="AC34" s="73">
        <f t="shared" si="9"/>
        <v>95423.194748358859</v>
      </c>
      <c r="AD34" s="73">
        <f t="shared" si="10"/>
        <v>96580.291870373607</v>
      </c>
      <c r="AE34" s="73">
        <f t="shared" si="11"/>
        <v>63744</v>
      </c>
      <c r="AF34" s="73">
        <f t="shared" si="12"/>
        <v>64286.879683505307</v>
      </c>
      <c r="AG34" s="73">
        <f t="shared" si="13"/>
        <v>0</v>
      </c>
      <c r="AH34" s="73">
        <f t="shared" si="14"/>
        <v>96000.000000000015</v>
      </c>
      <c r="AI34" s="73">
        <f t="shared" si="15"/>
        <v>95303.075982095732</v>
      </c>
      <c r="AJ34" s="73">
        <f t="shared" si="16"/>
        <v>63281.242452111583</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96000</v>
      </c>
      <c r="BX34" s="73">
        <f>$V34*$H$1724</f>
        <v>96000</v>
      </c>
      <c r="BY34" s="73">
        <f>$V34*$H$1725</f>
        <v>96000</v>
      </c>
      <c r="BZ34" s="73">
        <f>$V34*$H$1726</f>
        <v>96000</v>
      </c>
      <c r="CA34" s="73">
        <f>$V34*$H$1727</f>
        <v>96000</v>
      </c>
      <c r="CB34" s="73">
        <f>$V34*$H$1728</f>
        <v>96000</v>
      </c>
      <c r="CC34" s="73">
        <f>$V34*$H$1729</f>
        <v>96000</v>
      </c>
      <c r="CD34" s="73">
        <f>$V34*$H$1730</f>
        <v>96000</v>
      </c>
      <c r="CE34" s="73">
        <f>$V34*$H$1731</f>
        <v>96000</v>
      </c>
      <c r="CF34" s="73">
        <f>$V34*$H$1732</f>
        <v>96000</v>
      </c>
      <c r="CG34" s="73">
        <f>$V34*$H$1733</f>
        <v>96000</v>
      </c>
      <c r="CH34" s="73">
        <f>$V34*$H$1734</f>
        <v>96000</v>
      </c>
      <c r="CI34" s="75">
        <f>$O$1696</f>
        <v>1</v>
      </c>
      <c r="CJ34" s="73">
        <f>$H$1747</f>
        <v>1.01</v>
      </c>
      <c r="CK34" s="73">
        <f>$I$1747</f>
        <v>1.0162008242959635</v>
      </c>
      <c r="CL34" s="73">
        <f>$J$1747</f>
        <v>1.0263634901839234</v>
      </c>
      <c r="CM34" s="73">
        <f t="shared" si="17"/>
        <v>0</v>
      </c>
      <c r="CN34" s="73">
        <f t="shared" si="18"/>
        <v>96000</v>
      </c>
      <c r="CO34" s="72">
        <f>$M34*($C34/$K$1747)*IF($O$1696=1,$F$1696/$G34,1)*$R34</f>
        <v>0.66965499670318029</v>
      </c>
      <c r="CP34" s="72">
        <f>$M34*(1+$S34)*($C34/$L$1747)*IF($O$1696=1,$F$1696/$H34,1)*$R34</f>
        <v>0.65917960887616234</v>
      </c>
      <c r="CQ34" s="73">
        <f t="shared" si="19"/>
        <v>64286.879683505307</v>
      </c>
      <c r="CR34" s="73">
        <f t="shared" si="20"/>
        <v>63281.242452111583</v>
      </c>
      <c r="CS34" s="73">
        <f t="shared" si="21"/>
        <v>0</v>
      </c>
      <c r="CT34" s="272">
        <f t="shared" si="22"/>
        <v>0</v>
      </c>
      <c r="CU34" s="75">
        <f t="shared" si="23"/>
        <v>1</v>
      </c>
      <c r="CV34" s="75">
        <f t="shared" si="24"/>
        <v>0</v>
      </c>
      <c r="CW34" s="273">
        <f t="shared" si="25"/>
        <v>46204</v>
      </c>
      <c r="CX34" s="274">
        <f t="shared" si="26"/>
        <v>0.02</v>
      </c>
      <c r="CY34" s="6" t="str">
        <f t="shared" si="27"/>
        <v>T</v>
      </c>
      <c r="CZ34" s="273" t="str">
        <f t="shared" si="28"/>
        <v/>
      </c>
      <c r="DA34" s="274" t="str">
        <f t="shared" si="29"/>
        <v/>
      </c>
      <c r="DB34" s="6" t="str">
        <f t="shared" si="30"/>
        <v/>
      </c>
      <c r="DC34" s="273" t="str">
        <f t="shared" si="31"/>
        <v/>
      </c>
      <c r="DD34" s="274" t="str">
        <f t="shared" si="32"/>
        <v/>
      </c>
      <c r="DE34" s="6" t="str">
        <f t="shared" si="33"/>
        <v/>
      </c>
      <c r="DF34" s="273" t="str">
        <f t="shared" si="34"/>
        <v/>
      </c>
      <c r="DG34" s="274" t="str">
        <f t="shared" si="35"/>
        <v/>
      </c>
      <c r="DH34" s="6" t="str">
        <f t="shared" si="36"/>
        <v/>
      </c>
    </row>
    <row r="35" spans="1:112" x14ac:dyDescent="0.3">
      <c r="A35" s="6" t="str">
        <f>$A$1750</f>
        <v>MM|MI</v>
      </c>
      <c r="B35" s="75">
        <f>$C$1750</f>
        <v>12</v>
      </c>
      <c r="C35" s="73">
        <f>$B$1801</f>
        <v>1.03</v>
      </c>
      <c r="D35" s="73">
        <f>$C$1801</f>
        <v>1.0026041666666667</v>
      </c>
      <c r="E35" s="73">
        <f>$D$1801</f>
        <v>1.0248958333333338</v>
      </c>
      <c r="F35" s="73">
        <f>$E$1801</f>
        <v>1.0300000000000002</v>
      </c>
      <c r="G35" s="224">
        <f>$F$1801</f>
        <v>0.9900000000000001</v>
      </c>
      <c r="H35" s="224">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0.69199999999999995</v>
      </c>
      <c r="N35" s="72">
        <f t="shared" si="2"/>
        <v>0.70247099514301414</v>
      </c>
      <c r="O35" s="72">
        <f t="shared" si="3"/>
        <v>0.69898989898989872</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1">
        <f>N(INDEX(lr_ep,32))</f>
        <v>80000</v>
      </c>
      <c r="W35" s="73">
        <f>N(INDEX(lr_mind,32))*$V35</f>
        <v>80000</v>
      </c>
      <c r="X35" s="73">
        <f>N(INDEX(lr_m0,32))*$V35</f>
        <v>79200</v>
      </c>
      <c r="Y35" s="73">
        <f>N(INDEX(lr_m1,32))*$V35</f>
        <v>79200</v>
      </c>
      <c r="Z35" s="73">
        <f t="shared" si="6"/>
        <v>82400</v>
      </c>
      <c r="AA35" s="73">
        <f t="shared" si="7"/>
        <v>81991.666666666701</v>
      </c>
      <c r="AB35" s="73">
        <f t="shared" si="8"/>
        <v>80398.414473015509</v>
      </c>
      <c r="AC35" s="73">
        <f t="shared" si="9"/>
        <v>79200.000000000015</v>
      </c>
      <c r="AD35" s="73">
        <f t="shared" si="10"/>
        <v>80808.080808080791</v>
      </c>
      <c r="AE35" s="73">
        <f t="shared" si="11"/>
        <v>55359.999999999993</v>
      </c>
      <c r="AF35" s="73">
        <f t="shared" si="12"/>
        <v>56197.679611441134</v>
      </c>
      <c r="AG35" s="73">
        <f t="shared" si="13"/>
        <v>0</v>
      </c>
      <c r="AH35" s="73">
        <f t="shared" si="14"/>
        <v>79999.999999999985</v>
      </c>
      <c r="AI35" s="73">
        <f t="shared" si="15"/>
        <v>80808.080808080791</v>
      </c>
      <c r="AJ35" s="73">
        <f t="shared" si="16"/>
        <v>55919.191919191901</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80000</v>
      </c>
      <c r="BX35" s="73">
        <f>$V35*$H$1778</f>
        <v>80000</v>
      </c>
      <c r="BY35" s="73">
        <f>$V35*$H$1779</f>
        <v>80000</v>
      </c>
      <c r="BZ35" s="73">
        <f>$V35*$H$1780</f>
        <v>80000</v>
      </c>
      <c r="CA35" s="73">
        <f>$V35*$H$1781</f>
        <v>80000</v>
      </c>
      <c r="CB35" s="73">
        <f>$V35*$H$1782</f>
        <v>80000</v>
      </c>
      <c r="CC35" s="73">
        <f>$V35*$H$1783</f>
        <v>80000</v>
      </c>
      <c r="CD35" s="73">
        <f>$V35*$H$1784</f>
        <v>80000</v>
      </c>
      <c r="CE35" s="73">
        <f>$V35*$H$1785</f>
        <v>80000</v>
      </c>
      <c r="CF35" s="73">
        <f>$V35*$H$1786</f>
        <v>80000</v>
      </c>
      <c r="CG35" s="73">
        <f>$V35*$H$1787</f>
        <v>80000</v>
      </c>
      <c r="CH35" s="73">
        <f>$V35*$H$1788</f>
        <v>80000</v>
      </c>
      <c r="CI35" s="75">
        <f>$O$1750</f>
        <v>1</v>
      </c>
      <c r="CJ35" s="73">
        <f>$H$1801</f>
        <v>1.0175000000000001</v>
      </c>
      <c r="CK35" s="73">
        <f>$I$1801</f>
        <v>1</v>
      </c>
      <c r="CL35" s="73">
        <f>$J$1801</f>
        <v>1.0175000000000001</v>
      </c>
      <c r="CM35" s="73">
        <f t="shared" si="17"/>
        <v>0</v>
      </c>
      <c r="CN35" s="73">
        <f t="shared" si="18"/>
        <v>80000</v>
      </c>
      <c r="CO35" s="72">
        <f>$M35*($C35/$K$1801)*IF($O$1750=1,$F$1750/$G35,1)*$R35</f>
        <v>0.70247099514301414</v>
      </c>
      <c r="CP35" s="72">
        <f>$M35*(1+$S35)*($C35/$L$1801)*IF($O$1750=1,$F$1750/$H35,1)*$R35</f>
        <v>0.69898989898989872</v>
      </c>
      <c r="CQ35" s="73">
        <f t="shared" si="19"/>
        <v>56197.679611441134</v>
      </c>
      <c r="CR35" s="73">
        <f t="shared" si="20"/>
        <v>55919.191919191901</v>
      </c>
      <c r="CS35" s="73">
        <f t="shared" si="21"/>
        <v>0</v>
      </c>
      <c r="CT35" s="272">
        <f t="shared" si="22"/>
        <v>0</v>
      </c>
      <c r="CU35" s="75">
        <f t="shared" si="23"/>
        <v>1</v>
      </c>
      <c r="CV35" s="75">
        <f t="shared" si="24"/>
        <v>0</v>
      </c>
      <c r="CW35" s="273">
        <f t="shared" si="25"/>
        <v>46235</v>
      </c>
      <c r="CX35" s="274">
        <f t="shared" si="26"/>
        <v>0.03</v>
      </c>
      <c r="CY35" s="6" t="str">
        <f t="shared" si="27"/>
        <v>T</v>
      </c>
      <c r="CZ35" s="273" t="str">
        <f t="shared" si="28"/>
        <v/>
      </c>
      <c r="DA35" s="274" t="str">
        <f t="shared" si="29"/>
        <v/>
      </c>
      <c r="DB35" s="6" t="str">
        <f t="shared" si="30"/>
        <v/>
      </c>
      <c r="DC35" s="273" t="str">
        <f t="shared" si="31"/>
        <v/>
      </c>
      <c r="DD35" s="274" t="str">
        <f t="shared" si="32"/>
        <v/>
      </c>
      <c r="DE35" s="6" t="str">
        <f t="shared" si="33"/>
        <v/>
      </c>
      <c r="DF35" s="273" t="str">
        <f t="shared" si="34"/>
        <v/>
      </c>
      <c r="DG35" s="274" t="str">
        <f t="shared" si="35"/>
        <v/>
      </c>
      <c r="DH35" s="6" t="str">
        <f t="shared" si="36"/>
        <v/>
      </c>
    </row>
    <row r="36" spans="1:112" x14ac:dyDescent="0.3">
      <c r="A36" s="6" t="str">
        <f>$A$1804</f>
        <v>MM|MN</v>
      </c>
      <c r="B36" s="75">
        <f>$C$1804</f>
        <v>12</v>
      </c>
      <c r="C36" s="73">
        <f>$B$1855</f>
        <v>1</v>
      </c>
      <c r="D36" s="73">
        <f>$C$1855</f>
        <v>1</v>
      </c>
      <c r="E36" s="73">
        <f>$D$1855</f>
        <v>1</v>
      </c>
      <c r="F36" s="73">
        <f>$E$1855</f>
        <v>1</v>
      </c>
      <c r="G36" s="224">
        <f>$F$1855</f>
        <v>0.99299370897155337</v>
      </c>
      <c r="H36" s="224">
        <f>$G$1855</f>
        <v>1.002984534555069</v>
      </c>
      <c r="I36" s="73">
        <f t="shared" ref="I36:I72" si="37">$C36/$E36</f>
        <v>1</v>
      </c>
      <c r="J36" s="73">
        <f t="shared" ref="J36:J72" si="38">$C36/$F36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0.67600000000000005</v>
      </c>
      <c r="N36" s="72">
        <f t="shared" ref="N36:N72" si="39">$M36*$I36*$K36*$R36</f>
        <v>0.68076967043440317</v>
      </c>
      <c r="O36" s="72">
        <f t="shared" ref="O36:O72" si="40">$M36*(1+$S36)*$J36*$L36*$R36</f>
        <v>0.67398845815691311</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1">
        <f>N(INDEX(lr_ep,33))</f>
        <v>64000</v>
      </c>
      <c r="W36" s="73">
        <f>N(INDEX(lr_mind,33))*$V36</f>
        <v>64000</v>
      </c>
      <c r="X36" s="73">
        <f>N(INDEX(lr_m0,33))*$V36</f>
        <v>63360</v>
      </c>
      <c r="Y36" s="73">
        <f>N(INDEX(lr_m1,33))*$V36</f>
        <v>64319.999999999993</v>
      </c>
      <c r="Z36" s="73">
        <f t="shared" ref="Z36:Z72" si="43">$C36*$V36</f>
        <v>64000</v>
      </c>
      <c r="AA36" s="73">
        <f t="shared" ref="AA36:AA72" si="44">$E36*$V36</f>
        <v>64000</v>
      </c>
      <c r="AB36" s="73">
        <f t="shared" ref="AB36:AB72" si="45">$I36*$V36</f>
        <v>64000</v>
      </c>
      <c r="AC36" s="73">
        <f t="shared" ref="AC36:AC72" si="46">$G36*$V36</f>
        <v>63551.597374179415</v>
      </c>
      <c r="AD36" s="73">
        <f t="shared" ref="AD36:AD72" si="47">$K36*$V36</f>
        <v>64451.56643165947</v>
      </c>
      <c r="AE36" s="73">
        <f t="shared" ref="AE36:AE72" si="48">$M36*$V36</f>
        <v>43264</v>
      </c>
      <c r="AF36" s="73">
        <f t="shared" ref="AF36:AF72" si="49">$N36*$V36</f>
        <v>43569.258907801806</v>
      </c>
      <c r="AG36" s="73">
        <f t="shared" ref="AG36:AG72" si="50">$S36*$V36</f>
        <v>0</v>
      </c>
      <c r="AH36" s="73">
        <f t="shared" ref="AH36:AH72" si="51">$J36*$V36</f>
        <v>64000</v>
      </c>
      <c r="AI36" s="73">
        <f t="shared" ref="AI36:AI72" si="52">$L36*$V36</f>
        <v>63809.558168701828</v>
      </c>
      <c r="AJ36" s="73">
        <f t="shared" ref="AJ36:AJ72" si="53">$O36*$V36</f>
        <v>43135.261322042439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64000</v>
      </c>
      <c r="BX36" s="73">
        <f>$V36*$H$1832</f>
        <v>64000</v>
      </c>
      <c r="BY36" s="73">
        <f>$V36*$H$1833</f>
        <v>64000</v>
      </c>
      <c r="BZ36" s="73">
        <f>$V36*$H$1834</f>
        <v>64000</v>
      </c>
      <c r="CA36" s="73">
        <f>$V36*$H$1835</f>
        <v>64000</v>
      </c>
      <c r="CB36" s="73">
        <f>$V36*$H$1836</f>
        <v>64000</v>
      </c>
      <c r="CC36" s="73">
        <f>$V36*$H$1837</f>
        <v>64000</v>
      </c>
      <c r="CD36" s="73">
        <f>$V36*$H$1838</f>
        <v>64000</v>
      </c>
      <c r="CE36" s="73">
        <f>$V36*$H$1839</f>
        <v>64000</v>
      </c>
      <c r="CF36" s="73">
        <f>$V36*$H$1840</f>
        <v>64000</v>
      </c>
      <c r="CG36" s="73">
        <f>$V36*$H$1841</f>
        <v>64000</v>
      </c>
      <c r="CH36" s="73">
        <f>$V36*$H$1842</f>
        <v>64000</v>
      </c>
      <c r="CI36" s="75">
        <f>$O$1804</f>
        <v>1</v>
      </c>
      <c r="CJ36" s="73">
        <f>$H$1855</f>
        <v>1</v>
      </c>
      <c r="CK36" s="73">
        <f>$I$1855</f>
        <v>1.0121382062846183</v>
      </c>
      <c r="CL36" s="73">
        <f>$J$1855</f>
        <v>1.0121382062846183</v>
      </c>
      <c r="CM36" s="73">
        <f t="shared" ref="CM36:CM72" si="54">IF($AK36=1,ABS($CL36-1-$AL36),0)</f>
        <v>0</v>
      </c>
      <c r="CN36" s="73">
        <f t="shared" ref="CN36:CN72" si="55">$R36*$V36</f>
        <v>64000</v>
      </c>
      <c r="CO36" s="72">
        <f>$M36*($C36/$K$1855)*IF($O$1804=1,$F$1804/$G36,1)*$R36</f>
        <v>0.68076967043440317</v>
      </c>
      <c r="CP36" s="72">
        <f>$M36*(1+$S36)*($C36/$L$1855)*IF($O$1804=1,$F$1804/$H36,1)*$R36</f>
        <v>0.67398845815691311</v>
      </c>
      <c r="CQ36" s="73">
        <f t="shared" ref="CQ36:CQ72" si="56">$CO36*$V36</f>
        <v>43569.258907801806</v>
      </c>
      <c r="CR36" s="73">
        <f t="shared" ref="CR36:CR72" si="57">$CP36*$V36</f>
        <v>43135.261322042439</v>
      </c>
      <c r="CS36" s="73">
        <f t="shared" ref="CS36:CS72" si="58">IF($AK36=1,0,ABS($CO36-$N36)+ABS($CP36-$O36))</f>
        <v>0</v>
      </c>
      <c r="CT36" s="272">
        <f t="shared" ref="CT36:CT72" si="59">IF($AK36=0,0,($CO36-$N36)*100)</f>
        <v>0</v>
      </c>
      <c r="CU36" s="75">
        <f t="shared" ref="CU36:CU72" si="60">COUNTIFS(rl_key,$A36,rl_status,"taken",rl_eff,"&lt;&gt;")</f>
        <v>0</v>
      </c>
      <c r="CV36" s="75">
        <f t="shared" ref="CV36:CV72" si="61">COUNTIFS(rl_key,$A36,rl_status,"planned",rl_eff,"&lt;&gt;")</f>
        <v>0</v>
      </c>
      <c r="CW36" s="273" t="str">
        <f t="shared" ref="CW36:CW72" si="62">IF(COUNTIFS(rl_key,$A36,rl_seq,1)=0,"",SUMIFS(rl_eff,rl_key,$A36,rl_seq,1))</f>
        <v/>
      </c>
      <c r="CX36" s="274" t="str">
        <f t="shared" ref="CX36:CX72" si="63">IF(COUNTIFS(rl_key,$A36,rl_seq,1)=0,"",SUMIFS(rl_reff,rl_key,$A36,rl_seq,1))</f>
        <v/>
      </c>
      <c r="CY36" s="6" t="str">
        <f t="shared" ref="CY36:CY72" si="64">IF(COUNTIFS(rl_key,$A36,rl_seq,1)=0,"",IF(COUNTIFS(rl_key,$A36,rl_seq,1,rl_status,"planned")&gt;0,"P","T")&amp;IF(COUNTIFS(rl_key,$A36,rl_seq,1,rl_cons,"Y")&gt;0,"","*"))</f>
        <v/>
      </c>
      <c r="CZ36" s="273" t="str">
        <f t="shared" ref="CZ36:CZ72" si="65">IF(COUNTIFS(rl_key,$A36,rl_seq,2)=0,"",SUMIFS(rl_eff,rl_key,$A36,rl_seq,2))</f>
        <v/>
      </c>
      <c r="DA36" s="274" t="str">
        <f t="shared" ref="DA36:DA72" si="66">IF(COUNTIFS(rl_key,$A36,rl_seq,2)=0,"",SUMIFS(rl_reff,rl_key,$A36,rl_seq,2))</f>
        <v/>
      </c>
      <c r="DB36" s="6" t="str">
        <f t="shared" ref="DB36:DB72" si="67">IF(COUNTIFS(rl_key,$A36,rl_seq,2)=0,"",IF(COUNTIFS(rl_key,$A36,rl_seq,2,rl_status,"planned")&gt;0,"P","T")&amp;IF(COUNTIFS(rl_key,$A36,rl_seq,2,rl_cons,"Y")&gt;0,"","*"))</f>
        <v/>
      </c>
      <c r="DC36" s="273" t="str">
        <f t="shared" ref="DC36:DC72" si="68">IF(COUNTIFS(rl_key,$A36,rl_seq,3)=0,"",SUMIFS(rl_eff,rl_key,$A36,rl_seq,3))</f>
        <v/>
      </c>
      <c r="DD36" s="274" t="str">
        <f t="shared" ref="DD36:DD72" si="69">IF(COUNTIFS(rl_key,$A36,rl_seq,3)=0,"",SUMIFS(rl_reff,rl_key,$A36,rl_seq,3))</f>
        <v/>
      </c>
      <c r="DE36" s="6" t="str">
        <f t="shared" ref="DE36:DE72" si="70">IF(COUNTIFS(rl_key,$A36,rl_seq,3)=0,"",IF(COUNTIFS(rl_key,$A36,rl_seq,3,rl_status,"planned")&gt;0,"P","T")&amp;IF(COUNTIFS(rl_key,$A36,rl_seq,3,rl_cons,"Y")&gt;0,"","*"))</f>
        <v/>
      </c>
      <c r="DF36" s="273" t="str">
        <f t="shared" ref="DF36:DF72" si="71">IF(COUNTIFS(rl_key,$A36,rl_seq,4)=0,"",SUMIFS(rl_eff,rl_key,$A36,rl_seq,4))</f>
        <v/>
      </c>
      <c r="DG36" s="274" t="str">
        <f t="shared" ref="DG36:DG72" si="72">IF(COUNTIFS(rl_key,$A36,rl_seq,4)=0,"",SUMIFS(rl_reff,rl_key,$A36,rl_seq,4))</f>
        <v/>
      </c>
      <c r="DH36" s="6" t="str">
        <f t="shared" ref="DH36:DH72" si="73">IF(COUNTIFS(rl_key,$A36,rl_seq,4)=0,"",IF(COUNTIFS(rl_key,$A36,rl_seq,4,rl_status,"planned")&gt;0,"P","T")&amp;IF(COUNTIFS(rl_key,$A36,rl_seq,4,rl_cons,"Y")&gt;0,"","*"))</f>
        <v/>
      </c>
    </row>
    <row r="37" spans="1:112" x14ac:dyDescent="0.3">
      <c r="A37" s="6" t="str">
        <f>$A$1858</f>
        <v>MM|NM</v>
      </c>
      <c r="B37" s="75">
        <f>$C$1858</f>
        <v>12</v>
      </c>
      <c r="C37" s="73">
        <f>$B$1909</f>
        <v>1.05</v>
      </c>
      <c r="D37" s="73">
        <f>$C$1909</f>
        <v>1.0015624999999999</v>
      </c>
      <c r="E37" s="73">
        <f>$D$1909</f>
        <v>1.04775</v>
      </c>
      <c r="F37" s="73">
        <f>$E$1909</f>
        <v>1.0906875</v>
      </c>
      <c r="G37" s="224">
        <f>$F$1909</f>
        <v>0.98900209700948194</v>
      </c>
      <c r="H37" s="224">
        <f>$G$1909</f>
        <v>0.98567182181497681</v>
      </c>
      <c r="I37" s="73">
        <f t="shared" si="37"/>
        <v>1.0021474588403723</v>
      </c>
      <c r="J37" s="73">
        <f t="shared" si="38"/>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0.66</v>
      </c>
      <c r="N37" s="72">
        <f t="shared" si="39"/>
        <v>0.66877241699954093</v>
      </c>
      <c r="O37" s="72">
        <f t="shared" si="40"/>
        <v>0.6446152231499116</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1">
        <f>N(INDEX(lr_ep,34))</f>
        <v>48000</v>
      </c>
      <c r="W37" s="73">
        <f>N(INDEX(lr_mind,34))*$V37</f>
        <v>48000</v>
      </c>
      <c r="X37" s="73">
        <f>N(INDEX(lr_m0,34))*$V37</f>
        <v>47520</v>
      </c>
      <c r="Y37" s="73">
        <f>N(INDEX(lr_m1,34))*$V37</f>
        <v>47280</v>
      </c>
      <c r="Z37" s="73">
        <f t="shared" si="43"/>
        <v>50400</v>
      </c>
      <c r="AA37" s="73">
        <f t="shared" si="44"/>
        <v>50292</v>
      </c>
      <c r="AB37" s="73">
        <f t="shared" si="45"/>
        <v>48103.078024337869</v>
      </c>
      <c r="AC37" s="73">
        <f t="shared" si="46"/>
        <v>47472.100656455135</v>
      </c>
      <c r="AD37" s="73">
        <f t="shared" si="47"/>
        <v>48533.769690823821</v>
      </c>
      <c r="AE37" s="73">
        <f t="shared" si="48"/>
        <v>31680</v>
      </c>
      <c r="AF37" s="73">
        <f t="shared" si="49"/>
        <v>32101.076015977964</v>
      </c>
      <c r="AG37" s="73">
        <f t="shared" si="50"/>
        <v>0</v>
      </c>
      <c r="AH37" s="73">
        <f t="shared" si="51"/>
        <v>46209.386281588449</v>
      </c>
      <c r="AI37" s="73">
        <f t="shared" si="52"/>
        <v>48697.750039779683</v>
      </c>
      <c r="AJ37" s="73">
        <f t="shared" si="53"/>
        <v>30941.530711195755</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48000</v>
      </c>
      <c r="BX37" s="73">
        <f>$V37*$H$1886</f>
        <v>48000</v>
      </c>
      <c r="BY37" s="73">
        <f>$V37*$H$1887</f>
        <v>48000</v>
      </c>
      <c r="BZ37" s="73">
        <f>$V37*$H$1888</f>
        <v>48000</v>
      </c>
      <c r="CA37" s="73">
        <f>$V37*$H$1889</f>
        <v>48000</v>
      </c>
      <c r="CB37" s="73">
        <f>$V37*$H$1890</f>
        <v>48000</v>
      </c>
      <c r="CC37" s="73">
        <f>$V37*$H$1891</f>
        <v>48000</v>
      </c>
      <c r="CD37" s="73">
        <f>$V37*$H$1892</f>
        <v>48000</v>
      </c>
      <c r="CE37" s="73">
        <f>$V37*$H$1893</f>
        <v>48000</v>
      </c>
      <c r="CF37" s="73">
        <f>$V37*$H$1894</f>
        <v>48000</v>
      </c>
      <c r="CG37" s="73">
        <f>$V37*$H$1895</f>
        <v>48000</v>
      </c>
      <c r="CH37" s="73">
        <f>$V37*$H$1896</f>
        <v>48000</v>
      </c>
      <c r="CI37" s="75">
        <f>$O$1858</f>
        <v>1</v>
      </c>
      <c r="CJ37" s="73">
        <f>$H$1909</f>
        <v>1.0685000000000002</v>
      </c>
      <c r="CK37" s="73">
        <f>$I$1909</f>
        <v>0.99597028697853884</v>
      </c>
      <c r="CL37" s="73">
        <f>$J$1909</f>
        <v>1.0641942672752134</v>
      </c>
      <c r="CM37" s="73">
        <f t="shared" si="54"/>
        <v>0</v>
      </c>
      <c r="CN37" s="73">
        <f t="shared" si="55"/>
        <v>48000</v>
      </c>
      <c r="CO37" s="72">
        <f>$M37*($C37/$K$1909)*IF($O$1858=1,$F$1858/$G37,1)*$R37</f>
        <v>0.66877241699954093</v>
      </c>
      <c r="CP37" s="72">
        <f>$M37*(1+$S37)*($C37/$L$1909)*IF($O$1858=1,$F$1858/$H37,1)*$R37</f>
        <v>0.6446152231499116</v>
      </c>
      <c r="CQ37" s="73">
        <f t="shared" si="56"/>
        <v>32101.076015977964</v>
      </c>
      <c r="CR37" s="73">
        <f t="shared" si="57"/>
        <v>30941.530711195755</v>
      </c>
      <c r="CS37" s="73">
        <f t="shared" si="58"/>
        <v>0</v>
      </c>
      <c r="CT37" s="272">
        <f t="shared" si="59"/>
        <v>0</v>
      </c>
      <c r="CU37" s="75">
        <f t="shared" si="60"/>
        <v>1</v>
      </c>
      <c r="CV37" s="75">
        <f t="shared" si="61"/>
        <v>1</v>
      </c>
      <c r="CW37" s="273">
        <f t="shared" si="62"/>
        <v>46296</v>
      </c>
      <c r="CX37" s="274">
        <f t="shared" si="63"/>
        <v>0.05</v>
      </c>
      <c r="CY37" s="6" t="str">
        <f t="shared" si="64"/>
        <v>T</v>
      </c>
      <c r="CZ37" s="273">
        <f t="shared" si="65"/>
        <v>46478</v>
      </c>
      <c r="DA37" s="274">
        <f t="shared" si="66"/>
        <v>0.04</v>
      </c>
      <c r="DB37" s="6" t="str">
        <f t="shared" si="67"/>
        <v>P*</v>
      </c>
      <c r="DC37" s="273" t="str">
        <f t="shared" si="68"/>
        <v/>
      </c>
      <c r="DD37" s="274" t="str">
        <f t="shared" si="69"/>
        <v/>
      </c>
      <c r="DE37" s="6" t="str">
        <f t="shared" si="70"/>
        <v/>
      </c>
      <c r="DF37" s="273" t="str">
        <f t="shared" si="71"/>
        <v/>
      </c>
      <c r="DG37" s="274" t="str">
        <f t="shared" si="72"/>
        <v/>
      </c>
      <c r="DH37" s="6" t="str">
        <f t="shared" si="73"/>
        <v/>
      </c>
    </row>
    <row r="38" spans="1:112" x14ac:dyDescent="0.3">
      <c r="A38" s="6" t="str">
        <f>$A$1912</f>
        <v>MM|NC</v>
      </c>
      <c r="B38" s="75">
        <f>$C$1912</f>
        <v>12</v>
      </c>
      <c r="C38" s="73">
        <f>$B$1963</f>
        <v>1.06</v>
      </c>
      <c r="D38" s="73">
        <f>$C$1963</f>
        <v>1.0008333333333335</v>
      </c>
      <c r="E38" s="73">
        <f>$D$1963</f>
        <v>1.0391666666666668</v>
      </c>
      <c r="F38" s="73">
        <f>$E$1963</f>
        <v>1.0600000000000003</v>
      </c>
      <c r="G38" s="224">
        <f>$F$1963</f>
        <v>0.99199580598103554</v>
      </c>
      <c r="H38" s="224">
        <f>$G$1963</f>
        <v>0.99865635637004624</v>
      </c>
      <c r="I38" s="73">
        <f t="shared" si="37"/>
        <v>1.020048115477145</v>
      </c>
      <c r="J38" s="73">
        <f t="shared" si="38"/>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0.68799999999999994</v>
      </c>
      <c r="N38" s="72">
        <f t="shared" si="39"/>
        <v>0.70745571626105475</v>
      </c>
      <c r="O38" s="72">
        <f t="shared" si="40"/>
        <v>0.68892567058879817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1">
        <f>N(INDEX(lr_ep,35))</f>
        <v>32000</v>
      </c>
      <c r="W38" s="73">
        <f>N(INDEX(lr_mind,35))*$V38</f>
        <v>32000</v>
      </c>
      <c r="X38" s="73">
        <f>N(INDEX(lr_m0,35))*$V38</f>
        <v>31680</v>
      </c>
      <c r="Y38" s="73">
        <f>N(INDEX(lr_m1,35))*$V38</f>
        <v>32000</v>
      </c>
      <c r="Z38" s="73">
        <f t="shared" si="43"/>
        <v>33920</v>
      </c>
      <c r="AA38" s="73">
        <f t="shared" si="44"/>
        <v>33253.333333333336</v>
      </c>
      <c r="AB38" s="73">
        <f t="shared" si="45"/>
        <v>32641.539695268642</v>
      </c>
      <c r="AC38" s="73">
        <f t="shared" si="46"/>
        <v>31743.865791393138</v>
      </c>
      <c r="AD38" s="73">
        <f t="shared" si="47"/>
        <v>32258.200898695897</v>
      </c>
      <c r="AE38" s="73">
        <f t="shared" si="48"/>
        <v>22016</v>
      </c>
      <c r="AF38" s="73">
        <f t="shared" si="49"/>
        <v>22638.582920353751</v>
      </c>
      <c r="AG38" s="73">
        <f t="shared" si="50"/>
        <v>0</v>
      </c>
      <c r="AH38" s="73">
        <f t="shared" si="51"/>
        <v>31999.999999999993</v>
      </c>
      <c r="AI38" s="73">
        <f t="shared" si="52"/>
        <v>32043.05444599062</v>
      </c>
      <c r="AJ38" s="73">
        <f t="shared" si="53"/>
        <v>22045.621458841542</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32000</v>
      </c>
      <c r="BX38" s="73">
        <f>$V38*$H$1940</f>
        <v>32000</v>
      </c>
      <c r="BY38" s="73">
        <f>$V38*$H$1941</f>
        <v>32000</v>
      </c>
      <c r="BZ38" s="73">
        <f>$V38*$H$1942</f>
        <v>32000</v>
      </c>
      <c r="CA38" s="73">
        <f>$V38*$H$1943</f>
        <v>32000</v>
      </c>
      <c r="CB38" s="73">
        <f>$V38*$H$1944</f>
        <v>32000</v>
      </c>
      <c r="CC38" s="73">
        <f>$V38*$H$1945</f>
        <v>32000</v>
      </c>
      <c r="CD38" s="73">
        <f>$V38*$H$1946</f>
        <v>32000</v>
      </c>
      <c r="CE38" s="73">
        <f>$V38*$H$1947</f>
        <v>32000</v>
      </c>
      <c r="CF38" s="73">
        <f>$V38*$H$1948</f>
        <v>32000</v>
      </c>
      <c r="CG38" s="73">
        <f>$V38*$H$1949</f>
        <v>32000</v>
      </c>
      <c r="CH38" s="73">
        <f>$V38*$H$1950</f>
        <v>32000</v>
      </c>
      <c r="CI38" s="75">
        <f>$O$1912</f>
        <v>1</v>
      </c>
      <c r="CJ38" s="73">
        <f>$H$1963</f>
        <v>1.0500000000000003</v>
      </c>
      <c r="CK38" s="73">
        <f>$I$1963</f>
        <v>1.0080839018517107</v>
      </c>
      <c r="CL38" s="73">
        <f>$J$1963</f>
        <v>1.0584883695609069</v>
      </c>
      <c r="CM38" s="73">
        <f t="shared" si="54"/>
        <v>0</v>
      </c>
      <c r="CN38" s="73">
        <f t="shared" si="55"/>
        <v>32000</v>
      </c>
      <c r="CO38" s="72">
        <f>$M38*($C38/$K$1963)*IF($O$1912=1,$F$1912/$G38,1)*$R38</f>
        <v>0.70745571626105475</v>
      </c>
      <c r="CP38" s="72">
        <f>$M38*(1+$S38)*($C38/$L$1963)*IF($O$1912=1,$F$1912/$H38,1)*$R38</f>
        <v>0.68892567058879817</v>
      </c>
      <c r="CQ38" s="73">
        <f t="shared" si="56"/>
        <v>22638.582920353751</v>
      </c>
      <c r="CR38" s="73">
        <f t="shared" si="57"/>
        <v>22045.621458841542</v>
      </c>
      <c r="CS38" s="73">
        <f t="shared" si="58"/>
        <v>0</v>
      </c>
      <c r="CT38" s="272">
        <f t="shared" si="59"/>
        <v>0</v>
      </c>
      <c r="CU38" s="75">
        <f t="shared" si="60"/>
        <v>1</v>
      </c>
      <c r="CV38" s="75">
        <f t="shared" si="61"/>
        <v>0</v>
      </c>
      <c r="CW38" s="273">
        <f t="shared" si="62"/>
        <v>46327</v>
      </c>
      <c r="CX38" s="274">
        <f t="shared" si="63"/>
        <v>0.06</v>
      </c>
      <c r="CY38" s="6" t="str">
        <f t="shared" si="64"/>
        <v>T</v>
      </c>
      <c r="CZ38" s="273" t="str">
        <f t="shared" si="65"/>
        <v/>
      </c>
      <c r="DA38" s="274" t="str">
        <f t="shared" si="66"/>
        <v/>
      </c>
      <c r="DB38" s="6" t="str">
        <f t="shared" si="67"/>
        <v/>
      </c>
      <c r="DC38" s="273" t="str">
        <f t="shared" si="68"/>
        <v/>
      </c>
      <c r="DD38" s="274" t="str">
        <f t="shared" si="69"/>
        <v/>
      </c>
      <c r="DE38" s="6" t="str">
        <f t="shared" si="70"/>
        <v/>
      </c>
      <c r="DF38" s="273" t="str">
        <f t="shared" si="71"/>
        <v/>
      </c>
      <c r="DG38" s="274" t="str">
        <f t="shared" si="72"/>
        <v/>
      </c>
      <c r="DH38" s="6" t="str">
        <f t="shared" si="73"/>
        <v/>
      </c>
    </row>
    <row r="39" spans="1:112" x14ac:dyDescent="0.3">
      <c r="A39" s="6" t="str">
        <f>$A$1966</f>
        <v>MM|OH</v>
      </c>
      <c r="B39" s="75">
        <f>$C$1966</f>
        <v>12</v>
      </c>
      <c r="C39" s="73">
        <f>$B$2017</f>
        <v>1</v>
      </c>
      <c r="D39" s="73">
        <f>$C$2017</f>
        <v>1</v>
      </c>
      <c r="E39" s="73">
        <f>$D$2017</f>
        <v>1</v>
      </c>
      <c r="F39" s="73">
        <f>$E$2017</f>
        <v>1</v>
      </c>
      <c r="G39" s="224">
        <f>$F$2017</f>
        <v>0.98800419401896411</v>
      </c>
      <c r="H39" s="224">
        <f>$G$2017</f>
        <v>0.98134364362995397</v>
      </c>
      <c r="I39" s="73">
        <f t="shared" si="37"/>
        <v>1</v>
      </c>
      <c r="J39" s="73">
        <f t="shared" si="38"/>
        <v>1</v>
      </c>
      <c r="K39" s="73">
        <f>IF($L$1966,1,IF(AND(nr_ModAdjMaster="ON",INDEX(lr_modadj,36)="ON"),$F$1966/$G39,1))</f>
        <v>1.012141452489427</v>
      </c>
      <c r="L39" s="73">
        <f>IF($L$1966,1,IF(AND(nr_ModAdjMaster="ON",INDEX(lr_modadj,36)="ON"),$F$1966/$H39,1))</f>
        <v>1.019011032976213</v>
      </c>
      <c r="M39" s="72">
        <f>IF(INDEX(lr_basis,36)="proposed",N(INDEX(lr_lrproj,36))*(1+N(INDEX(lr_s,36))),N(INDEX(lr_lrproj,36)))</f>
        <v>0.67200000000000004</v>
      </c>
      <c r="N39" s="72">
        <f t="shared" si="39"/>
        <v>0.68015905607289495</v>
      </c>
      <c r="O39" s="72">
        <f t="shared" si="40"/>
        <v>0.68477541416001519</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1">
        <f>N(INDEX(lr_ep,36))</f>
        <v>84000</v>
      </c>
      <c r="W39" s="73">
        <f>N(INDEX(lr_mind,36))*$V39</f>
        <v>84000</v>
      </c>
      <c r="X39" s="73">
        <f>N(INDEX(lr_m0,36))*$V39</f>
        <v>83160</v>
      </c>
      <c r="Y39" s="73">
        <f>N(INDEX(lr_m1,36))*$V39</f>
        <v>82320</v>
      </c>
      <c r="Z39" s="73">
        <f t="shared" si="43"/>
        <v>84000</v>
      </c>
      <c r="AA39" s="73">
        <f t="shared" si="44"/>
        <v>84000</v>
      </c>
      <c r="AB39" s="73">
        <f t="shared" si="45"/>
        <v>84000</v>
      </c>
      <c r="AC39" s="73">
        <f t="shared" si="46"/>
        <v>82992.352297592981</v>
      </c>
      <c r="AD39" s="73">
        <f t="shared" si="47"/>
        <v>85019.882009111869</v>
      </c>
      <c r="AE39" s="73">
        <f t="shared" si="48"/>
        <v>56448</v>
      </c>
      <c r="AF39" s="73">
        <f t="shared" si="49"/>
        <v>57133.360710123176</v>
      </c>
      <c r="AG39" s="73">
        <f t="shared" si="50"/>
        <v>0</v>
      </c>
      <c r="AH39" s="73">
        <f t="shared" si="51"/>
        <v>84000</v>
      </c>
      <c r="AI39" s="73">
        <f t="shared" si="52"/>
        <v>85596.926770001897</v>
      </c>
      <c r="AJ39" s="73">
        <f t="shared" si="53"/>
        <v>57521.134789441276</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84000</v>
      </c>
      <c r="BX39" s="73">
        <f>$V39*$H$1994</f>
        <v>84000</v>
      </c>
      <c r="BY39" s="73">
        <f>$V39*$H$1995</f>
        <v>84000</v>
      </c>
      <c r="BZ39" s="73">
        <f>$V39*$H$1996</f>
        <v>84000</v>
      </c>
      <c r="CA39" s="73">
        <f>$V39*$H$1997</f>
        <v>84000</v>
      </c>
      <c r="CB39" s="73">
        <f>$V39*$H$1998</f>
        <v>84000</v>
      </c>
      <c r="CC39" s="73">
        <f>$V39*$H$1999</f>
        <v>84000</v>
      </c>
      <c r="CD39" s="73">
        <f>$V39*$H$2000</f>
        <v>84000</v>
      </c>
      <c r="CE39" s="73">
        <f>$V39*$H$2001</f>
        <v>84000</v>
      </c>
      <c r="CF39" s="73">
        <f>$V39*$H$2002</f>
        <v>84000</v>
      </c>
      <c r="CG39" s="73">
        <f>$V39*$H$2003</f>
        <v>84000</v>
      </c>
      <c r="CH39" s="73">
        <f>$V39*$H$2004</f>
        <v>84000</v>
      </c>
      <c r="CI39" s="75">
        <f>$O$1966</f>
        <v>1</v>
      </c>
      <c r="CJ39" s="73">
        <f>$H$2017</f>
        <v>1</v>
      </c>
      <c r="CK39" s="73">
        <f>$I$2017</f>
        <v>0.99194865631796525</v>
      </c>
      <c r="CL39" s="73">
        <f>$J$2017</f>
        <v>0.99194865631796525</v>
      </c>
      <c r="CM39" s="73">
        <f t="shared" si="54"/>
        <v>0</v>
      </c>
      <c r="CN39" s="73">
        <f t="shared" si="55"/>
        <v>84000</v>
      </c>
      <c r="CO39" s="72">
        <f>$M39*($C39/$K$2017)*IF($O$1966=1,$F$1966/$G39,1)*$R39</f>
        <v>0.68015905607289495</v>
      </c>
      <c r="CP39" s="72">
        <f>$M39*(1+$S39)*($C39/$L$2017)*IF($O$1966=1,$F$1966/$H39,1)*$R39</f>
        <v>0.68477541416001519</v>
      </c>
      <c r="CQ39" s="73">
        <f t="shared" si="56"/>
        <v>57133.360710123176</v>
      </c>
      <c r="CR39" s="73">
        <f t="shared" si="57"/>
        <v>57521.134789441276</v>
      </c>
      <c r="CS39" s="73">
        <f t="shared" si="58"/>
        <v>0</v>
      </c>
      <c r="CT39" s="272">
        <f t="shared" si="59"/>
        <v>0</v>
      </c>
      <c r="CU39" s="75">
        <f t="shared" si="60"/>
        <v>0</v>
      </c>
      <c r="CV39" s="75">
        <f t="shared" si="61"/>
        <v>0</v>
      </c>
      <c r="CW39" s="273" t="str">
        <f t="shared" si="62"/>
        <v/>
      </c>
      <c r="CX39" s="274" t="str">
        <f t="shared" si="63"/>
        <v/>
      </c>
      <c r="CY39" s="6" t="str">
        <f t="shared" si="64"/>
        <v/>
      </c>
      <c r="CZ39" s="273" t="str">
        <f t="shared" si="65"/>
        <v/>
      </c>
      <c r="DA39" s="274" t="str">
        <f t="shared" si="66"/>
        <v/>
      </c>
      <c r="DB39" s="6" t="str">
        <f t="shared" si="67"/>
        <v/>
      </c>
      <c r="DC39" s="273" t="str">
        <f t="shared" si="68"/>
        <v/>
      </c>
      <c r="DD39" s="274" t="str">
        <f t="shared" si="69"/>
        <v/>
      </c>
      <c r="DE39" s="6" t="str">
        <f t="shared" si="70"/>
        <v/>
      </c>
      <c r="DF39" s="273" t="str">
        <f t="shared" si="71"/>
        <v/>
      </c>
      <c r="DG39" s="274" t="str">
        <f t="shared" si="72"/>
        <v/>
      </c>
      <c r="DH39" s="6" t="str">
        <f t="shared" si="73"/>
        <v/>
      </c>
    </row>
    <row r="40" spans="1:112" x14ac:dyDescent="0.3">
      <c r="A40" s="6" t="str">
        <f>$A$2020</f>
        <v>MM|PA</v>
      </c>
      <c r="B40" s="75">
        <f>$C$2020</f>
        <v>12</v>
      </c>
      <c r="C40" s="73">
        <f>$B$2071</f>
        <v>1.03</v>
      </c>
      <c r="D40" s="73">
        <f>$C$2071</f>
        <v>1.0150000000000003</v>
      </c>
      <c r="E40" s="73">
        <f>$D$2071</f>
        <v>1.0300000000000002</v>
      </c>
      <c r="F40" s="73">
        <f>$E$2071</f>
        <v>1.0300000000000002</v>
      </c>
      <c r="G40" s="224">
        <f>$F$2071</f>
        <v>0.99099790299051793</v>
      </c>
      <c r="H40" s="224">
        <f>$G$2071</f>
        <v>0.99432817818502306</v>
      </c>
      <c r="I40" s="73">
        <f t="shared" si="37"/>
        <v>0.99999999999999978</v>
      </c>
      <c r="J40" s="73">
        <f t="shared" si="38"/>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0.7</v>
      </c>
      <c r="N40" s="72">
        <f t="shared" si="39"/>
        <v>0.70635870962755976</v>
      </c>
      <c r="O40" s="72">
        <f t="shared" si="40"/>
        <v>0.70399292241494227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1">
        <f>N(INDEX(lr_ep,37))</f>
        <v>68000</v>
      </c>
      <c r="W40" s="73">
        <f>N(INDEX(lr_mind,37))*$V40</f>
        <v>68000</v>
      </c>
      <c r="X40" s="73">
        <f>N(INDEX(lr_m0,37))*$V40</f>
        <v>67320</v>
      </c>
      <c r="Y40" s="73">
        <f>N(INDEX(lr_m1,37))*$V40</f>
        <v>67660</v>
      </c>
      <c r="Z40" s="73">
        <f t="shared" si="43"/>
        <v>70040</v>
      </c>
      <c r="AA40" s="73">
        <f t="shared" si="44"/>
        <v>70040.000000000015</v>
      </c>
      <c r="AB40" s="73">
        <f t="shared" si="45"/>
        <v>67999.999999999985</v>
      </c>
      <c r="AC40" s="73">
        <f t="shared" si="46"/>
        <v>67387.857403355214</v>
      </c>
      <c r="AD40" s="73">
        <f t="shared" si="47"/>
        <v>68617.703220962969</v>
      </c>
      <c r="AE40" s="73">
        <f t="shared" si="48"/>
        <v>47600</v>
      </c>
      <c r="AF40" s="73">
        <f t="shared" si="49"/>
        <v>48032.392254674065</v>
      </c>
      <c r="AG40" s="73">
        <f t="shared" si="50"/>
        <v>0</v>
      </c>
      <c r="AH40" s="73">
        <f t="shared" si="51"/>
        <v>67999.999999999985</v>
      </c>
      <c r="AI40" s="73">
        <f t="shared" si="52"/>
        <v>68387.883891737263</v>
      </c>
      <c r="AJ40" s="73">
        <f t="shared" si="53"/>
        <v>47871.518724216075</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68000</v>
      </c>
      <c r="BX40" s="73">
        <f>$V40*$H$2048</f>
        <v>68000</v>
      </c>
      <c r="BY40" s="73">
        <f>$V40*$H$2049</f>
        <v>68000</v>
      </c>
      <c r="BZ40" s="73">
        <f>$V40*$H$2050</f>
        <v>68000</v>
      </c>
      <c r="CA40" s="73">
        <f>$V40*$H$2051</f>
        <v>68000</v>
      </c>
      <c r="CB40" s="73">
        <f>$V40*$H$2052</f>
        <v>68000</v>
      </c>
      <c r="CC40" s="73">
        <f>$V40*$H$2053</f>
        <v>68000</v>
      </c>
      <c r="CD40" s="73">
        <f>$V40*$H$2054</f>
        <v>68000</v>
      </c>
      <c r="CE40" s="73">
        <f>$V40*$H$2055</f>
        <v>68000</v>
      </c>
      <c r="CF40" s="73">
        <f>$V40*$H$2056</f>
        <v>68000</v>
      </c>
      <c r="CG40" s="73">
        <f>$V40*$H$2057</f>
        <v>68000</v>
      </c>
      <c r="CH40" s="73">
        <f>$V40*$H$2058</f>
        <v>68000</v>
      </c>
      <c r="CI40" s="75">
        <f>$O$2020</f>
        <v>1</v>
      </c>
      <c r="CJ40" s="73">
        <f>$H$2071</f>
        <v>1</v>
      </c>
      <c r="CK40" s="73">
        <f>$I$2071</f>
        <v>1.004037852440528</v>
      </c>
      <c r="CL40" s="73">
        <f>$J$2071</f>
        <v>1.004037852440528</v>
      </c>
      <c r="CM40" s="73">
        <f t="shared" si="54"/>
        <v>0</v>
      </c>
      <c r="CN40" s="73">
        <f t="shared" si="55"/>
        <v>68000</v>
      </c>
      <c r="CO40" s="72">
        <f>$M40*($C40/$K$2071)*IF($O$2020=1,$F$2020/$G40,1)*$R40</f>
        <v>0.70635870962755976</v>
      </c>
      <c r="CP40" s="72">
        <f>$M40*(1+$S40)*($C40/$L$2071)*IF($O$2020=1,$F$2020/$H40,1)*$R40</f>
        <v>0.70399292241494227</v>
      </c>
      <c r="CQ40" s="73">
        <f t="shared" si="56"/>
        <v>48032.392254674065</v>
      </c>
      <c r="CR40" s="73">
        <f t="shared" si="57"/>
        <v>47871.518724216075</v>
      </c>
      <c r="CS40" s="73">
        <f t="shared" si="58"/>
        <v>0</v>
      </c>
      <c r="CT40" s="272">
        <f t="shared" si="59"/>
        <v>0</v>
      </c>
      <c r="CU40" s="75">
        <f t="shared" si="60"/>
        <v>1</v>
      </c>
      <c r="CV40" s="75">
        <f t="shared" si="61"/>
        <v>0</v>
      </c>
      <c r="CW40" s="273">
        <f t="shared" si="62"/>
        <v>46023</v>
      </c>
      <c r="CX40" s="274">
        <f t="shared" si="63"/>
        <v>0.03</v>
      </c>
      <c r="CY40" s="6" t="str">
        <f t="shared" si="64"/>
        <v>T</v>
      </c>
      <c r="CZ40" s="273" t="str">
        <f t="shared" si="65"/>
        <v/>
      </c>
      <c r="DA40" s="274" t="str">
        <f t="shared" si="66"/>
        <v/>
      </c>
      <c r="DB40" s="6" t="str">
        <f t="shared" si="67"/>
        <v/>
      </c>
      <c r="DC40" s="273" t="str">
        <f t="shared" si="68"/>
        <v/>
      </c>
      <c r="DD40" s="274" t="str">
        <f t="shared" si="69"/>
        <v/>
      </c>
      <c r="DE40" s="6" t="str">
        <f t="shared" si="70"/>
        <v/>
      </c>
      <c r="DF40" s="273" t="str">
        <f t="shared" si="71"/>
        <v/>
      </c>
      <c r="DG40" s="274" t="str">
        <f t="shared" si="72"/>
        <v/>
      </c>
      <c r="DH40" s="6" t="str">
        <f t="shared" si="73"/>
        <v/>
      </c>
    </row>
    <row r="41" spans="1:112" x14ac:dyDescent="0.3">
      <c r="A41" s="6" t="str">
        <f>$A$2074</f>
        <v>MM|SC</v>
      </c>
      <c r="B41" s="75">
        <f>$C$2074</f>
        <v>12</v>
      </c>
      <c r="C41" s="73">
        <f>$B$2125</f>
        <v>1.04</v>
      </c>
      <c r="D41" s="73">
        <f>$C$2125</f>
        <v>1.0168055555555555</v>
      </c>
      <c r="E41" s="73">
        <f>$D$2125</f>
        <v>1.0434722222222224</v>
      </c>
      <c r="F41" s="73">
        <f>$E$2125</f>
        <v>1.0745222222222226</v>
      </c>
      <c r="G41" s="224">
        <f>$F$2125</f>
        <v>0.99399161196207142</v>
      </c>
      <c r="H41" s="224">
        <f>$G$2125</f>
        <v>1.0073127127400925</v>
      </c>
      <c r="I41" s="73">
        <f t="shared" si="37"/>
        <v>0.99667243444695852</v>
      </c>
      <c r="J41" s="73">
        <f t="shared" si="38"/>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0.68400000000000005</v>
      </c>
      <c r="N41" s="72">
        <f t="shared" si="39"/>
        <v>0.68584476665355687</v>
      </c>
      <c r="O41" s="72">
        <f t="shared" si="40"/>
        <v>0.65721841616904275</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1">
        <f>N(INDEX(lr_ep,38))</f>
        <v>52000</v>
      </c>
      <c r="W41" s="73">
        <f>N(INDEX(lr_mind,38))*$V41</f>
        <v>52000</v>
      </c>
      <c r="X41" s="73">
        <f>N(INDEX(lr_m0,38))*$V41</f>
        <v>51480</v>
      </c>
      <c r="Y41" s="73">
        <f>N(INDEX(lr_m1,38))*$V41</f>
        <v>52520</v>
      </c>
      <c r="Z41" s="73">
        <f t="shared" si="43"/>
        <v>54080</v>
      </c>
      <c r="AA41" s="73">
        <f t="shared" si="44"/>
        <v>54260.555555555562</v>
      </c>
      <c r="AB41" s="73">
        <f t="shared" si="45"/>
        <v>51826.966591241842</v>
      </c>
      <c r="AC41" s="73">
        <f t="shared" si="46"/>
        <v>51687.563822027711</v>
      </c>
      <c r="AD41" s="73">
        <f t="shared" si="47"/>
        <v>52314.324763119039</v>
      </c>
      <c r="AE41" s="73">
        <f t="shared" si="48"/>
        <v>35568</v>
      </c>
      <c r="AF41" s="73">
        <f t="shared" si="49"/>
        <v>35663.927865984959</v>
      </c>
      <c r="AG41" s="73">
        <f t="shared" si="50"/>
        <v>0</v>
      </c>
      <c r="AH41" s="73">
        <f t="shared" si="51"/>
        <v>50329.345342115863</v>
      </c>
      <c r="AI41" s="73">
        <f t="shared" si="52"/>
        <v>51622.499490301852</v>
      </c>
      <c r="AJ41" s="73">
        <f t="shared" si="53"/>
        <v>34175.357640790222</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52000</v>
      </c>
      <c r="BX41" s="73">
        <f>$V41*$H$2102</f>
        <v>52000</v>
      </c>
      <c r="BY41" s="73">
        <f>$V41*$H$2103</f>
        <v>52000</v>
      </c>
      <c r="BZ41" s="73">
        <f>$V41*$H$2104</f>
        <v>52000</v>
      </c>
      <c r="CA41" s="73">
        <f>$V41*$H$2105</f>
        <v>52000</v>
      </c>
      <c r="CB41" s="73">
        <f>$V41*$H$2106</f>
        <v>52000</v>
      </c>
      <c r="CC41" s="73">
        <f>$V41*$H$2107</f>
        <v>52000</v>
      </c>
      <c r="CD41" s="73">
        <f>$V41*$H$2108</f>
        <v>52000</v>
      </c>
      <c r="CE41" s="73">
        <f>$V41*$H$2109</f>
        <v>52000</v>
      </c>
      <c r="CF41" s="73">
        <f>$V41*$H$2110</f>
        <v>52000</v>
      </c>
      <c r="CG41" s="73">
        <f>$V41*$H$2111</f>
        <v>52000</v>
      </c>
      <c r="CH41" s="73">
        <f>$V41*$H$2112</f>
        <v>52000</v>
      </c>
      <c r="CI41" s="75">
        <f>$O$2074</f>
        <v>1</v>
      </c>
      <c r="CJ41" s="73">
        <f>$H$2125</f>
        <v>1.0199999999999998</v>
      </c>
      <c r="CK41" s="73">
        <f>$I$2125</f>
        <v>1.0162008242959635</v>
      </c>
      <c r="CL41" s="73">
        <f>$J$2125</f>
        <v>1.0365239622595297</v>
      </c>
      <c r="CM41" s="73">
        <f t="shared" si="54"/>
        <v>0</v>
      </c>
      <c r="CN41" s="73">
        <f t="shared" si="55"/>
        <v>52000</v>
      </c>
      <c r="CO41" s="72">
        <f>$M41*($C41/$K$2125)*IF($O$2074=1,$F$2074/$G41,1)*$R41</f>
        <v>0.68584476665355687</v>
      </c>
      <c r="CP41" s="72">
        <f>$M41*(1+$S41)*($C41/$L$2125)*IF($O$2074=1,$F$2074/$H41,1)*$R41</f>
        <v>0.65721841616904275</v>
      </c>
      <c r="CQ41" s="73">
        <f t="shared" si="56"/>
        <v>35663.927865984959</v>
      </c>
      <c r="CR41" s="73">
        <f t="shared" si="57"/>
        <v>34175.357640790222</v>
      </c>
      <c r="CS41" s="73">
        <f t="shared" si="58"/>
        <v>0</v>
      </c>
      <c r="CT41" s="272">
        <f t="shared" si="59"/>
        <v>0</v>
      </c>
      <c r="CU41" s="75">
        <f t="shared" si="60"/>
        <v>1</v>
      </c>
      <c r="CV41" s="75">
        <f t="shared" si="61"/>
        <v>1</v>
      </c>
      <c r="CW41" s="273">
        <f t="shared" si="62"/>
        <v>46054</v>
      </c>
      <c r="CX41" s="274">
        <f t="shared" si="63"/>
        <v>0.04</v>
      </c>
      <c r="CY41" s="6" t="str">
        <f t="shared" si="64"/>
        <v>T</v>
      </c>
      <c r="CZ41" s="273">
        <f t="shared" si="65"/>
        <v>46600</v>
      </c>
      <c r="DA41" s="274">
        <f t="shared" si="66"/>
        <v>0.04</v>
      </c>
      <c r="DB41" s="6" t="str">
        <f t="shared" si="67"/>
        <v>P*</v>
      </c>
      <c r="DC41" s="273" t="str">
        <f t="shared" si="68"/>
        <v/>
      </c>
      <c r="DD41" s="274" t="str">
        <f t="shared" si="69"/>
        <v/>
      </c>
      <c r="DE41" s="6" t="str">
        <f t="shared" si="70"/>
        <v/>
      </c>
      <c r="DF41" s="273" t="str">
        <f t="shared" si="71"/>
        <v/>
      </c>
      <c r="DG41" s="274" t="str">
        <f t="shared" si="72"/>
        <v/>
      </c>
      <c r="DH41" s="6" t="str">
        <f t="shared" si="73"/>
        <v/>
      </c>
    </row>
    <row r="42" spans="1:112" x14ac:dyDescent="0.3">
      <c r="A42" s="6" t="str">
        <f>$A$2128</f>
        <v>MM|TN</v>
      </c>
      <c r="B42" s="75">
        <f>$C$2128</f>
        <v>12</v>
      </c>
      <c r="C42" s="73">
        <f>$B$2179</f>
        <v>1</v>
      </c>
      <c r="D42" s="73">
        <f>$C$2179</f>
        <v>1</v>
      </c>
      <c r="E42" s="73">
        <f>$D$2179</f>
        <v>1</v>
      </c>
      <c r="F42" s="73">
        <f>$E$2179</f>
        <v>1</v>
      </c>
      <c r="G42" s="224">
        <f>$F$2179</f>
        <v>0.9900000000000001</v>
      </c>
      <c r="H42" s="224">
        <f>$G$2179</f>
        <v>0.9900000000000001</v>
      </c>
      <c r="I42" s="73">
        <f t="shared" si="37"/>
        <v>1</v>
      </c>
      <c r="J42" s="73">
        <f t="shared" si="38"/>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0.66800000000000004</v>
      </c>
      <c r="N42" s="72">
        <f t="shared" si="39"/>
        <v>0.67474747474747465</v>
      </c>
      <c r="O42" s="72">
        <f t="shared" si="40"/>
        <v>0.67474747474747465</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1">
        <f>N(INDEX(lr_ep,39))</f>
        <v>36000</v>
      </c>
      <c r="W42" s="73">
        <f>N(INDEX(lr_mind,39))*$V42</f>
        <v>36000</v>
      </c>
      <c r="X42" s="73">
        <f>N(INDEX(lr_m0,39))*$V42</f>
        <v>35640</v>
      </c>
      <c r="Y42" s="73">
        <f>N(INDEX(lr_m1,39))*$V42</f>
        <v>35640</v>
      </c>
      <c r="Z42" s="73">
        <f t="shared" si="43"/>
        <v>36000</v>
      </c>
      <c r="AA42" s="73">
        <f t="shared" si="44"/>
        <v>36000</v>
      </c>
      <c r="AB42" s="73">
        <f t="shared" si="45"/>
        <v>36000</v>
      </c>
      <c r="AC42" s="73">
        <f t="shared" si="46"/>
        <v>35640.000000000007</v>
      </c>
      <c r="AD42" s="73">
        <f t="shared" si="47"/>
        <v>36363.63636363636</v>
      </c>
      <c r="AE42" s="73">
        <f t="shared" si="48"/>
        <v>24048</v>
      </c>
      <c r="AF42" s="73">
        <f t="shared" si="49"/>
        <v>24290.909090909088</v>
      </c>
      <c r="AG42" s="73">
        <f t="shared" si="50"/>
        <v>0</v>
      </c>
      <c r="AH42" s="73">
        <f t="shared" si="51"/>
        <v>36000</v>
      </c>
      <c r="AI42" s="73">
        <f t="shared" si="52"/>
        <v>36363.63636363636</v>
      </c>
      <c r="AJ42" s="73">
        <f t="shared" si="53"/>
        <v>24290.909090909088</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36000</v>
      </c>
      <c r="BX42" s="73">
        <f>$V42*$H$2156</f>
        <v>36000</v>
      </c>
      <c r="BY42" s="73">
        <f>$V42*$H$2157</f>
        <v>36000</v>
      </c>
      <c r="BZ42" s="73">
        <f>$V42*$H$2158</f>
        <v>36000</v>
      </c>
      <c r="CA42" s="73">
        <f>$V42*$H$2159</f>
        <v>36000</v>
      </c>
      <c r="CB42" s="73">
        <f>$V42*$H$2160</f>
        <v>36000</v>
      </c>
      <c r="CC42" s="73">
        <f>$V42*$H$2161</f>
        <v>36000</v>
      </c>
      <c r="CD42" s="73">
        <f>$V42*$H$2162</f>
        <v>36000</v>
      </c>
      <c r="CE42" s="73">
        <f>$V42*$H$2163</f>
        <v>36000</v>
      </c>
      <c r="CF42" s="73">
        <f>$V42*$H$2164</f>
        <v>36000</v>
      </c>
      <c r="CG42" s="73">
        <f>$V42*$H$2165</f>
        <v>36000</v>
      </c>
      <c r="CH42" s="73">
        <f>$V42*$H$2166</f>
        <v>36000</v>
      </c>
      <c r="CI42" s="75">
        <f>$O$2128</f>
        <v>1</v>
      </c>
      <c r="CJ42" s="73">
        <f>$H$2179</f>
        <v>1</v>
      </c>
      <c r="CK42" s="73">
        <f>$I$2179</f>
        <v>1</v>
      </c>
      <c r="CL42" s="73">
        <f>$J$2179</f>
        <v>1</v>
      </c>
      <c r="CM42" s="73">
        <f t="shared" si="54"/>
        <v>0</v>
      </c>
      <c r="CN42" s="73">
        <f t="shared" si="55"/>
        <v>36000</v>
      </c>
      <c r="CO42" s="72">
        <f>$M42*($C42/$K$2179)*IF($O$2128=1,$F$2128/$G42,1)*$R42</f>
        <v>0.67474747474747465</v>
      </c>
      <c r="CP42" s="72">
        <f>$M42*(1+$S42)*($C42/$L$2179)*IF($O$2128=1,$F$2128/$H42,1)*$R42</f>
        <v>0.67474747474747465</v>
      </c>
      <c r="CQ42" s="73">
        <f t="shared" si="56"/>
        <v>24290.909090909088</v>
      </c>
      <c r="CR42" s="73">
        <f t="shared" si="57"/>
        <v>24290.909090909088</v>
      </c>
      <c r="CS42" s="73">
        <f t="shared" si="58"/>
        <v>0</v>
      </c>
      <c r="CT42" s="272">
        <f t="shared" si="59"/>
        <v>0</v>
      </c>
      <c r="CU42" s="75">
        <f t="shared" si="60"/>
        <v>0</v>
      </c>
      <c r="CV42" s="75">
        <f t="shared" si="61"/>
        <v>0</v>
      </c>
      <c r="CW42" s="273" t="str">
        <f t="shared" si="62"/>
        <v/>
      </c>
      <c r="CX42" s="274" t="str">
        <f t="shared" si="63"/>
        <v/>
      </c>
      <c r="CY42" s="6" t="str">
        <f t="shared" si="64"/>
        <v/>
      </c>
      <c r="CZ42" s="273" t="str">
        <f t="shared" si="65"/>
        <v/>
      </c>
      <c r="DA42" s="274" t="str">
        <f t="shared" si="66"/>
        <v/>
      </c>
      <c r="DB42" s="6" t="str">
        <f t="shared" si="67"/>
        <v/>
      </c>
      <c r="DC42" s="273" t="str">
        <f t="shared" si="68"/>
        <v/>
      </c>
      <c r="DD42" s="274" t="str">
        <f t="shared" si="69"/>
        <v/>
      </c>
      <c r="DE42" s="6" t="str">
        <f t="shared" si="70"/>
        <v/>
      </c>
      <c r="DF42" s="273" t="str">
        <f t="shared" si="71"/>
        <v/>
      </c>
      <c r="DG42" s="274" t="str">
        <f t="shared" si="72"/>
        <v/>
      </c>
      <c r="DH42" s="6" t="str">
        <f t="shared" si="73"/>
        <v/>
      </c>
    </row>
    <row r="43" spans="1:112" x14ac:dyDescent="0.3">
      <c r="A43" s="6" t="str">
        <f>$A$2182</f>
        <v>MM|VA</v>
      </c>
      <c r="B43" s="75">
        <f>$C$2182</f>
        <v>12</v>
      </c>
      <c r="C43" s="73">
        <f>$B$2233</f>
        <v>1.06</v>
      </c>
      <c r="D43" s="73">
        <f>$C$2233</f>
        <v>1.016875</v>
      </c>
      <c r="E43" s="73">
        <f>$D$2233</f>
        <v>1.0581250000000002</v>
      </c>
      <c r="F43" s="73">
        <f>$E$2233</f>
        <v>1.0600000000000003</v>
      </c>
      <c r="G43" s="224">
        <f>$F$2233</f>
        <v>0.99299370897155337</v>
      </c>
      <c r="H43" s="224">
        <f>$G$2233</f>
        <v>1.002984534555069</v>
      </c>
      <c r="I43" s="73">
        <f t="shared" si="37"/>
        <v>1.0017720023626697</v>
      </c>
      <c r="J43" s="73">
        <f t="shared" si="38"/>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0.69599999999999995</v>
      </c>
      <c r="N43" s="72">
        <f t="shared" si="39"/>
        <v>0.70215280051123874</v>
      </c>
      <c r="O43" s="72">
        <f t="shared" si="40"/>
        <v>0.69392894508463221</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1">
        <f>N(INDEX(lr_ep,40))</f>
        <v>88000</v>
      </c>
      <c r="W43" s="73">
        <f>N(INDEX(lr_mind,40))*$V43</f>
        <v>88000</v>
      </c>
      <c r="X43" s="73">
        <f>N(INDEX(lr_m0,40))*$V43</f>
        <v>87120</v>
      </c>
      <c r="Y43" s="73">
        <f>N(INDEX(lr_m1,40))*$V43</f>
        <v>88439.999999999985</v>
      </c>
      <c r="Z43" s="73">
        <f t="shared" si="43"/>
        <v>93280</v>
      </c>
      <c r="AA43" s="73">
        <f t="shared" si="44"/>
        <v>93115.000000000015</v>
      </c>
      <c r="AB43" s="73">
        <f t="shared" si="45"/>
        <v>88155.936207914929</v>
      </c>
      <c r="AC43" s="73">
        <f t="shared" si="46"/>
        <v>87383.44638949669</v>
      </c>
      <c r="AD43" s="73">
        <f t="shared" si="47"/>
        <v>88620.903843531778</v>
      </c>
      <c r="AE43" s="73">
        <f t="shared" si="48"/>
        <v>61247.999999999993</v>
      </c>
      <c r="AF43" s="73">
        <f t="shared" si="49"/>
        <v>61789.446444989007</v>
      </c>
      <c r="AG43" s="73">
        <f t="shared" si="50"/>
        <v>0</v>
      </c>
      <c r="AH43" s="73">
        <f t="shared" si="51"/>
        <v>87999.999999999985</v>
      </c>
      <c r="AI43" s="73">
        <f t="shared" si="52"/>
        <v>87738.142481965013</v>
      </c>
      <c r="AJ43" s="73">
        <f t="shared" si="53"/>
        <v>61065.747167447633</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88000</v>
      </c>
      <c r="BX43" s="73">
        <f>$V43*$H$2210</f>
        <v>88000</v>
      </c>
      <c r="BY43" s="73">
        <f>$V43*$H$2211</f>
        <v>88000</v>
      </c>
      <c r="BZ43" s="73">
        <f>$V43*$H$2212</f>
        <v>88000</v>
      </c>
      <c r="CA43" s="73">
        <f>$V43*$H$2213</f>
        <v>88000</v>
      </c>
      <c r="CB43" s="73">
        <f>$V43*$H$2214</f>
        <v>88000</v>
      </c>
      <c r="CC43" s="73">
        <f>$V43*$H$2215</f>
        <v>88000</v>
      </c>
      <c r="CD43" s="73">
        <f>$V43*$H$2216</f>
        <v>88000</v>
      </c>
      <c r="CE43" s="73">
        <f>$V43*$H$2217</f>
        <v>88000</v>
      </c>
      <c r="CF43" s="73">
        <f>$V43*$H$2218</f>
        <v>88000</v>
      </c>
      <c r="CG43" s="73">
        <f>$V43*$H$2219</f>
        <v>88000</v>
      </c>
      <c r="CH43" s="73">
        <f>$V43*$H$2220</f>
        <v>88000</v>
      </c>
      <c r="CI43" s="75">
        <f>$O$2182</f>
        <v>1</v>
      </c>
      <c r="CJ43" s="73">
        <f>$H$2233</f>
        <v>1.0149999999999999</v>
      </c>
      <c r="CK43" s="73">
        <f>$I$2233</f>
        <v>1.0121382062846183</v>
      </c>
      <c r="CL43" s="73">
        <f>$J$2233</f>
        <v>1.0273211087882907</v>
      </c>
      <c r="CM43" s="73">
        <f t="shared" si="54"/>
        <v>0</v>
      </c>
      <c r="CN43" s="73">
        <f t="shared" si="55"/>
        <v>88000</v>
      </c>
      <c r="CO43" s="72">
        <f>$M43*($C43/$K$2233)*IF($O$2182=1,$F$2182/$G43,1)*$R43</f>
        <v>0.70215280051123874</v>
      </c>
      <c r="CP43" s="72">
        <f>$M43*(1+$S43)*($C43/$L$2233)*IF($O$2182=1,$F$2182/$H43,1)*$R43</f>
        <v>0.69392894508463221</v>
      </c>
      <c r="CQ43" s="73">
        <f t="shared" si="56"/>
        <v>61789.446444989007</v>
      </c>
      <c r="CR43" s="73">
        <f t="shared" si="57"/>
        <v>61065.747167447633</v>
      </c>
      <c r="CS43" s="73">
        <f t="shared" si="58"/>
        <v>0</v>
      </c>
      <c r="CT43" s="272">
        <f t="shared" si="59"/>
        <v>0</v>
      </c>
      <c r="CU43" s="75">
        <f t="shared" si="60"/>
        <v>1</v>
      </c>
      <c r="CV43" s="75">
        <f t="shared" si="61"/>
        <v>0</v>
      </c>
      <c r="CW43" s="273">
        <f t="shared" si="62"/>
        <v>46113</v>
      </c>
      <c r="CX43" s="274">
        <f t="shared" si="63"/>
        <v>0.06</v>
      </c>
      <c r="CY43" s="6" t="str">
        <f t="shared" si="64"/>
        <v>T</v>
      </c>
      <c r="CZ43" s="273" t="str">
        <f t="shared" si="65"/>
        <v/>
      </c>
      <c r="DA43" s="274" t="str">
        <f t="shared" si="66"/>
        <v/>
      </c>
      <c r="DB43" s="6" t="str">
        <f t="shared" si="67"/>
        <v/>
      </c>
      <c r="DC43" s="273" t="str">
        <f t="shared" si="68"/>
        <v/>
      </c>
      <c r="DD43" s="274" t="str">
        <f t="shared" si="69"/>
        <v/>
      </c>
      <c r="DE43" s="6" t="str">
        <f t="shared" si="70"/>
        <v/>
      </c>
      <c r="DF43" s="273" t="str">
        <f t="shared" si="71"/>
        <v/>
      </c>
      <c r="DG43" s="274" t="str">
        <f t="shared" si="72"/>
        <v/>
      </c>
      <c r="DH43" s="6" t="str">
        <f t="shared" si="73"/>
        <v/>
      </c>
    </row>
    <row r="44" spans="1:112" x14ac:dyDescent="0.3">
      <c r="A44" s="6" t="str">
        <f>$A$2236</f>
        <v>MM|WV</v>
      </c>
      <c r="B44" s="75">
        <f>$C$2236</f>
        <v>12</v>
      </c>
      <c r="C44" s="73">
        <f>$B$2287</f>
        <v>1.02</v>
      </c>
      <c r="D44" s="73">
        <f>$C$2287</f>
        <v>1.0044444444444445</v>
      </c>
      <c r="E44" s="73">
        <f>$D$2287</f>
        <v>1.018888888888889</v>
      </c>
      <c r="F44" s="73">
        <f>$E$2287</f>
        <v>1.0199999999999998</v>
      </c>
      <c r="G44" s="224">
        <f>$F$2287</f>
        <v>0.98900209700948194</v>
      </c>
      <c r="H44" s="224">
        <f>$G$2287</f>
        <v>0.98567182181497681</v>
      </c>
      <c r="I44" s="73">
        <f t="shared" si="37"/>
        <v>1.0010905125408942</v>
      </c>
      <c r="J44" s="73">
        <f t="shared" si="38"/>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0.68</v>
      </c>
      <c r="N44" s="72">
        <f t="shared" si="39"/>
        <v>0.688311531983821</v>
      </c>
      <c r="O44" s="72">
        <f t="shared" si="40"/>
        <v>0.68988479223021226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1">
        <f>N(INDEX(lr_ep,41))</f>
        <v>72000</v>
      </c>
      <c r="W44" s="73">
        <f>N(INDEX(lr_mind,41))*$V44</f>
        <v>72000</v>
      </c>
      <c r="X44" s="73">
        <f>N(INDEX(lr_m0,41))*$V44</f>
        <v>71280</v>
      </c>
      <c r="Y44" s="73">
        <f>N(INDEX(lr_m1,41))*$V44</f>
        <v>70920</v>
      </c>
      <c r="Z44" s="73">
        <f t="shared" si="43"/>
        <v>73440</v>
      </c>
      <c r="AA44" s="73">
        <f t="shared" si="44"/>
        <v>73360</v>
      </c>
      <c r="AB44" s="73">
        <f t="shared" si="45"/>
        <v>72078.516902944379</v>
      </c>
      <c r="AC44" s="73">
        <f t="shared" si="46"/>
        <v>71208.150984682696</v>
      </c>
      <c r="AD44" s="73">
        <f t="shared" si="47"/>
        <v>72800.654536235743</v>
      </c>
      <c r="AE44" s="73">
        <f t="shared" si="48"/>
        <v>48960</v>
      </c>
      <c r="AF44" s="73">
        <f t="shared" si="49"/>
        <v>49558.430302835113</v>
      </c>
      <c r="AG44" s="73">
        <f t="shared" si="50"/>
        <v>0</v>
      </c>
      <c r="AH44" s="73">
        <f t="shared" si="51"/>
        <v>72000.000000000015</v>
      </c>
      <c r="AI44" s="73">
        <f t="shared" si="52"/>
        <v>73046.625059669517</v>
      </c>
      <c r="AJ44" s="73">
        <f t="shared" si="53"/>
        <v>49671.705040575282</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72000</v>
      </c>
      <c r="BX44" s="73">
        <f>$V44*$H$2264</f>
        <v>72000</v>
      </c>
      <c r="BY44" s="73">
        <f>$V44*$H$2265</f>
        <v>72000</v>
      </c>
      <c r="BZ44" s="73">
        <f>$V44*$H$2266</f>
        <v>72000</v>
      </c>
      <c r="CA44" s="73">
        <f>$V44*$H$2267</f>
        <v>72000</v>
      </c>
      <c r="CB44" s="73">
        <f>$V44*$H$2268</f>
        <v>72000</v>
      </c>
      <c r="CC44" s="73">
        <f>$V44*$H$2269</f>
        <v>72000</v>
      </c>
      <c r="CD44" s="73">
        <f>$V44*$H$2270</f>
        <v>72000</v>
      </c>
      <c r="CE44" s="73">
        <f>$V44*$H$2271</f>
        <v>72000</v>
      </c>
      <c r="CF44" s="73">
        <f>$V44*$H$2272</f>
        <v>72000</v>
      </c>
      <c r="CG44" s="73">
        <f>$V44*$H$2273</f>
        <v>72000</v>
      </c>
      <c r="CH44" s="73">
        <f>$V44*$H$2274</f>
        <v>72000</v>
      </c>
      <c r="CI44" s="75">
        <f>$O$2236</f>
        <v>1</v>
      </c>
      <c r="CJ44" s="73">
        <f>$H$2287</f>
        <v>1.0066666666666666</v>
      </c>
      <c r="CK44" s="73">
        <f>$I$2287</f>
        <v>0.99597028697853884</v>
      </c>
      <c r="CL44" s="73">
        <f>$J$2287</f>
        <v>1.0026101249738673</v>
      </c>
      <c r="CM44" s="73">
        <f t="shared" si="54"/>
        <v>0</v>
      </c>
      <c r="CN44" s="73">
        <f t="shared" si="55"/>
        <v>72000</v>
      </c>
      <c r="CO44" s="72">
        <f>$M44*($C44/$K$2287)*IF($O$2236=1,$F$2236/$G44,1)*$R44</f>
        <v>0.688311531983821</v>
      </c>
      <c r="CP44" s="72">
        <f>$M44*(1+$S44)*($C44/$L$2287)*IF($O$2236=1,$F$2236/$H44,1)*$R44</f>
        <v>0.68988479223021226</v>
      </c>
      <c r="CQ44" s="73">
        <f t="shared" si="56"/>
        <v>49558.430302835113</v>
      </c>
      <c r="CR44" s="73">
        <f t="shared" si="57"/>
        <v>49671.705040575282</v>
      </c>
      <c r="CS44" s="73">
        <f t="shared" si="58"/>
        <v>0</v>
      </c>
      <c r="CT44" s="272">
        <f t="shared" si="59"/>
        <v>0</v>
      </c>
      <c r="CU44" s="75">
        <f t="shared" si="60"/>
        <v>1</v>
      </c>
      <c r="CV44" s="75">
        <f t="shared" si="61"/>
        <v>0</v>
      </c>
      <c r="CW44" s="273">
        <f t="shared" si="62"/>
        <v>46143</v>
      </c>
      <c r="CX44" s="274">
        <f t="shared" si="63"/>
        <v>0.02</v>
      </c>
      <c r="CY44" s="6" t="str">
        <f t="shared" si="64"/>
        <v>T</v>
      </c>
      <c r="CZ44" s="273" t="str">
        <f t="shared" si="65"/>
        <v/>
      </c>
      <c r="DA44" s="274" t="str">
        <f t="shared" si="66"/>
        <v/>
      </c>
      <c r="DB44" s="6" t="str">
        <f t="shared" si="67"/>
        <v/>
      </c>
      <c r="DC44" s="273" t="str">
        <f t="shared" si="68"/>
        <v/>
      </c>
      <c r="DD44" s="274" t="str">
        <f t="shared" si="69"/>
        <v/>
      </c>
      <c r="DE44" s="6" t="str">
        <f t="shared" si="70"/>
        <v/>
      </c>
      <c r="DF44" s="273" t="str">
        <f t="shared" si="71"/>
        <v/>
      </c>
      <c r="DG44" s="274" t="str">
        <f t="shared" si="72"/>
        <v/>
      </c>
      <c r="DH44" s="6" t="str">
        <f t="shared" si="73"/>
        <v/>
      </c>
    </row>
    <row r="45" spans="1:112" x14ac:dyDescent="0.3">
      <c r="A45" s="6" t="str">
        <f>$A$2290</f>
        <v>MM|WI</v>
      </c>
      <c r="B45" s="75">
        <f>$C$2290</f>
        <v>12</v>
      </c>
      <c r="C45" s="73">
        <f>$B$2341</f>
        <v>1</v>
      </c>
      <c r="D45" s="73">
        <f>$C$2341</f>
        <v>1</v>
      </c>
      <c r="E45" s="73">
        <f>$D$2341</f>
        <v>1.0168055555555555</v>
      </c>
      <c r="F45" s="73">
        <f>$E$2341</f>
        <v>1.0398611111111113</v>
      </c>
      <c r="G45" s="224">
        <f>$F$2341</f>
        <v>0.99199580598103554</v>
      </c>
      <c r="H45" s="224">
        <f>$G$2341</f>
        <v>0.99865635637004624</v>
      </c>
      <c r="I45" s="73">
        <f t="shared" si="37"/>
        <v>0.98347220325092199</v>
      </c>
      <c r="J45" s="73">
        <f t="shared" si="38"/>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0.66400000000000003</v>
      </c>
      <c r="N45" s="72">
        <f t="shared" si="39"/>
        <v>0.6582946611480901</v>
      </c>
      <c r="O45" s="72">
        <f t="shared" si="40"/>
        <v>0.63940594820769303</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1">
        <f>N(INDEX(lr_ep,42))</f>
        <v>56000</v>
      </c>
      <c r="W45" s="73">
        <f>N(INDEX(lr_mind,42))*$V45</f>
        <v>56000</v>
      </c>
      <c r="X45" s="73">
        <f>N(INDEX(lr_m0,42))*$V45</f>
        <v>55440</v>
      </c>
      <c r="Y45" s="73">
        <f>N(INDEX(lr_m1,42))*$V45</f>
        <v>56000</v>
      </c>
      <c r="Z45" s="73">
        <f t="shared" si="43"/>
        <v>56000</v>
      </c>
      <c r="AA45" s="73">
        <f t="shared" si="44"/>
        <v>56941.111111111109</v>
      </c>
      <c r="AB45" s="73">
        <f t="shared" si="45"/>
        <v>55074.443382051635</v>
      </c>
      <c r="AC45" s="73">
        <f t="shared" si="46"/>
        <v>55551.765134937988</v>
      </c>
      <c r="AD45" s="73">
        <f t="shared" si="47"/>
        <v>56451.851572717816</v>
      </c>
      <c r="AE45" s="73">
        <f t="shared" si="48"/>
        <v>37184</v>
      </c>
      <c r="AF45" s="73">
        <f t="shared" si="49"/>
        <v>36864.501024293044</v>
      </c>
      <c r="AG45" s="73">
        <f t="shared" si="50"/>
        <v>0</v>
      </c>
      <c r="AH45" s="73">
        <f t="shared" si="51"/>
        <v>53853.345799385585</v>
      </c>
      <c r="AI45" s="73">
        <f t="shared" si="52"/>
        <v>56075.345280483583</v>
      </c>
      <c r="AJ45" s="73">
        <f t="shared" si="53"/>
        <v>35806.733099630808</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56000</v>
      </c>
      <c r="BX45" s="73">
        <f>$V45*$H$2318</f>
        <v>56000</v>
      </c>
      <c r="BY45" s="73">
        <f>$V45*$H$2319</f>
        <v>56000</v>
      </c>
      <c r="BZ45" s="73">
        <f>$V45*$H$2320</f>
        <v>56000</v>
      </c>
      <c r="CA45" s="73">
        <f>$V45*$H$2321</f>
        <v>56000</v>
      </c>
      <c r="CB45" s="73">
        <f>$V45*$H$2322</f>
        <v>56000</v>
      </c>
      <c r="CC45" s="73">
        <f>$V45*$H$2323</f>
        <v>56000</v>
      </c>
      <c r="CD45" s="73">
        <f>$V45*$H$2324</f>
        <v>56000</v>
      </c>
      <c r="CE45" s="73">
        <f>$V45*$H$2325</f>
        <v>56000</v>
      </c>
      <c r="CF45" s="73">
        <f>$V45*$H$2326</f>
        <v>56000</v>
      </c>
      <c r="CG45" s="73">
        <f>$V45*$H$2327</f>
        <v>56000</v>
      </c>
      <c r="CH45" s="73">
        <f>$V45*$H$2328</f>
        <v>56000</v>
      </c>
      <c r="CI45" s="75">
        <f>$O$2290</f>
        <v>1</v>
      </c>
      <c r="CJ45" s="73">
        <f>$H$2341</f>
        <v>1.0366666666666664</v>
      </c>
      <c r="CK45" s="73">
        <f>$I$2341</f>
        <v>1.0080839018517107</v>
      </c>
      <c r="CL45" s="73">
        <f>$J$2341</f>
        <v>1.0450468788406668</v>
      </c>
      <c r="CM45" s="73">
        <f t="shared" si="54"/>
        <v>0</v>
      </c>
      <c r="CN45" s="73">
        <f t="shared" si="55"/>
        <v>56000</v>
      </c>
      <c r="CO45" s="72">
        <f>$M45*($C45/$K$2341)*IF($O$2290=1,$F$2290/$G45,1)*$R45</f>
        <v>0.6582946611480901</v>
      </c>
      <c r="CP45" s="72">
        <f>$M45*(1+$S45)*($C45/$L$2341)*IF($O$2290=1,$F$2290/$H45,1)*$R45</f>
        <v>0.63940594820769303</v>
      </c>
      <c r="CQ45" s="73">
        <f t="shared" si="56"/>
        <v>36864.501024293044</v>
      </c>
      <c r="CR45" s="73">
        <f t="shared" si="57"/>
        <v>35806.733099630808</v>
      </c>
      <c r="CS45" s="73">
        <f t="shared" si="58"/>
        <v>0</v>
      </c>
      <c r="CT45" s="272">
        <f t="shared" si="59"/>
        <v>0</v>
      </c>
      <c r="CU45" s="75">
        <f t="shared" si="60"/>
        <v>0</v>
      </c>
      <c r="CV45" s="75">
        <f t="shared" si="61"/>
        <v>1</v>
      </c>
      <c r="CW45" s="273">
        <f t="shared" si="62"/>
        <v>46419</v>
      </c>
      <c r="CX45" s="274">
        <f t="shared" si="63"/>
        <v>0.04</v>
      </c>
      <c r="CY45" s="6" t="str">
        <f t="shared" si="64"/>
        <v>P*</v>
      </c>
      <c r="CZ45" s="273" t="str">
        <f t="shared" si="65"/>
        <v/>
      </c>
      <c r="DA45" s="274" t="str">
        <f t="shared" si="66"/>
        <v/>
      </c>
      <c r="DB45" s="6" t="str">
        <f t="shared" si="67"/>
        <v/>
      </c>
      <c r="DC45" s="273" t="str">
        <f t="shared" si="68"/>
        <v/>
      </c>
      <c r="DD45" s="274" t="str">
        <f t="shared" si="69"/>
        <v/>
      </c>
      <c r="DE45" s="6" t="str">
        <f t="shared" si="70"/>
        <v/>
      </c>
      <c r="DF45" s="273" t="str">
        <f t="shared" si="71"/>
        <v/>
      </c>
      <c r="DG45" s="274" t="str">
        <f t="shared" si="72"/>
        <v/>
      </c>
      <c r="DH45" s="6" t="str">
        <f t="shared" si="73"/>
        <v/>
      </c>
    </row>
    <row r="46" spans="1:112" x14ac:dyDescent="0.3">
      <c r="A46" s="6" t="str">
        <f>$A$2344</f>
        <v>SBA|AZ</v>
      </c>
      <c r="B46" s="75">
        <f>$C$2344</f>
        <v>12</v>
      </c>
      <c r="C46" s="73">
        <f>$B$2395</f>
        <v>1.04</v>
      </c>
      <c r="D46" s="73">
        <f>$C$2395</f>
        <v>1.0050000000000001</v>
      </c>
      <c r="E46" s="73">
        <f>$D$2395</f>
        <v>1.0350000000000001</v>
      </c>
      <c r="F46" s="73">
        <f>$E$2395</f>
        <v>1.0400000000000003</v>
      </c>
      <c r="G46" s="224">
        <f>$F$2395</f>
        <v>0.98800419401896411</v>
      </c>
      <c r="H46" s="224">
        <f>$G$2395</f>
        <v>0.98134364362995397</v>
      </c>
      <c r="I46" s="73">
        <f t="shared" si="37"/>
        <v>1.0048309178743959</v>
      </c>
      <c r="J46" s="73">
        <f t="shared" si="38"/>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0.69199999999999995</v>
      </c>
      <c r="N46" s="72">
        <f t="shared" si="39"/>
        <v>0.70378546910878326</v>
      </c>
      <c r="O46" s="72">
        <f t="shared" si="40"/>
        <v>0.70515563481953925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1">
        <f>N(INDEX(lr_ep,43))</f>
        <v>40000</v>
      </c>
      <c r="W46" s="73">
        <f>N(INDEX(lr_mind,43))*$V46</f>
        <v>40000</v>
      </c>
      <c r="X46" s="73">
        <f>N(INDEX(lr_m0,43))*$V46</f>
        <v>39600</v>
      </c>
      <c r="Y46" s="73">
        <f>N(INDEX(lr_m1,43))*$V46</f>
        <v>39200</v>
      </c>
      <c r="Z46" s="73">
        <f t="shared" si="43"/>
        <v>41600</v>
      </c>
      <c r="AA46" s="73">
        <f t="shared" si="44"/>
        <v>41400.000000000007</v>
      </c>
      <c r="AB46" s="73">
        <f t="shared" si="45"/>
        <v>40193.236714975836</v>
      </c>
      <c r="AC46" s="73">
        <f t="shared" si="46"/>
        <v>39520.167760758566</v>
      </c>
      <c r="AD46" s="73">
        <f t="shared" si="47"/>
        <v>40485.658099577078</v>
      </c>
      <c r="AE46" s="73">
        <f t="shared" si="48"/>
        <v>27679.999999999996</v>
      </c>
      <c r="AF46" s="73">
        <f t="shared" si="49"/>
        <v>28151.418764351329</v>
      </c>
      <c r="AG46" s="73">
        <f t="shared" si="50"/>
        <v>0</v>
      </c>
      <c r="AH46" s="73">
        <f t="shared" si="51"/>
        <v>39999.999999999993</v>
      </c>
      <c r="AI46" s="73">
        <f t="shared" si="52"/>
        <v>40760.441319048521</v>
      </c>
      <c r="AJ46" s="73">
        <f t="shared" si="53"/>
        <v>28206.225392781569</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40000</v>
      </c>
      <c r="BX46" s="73">
        <f>$V46*$H$2372</f>
        <v>40000</v>
      </c>
      <c r="BY46" s="73">
        <f>$V46*$H$2373</f>
        <v>40000</v>
      </c>
      <c r="BZ46" s="73">
        <f>$V46*$H$2374</f>
        <v>40000</v>
      </c>
      <c r="CA46" s="73">
        <f>$V46*$H$2375</f>
        <v>40000</v>
      </c>
      <c r="CB46" s="73">
        <f>$V46*$H$2376</f>
        <v>40000</v>
      </c>
      <c r="CC46" s="73">
        <f>$V46*$H$2377</f>
        <v>40000</v>
      </c>
      <c r="CD46" s="73">
        <f>$V46*$H$2378</f>
        <v>40000</v>
      </c>
      <c r="CE46" s="73">
        <f>$V46*$H$2379</f>
        <v>40000</v>
      </c>
      <c r="CF46" s="73">
        <f>$V46*$H$2380</f>
        <v>40000</v>
      </c>
      <c r="CG46" s="73">
        <f>$V46*$H$2381</f>
        <v>40000</v>
      </c>
      <c r="CH46" s="73">
        <f>$V46*$H$2382</f>
        <v>40000</v>
      </c>
      <c r="CI46" s="75">
        <f>$O$2344</f>
        <v>1</v>
      </c>
      <c r="CJ46" s="73">
        <f>$H$2395</f>
        <v>1.02</v>
      </c>
      <c r="CK46" s="73">
        <f>$I$2395</f>
        <v>0.99194865631796525</v>
      </c>
      <c r="CL46" s="73">
        <f>$J$2395</f>
        <v>1.0117879543071664</v>
      </c>
      <c r="CM46" s="73">
        <f t="shared" si="54"/>
        <v>0</v>
      </c>
      <c r="CN46" s="73">
        <f t="shared" si="55"/>
        <v>40000</v>
      </c>
      <c r="CO46" s="72">
        <f>$M46*($C46/$K$2395)*IF($O$2344=1,$F$2344/$G46,1)*$R46</f>
        <v>0.70378546910878326</v>
      </c>
      <c r="CP46" s="72">
        <f>$M46*(1+$S46)*($C46/$L$2395)*IF($O$2344=1,$F$2344/$H46,1)*$R46</f>
        <v>0.70515563481953925</v>
      </c>
      <c r="CQ46" s="73">
        <f t="shared" si="56"/>
        <v>28151.418764351329</v>
      </c>
      <c r="CR46" s="73">
        <f t="shared" si="57"/>
        <v>28206.225392781569</v>
      </c>
      <c r="CS46" s="73">
        <f t="shared" si="58"/>
        <v>0</v>
      </c>
      <c r="CT46" s="272">
        <f t="shared" si="59"/>
        <v>0</v>
      </c>
      <c r="CU46" s="75">
        <f t="shared" si="60"/>
        <v>1</v>
      </c>
      <c r="CV46" s="75">
        <f t="shared" si="61"/>
        <v>0</v>
      </c>
      <c r="CW46" s="273">
        <f t="shared" si="62"/>
        <v>46204</v>
      </c>
      <c r="CX46" s="274">
        <f t="shared" si="63"/>
        <v>0.04</v>
      </c>
      <c r="CY46" s="6" t="str">
        <f t="shared" si="64"/>
        <v>T</v>
      </c>
      <c r="CZ46" s="273" t="str">
        <f t="shared" si="65"/>
        <v/>
      </c>
      <c r="DA46" s="274" t="str">
        <f t="shared" si="66"/>
        <v/>
      </c>
      <c r="DB46" s="6" t="str">
        <f t="shared" si="67"/>
        <v/>
      </c>
      <c r="DC46" s="273" t="str">
        <f t="shared" si="68"/>
        <v/>
      </c>
      <c r="DD46" s="274" t="str">
        <f t="shared" si="69"/>
        <v/>
      </c>
      <c r="DE46" s="6" t="str">
        <f t="shared" si="70"/>
        <v/>
      </c>
      <c r="DF46" s="273" t="str">
        <f t="shared" si="71"/>
        <v/>
      </c>
      <c r="DG46" s="274" t="str">
        <f t="shared" si="72"/>
        <v/>
      </c>
      <c r="DH46" s="6" t="str">
        <f t="shared" si="73"/>
        <v/>
      </c>
    </row>
    <row r="47" spans="1:112" x14ac:dyDescent="0.3">
      <c r="A47" s="6" t="str">
        <f>$A$2398</f>
        <v>SBA|CO</v>
      </c>
      <c r="B47" s="75">
        <f>$C$2398</f>
        <v>12</v>
      </c>
      <c r="C47" s="73">
        <f>$B$2449</f>
        <v>1.05</v>
      </c>
      <c r="D47" s="73">
        <f>$C$2449</f>
        <v>1.0043402777777779</v>
      </c>
      <c r="E47" s="73">
        <f>$D$2449</f>
        <v>1.0414930555555555</v>
      </c>
      <c r="F47" s="73">
        <f>$E$2449</f>
        <v>1.05</v>
      </c>
      <c r="G47" s="224">
        <f>$F$2449</f>
        <v>0.99099790299051793</v>
      </c>
      <c r="H47" s="224">
        <f>$G$2449</f>
        <v>0.99432817818502306</v>
      </c>
      <c r="I47" s="73">
        <f t="shared" si="37"/>
        <v>1.0081680280046676</v>
      </c>
      <c r="J47" s="73">
        <f t="shared" si="38"/>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0.67600000000000005</v>
      </c>
      <c r="N47" s="72">
        <f t="shared" si="39"/>
        <v>0.68771244104002549</v>
      </c>
      <c r="O47" s="72">
        <f t="shared" si="40"/>
        <v>0.67985602221785868</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1">
        <f>N(INDEX(lr_ep,44))</f>
        <v>92000</v>
      </c>
      <c r="W47" s="73">
        <f>N(INDEX(lr_mind,44))*$V47</f>
        <v>92000</v>
      </c>
      <c r="X47" s="73">
        <f>N(INDEX(lr_m0,44))*$V47</f>
        <v>91080</v>
      </c>
      <c r="Y47" s="73">
        <f>N(INDEX(lr_m1,44))*$V47</f>
        <v>91540</v>
      </c>
      <c r="Z47" s="73">
        <f t="shared" si="43"/>
        <v>96600</v>
      </c>
      <c r="AA47" s="73">
        <f t="shared" si="44"/>
        <v>95817.361111111109</v>
      </c>
      <c r="AB47" s="73">
        <f t="shared" si="45"/>
        <v>92751.458576429417</v>
      </c>
      <c r="AC47" s="73">
        <f t="shared" si="46"/>
        <v>91171.807075127654</v>
      </c>
      <c r="AD47" s="73">
        <f t="shared" si="47"/>
        <v>92835.716122479309</v>
      </c>
      <c r="AE47" s="73">
        <f t="shared" si="48"/>
        <v>62192.000000000007</v>
      </c>
      <c r="AF47" s="73">
        <f t="shared" si="49"/>
        <v>63269.544575682346</v>
      </c>
      <c r="AG47" s="73">
        <f t="shared" si="50"/>
        <v>0</v>
      </c>
      <c r="AH47" s="73">
        <f t="shared" si="51"/>
        <v>92000</v>
      </c>
      <c r="AI47" s="73">
        <f t="shared" si="52"/>
        <v>92524.784088821005</v>
      </c>
      <c r="AJ47" s="73">
        <f t="shared" si="53"/>
        <v>62546.754044043002</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92000</v>
      </c>
      <c r="BX47" s="73">
        <f>$V47*$H$2426</f>
        <v>92000</v>
      </c>
      <c r="BY47" s="73">
        <f>$V47*$H$2427</f>
        <v>92000</v>
      </c>
      <c r="BZ47" s="73">
        <f>$V47*$H$2428</f>
        <v>92000</v>
      </c>
      <c r="CA47" s="73">
        <f>$V47*$H$2429</f>
        <v>92000</v>
      </c>
      <c r="CB47" s="73">
        <f>$V47*$H$2430</f>
        <v>92000</v>
      </c>
      <c r="CC47" s="73">
        <f>$V47*$H$2431</f>
        <v>92000</v>
      </c>
      <c r="CD47" s="73">
        <f>$V47*$H$2432</f>
        <v>92000</v>
      </c>
      <c r="CE47" s="73">
        <f>$V47*$H$2433</f>
        <v>92000</v>
      </c>
      <c r="CF47" s="73">
        <f>$V47*$H$2434</f>
        <v>92000</v>
      </c>
      <c r="CG47" s="73">
        <f>$V47*$H$2435</f>
        <v>92000</v>
      </c>
      <c r="CH47" s="73">
        <f>$V47*$H$2436</f>
        <v>92000</v>
      </c>
      <c r="CI47" s="75">
        <f>$O$2398</f>
        <v>1</v>
      </c>
      <c r="CJ47" s="73">
        <f>$H$2449</f>
        <v>1.0291666666666666</v>
      </c>
      <c r="CK47" s="73">
        <f>$I$2449</f>
        <v>1.004037852440528</v>
      </c>
      <c r="CL47" s="73">
        <f>$J$2449</f>
        <v>1.0333223891617058</v>
      </c>
      <c r="CM47" s="73">
        <f t="shared" si="54"/>
        <v>0</v>
      </c>
      <c r="CN47" s="73">
        <f t="shared" si="55"/>
        <v>92000</v>
      </c>
      <c r="CO47" s="72">
        <f>$M47*($C47/$K$2449)*IF($O$2398=1,$F$2398/$G47,1)*$R47</f>
        <v>0.68771244104002549</v>
      </c>
      <c r="CP47" s="72">
        <f>$M47*(1+$S47)*($C47/$L$2449)*IF($O$2398=1,$F$2398/$H47,1)*$R47</f>
        <v>0.67985602221785868</v>
      </c>
      <c r="CQ47" s="73">
        <f t="shared" si="56"/>
        <v>63269.544575682346</v>
      </c>
      <c r="CR47" s="73">
        <f t="shared" si="57"/>
        <v>62546.754044043002</v>
      </c>
      <c r="CS47" s="73">
        <f t="shared" si="58"/>
        <v>0</v>
      </c>
      <c r="CT47" s="272">
        <f t="shared" si="59"/>
        <v>0</v>
      </c>
      <c r="CU47" s="75">
        <f t="shared" si="60"/>
        <v>1</v>
      </c>
      <c r="CV47" s="75">
        <f t="shared" si="61"/>
        <v>0</v>
      </c>
      <c r="CW47" s="273">
        <f t="shared" si="62"/>
        <v>46235</v>
      </c>
      <c r="CX47" s="274">
        <f t="shared" si="63"/>
        <v>0.05</v>
      </c>
      <c r="CY47" s="6" t="str">
        <f t="shared" si="64"/>
        <v>T</v>
      </c>
      <c r="CZ47" s="273" t="str">
        <f t="shared" si="65"/>
        <v/>
      </c>
      <c r="DA47" s="274" t="str">
        <f t="shared" si="66"/>
        <v/>
      </c>
      <c r="DB47" s="6" t="str">
        <f t="shared" si="67"/>
        <v/>
      </c>
      <c r="DC47" s="273" t="str">
        <f t="shared" si="68"/>
        <v/>
      </c>
      <c r="DD47" s="274" t="str">
        <f t="shared" si="69"/>
        <v/>
      </c>
      <c r="DE47" s="6" t="str">
        <f t="shared" si="70"/>
        <v/>
      </c>
      <c r="DF47" s="273" t="str">
        <f t="shared" si="71"/>
        <v/>
      </c>
      <c r="DG47" s="274" t="str">
        <f t="shared" si="72"/>
        <v/>
      </c>
      <c r="DH47" s="6" t="str">
        <f t="shared" si="73"/>
        <v/>
      </c>
    </row>
    <row r="48" spans="1:112" x14ac:dyDescent="0.3">
      <c r="A48" s="6" t="str">
        <f>$A$2452</f>
        <v>SBA|DE</v>
      </c>
      <c r="B48" s="75">
        <f>$C$2452</f>
        <v>12</v>
      </c>
      <c r="C48" s="73">
        <f>$B$2503</f>
        <v>1</v>
      </c>
      <c r="D48" s="73">
        <f>$C$2503</f>
        <v>1</v>
      </c>
      <c r="E48" s="73">
        <f>$D$2503</f>
        <v>1</v>
      </c>
      <c r="F48" s="73">
        <f>$E$2503</f>
        <v>1</v>
      </c>
      <c r="G48" s="224">
        <f>$F$2503</f>
        <v>0.99399161196207142</v>
      </c>
      <c r="H48" s="224">
        <f>$G$2503</f>
        <v>1.0073127127400925</v>
      </c>
      <c r="I48" s="73">
        <f t="shared" si="37"/>
        <v>1</v>
      </c>
      <c r="J48" s="73">
        <f t="shared" si="38"/>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0.66</v>
      </c>
      <c r="N48" s="72">
        <f t="shared" si="39"/>
        <v>0.66398950660881861</v>
      </c>
      <c r="O48" s="72">
        <f t="shared" si="40"/>
        <v>0.6552086473769082</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1">
        <f>N(INDEX(lr_ep,45))</f>
        <v>76000</v>
      </c>
      <c r="W48" s="73">
        <f>N(INDEX(lr_mind,45))*$V48</f>
        <v>76000</v>
      </c>
      <c r="X48" s="73">
        <f>N(INDEX(lr_m0,45))*$V48</f>
        <v>75240</v>
      </c>
      <c r="Y48" s="73">
        <f>N(INDEX(lr_m1,45))*$V48</f>
        <v>76760</v>
      </c>
      <c r="Z48" s="73">
        <f t="shared" si="43"/>
        <v>76000</v>
      </c>
      <c r="AA48" s="73">
        <f t="shared" si="44"/>
        <v>76000</v>
      </c>
      <c r="AB48" s="73">
        <f t="shared" si="45"/>
        <v>76000</v>
      </c>
      <c r="AC48" s="73">
        <f t="shared" si="46"/>
        <v>75543.362509117433</v>
      </c>
      <c r="AD48" s="73">
        <f t="shared" si="47"/>
        <v>76459.397730712444</v>
      </c>
      <c r="AE48" s="73">
        <f t="shared" si="48"/>
        <v>50160</v>
      </c>
      <c r="AF48" s="73">
        <f t="shared" si="49"/>
        <v>50463.202502270215</v>
      </c>
      <c r="AG48" s="73">
        <f t="shared" si="50"/>
        <v>0</v>
      </c>
      <c r="AH48" s="73">
        <f t="shared" si="51"/>
        <v>76000</v>
      </c>
      <c r="AI48" s="73">
        <f t="shared" si="52"/>
        <v>75448.268485825785</v>
      </c>
      <c r="AJ48" s="73">
        <f t="shared" si="53"/>
        <v>49795.857200645027</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76000</v>
      </c>
      <c r="BX48" s="73">
        <f>$V48*$H$2480</f>
        <v>76000</v>
      </c>
      <c r="BY48" s="73">
        <f>$V48*$H$2481</f>
        <v>76000</v>
      </c>
      <c r="BZ48" s="73">
        <f>$V48*$H$2482</f>
        <v>76000</v>
      </c>
      <c r="CA48" s="73">
        <f>$V48*$H$2483</f>
        <v>76000</v>
      </c>
      <c r="CB48" s="73">
        <f>$V48*$H$2484</f>
        <v>76000</v>
      </c>
      <c r="CC48" s="73">
        <f>$V48*$H$2485</f>
        <v>76000</v>
      </c>
      <c r="CD48" s="73">
        <f>$V48*$H$2486</f>
        <v>76000</v>
      </c>
      <c r="CE48" s="73">
        <f>$V48*$H$2487</f>
        <v>76000</v>
      </c>
      <c r="CF48" s="73">
        <f>$V48*$H$2488</f>
        <v>76000</v>
      </c>
      <c r="CG48" s="73">
        <f>$V48*$H$2489</f>
        <v>76000</v>
      </c>
      <c r="CH48" s="73">
        <f>$V48*$H$2490</f>
        <v>76000</v>
      </c>
      <c r="CI48" s="75">
        <f>$O$2452</f>
        <v>1</v>
      </c>
      <c r="CJ48" s="73">
        <f>$H$2503</f>
        <v>1</v>
      </c>
      <c r="CK48" s="73">
        <f>$I$2503</f>
        <v>1.0162008242959635</v>
      </c>
      <c r="CL48" s="73">
        <f>$J$2503</f>
        <v>1.0162008242959635</v>
      </c>
      <c r="CM48" s="73">
        <f t="shared" si="54"/>
        <v>0</v>
      </c>
      <c r="CN48" s="73">
        <f t="shared" si="55"/>
        <v>76000</v>
      </c>
      <c r="CO48" s="72">
        <f>$M48*($C48/$K$2503)*IF($O$2452=1,$F$2452/$G48,1)*$R48</f>
        <v>0.66398950660881861</v>
      </c>
      <c r="CP48" s="72">
        <f>$M48*(1+$S48)*($C48/$L$2503)*IF($O$2452=1,$F$2452/$H48,1)*$R48</f>
        <v>0.6552086473769082</v>
      </c>
      <c r="CQ48" s="73">
        <f t="shared" si="56"/>
        <v>50463.202502270215</v>
      </c>
      <c r="CR48" s="73">
        <f t="shared" si="57"/>
        <v>49795.857200645027</v>
      </c>
      <c r="CS48" s="73">
        <f t="shared" si="58"/>
        <v>0</v>
      </c>
      <c r="CT48" s="272">
        <f t="shared" si="59"/>
        <v>0</v>
      </c>
      <c r="CU48" s="75">
        <f t="shared" si="60"/>
        <v>0</v>
      </c>
      <c r="CV48" s="75">
        <f t="shared" si="61"/>
        <v>0</v>
      </c>
      <c r="CW48" s="273" t="str">
        <f t="shared" si="62"/>
        <v/>
      </c>
      <c r="CX48" s="274" t="str">
        <f t="shared" si="63"/>
        <v/>
      </c>
      <c r="CY48" s="6" t="str">
        <f t="shared" si="64"/>
        <v/>
      </c>
      <c r="CZ48" s="273" t="str">
        <f t="shared" si="65"/>
        <v/>
      </c>
      <c r="DA48" s="274" t="str">
        <f t="shared" si="66"/>
        <v/>
      </c>
      <c r="DB48" s="6" t="str">
        <f t="shared" si="67"/>
        <v/>
      </c>
      <c r="DC48" s="273" t="str">
        <f t="shared" si="68"/>
        <v/>
      </c>
      <c r="DD48" s="274" t="str">
        <f t="shared" si="69"/>
        <v/>
      </c>
      <c r="DE48" s="6" t="str">
        <f t="shared" si="70"/>
        <v/>
      </c>
      <c r="DF48" s="273" t="str">
        <f t="shared" si="71"/>
        <v/>
      </c>
      <c r="DG48" s="274" t="str">
        <f t="shared" si="72"/>
        <v/>
      </c>
      <c r="DH48" s="6" t="str">
        <f t="shared" si="73"/>
        <v/>
      </c>
    </row>
    <row r="49" spans="1:112" x14ac:dyDescent="0.3">
      <c r="A49" s="6" t="str">
        <f>$A$2506</f>
        <v>SBA|FL</v>
      </c>
      <c r="B49" s="75">
        <f>$C$2506</f>
        <v>12</v>
      </c>
      <c r="C49" s="73">
        <f>$B$2557</f>
        <v>1.02</v>
      </c>
      <c r="D49" s="73">
        <f>$C$2557</f>
        <v>1.0006250000000001</v>
      </c>
      <c r="E49" s="73">
        <f>$D$2557</f>
        <v>1.0213166666666667</v>
      </c>
      <c r="F49" s="73">
        <f>$E$2557</f>
        <v>1.0572583333333336</v>
      </c>
      <c r="G49" s="224">
        <f>$F$2557</f>
        <v>0.9900000000000001</v>
      </c>
      <c r="H49" s="224">
        <f>$G$2557</f>
        <v>0.9900000000000001</v>
      </c>
      <c r="I49" s="73">
        <f t="shared" si="37"/>
        <v>0.99871081447151555</v>
      </c>
      <c r="J49" s="73">
        <f t="shared" si="38"/>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0.68799999999999994</v>
      </c>
      <c r="N49" s="72">
        <f t="shared" si="39"/>
        <v>0.69405357611757834</v>
      </c>
      <c r="O49" s="72">
        <f t="shared" si="40"/>
        <v>0.6704591134445077</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1">
        <f>N(INDEX(lr_ep,46))</f>
        <v>60000</v>
      </c>
      <c r="W49" s="73">
        <f>N(INDEX(lr_mind,46))*$V49</f>
        <v>60000</v>
      </c>
      <c r="X49" s="73">
        <f>N(INDEX(lr_m0,46))*$V49</f>
        <v>59400</v>
      </c>
      <c r="Y49" s="73">
        <f>N(INDEX(lr_m1,46))*$V49</f>
        <v>59400</v>
      </c>
      <c r="Z49" s="73">
        <f t="shared" si="43"/>
        <v>61200</v>
      </c>
      <c r="AA49" s="73">
        <f t="shared" si="44"/>
        <v>61279</v>
      </c>
      <c r="AB49" s="73">
        <f t="shared" si="45"/>
        <v>59922.648868290933</v>
      </c>
      <c r="AC49" s="73">
        <f t="shared" si="46"/>
        <v>59400.000000000007</v>
      </c>
      <c r="AD49" s="73">
        <f t="shared" si="47"/>
        <v>60606.060606060593</v>
      </c>
      <c r="AE49" s="73">
        <f t="shared" si="48"/>
        <v>41280</v>
      </c>
      <c r="AF49" s="73">
        <f t="shared" si="49"/>
        <v>41643.214567054703</v>
      </c>
      <c r="AG49" s="73">
        <f t="shared" si="50"/>
        <v>0</v>
      </c>
      <c r="AH49" s="73">
        <f t="shared" si="51"/>
        <v>57885.568806110125</v>
      </c>
      <c r="AI49" s="73">
        <f t="shared" si="52"/>
        <v>60606.060606060593</v>
      </c>
      <c r="AJ49" s="73">
        <f t="shared" si="53"/>
        <v>40227.546806670463</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60000</v>
      </c>
      <c r="BX49" s="73">
        <f>$V49*$H$2534</f>
        <v>60000</v>
      </c>
      <c r="BY49" s="73">
        <f>$V49*$H$2535</f>
        <v>60000</v>
      </c>
      <c r="BZ49" s="73">
        <f>$V49*$H$2536</f>
        <v>60000</v>
      </c>
      <c r="CA49" s="73">
        <f>$V49*$H$2537</f>
        <v>60000</v>
      </c>
      <c r="CB49" s="73">
        <f>$V49*$H$2538</f>
        <v>60000</v>
      </c>
      <c r="CC49" s="73">
        <f>$V49*$H$2539</f>
        <v>60000</v>
      </c>
      <c r="CD49" s="73">
        <f>$V49*$H$2540</f>
        <v>60000</v>
      </c>
      <c r="CE49" s="73">
        <f>$V49*$H$2541</f>
        <v>60000</v>
      </c>
      <c r="CF49" s="73">
        <f>$V49*$H$2542</f>
        <v>60000</v>
      </c>
      <c r="CG49" s="73">
        <f>$V49*$H$2543</f>
        <v>60000</v>
      </c>
      <c r="CH49" s="73">
        <f>$V49*$H$2544</f>
        <v>60000</v>
      </c>
      <c r="CI49" s="75">
        <f>$O$2506</f>
        <v>1</v>
      </c>
      <c r="CJ49" s="73">
        <f>$H$2557</f>
        <v>1.0386</v>
      </c>
      <c r="CK49" s="73">
        <f>$I$2557</f>
        <v>1</v>
      </c>
      <c r="CL49" s="73">
        <f>$J$2557</f>
        <v>1.0386</v>
      </c>
      <c r="CM49" s="73">
        <f t="shared" si="54"/>
        <v>0</v>
      </c>
      <c r="CN49" s="73">
        <f t="shared" si="55"/>
        <v>60000</v>
      </c>
      <c r="CO49" s="72">
        <f>$M49*($C49/$K$2557)*IF($O$2506=1,$F$2506/$G49,1)*$R49</f>
        <v>0.69405357611757834</v>
      </c>
      <c r="CP49" s="72">
        <f>$M49*(1+$S49)*($C49/$L$2557)*IF($O$2506=1,$F$2506/$H49,1)*$R49</f>
        <v>0.6704591134445077</v>
      </c>
      <c r="CQ49" s="73">
        <f t="shared" si="56"/>
        <v>41643.214567054703</v>
      </c>
      <c r="CR49" s="73">
        <f t="shared" si="57"/>
        <v>40227.546806670463</v>
      </c>
      <c r="CS49" s="73">
        <f t="shared" si="58"/>
        <v>0</v>
      </c>
      <c r="CT49" s="272">
        <f t="shared" si="59"/>
        <v>0</v>
      </c>
      <c r="CU49" s="75">
        <f t="shared" si="60"/>
        <v>1</v>
      </c>
      <c r="CV49" s="75">
        <f t="shared" si="61"/>
        <v>1</v>
      </c>
      <c r="CW49" s="273">
        <f t="shared" si="62"/>
        <v>46296</v>
      </c>
      <c r="CX49" s="274">
        <f t="shared" si="63"/>
        <v>0.02</v>
      </c>
      <c r="CY49" s="6" t="str">
        <f t="shared" si="64"/>
        <v>T</v>
      </c>
      <c r="CZ49" s="273">
        <f t="shared" si="65"/>
        <v>46539</v>
      </c>
      <c r="DA49" s="274">
        <f t="shared" si="66"/>
        <v>0.04</v>
      </c>
      <c r="DB49" s="6" t="str">
        <f t="shared" si="67"/>
        <v>P*</v>
      </c>
      <c r="DC49" s="273" t="str">
        <f t="shared" si="68"/>
        <v/>
      </c>
      <c r="DD49" s="274" t="str">
        <f t="shared" si="69"/>
        <v/>
      </c>
      <c r="DE49" s="6" t="str">
        <f t="shared" si="70"/>
        <v/>
      </c>
      <c r="DF49" s="273" t="str">
        <f t="shared" si="71"/>
        <v/>
      </c>
      <c r="DG49" s="274" t="str">
        <f t="shared" si="72"/>
        <v/>
      </c>
      <c r="DH49" s="6" t="str">
        <f t="shared" si="73"/>
        <v/>
      </c>
    </row>
    <row r="50" spans="1:112" x14ac:dyDescent="0.3">
      <c r="A50" s="6" t="str">
        <f>$A$2560</f>
        <v>SBA|GA</v>
      </c>
      <c r="B50" s="75">
        <f>$C$2560</f>
        <v>12</v>
      </c>
      <c r="C50" s="73">
        <f>$B$2611</f>
        <v>1</v>
      </c>
      <c r="D50" s="73">
        <f>$C$2611</f>
        <v>1</v>
      </c>
      <c r="E50" s="73">
        <f>$D$2611</f>
        <v>1</v>
      </c>
      <c r="F50" s="73">
        <f>$E$2611</f>
        <v>1</v>
      </c>
      <c r="G50" s="224">
        <f>$F$2611</f>
        <v>0.99299370897155337</v>
      </c>
      <c r="H50" s="224">
        <f>$G$2611</f>
        <v>1.002984534555069</v>
      </c>
      <c r="I50" s="73">
        <f t="shared" si="37"/>
        <v>1</v>
      </c>
      <c r="J50" s="73">
        <f t="shared" si="38"/>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0.67200000000000004</v>
      </c>
      <c r="N50" s="72">
        <f t="shared" si="39"/>
        <v>0.67674144753242449</v>
      </c>
      <c r="O50" s="72">
        <f t="shared" si="40"/>
        <v>0.67000036077136926</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1">
        <f>N(INDEX(lr_ep,47))</f>
        <v>44000</v>
      </c>
      <c r="W50" s="73">
        <f>N(INDEX(lr_mind,47))*$V50</f>
        <v>44000</v>
      </c>
      <c r="X50" s="73">
        <f>N(INDEX(lr_m0,47))*$V50</f>
        <v>43560</v>
      </c>
      <c r="Y50" s="73">
        <f>N(INDEX(lr_m1,47))*$V50</f>
        <v>44219.999999999993</v>
      </c>
      <c r="Z50" s="73">
        <f t="shared" si="43"/>
        <v>44000</v>
      </c>
      <c r="AA50" s="73">
        <f t="shared" si="44"/>
        <v>44000</v>
      </c>
      <c r="AB50" s="73">
        <f t="shared" si="45"/>
        <v>44000</v>
      </c>
      <c r="AC50" s="73">
        <f t="shared" si="46"/>
        <v>43691.723194748345</v>
      </c>
      <c r="AD50" s="73">
        <f t="shared" si="47"/>
        <v>44310.451921765889</v>
      </c>
      <c r="AE50" s="73">
        <f t="shared" si="48"/>
        <v>29568.000000000004</v>
      </c>
      <c r="AF50" s="73">
        <f t="shared" si="49"/>
        <v>29776.623691426677</v>
      </c>
      <c r="AG50" s="73">
        <f t="shared" si="50"/>
        <v>0</v>
      </c>
      <c r="AH50" s="73">
        <f t="shared" si="51"/>
        <v>44000</v>
      </c>
      <c r="AI50" s="73">
        <f t="shared" si="52"/>
        <v>43869.071240982506</v>
      </c>
      <c r="AJ50" s="73">
        <f t="shared" si="53"/>
        <v>29480.015873940247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44000</v>
      </c>
      <c r="BX50" s="73">
        <f>$V50*$H$2588</f>
        <v>44000</v>
      </c>
      <c r="BY50" s="73">
        <f>$V50*$H$2589</f>
        <v>44000</v>
      </c>
      <c r="BZ50" s="73">
        <f>$V50*$H$2590</f>
        <v>44000</v>
      </c>
      <c r="CA50" s="73">
        <f>$V50*$H$2591</f>
        <v>44000</v>
      </c>
      <c r="CB50" s="73">
        <f>$V50*$H$2592</f>
        <v>44000</v>
      </c>
      <c r="CC50" s="73">
        <f>$V50*$H$2593</f>
        <v>44000</v>
      </c>
      <c r="CD50" s="73">
        <f>$V50*$H$2594</f>
        <v>44000</v>
      </c>
      <c r="CE50" s="73">
        <f>$V50*$H$2595</f>
        <v>44000</v>
      </c>
      <c r="CF50" s="73">
        <f>$V50*$H$2596</f>
        <v>44000</v>
      </c>
      <c r="CG50" s="73">
        <f>$V50*$H$2597</f>
        <v>44000</v>
      </c>
      <c r="CH50" s="73">
        <f>$V50*$H$2598</f>
        <v>44000</v>
      </c>
      <c r="CI50" s="75">
        <f>$O$2560</f>
        <v>1</v>
      </c>
      <c r="CJ50" s="73">
        <f>$H$2611</f>
        <v>1</v>
      </c>
      <c r="CK50" s="73">
        <f>$I$2611</f>
        <v>1.0121382062846183</v>
      </c>
      <c r="CL50" s="73">
        <f>$J$2611</f>
        <v>1.0121382062846183</v>
      </c>
      <c r="CM50" s="73">
        <f t="shared" si="54"/>
        <v>0</v>
      </c>
      <c r="CN50" s="73">
        <f t="shared" si="55"/>
        <v>44000</v>
      </c>
      <c r="CO50" s="72">
        <f>$M50*($C50/$K$2611)*IF($O$2560=1,$F$2560/$G50,1)*$R50</f>
        <v>0.67674144753242449</v>
      </c>
      <c r="CP50" s="72">
        <f>$M50*(1+$S50)*($C50/$L$2611)*IF($O$2560=1,$F$2560/$H50,1)*$R50</f>
        <v>0.67000036077136926</v>
      </c>
      <c r="CQ50" s="73">
        <f t="shared" si="56"/>
        <v>29776.623691426677</v>
      </c>
      <c r="CR50" s="73">
        <f t="shared" si="57"/>
        <v>29480.015873940247</v>
      </c>
      <c r="CS50" s="73">
        <f t="shared" si="58"/>
        <v>0</v>
      </c>
      <c r="CT50" s="272">
        <f t="shared" si="59"/>
        <v>0</v>
      </c>
      <c r="CU50" s="75">
        <f t="shared" si="60"/>
        <v>0</v>
      </c>
      <c r="CV50" s="75">
        <f t="shared" si="61"/>
        <v>0</v>
      </c>
      <c r="CW50" s="273" t="str">
        <f t="shared" si="62"/>
        <v/>
      </c>
      <c r="CX50" s="274" t="str">
        <f t="shared" si="63"/>
        <v/>
      </c>
      <c r="CY50" s="6" t="str">
        <f t="shared" si="64"/>
        <v/>
      </c>
      <c r="CZ50" s="273" t="str">
        <f t="shared" si="65"/>
        <v/>
      </c>
      <c r="DA50" s="274" t="str">
        <f t="shared" si="66"/>
        <v/>
      </c>
      <c r="DB50" s="6" t="str">
        <f t="shared" si="67"/>
        <v/>
      </c>
      <c r="DC50" s="273" t="str">
        <f t="shared" si="68"/>
        <v/>
      </c>
      <c r="DD50" s="274" t="str">
        <f t="shared" si="69"/>
        <v/>
      </c>
      <c r="DE50" s="6" t="str">
        <f t="shared" si="70"/>
        <v/>
      </c>
      <c r="DF50" s="273" t="str">
        <f t="shared" si="71"/>
        <v/>
      </c>
      <c r="DG50" s="274" t="str">
        <f t="shared" si="72"/>
        <v/>
      </c>
      <c r="DH50" s="6" t="str">
        <f t="shared" si="73"/>
        <v/>
      </c>
    </row>
    <row r="51" spans="1:112" x14ac:dyDescent="0.3">
      <c r="A51" s="6" t="str">
        <f>$A$2614</f>
        <v>SBA|IA</v>
      </c>
      <c r="B51" s="75">
        <f>$C$2614</f>
        <v>12</v>
      </c>
      <c r="C51" s="73">
        <f>$B$2665</f>
        <v>1</v>
      </c>
      <c r="D51" s="73">
        <f>$C$2665</f>
        <v>1</v>
      </c>
      <c r="E51" s="73">
        <f>$D$2665</f>
        <v>1</v>
      </c>
      <c r="F51" s="73">
        <f>$E$2665</f>
        <v>1</v>
      </c>
      <c r="G51" s="224">
        <f>$F$2665</f>
        <v>0.98900209700948194</v>
      </c>
      <c r="H51" s="224">
        <f>$G$2665</f>
        <v>0.98567182181497681</v>
      </c>
      <c r="I51" s="73">
        <f t="shared" si="37"/>
        <v>1</v>
      </c>
      <c r="J51" s="73">
        <f t="shared" si="38"/>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0.7</v>
      </c>
      <c r="N51" s="72">
        <f t="shared" si="39"/>
        <v>0.70778414132451406</v>
      </c>
      <c r="O51" s="72">
        <f t="shared" si="40"/>
        <v>0.71017552141345364</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1">
        <f>N(INDEX(lr_ep,48))</f>
        <v>96000</v>
      </c>
      <c r="W51" s="73">
        <f>N(INDEX(lr_mind,48))*$V51</f>
        <v>96000</v>
      </c>
      <c r="X51" s="73">
        <f>N(INDEX(lr_m0,48))*$V51</f>
        <v>95040</v>
      </c>
      <c r="Y51" s="73">
        <f>N(INDEX(lr_m1,48))*$V51</f>
        <v>94560</v>
      </c>
      <c r="Z51" s="73">
        <f t="shared" si="43"/>
        <v>96000</v>
      </c>
      <c r="AA51" s="73">
        <f t="shared" si="44"/>
        <v>96000</v>
      </c>
      <c r="AB51" s="73">
        <f t="shared" si="45"/>
        <v>96000</v>
      </c>
      <c r="AC51" s="73">
        <f t="shared" si="46"/>
        <v>94944.201312910271</v>
      </c>
      <c r="AD51" s="73">
        <f t="shared" si="47"/>
        <v>97067.539381647643</v>
      </c>
      <c r="AE51" s="73">
        <f t="shared" si="48"/>
        <v>67200</v>
      </c>
      <c r="AF51" s="73">
        <f t="shared" si="49"/>
        <v>67947.277567153345</v>
      </c>
      <c r="AG51" s="73">
        <f t="shared" si="50"/>
        <v>0</v>
      </c>
      <c r="AH51" s="73">
        <f t="shared" si="51"/>
        <v>96000</v>
      </c>
      <c r="AI51" s="73">
        <f t="shared" si="52"/>
        <v>97395.500079559366</v>
      </c>
      <c r="AJ51" s="73">
        <f t="shared" si="53"/>
        <v>68176.850055691553</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96000</v>
      </c>
      <c r="BX51" s="73">
        <f>$V51*$H$2642</f>
        <v>96000</v>
      </c>
      <c r="BY51" s="73">
        <f>$V51*$H$2643</f>
        <v>96000</v>
      </c>
      <c r="BZ51" s="73">
        <f>$V51*$H$2644</f>
        <v>96000</v>
      </c>
      <c r="CA51" s="73">
        <f>$V51*$H$2645</f>
        <v>96000</v>
      </c>
      <c r="CB51" s="73">
        <f>$V51*$H$2646</f>
        <v>96000</v>
      </c>
      <c r="CC51" s="73">
        <f>$V51*$H$2647</f>
        <v>96000</v>
      </c>
      <c r="CD51" s="73">
        <f>$V51*$H$2648</f>
        <v>96000</v>
      </c>
      <c r="CE51" s="73">
        <f>$V51*$H$2649</f>
        <v>96000</v>
      </c>
      <c r="CF51" s="73">
        <f>$V51*$H$2650</f>
        <v>96000</v>
      </c>
      <c r="CG51" s="73">
        <f>$V51*$H$2651</f>
        <v>96000</v>
      </c>
      <c r="CH51" s="73">
        <f>$V51*$H$2652</f>
        <v>96000</v>
      </c>
      <c r="CI51" s="75">
        <f>$O$2614</f>
        <v>1</v>
      </c>
      <c r="CJ51" s="73">
        <f>$H$2665</f>
        <v>1</v>
      </c>
      <c r="CK51" s="73">
        <f>$I$2665</f>
        <v>0.99597028697853884</v>
      </c>
      <c r="CL51" s="73">
        <f>$J$2665</f>
        <v>0.99597028697853884</v>
      </c>
      <c r="CM51" s="73">
        <f t="shared" si="54"/>
        <v>0</v>
      </c>
      <c r="CN51" s="73">
        <f t="shared" si="55"/>
        <v>96000</v>
      </c>
      <c r="CO51" s="72">
        <f>$M51*($C51/$K$2665)*IF($O$2614=1,$F$2614/$G51,1)*$R51</f>
        <v>0.70778414132451406</v>
      </c>
      <c r="CP51" s="72">
        <f>$M51*(1+$S51)*($C51/$L$2665)*IF($O$2614=1,$F$2614/$H51,1)*$R51</f>
        <v>0.71017552141345364</v>
      </c>
      <c r="CQ51" s="73">
        <f t="shared" si="56"/>
        <v>67947.277567153345</v>
      </c>
      <c r="CR51" s="73">
        <f t="shared" si="57"/>
        <v>68176.850055691553</v>
      </c>
      <c r="CS51" s="73">
        <f t="shared" si="58"/>
        <v>0</v>
      </c>
      <c r="CT51" s="272">
        <f t="shared" si="59"/>
        <v>0</v>
      </c>
      <c r="CU51" s="75">
        <f t="shared" si="60"/>
        <v>0</v>
      </c>
      <c r="CV51" s="75">
        <f t="shared" si="61"/>
        <v>0</v>
      </c>
      <c r="CW51" s="273" t="str">
        <f t="shared" si="62"/>
        <v/>
      </c>
      <c r="CX51" s="274" t="str">
        <f t="shared" si="63"/>
        <v/>
      </c>
      <c r="CY51" s="6" t="str">
        <f t="shared" si="64"/>
        <v/>
      </c>
      <c r="CZ51" s="273" t="str">
        <f t="shared" si="65"/>
        <v/>
      </c>
      <c r="DA51" s="274" t="str">
        <f t="shared" si="66"/>
        <v/>
      </c>
      <c r="DB51" s="6" t="str">
        <f t="shared" si="67"/>
        <v/>
      </c>
      <c r="DC51" s="273" t="str">
        <f t="shared" si="68"/>
        <v/>
      </c>
      <c r="DD51" s="274" t="str">
        <f t="shared" si="69"/>
        <v/>
      </c>
      <c r="DE51" s="6" t="str">
        <f t="shared" si="70"/>
        <v/>
      </c>
      <c r="DF51" s="273" t="str">
        <f t="shared" si="71"/>
        <v/>
      </c>
      <c r="DG51" s="274" t="str">
        <f t="shared" si="72"/>
        <v/>
      </c>
      <c r="DH51" s="6" t="str">
        <f t="shared" si="73"/>
        <v/>
      </c>
    </row>
    <row r="52" spans="1:112" x14ac:dyDescent="0.3">
      <c r="A52" s="6" t="str">
        <f>$A$2668</f>
        <v>SBA|IL</v>
      </c>
      <c r="B52" s="75">
        <f>$C$2668</f>
        <v>12</v>
      </c>
      <c r="C52" s="73">
        <f>$B$2719</f>
        <v>1</v>
      </c>
      <c r="D52" s="73">
        <f>$C$2719</f>
        <v>1.0081249999999999</v>
      </c>
      <c r="E52" s="73">
        <f>$D$2719</f>
        <v>1.056875</v>
      </c>
      <c r="F52" s="73">
        <f>$E$2719</f>
        <v>1.0649999999999999</v>
      </c>
      <c r="G52" s="224">
        <f>$F$2719</f>
        <v>0.99199580598103554</v>
      </c>
      <c r="H52" s="224">
        <f>$G$2719</f>
        <v>0.99865635637004624</v>
      </c>
      <c r="I52" s="73">
        <f t="shared" si="37"/>
        <v>0.94618568894145472</v>
      </c>
      <c r="J52" s="73">
        <f t="shared" si="38"/>
        <v>0.93896713615023475</v>
      </c>
      <c r="K52" s="73">
        <f>IF($L$2668,1,IF(AND(nr_ModAdjMaster="ON",INDEX(lr_modadj,49)="ON"),$F$2668/$G52,1))</f>
        <v>1.0080687780842468</v>
      </c>
      <c r="L52" s="73">
        <f>IF($L$2668,1,IF(AND(nr_ModAdjMaster="ON",INDEX(lr_modadj,49)="ON"),$F$2668/$H52,1))</f>
        <v>1.0013454514372069</v>
      </c>
      <c r="M52" s="72">
        <f>IF(INDEX(lr_basis,49)="proposed",N(INDEX(lr_lrproj,49))*(1+N(INDEX(lr_s,49))),N(INDEX(lr_lrproj,49)))</f>
        <v>0.68400000000000005</v>
      </c>
      <c r="N52" s="72">
        <f t="shared" si="39"/>
        <v>0.65241305188373733</v>
      </c>
      <c r="O52" s="72">
        <f t="shared" si="40"/>
        <v>0.64311764204981181</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1">
        <f>N(INDEX(lr_ep,49))</f>
        <v>80000</v>
      </c>
      <c r="W52" s="73">
        <f>N(INDEX(lr_mind,49))*$V52</f>
        <v>80000</v>
      </c>
      <c r="X52" s="73">
        <f>N(INDEX(lr_m0,49))*$V52</f>
        <v>79200</v>
      </c>
      <c r="Y52" s="73">
        <f>N(INDEX(lr_m1,49))*$V52</f>
        <v>80000</v>
      </c>
      <c r="Z52" s="73">
        <f t="shared" si="43"/>
        <v>80000</v>
      </c>
      <c r="AA52" s="73">
        <f t="shared" si="44"/>
        <v>84550</v>
      </c>
      <c r="AB52" s="73">
        <f t="shared" si="45"/>
        <v>75694.855115316372</v>
      </c>
      <c r="AC52" s="73">
        <f t="shared" si="46"/>
        <v>79359.664478482839</v>
      </c>
      <c r="AD52" s="73">
        <f t="shared" si="47"/>
        <v>80645.502246739736</v>
      </c>
      <c r="AE52" s="73">
        <f t="shared" si="48"/>
        <v>54720.000000000007</v>
      </c>
      <c r="AF52" s="73">
        <f t="shared" si="49"/>
        <v>52193.044150698988</v>
      </c>
      <c r="AG52" s="73">
        <f t="shared" si="50"/>
        <v>0</v>
      </c>
      <c r="AH52" s="73">
        <f t="shared" si="51"/>
        <v>75117.370892018778</v>
      </c>
      <c r="AI52" s="73">
        <f t="shared" si="52"/>
        <v>80107.636114976543</v>
      </c>
      <c r="AJ52" s="73">
        <f t="shared" si="53"/>
        <v>51449.411363984946</v>
      </c>
      <c r="AK52" s="75">
        <f>IF($L$2668,1,0)</f>
        <v>0</v>
      </c>
      <c r="AL52" s="72">
        <f>IF($L$2668,$M$2668,0)</f>
        <v>0</v>
      </c>
      <c r="AM52" s="73">
        <f>$N$2695/$N$2683*IF($O$2668=1,$O$2695/$O$2683,1)-1</f>
        <v>7.364111769347903E-2</v>
      </c>
      <c r="AN52" s="73">
        <f>$N$2696/$N$2684*IF($O$2668=1,$O$2696/$O$2684,1)-1</f>
        <v>7.3635454848383741E-2</v>
      </c>
      <c r="AO52" s="73">
        <f>$N$2697/$N$2685*IF($O$2668=1,$O$2697/$O$2685,1)-1</f>
        <v>7.3629799420572795E-2</v>
      </c>
      <c r="AP52" s="73">
        <f>$N$2698/$N$2686*IF($O$2668=1,$O$2698/$O$2686,1)-1</f>
        <v>7.3623960066555583E-2</v>
      </c>
      <c r="AQ52" s="73">
        <f>$N$2699/$N$2687*IF($O$2668=1,$O$2699/$O$2687,1)-1</f>
        <v>7.3618128609592937E-2</v>
      </c>
      <c r="AR52" s="73">
        <f>$N$2700/$N$2688*IF($O$2668=1,$O$2700/$O$2688,1)-1</f>
        <v>7.3612305033675884E-2</v>
      </c>
      <c r="AS52" s="73">
        <f>$N$2701/$N$2689*IF($O$2668=1,$O$2701/$O$2689,1)-1</f>
        <v>8.0812106317735832E-3</v>
      </c>
      <c r="AT52" s="73">
        <f>$N$2702/$N$2690*IF($O$2668=1,$O$2702/$O$2690,1)-1</f>
        <v>8.0756679019857724E-3</v>
      </c>
      <c r="AU52" s="73">
        <f>$N$2703/$N$2691*IF($O$2668=1,$O$2703/$O$2691,1)-1</f>
        <v>8.0702219863801883E-3</v>
      </c>
      <c r="AV52" s="73">
        <f>$N$2704/$N$2692*IF($O$2668=1,$O$2704/$O$2692,1)-1</f>
        <v>8.0647834108511507E-3</v>
      </c>
      <c r="AW52" s="73">
        <f>$N$2705/$N$2693*IF($O$2668=1,$O$2705/$O$2693,1)-1</f>
        <v>8.0593521605687446E-3</v>
      </c>
      <c r="AX52" s="73">
        <f>$N$2706/$N$2694*IF($O$2668=1,$O$2706/$O$2694,1)-1</f>
        <v>8.0539282207439111E-3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8.1137255337830894E-3</v>
      </c>
      <c r="BL52" s="73">
        <f>$O$2696/$O$2684-1</f>
        <v>8.1084083083415859E-3</v>
      </c>
      <c r="BM52" s="73">
        <f>$O$2697/$O$2685-1</f>
        <v>8.1030980474863235E-3</v>
      </c>
      <c r="BN52" s="73">
        <f>$O$2698/$O$2686-1</f>
        <v>8.0976150859677354E-3</v>
      </c>
      <c r="BO52" s="73">
        <f>$O$2699/$O$2687-1</f>
        <v>8.0921395395239237E-3</v>
      </c>
      <c r="BP52" s="73">
        <f>$O$2700/$O$2688-1</f>
        <v>8.0866713931229128E-3</v>
      </c>
      <c r="BQ52" s="73">
        <f>$O$2701/$O$2689-1</f>
        <v>8.0812106317735832E-3</v>
      </c>
      <c r="BR52" s="73">
        <f>$O$2702/$O$2690-1</f>
        <v>8.0756679019857724E-3</v>
      </c>
      <c r="BS52" s="73">
        <f>$O$2703/$O$2691-1</f>
        <v>8.0702219863801883E-3</v>
      </c>
      <c r="BT52" s="73">
        <f>$O$2704/$O$2692-1</f>
        <v>8.0647834108511507E-3</v>
      </c>
      <c r="BU52" s="73">
        <f>$O$2705/$O$2693-1</f>
        <v>8.0593521605687446E-3</v>
      </c>
      <c r="BV52" s="73">
        <f>$O$2706/$O$2694-1</f>
        <v>8.0539282207439111E-3</v>
      </c>
      <c r="BW52" s="73">
        <f>$V52*$H$2695</f>
        <v>80000</v>
      </c>
      <c r="BX52" s="73">
        <f>$V52*$H$2696</f>
        <v>80000</v>
      </c>
      <c r="BY52" s="73">
        <f>$V52*$H$2697</f>
        <v>80000</v>
      </c>
      <c r="BZ52" s="73">
        <f>$V52*$H$2698</f>
        <v>80000</v>
      </c>
      <c r="CA52" s="73">
        <f>$V52*$H$2699</f>
        <v>80000</v>
      </c>
      <c r="CB52" s="73">
        <f>$V52*$H$2700</f>
        <v>80000</v>
      </c>
      <c r="CC52" s="73">
        <f>$V52*$H$2701</f>
        <v>80000</v>
      </c>
      <c r="CD52" s="73">
        <f>$V52*$H$2702</f>
        <v>80000</v>
      </c>
      <c r="CE52" s="73">
        <f>$V52*$H$2703</f>
        <v>80000</v>
      </c>
      <c r="CF52" s="73">
        <f>$V52*$H$2704</f>
        <v>80000</v>
      </c>
      <c r="CG52" s="73">
        <f>$V52*$H$2705</f>
        <v>80000</v>
      </c>
      <c r="CH52" s="73">
        <f>$V52*$H$2706</f>
        <v>80000</v>
      </c>
      <c r="CI52" s="75">
        <f>$O$2668</f>
        <v>1</v>
      </c>
      <c r="CJ52" s="73">
        <f>$H$2719</f>
        <v>1.0325</v>
      </c>
      <c r="CK52" s="73">
        <f>$I$2719</f>
        <v>1.0080839018517107</v>
      </c>
      <c r="CL52" s="73">
        <f>$J$2719</f>
        <v>1.0408471608320469</v>
      </c>
      <c r="CM52" s="73">
        <f t="shared" si="54"/>
        <v>0</v>
      </c>
      <c r="CN52" s="73">
        <f t="shared" si="55"/>
        <v>80000</v>
      </c>
      <c r="CO52" s="72">
        <f>$M52*($C52/$K$2719)*IF($O$2668=1,$F$2668/$G52,1)*$R52</f>
        <v>0.65241305188373733</v>
      </c>
      <c r="CP52" s="72">
        <f>$M52*(1+$S52)*($C52/$L$2719)*IF($O$2668=1,$F$2668/$H52,1)*$R52</f>
        <v>0.64311764204981181</v>
      </c>
      <c r="CQ52" s="73">
        <f t="shared" si="56"/>
        <v>52193.044150698988</v>
      </c>
      <c r="CR52" s="73">
        <f t="shared" si="57"/>
        <v>51449.411363984946</v>
      </c>
      <c r="CS52" s="73">
        <f t="shared" si="58"/>
        <v>0</v>
      </c>
      <c r="CT52" s="272">
        <f t="shared" si="59"/>
        <v>0</v>
      </c>
      <c r="CU52" s="75">
        <f t="shared" si="60"/>
        <v>0</v>
      </c>
      <c r="CV52" s="75">
        <f t="shared" si="61"/>
        <v>1</v>
      </c>
      <c r="CW52" s="273">
        <f t="shared" si="62"/>
        <v>46204</v>
      </c>
      <c r="CX52" s="274">
        <f t="shared" si="63"/>
        <v>6.5000000000000002E-2</v>
      </c>
      <c r="CY52" s="6" t="str">
        <f t="shared" si="64"/>
        <v>P*</v>
      </c>
      <c r="CZ52" s="273" t="str">
        <f t="shared" si="65"/>
        <v/>
      </c>
      <c r="DA52" s="274" t="str">
        <f t="shared" si="66"/>
        <v/>
      </c>
      <c r="DB52" s="6" t="str">
        <f t="shared" si="67"/>
        <v/>
      </c>
      <c r="DC52" s="273" t="str">
        <f t="shared" si="68"/>
        <v/>
      </c>
      <c r="DD52" s="274" t="str">
        <f t="shared" si="69"/>
        <v/>
      </c>
      <c r="DE52" s="6" t="str">
        <f t="shared" si="70"/>
        <v/>
      </c>
      <c r="DF52" s="273" t="str">
        <f t="shared" si="71"/>
        <v/>
      </c>
      <c r="DG52" s="274" t="str">
        <f t="shared" si="72"/>
        <v/>
      </c>
      <c r="DH52" s="6" t="str">
        <f t="shared" si="73"/>
        <v/>
      </c>
    </row>
    <row r="53" spans="1:112" x14ac:dyDescent="0.3">
      <c r="A53" s="6" t="str">
        <f>$A$2722</f>
        <v>SBA|IN</v>
      </c>
      <c r="B53" s="75">
        <f>$C$2722</f>
        <v>12</v>
      </c>
      <c r="C53" s="73">
        <f>$B$2773</f>
        <v>1.06</v>
      </c>
      <c r="D53" s="73">
        <f>$C$2773</f>
        <v>1.0252083333333335</v>
      </c>
      <c r="E53" s="73">
        <f>$D$2773</f>
        <v>1.0611166666666667</v>
      </c>
      <c r="F53" s="73">
        <f>$E$2773</f>
        <v>1.0904750000000003</v>
      </c>
      <c r="G53" s="224">
        <f>$F$2773</f>
        <v>0.98800419401896411</v>
      </c>
      <c r="H53" s="224">
        <f>$G$2773</f>
        <v>0.98134364362995397</v>
      </c>
      <c r="I53" s="73">
        <f t="shared" si="37"/>
        <v>0.99894764948874615</v>
      </c>
      <c r="J53" s="73">
        <f t="shared" si="38"/>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0.66800000000000004</v>
      </c>
      <c r="N53" s="72">
        <f t="shared" si="39"/>
        <v>0.67539898504284501</v>
      </c>
      <c r="O53" s="72">
        <f t="shared" si="40"/>
        <v>0.66167617985721527</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1">
        <f>N(INDEX(lr_ep,50))</f>
        <v>64000</v>
      </c>
      <c r="W53" s="73">
        <f>N(INDEX(lr_mind,50))*$V53</f>
        <v>64000</v>
      </c>
      <c r="X53" s="73">
        <f>N(INDEX(lr_m0,50))*$V53</f>
        <v>63360</v>
      </c>
      <c r="Y53" s="73">
        <f>N(INDEX(lr_m1,50))*$V53</f>
        <v>62720</v>
      </c>
      <c r="Z53" s="73">
        <f t="shared" si="43"/>
        <v>67840</v>
      </c>
      <c r="AA53" s="73">
        <f t="shared" si="44"/>
        <v>67911.466666666674</v>
      </c>
      <c r="AB53" s="73">
        <f t="shared" si="45"/>
        <v>63932.649567279754</v>
      </c>
      <c r="AC53" s="73">
        <f t="shared" si="46"/>
        <v>63232.268417213701</v>
      </c>
      <c r="AD53" s="73">
        <f t="shared" si="47"/>
        <v>64777.05295932333</v>
      </c>
      <c r="AE53" s="73">
        <f t="shared" si="48"/>
        <v>42752</v>
      </c>
      <c r="AF53" s="73">
        <f t="shared" si="49"/>
        <v>43225.535042742078</v>
      </c>
      <c r="AG53" s="73">
        <f t="shared" si="50"/>
        <v>0</v>
      </c>
      <c r="AH53" s="73">
        <f t="shared" si="51"/>
        <v>62211.421628189535</v>
      </c>
      <c r="AI53" s="73">
        <f t="shared" si="52"/>
        <v>65216.706110477629</v>
      </c>
      <c r="AJ53" s="73">
        <f t="shared" si="53"/>
        <v>42347.275510861778</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64000</v>
      </c>
      <c r="BX53" s="73">
        <f>$V53*$H$2750</f>
        <v>64000</v>
      </c>
      <c r="BY53" s="73">
        <f>$V53*$H$2751</f>
        <v>64000</v>
      </c>
      <c r="BZ53" s="73">
        <f>$V53*$H$2752</f>
        <v>64000</v>
      </c>
      <c r="CA53" s="73">
        <f>$V53*$H$2753</f>
        <v>64000</v>
      </c>
      <c r="CB53" s="73">
        <f>$V53*$H$2754</f>
        <v>64000</v>
      </c>
      <c r="CC53" s="73">
        <f>$V53*$H$2755</f>
        <v>64000</v>
      </c>
      <c r="CD53" s="73">
        <f>$V53*$H$2756</f>
        <v>64000</v>
      </c>
      <c r="CE53" s="73">
        <f>$V53*$H$2757</f>
        <v>64000</v>
      </c>
      <c r="CF53" s="73">
        <f>$V53*$H$2758</f>
        <v>64000</v>
      </c>
      <c r="CG53" s="73">
        <f>$V53*$H$2759</f>
        <v>64000</v>
      </c>
      <c r="CH53" s="73">
        <f>$V53*$H$2760</f>
        <v>64000</v>
      </c>
      <c r="CI53" s="75">
        <f>$O$2722</f>
        <v>1</v>
      </c>
      <c r="CJ53" s="73">
        <f>$H$2773</f>
        <v>1.0149999999999999</v>
      </c>
      <c r="CK53" s="73">
        <f>$I$2773</f>
        <v>0.99194865631796525</v>
      </c>
      <c r="CL53" s="73">
        <f>$J$2773</f>
        <v>1.0068277892716961</v>
      </c>
      <c r="CM53" s="73">
        <f t="shared" si="54"/>
        <v>0</v>
      </c>
      <c r="CN53" s="73">
        <f t="shared" si="55"/>
        <v>64000</v>
      </c>
      <c r="CO53" s="72">
        <f>$M53*($C53/$K$2773)*IF($O$2722=1,$F$2722/$G53,1)*$R53</f>
        <v>0.67539898504284501</v>
      </c>
      <c r="CP53" s="72">
        <f>$M53*(1+$S53)*($C53/$L$2773)*IF($O$2722=1,$F$2722/$H53,1)*$R53</f>
        <v>0.66167617985721527</v>
      </c>
      <c r="CQ53" s="73">
        <f t="shared" si="56"/>
        <v>43225.535042742078</v>
      </c>
      <c r="CR53" s="73">
        <f t="shared" si="57"/>
        <v>42347.275510861778</v>
      </c>
      <c r="CS53" s="73">
        <f t="shared" si="58"/>
        <v>0</v>
      </c>
      <c r="CT53" s="272">
        <f t="shared" si="59"/>
        <v>0</v>
      </c>
      <c r="CU53" s="75">
        <f t="shared" si="60"/>
        <v>1</v>
      </c>
      <c r="CV53" s="75">
        <f t="shared" si="61"/>
        <v>1</v>
      </c>
      <c r="CW53" s="273">
        <f t="shared" si="62"/>
        <v>46054</v>
      </c>
      <c r="CX53" s="274">
        <f t="shared" si="63"/>
        <v>0.06</v>
      </c>
      <c r="CY53" s="6" t="str">
        <f t="shared" si="64"/>
        <v>T</v>
      </c>
      <c r="CZ53" s="273">
        <f t="shared" si="65"/>
        <v>46661</v>
      </c>
      <c r="DA53" s="274">
        <f t="shared" si="66"/>
        <v>0.04</v>
      </c>
      <c r="DB53" s="6" t="str">
        <f t="shared" si="67"/>
        <v>P*</v>
      </c>
      <c r="DC53" s="273" t="str">
        <f t="shared" si="68"/>
        <v/>
      </c>
      <c r="DD53" s="274" t="str">
        <f t="shared" si="69"/>
        <v/>
      </c>
      <c r="DE53" s="6" t="str">
        <f t="shared" si="70"/>
        <v/>
      </c>
      <c r="DF53" s="273" t="str">
        <f t="shared" si="71"/>
        <v/>
      </c>
      <c r="DG53" s="274" t="str">
        <f t="shared" si="72"/>
        <v/>
      </c>
      <c r="DH53" s="6" t="str">
        <f t="shared" si="73"/>
        <v/>
      </c>
    </row>
    <row r="54" spans="1:112" x14ac:dyDescent="0.3">
      <c r="A54" s="6" t="str">
        <f>$A$2776</f>
        <v>SBA|KY</v>
      </c>
      <c r="B54" s="75">
        <f>$C$2776</f>
        <v>12</v>
      </c>
      <c r="C54" s="73">
        <f>$B$2827</f>
        <v>1</v>
      </c>
      <c r="D54" s="73">
        <f>$C$2827</f>
        <v>0.99009932682956492</v>
      </c>
      <c r="E54" s="73">
        <f>$D$2827</f>
        <v>1.0634902257324341</v>
      </c>
      <c r="F54" s="73">
        <f>$E$2827</f>
        <v>1.1698392483056774</v>
      </c>
      <c r="G54" s="224">
        <f>$F$2827</f>
        <v>0.99099790299051793</v>
      </c>
      <c r="H54" s="224">
        <f>$G$2827</f>
        <v>0.99432817818502306</v>
      </c>
      <c r="I54" s="73">
        <f t="shared" si="37"/>
        <v>0.94030013234140641</v>
      </c>
      <c r="J54" s="73">
        <f t="shared" si="38"/>
        <v>0.85481830212855137</v>
      </c>
      <c r="K54" s="73">
        <f>IF($L$2776,1,IF(AND(nr_ModAdjMaster="ON",INDEX(lr_modadj,51)="ON"),$F$2776/$G54,1))</f>
        <v>1</v>
      </c>
      <c r="L54" s="73">
        <f>IF($L$2776,1,IF(AND(nr_ModAdjMaster="ON",INDEX(lr_modadj,51)="ON"),$F$2776/$H54,1))</f>
        <v>1</v>
      </c>
      <c r="M54" s="72">
        <f>IF(INDEX(lr_basis,51)="proposed",N(INDEX(lr_lrproj,51))*(1+N(INDEX(lr_s,51))),N(INDEX(lr_lrproj,51)))</f>
        <v>0.69599999999999995</v>
      </c>
      <c r="N54" s="72">
        <f t="shared" si="39"/>
        <v>0.65444889210961887</v>
      </c>
      <c r="O54" s="72">
        <f t="shared" si="40"/>
        <v>0.59495353828147168</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71">
        <f>N(INDEX(lr_ep,51))</f>
        <v>48000</v>
      </c>
      <c r="W54" s="73">
        <f>N(INDEX(lr_mind,51))*$V54</f>
        <v>48000</v>
      </c>
      <c r="X54" s="73">
        <f>N(INDEX(lr_m0,51))*$V54</f>
        <v>47520</v>
      </c>
      <c r="Y54" s="73">
        <f>N(INDEX(lr_m1,51))*$V54</f>
        <v>47760</v>
      </c>
      <c r="Z54" s="73">
        <f t="shared" si="43"/>
        <v>48000</v>
      </c>
      <c r="AA54" s="73">
        <f t="shared" si="44"/>
        <v>51047.530835156838</v>
      </c>
      <c r="AB54" s="73">
        <f t="shared" si="45"/>
        <v>45134.406352387508</v>
      </c>
      <c r="AC54" s="73">
        <f t="shared" si="46"/>
        <v>47567.899343544857</v>
      </c>
      <c r="AD54" s="73">
        <f t="shared" si="47"/>
        <v>48000</v>
      </c>
      <c r="AE54" s="73">
        <f t="shared" si="48"/>
        <v>33408</v>
      </c>
      <c r="AF54" s="73">
        <f t="shared" si="49"/>
        <v>31413.546821261705</v>
      </c>
      <c r="AG54" s="73">
        <f t="shared" si="50"/>
        <v>0</v>
      </c>
      <c r="AH54" s="73">
        <f t="shared" si="51"/>
        <v>41031.278502170462</v>
      </c>
      <c r="AI54" s="73">
        <f t="shared" si="52"/>
        <v>48000</v>
      </c>
      <c r="AJ54" s="73">
        <f t="shared" si="53"/>
        <v>28557.769837510641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48000</v>
      </c>
      <c r="BX54" s="73">
        <f>$V54*$H$2804</f>
        <v>48000</v>
      </c>
      <c r="BY54" s="73">
        <f>$V54*$H$2805</f>
        <v>48000</v>
      </c>
      <c r="BZ54" s="73">
        <f>$V54*$H$2806</f>
        <v>48000</v>
      </c>
      <c r="CA54" s="73">
        <f>$V54*$H$2807</f>
        <v>48000</v>
      </c>
      <c r="CB54" s="73">
        <f>$V54*$H$2808</f>
        <v>48000</v>
      </c>
      <c r="CC54" s="73">
        <f>$V54*$H$2809</f>
        <v>48000</v>
      </c>
      <c r="CD54" s="73">
        <f>$V54*$H$2810</f>
        <v>48000</v>
      </c>
      <c r="CE54" s="73">
        <f>$V54*$H$2811</f>
        <v>48000</v>
      </c>
      <c r="CF54" s="73">
        <f>$V54*$H$2812</f>
        <v>48000</v>
      </c>
      <c r="CG54" s="73">
        <f>$V54*$H$2813</f>
        <v>48000</v>
      </c>
      <c r="CH54" s="73">
        <f>$V54*$H$2814</f>
        <v>48000</v>
      </c>
      <c r="CI54" s="75">
        <f>$O$2776</f>
        <v>1</v>
      </c>
      <c r="CJ54" s="73">
        <f>$H$2827</f>
        <v>1.107</v>
      </c>
      <c r="CK54" s="73">
        <f>$I$2827</f>
        <v>1.004037852440528</v>
      </c>
      <c r="CL54" s="73">
        <f>$J$2827</f>
        <v>1.1114699947760565</v>
      </c>
      <c r="CM54" s="73">
        <f t="shared" si="54"/>
        <v>1.1469994776056452E-2</v>
      </c>
      <c r="CN54" s="73">
        <f t="shared" si="55"/>
        <v>48000</v>
      </c>
      <c r="CO54" s="72">
        <f>$M54*($C54/$K$2827)*IF($O$2776=1,$F$2776/$G54,1)*$R54</f>
        <v>0.6477494804186984</v>
      </c>
      <c r="CP54" s="72">
        <f>$M54*(1+$S54)*($C54/$L$2827)*IF($O$2776=1,$F$2776/$H54,1)*$R54</f>
        <v>0.61259827652591903</v>
      </c>
      <c r="CQ54" s="73">
        <f t="shared" si="56"/>
        <v>31091.975060097524</v>
      </c>
      <c r="CR54" s="73">
        <f t="shared" si="57"/>
        <v>29404.717273244114</v>
      </c>
      <c r="CS54" s="73">
        <f t="shared" si="58"/>
        <v>0</v>
      </c>
      <c r="CT54" s="272">
        <f t="shared" si="59"/>
        <v>-0.66994116909204759</v>
      </c>
      <c r="CU54" s="75">
        <f t="shared" si="60"/>
        <v>1</v>
      </c>
      <c r="CV54" s="75">
        <f t="shared" si="61"/>
        <v>1</v>
      </c>
      <c r="CW54" s="273">
        <f t="shared" si="62"/>
        <v>46296</v>
      </c>
      <c r="CX54" s="274">
        <f t="shared" si="63"/>
        <v>0.1</v>
      </c>
      <c r="CY54" s="6" t="str">
        <f t="shared" si="64"/>
        <v>T*</v>
      </c>
      <c r="CZ54" s="273">
        <f t="shared" si="65"/>
        <v>46478</v>
      </c>
      <c r="DA54" s="274">
        <f t="shared" si="66"/>
        <v>0.04</v>
      </c>
      <c r="DB54" s="6" t="str">
        <f t="shared" si="67"/>
        <v>P*</v>
      </c>
      <c r="DC54" s="273" t="str">
        <f t="shared" si="68"/>
        <v/>
      </c>
      <c r="DD54" s="274" t="str">
        <f t="shared" si="69"/>
        <v/>
      </c>
      <c r="DE54" s="6" t="str">
        <f t="shared" si="70"/>
        <v/>
      </c>
      <c r="DF54" s="273" t="str">
        <f t="shared" si="71"/>
        <v/>
      </c>
      <c r="DG54" s="274" t="str">
        <f t="shared" si="72"/>
        <v/>
      </c>
      <c r="DH54" s="6" t="str">
        <f t="shared" si="73"/>
        <v/>
      </c>
    </row>
    <row r="55" spans="1:112" x14ac:dyDescent="0.3">
      <c r="A55" s="6" t="str">
        <f>$A$2830</f>
        <v>SBA|MD</v>
      </c>
      <c r="B55" s="75">
        <f>$C$2830</f>
        <v>12</v>
      </c>
      <c r="C55" s="73">
        <f>$B$2881</f>
        <v>1.03</v>
      </c>
      <c r="D55" s="73">
        <f>$C$2881</f>
        <v>1.0084375000000003</v>
      </c>
      <c r="E55" s="73">
        <f>$D$2881</f>
        <v>1.0290625000000002</v>
      </c>
      <c r="F55" s="73">
        <f>$E$2881</f>
        <v>1.0300000000000002</v>
      </c>
      <c r="G55" s="224">
        <f>$F$2881</f>
        <v>0.99399161196207142</v>
      </c>
      <c r="H55" s="224">
        <f>$G$2881</f>
        <v>1.0073127127400925</v>
      </c>
      <c r="I55" s="73">
        <f t="shared" si="37"/>
        <v>1.0009110233829333</v>
      </c>
      <c r="J55" s="73">
        <f t="shared" si="38"/>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0.68</v>
      </c>
      <c r="N55" s="72">
        <f t="shared" si="39"/>
        <v>0.68473364132006942</v>
      </c>
      <c r="O55" s="72">
        <f t="shared" si="40"/>
        <v>0.67506345487317798</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1">
        <f>N(INDEX(lr_ep,52))</f>
        <v>32000</v>
      </c>
      <c r="W55" s="73">
        <f>N(INDEX(lr_mind,52))*$V55</f>
        <v>32000</v>
      </c>
      <c r="X55" s="73">
        <f>N(INDEX(lr_m0,52))*$V55</f>
        <v>31680</v>
      </c>
      <c r="Y55" s="73">
        <f>N(INDEX(lr_m1,52))*$V55</f>
        <v>32320</v>
      </c>
      <c r="Z55" s="73">
        <f t="shared" si="43"/>
        <v>32960</v>
      </c>
      <c r="AA55" s="73">
        <f t="shared" si="44"/>
        <v>32930.000000000007</v>
      </c>
      <c r="AB55" s="73">
        <f t="shared" si="45"/>
        <v>32029.152748253866</v>
      </c>
      <c r="AC55" s="73">
        <f t="shared" si="46"/>
        <v>31807.731582786284</v>
      </c>
      <c r="AD55" s="73">
        <f t="shared" si="47"/>
        <v>32193.430623457873</v>
      </c>
      <c r="AE55" s="73">
        <f t="shared" si="48"/>
        <v>21760</v>
      </c>
      <c r="AF55" s="73">
        <f t="shared" si="49"/>
        <v>21911.476522242221</v>
      </c>
      <c r="AG55" s="73">
        <f t="shared" si="50"/>
        <v>0</v>
      </c>
      <c r="AH55" s="73">
        <f t="shared" si="51"/>
        <v>31999.999999999993</v>
      </c>
      <c r="AI55" s="73">
        <f t="shared" si="52"/>
        <v>31767.691994031909</v>
      </c>
      <c r="AJ55" s="73">
        <f t="shared" si="53"/>
        <v>21602.030555941696</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32000</v>
      </c>
      <c r="BX55" s="73">
        <f>$V55*$H$2858</f>
        <v>32000</v>
      </c>
      <c r="BY55" s="73">
        <f>$V55*$H$2859</f>
        <v>32000</v>
      </c>
      <c r="BZ55" s="73">
        <f>$V55*$H$2860</f>
        <v>32000</v>
      </c>
      <c r="CA55" s="73">
        <f>$V55*$H$2861</f>
        <v>32000</v>
      </c>
      <c r="CB55" s="73">
        <f>$V55*$H$2862</f>
        <v>32000</v>
      </c>
      <c r="CC55" s="73">
        <f>$V55*$H$2863</f>
        <v>32000</v>
      </c>
      <c r="CD55" s="73">
        <f>$V55*$H$2864</f>
        <v>32000</v>
      </c>
      <c r="CE55" s="73">
        <f>$V55*$H$2865</f>
        <v>32000</v>
      </c>
      <c r="CF55" s="73">
        <f>$V55*$H$2866</f>
        <v>32000</v>
      </c>
      <c r="CG55" s="73">
        <f>$V55*$H$2867</f>
        <v>32000</v>
      </c>
      <c r="CH55" s="73">
        <f>$V55*$H$2868</f>
        <v>32000</v>
      </c>
      <c r="CI55" s="75">
        <f>$O$2830</f>
        <v>1</v>
      </c>
      <c r="CJ55" s="73">
        <f>$H$2881</f>
        <v>1.0075000000000001</v>
      </c>
      <c r="CK55" s="73">
        <f>$I$2881</f>
        <v>1.0162008242959635</v>
      </c>
      <c r="CL55" s="73">
        <f>$J$2881</f>
        <v>1.0238230697317869</v>
      </c>
      <c r="CM55" s="73">
        <f t="shared" si="54"/>
        <v>0</v>
      </c>
      <c r="CN55" s="73">
        <f t="shared" si="55"/>
        <v>32000</v>
      </c>
      <c r="CO55" s="72">
        <f>$M55*($C55/$K$2881)*IF($O$2830=1,$F$2830/$G55,1)*$R55</f>
        <v>0.68473364132006942</v>
      </c>
      <c r="CP55" s="72">
        <f>$M55*(1+$S55)*($C55/$L$2881)*IF($O$2830=1,$F$2830/$H55,1)*$R55</f>
        <v>0.67506345487317798</v>
      </c>
      <c r="CQ55" s="73">
        <f t="shared" si="56"/>
        <v>21911.476522242221</v>
      </c>
      <c r="CR55" s="73">
        <f t="shared" si="57"/>
        <v>21602.030555941696</v>
      </c>
      <c r="CS55" s="73">
        <f t="shared" si="58"/>
        <v>0</v>
      </c>
      <c r="CT55" s="272">
        <f t="shared" si="59"/>
        <v>0</v>
      </c>
      <c r="CU55" s="75">
        <f t="shared" si="60"/>
        <v>1</v>
      </c>
      <c r="CV55" s="75">
        <f t="shared" si="61"/>
        <v>0</v>
      </c>
      <c r="CW55" s="273">
        <f t="shared" si="62"/>
        <v>46113</v>
      </c>
      <c r="CX55" s="274">
        <f t="shared" si="63"/>
        <v>0.03</v>
      </c>
      <c r="CY55" s="6" t="str">
        <f t="shared" si="64"/>
        <v>T</v>
      </c>
      <c r="CZ55" s="273" t="str">
        <f t="shared" si="65"/>
        <v/>
      </c>
      <c r="DA55" s="274" t="str">
        <f t="shared" si="66"/>
        <v/>
      </c>
      <c r="DB55" s="6" t="str">
        <f t="shared" si="67"/>
        <v/>
      </c>
      <c r="DC55" s="273" t="str">
        <f t="shared" si="68"/>
        <v/>
      </c>
      <c r="DD55" s="274" t="str">
        <f t="shared" si="69"/>
        <v/>
      </c>
      <c r="DE55" s="6" t="str">
        <f t="shared" si="70"/>
        <v/>
      </c>
      <c r="DF55" s="273" t="str">
        <f t="shared" si="71"/>
        <v/>
      </c>
      <c r="DG55" s="274" t="str">
        <f t="shared" si="72"/>
        <v/>
      </c>
      <c r="DH55" s="6" t="str">
        <f t="shared" si="73"/>
        <v/>
      </c>
    </row>
    <row r="56" spans="1:112" x14ac:dyDescent="0.3">
      <c r="A56" s="6" t="str">
        <f>$A$2884</f>
        <v>SBA|MI</v>
      </c>
      <c r="B56" s="75">
        <f>$C$2884</f>
        <v>12</v>
      </c>
      <c r="C56" s="73">
        <f>$B$2935</f>
        <v>1.04</v>
      </c>
      <c r="D56" s="73">
        <f>$C$2935</f>
        <v>1.0088888888888889</v>
      </c>
      <c r="E56" s="73">
        <f>$D$2935</f>
        <v>1.0377777777777779</v>
      </c>
      <c r="F56" s="73">
        <f>$E$2935</f>
        <v>1.0400000000000003</v>
      </c>
      <c r="G56" s="224">
        <f>$F$2935</f>
        <v>0.9900000000000001</v>
      </c>
      <c r="H56" s="224">
        <f>$G$2935</f>
        <v>0.9900000000000001</v>
      </c>
      <c r="I56" s="73">
        <f t="shared" si="37"/>
        <v>1.0021413276231264</v>
      </c>
      <c r="J56" s="73">
        <f t="shared" si="38"/>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0.66400000000000003</v>
      </c>
      <c r="N56" s="72">
        <f t="shared" si="39"/>
        <v>0.67214327428460185</v>
      </c>
      <c r="O56" s="72">
        <f t="shared" si="40"/>
        <v>0.67070707070707047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1">
        <f>N(INDEX(lr_ep,53))</f>
        <v>84000</v>
      </c>
      <c r="W56" s="73">
        <f>N(INDEX(lr_mind,53))*$V56</f>
        <v>84000</v>
      </c>
      <c r="X56" s="73">
        <f>N(INDEX(lr_m0,53))*$V56</f>
        <v>83160</v>
      </c>
      <c r="Y56" s="73">
        <f>N(INDEX(lr_m1,53))*$V56</f>
        <v>83160</v>
      </c>
      <c r="Z56" s="73">
        <f t="shared" si="43"/>
        <v>87360</v>
      </c>
      <c r="AA56" s="73">
        <f t="shared" si="44"/>
        <v>87173.333333333343</v>
      </c>
      <c r="AB56" s="73">
        <f t="shared" si="45"/>
        <v>84179.871520342611</v>
      </c>
      <c r="AC56" s="73">
        <f t="shared" si="46"/>
        <v>83160.000000000015</v>
      </c>
      <c r="AD56" s="73">
        <f t="shared" si="47"/>
        <v>84848.484848484833</v>
      </c>
      <c r="AE56" s="73">
        <f t="shared" si="48"/>
        <v>55776</v>
      </c>
      <c r="AF56" s="73">
        <f t="shared" si="49"/>
        <v>56460.035039906557</v>
      </c>
      <c r="AG56" s="73">
        <f t="shared" si="50"/>
        <v>0</v>
      </c>
      <c r="AH56" s="73">
        <f t="shared" si="51"/>
        <v>83999.999999999985</v>
      </c>
      <c r="AI56" s="73">
        <f t="shared" si="52"/>
        <v>84848.484848484833</v>
      </c>
      <c r="AJ56" s="73">
        <f t="shared" si="53"/>
        <v>56339.393939393922</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84000</v>
      </c>
      <c r="BX56" s="73">
        <f>$V56*$H$2912</f>
        <v>84000</v>
      </c>
      <c r="BY56" s="73">
        <f>$V56*$H$2913</f>
        <v>84000</v>
      </c>
      <c r="BZ56" s="73">
        <f>$V56*$H$2914</f>
        <v>84000</v>
      </c>
      <c r="CA56" s="73">
        <f>$V56*$H$2915</f>
        <v>84000</v>
      </c>
      <c r="CB56" s="73">
        <f>$V56*$H$2916</f>
        <v>84000</v>
      </c>
      <c r="CC56" s="73">
        <f>$V56*$H$2917</f>
        <v>84000</v>
      </c>
      <c r="CD56" s="73">
        <f>$V56*$H$2918</f>
        <v>84000</v>
      </c>
      <c r="CE56" s="73">
        <f>$V56*$H$2919</f>
        <v>84000</v>
      </c>
      <c r="CF56" s="73">
        <f>$V56*$H$2920</f>
        <v>84000</v>
      </c>
      <c r="CG56" s="73">
        <f>$V56*$H$2921</f>
        <v>84000</v>
      </c>
      <c r="CH56" s="73">
        <f>$V56*$H$2922</f>
        <v>84000</v>
      </c>
      <c r="CI56" s="75">
        <f>$O$2884</f>
        <v>1</v>
      </c>
      <c r="CJ56" s="73">
        <f>$H$2935</f>
        <v>1.0133333333333334</v>
      </c>
      <c r="CK56" s="73">
        <f>$I$2935</f>
        <v>1</v>
      </c>
      <c r="CL56" s="73">
        <f>$J$2935</f>
        <v>1.0133333333333334</v>
      </c>
      <c r="CM56" s="73">
        <f t="shared" si="54"/>
        <v>0</v>
      </c>
      <c r="CN56" s="73">
        <f t="shared" si="55"/>
        <v>84000</v>
      </c>
      <c r="CO56" s="72">
        <f>$M56*($C56/$K$2935)*IF($O$2884=1,$F$2884/$G56,1)*$R56</f>
        <v>0.67214327428460185</v>
      </c>
      <c r="CP56" s="72">
        <f>$M56*(1+$S56)*($C56/$L$2935)*IF($O$2884=1,$F$2884/$H56,1)*$R56</f>
        <v>0.67070707070707047</v>
      </c>
      <c r="CQ56" s="73">
        <f t="shared" si="56"/>
        <v>56460.035039906557</v>
      </c>
      <c r="CR56" s="73">
        <f t="shared" si="57"/>
        <v>56339.393939393922</v>
      </c>
      <c r="CS56" s="73">
        <f t="shared" si="58"/>
        <v>0</v>
      </c>
      <c r="CT56" s="272">
        <f t="shared" si="59"/>
        <v>0</v>
      </c>
      <c r="CU56" s="75">
        <f t="shared" si="60"/>
        <v>1</v>
      </c>
      <c r="CV56" s="75">
        <f t="shared" si="61"/>
        <v>0</v>
      </c>
      <c r="CW56" s="273">
        <f t="shared" si="62"/>
        <v>46143</v>
      </c>
      <c r="CX56" s="274">
        <f t="shared" si="63"/>
        <v>0.04</v>
      </c>
      <c r="CY56" s="6" t="str">
        <f t="shared" si="64"/>
        <v>T</v>
      </c>
      <c r="CZ56" s="273" t="str">
        <f t="shared" si="65"/>
        <v/>
      </c>
      <c r="DA56" s="274" t="str">
        <f t="shared" si="66"/>
        <v/>
      </c>
      <c r="DB56" s="6" t="str">
        <f t="shared" si="67"/>
        <v/>
      </c>
      <c r="DC56" s="273" t="str">
        <f t="shared" si="68"/>
        <v/>
      </c>
      <c r="DD56" s="274" t="str">
        <f t="shared" si="69"/>
        <v/>
      </c>
      <c r="DE56" s="6" t="str">
        <f t="shared" si="70"/>
        <v/>
      </c>
      <c r="DF56" s="273" t="str">
        <f t="shared" si="71"/>
        <v/>
      </c>
      <c r="DG56" s="274" t="str">
        <f t="shared" si="72"/>
        <v/>
      </c>
      <c r="DH56" s="6" t="str">
        <f t="shared" si="73"/>
        <v/>
      </c>
    </row>
    <row r="57" spans="1:112" x14ac:dyDescent="0.3">
      <c r="A57" s="6" t="str">
        <f>$A$2938</f>
        <v>SBA|MN</v>
      </c>
      <c r="B57" s="75">
        <f>$C$2938</f>
        <v>12</v>
      </c>
      <c r="C57" s="73">
        <f>$B$2989</f>
        <v>1</v>
      </c>
      <c r="D57" s="73">
        <f>$C$2989</f>
        <v>1</v>
      </c>
      <c r="E57" s="73">
        <f>$D$2989</f>
        <v>1.01125</v>
      </c>
      <c r="F57" s="73">
        <f>$E$2989</f>
        <v>1.0387500000000001</v>
      </c>
      <c r="G57" s="224">
        <f>$F$2989</f>
        <v>0.99299370897155337</v>
      </c>
      <c r="H57" s="224">
        <f>$G$2989</f>
        <v>1.002984534555069</v>
      </c>
      <c r="I57" s="73">
        <f t="shared" si="37"/>
        <v>0.9888751545117429</v>
      </c>
      <c r="J57" s="73">
        <f t="shared" si="38"/>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0.69199999999999995</v>
      </c>
      <c r="N57" s="72">
        <f t="shared" si="39"/>
        <v>0.68912985121613646</v>
      </c>
      <c r="O57" s="72">
        <f t="shared" si="40"/>
        <v>0.66420298214111995</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1">
        <f>N(INDEX(lr_ep,54))</f>
        <v>68000</v>
      </c>
      <c r="W57" s="73">
        <f>N(INDEX(lr_mind,54))*$V57</f>
        <v>68000</v>
      </c>
      <c r="X57" s="73">
        <f>N(INDEX(lr_m0,54))*$V57</f>
        <v>67320</v>
      </c>
      <c r="Y57" s="73">
        <f>N(INDEX(lr_m1,54))*$V57</f>
        <v>68340</v>
      </c>
      <c r="Z57" s="73">
        <f t="shared" si="43"/>
        <v>68000</v>
      </c>
      <c r="AA57" s="73">
        <f t="shared" si="44"/>
        <v>68765</v>
      </c>
      <c r="AB57" s="73">
        <f t="shared" si="45"/>
        <v>67243.510506798513</v>
      </c>
      <c r="AC57" s="73">
        <f t="shared" si="46"/>
        <v>67523.572210065628</v>
      </c>
      <c r="AD57" s="73">
        <f t="shared" si="47"/>
        <v>68479.789333638182</v>
      </c>
      <c r="AE57" s="73">
        <f t="shared" si="48"/>
        <v>47056</v>
      </c>
      <c r="AF57" s="73">
        <f t="shared" si="49"/>
        <v>46860.829882697282</v>
      </c>
      <c r="AG57" s="73">
        <f t="shared" si="50"/>
        <v>0</v>
      </c>
      <c r="AH57" s="73">
        <f t="shared" si="51"/>
        <v>65463.297232250297</v>
      </c>
      <c r="AI57" s="73">
        <f t="shared" si="52"/>
        <v>67797.655554245692</v>
      </c>
      <c r="AJ57" s="73">
        <f t="shared" si="53"/>
        <v>45165.802785596155</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68000</v>
      </c>
      <c r="BX57" s="73">
        <f>$V57*$H$2966</f>
        <v>68000</v>
      </c>
      <c r="BY57" s="73">
        <f>$V57*$H$2967</f>
        <v>68000</v>
      </c>
      <c r="BZ57" s="73">
        <f>$V57*$H$2968</f>
        <v>68000</v>
      </c>
      <c r="CA57" s="73">
        <f>$V57*$H$2969</f>
        <v>68000</v>
      </c>
      <c r="CB57" s="73">
        <f>$V57*$H$2970</f>
        <v>68000</v>
      </c>
      <c r="CC57" s="73">
        <f>$V57*$H$2971</f>
        <v>68000</v>
      </c>
      <c r="CD57" s="73">
        <f>$V57*$H$2972</f>
        <v>68000</v>
      </c>
      <c r="CE57" s="73">
        <f>$V57*$H$2973</f>
        <v>68000</v>
      </c>
      <c r="CF57" s="73">
        <f>$V57*$H$2974</f>
        <v>68000</v>
      </c>
      <c r="CG57" s="73">
        <f>$V57*$H$2975</f>
        <v>68000</v>
      </c>
      <c r="CH57" s="73">
        <f>$V57*$H$2976</f>
        <v>68000</v>
      </c>
      <c r="CI57" s="75">
        <f>$O$2938</f>
        <v>1</v>
      </c>
      <c r="CJ57" s="73">
        <f>$H$2989</f>
        <v>1.0299999999999996</v>
      </c>
      <c r="CK57" s="73">
        <f>$I$2989</f>
        <v>1.0121382062846183</v>
      </c>
      <c r="CL57" s="73">
        <f>$J$2989</f>
        <v>1.0425017995335548</v>
      </c>
      <c r="CM57" s="73">
        <f t="shared" si="54"/>
        <v>0</v>
      </c>
      <c r="CN57" s="73">
        <f t="shared" si="55"/>
        <v>68000</v>
      </c>
      <c r="CO57" s="72">
        <f>$M57*($C57/$K$2989)*IF($O$2938=1,$F$2938/$G57,1)*$R57</f>
        <v>0.68912985121613646</v>
      </c>
      <c r="CP57" s="72">
        <f>$M57*(1+$S57)*($C57/$L$2989)*IF($O$2938=1,$F$2938/$H57,1)*$R57</f>
        <v>0.66420298214111995</v>
      </c>
      <c r="CQ57" s="73">
        <f t="shared" si="56"/>
        <v>46860.829882697282</v>
      </c>
      <c r="CR57" s="73">
        <f t="shared" si="57"/>
        <v>45165.802785596155</v>
      </c>
      <c r="CS57" s="73">
        <f t="shared" si="58"/>
        <v>0</v>
      </c>
      <c r="CT57" s="272">
        <f t="shared" si="59"/>
        <v>0</v>
      </c>
      <c r="CU57" s="75">
        <f t="shared" si="60"/>
        <v>0</v>
      </c>
      <c r="CV57" s="75">
        <f t="shared" si="61"/>
        <v>1</v>
      </c>
      <c r="CW57" s="273">
        <f t="shared" si="62"/>
        <v>46478</v>
      </c>
      <c r="CX57" s="274">
        <f t="shared" si="63"/>
        <v>0.04</v>
      </c>
      <c r="CY57" s="6" t="str">
        <f t="shared" si="64"/>
        <v>P*</v>
      </c>
      <c r="CZ57" s="273" t="str">
        <f t="shared" si="65"/>
        <v/>
      </c>
      <c r="DA57" s="274" t="str">
        <f t="shared" si="66"/>
        <v/>
      </c>
      <c r="DB57" s="6" t="str">
        <f t="shared" si="67"/>
        <v/>
      </c>
      <c r="DC57" s="273" t="str">
        <f t="shared" si="68"/>
        <v/>
      </c>
      <c r="DD57" s="274" t="str">
        <f t="shared" si="69"/>
        <v/>
      </c>
      <c r="DE57" s="6" t="str">
        <f t="shared" si="70"/>
        <v/>
      </c>
      <c r="DF57" s="273" t="str">
        <f t="shared" si="71"/>
        <v/>
      </c>
      <c r="DG57" s="274" t="str">
        <f t="shared" si="72"/>
        <v/>
      </c>
      <c r="DH57" s="6" t="str">
        <f t="shared" si="73"/>
        <v/>
      </c>
    </row>
    <row r="58" spans="1:112" x14ac:dyDescent="0.3">
      <c r="A58" s="6" t="str">
        <f>$A$2992</f>
        <v>SBA|NM</v>
      </c>
      <c r="B58" s="75">
        <f>$C$2992</f>
        <v>12</v>
      </c>
      <c r="C58" s="73">
        <f>$B$3043</f>
        <v>1.06</v>
      </c>
      <c r="D58" s="73">
        <f>$C$3043</f>
        <v>1.0075000000000001</v>
      </c>
      <c r="E58" s="73">
        <f>$D$3043</f>
        <v>1.0525000000000002</v>
      </c>
      <c r="F58" s="73">
        <f>$E$3043</f>
        <v>1.0600000000000003</v>
      </c>
      <c r="G58" s="224">
        <f>$F$3043</f>
        <v>0.98900209700948194</v>
      </c>
      <c r="H58" s="224">
        <f>$G$3043</f>
        <v>0.98567182181497681</v>
      </c>
      <c r="I58" s="73">
        <f t="shared" si="37"/>
        <v>1.0071258907363418</v>
      </c>
      <c r="J58" s="73">
        <f t="shared" si="38"/>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0.67600000000000005</v>
      </c>
      <c r="N58" s="72">
        <f t="shared" si="39"/>
        <v>0.68838792576517649</v>
      </c>
      <c r="O58" s="72">
        <f t="shared" si="40"/>
        <v>0.68582664639356372</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1">
        <f>N(INDEX(lr_ep,55))</f>
        <v>52000</v>
      </c>
      <c r="W58" s="73">
        <f>N(INDEX(lr_mind,55))*$V58</f>
        <v>52000</v>
      </c>
      <c r="X58" s="73">
        <f>N(INDEX(lr_m0,55))*$V58</f>
        <v>51480</v>
      </c>
      <c r="Y58" s="73">
        <f>N(INDEX(lr_m1,55))*$V58</f>
        <v>51220</v>
      </c>
      <c r="Z58" s="73">
        <f t="shared" si="43"/>
        <v>55120</v>
      </c>
      <c r="AA58" s="73">
        <f t="shared" si="44"/>
        <v>54730.000000000015</v>
      </c>
      <c r="AB58" s="73">
        <f t="shared" si="45"/>
        <v>52370.546318289773</v>
      </c>
      <c r="AC58" s="73">
        <f t="shared" si="46"/>
        <v>51428.10904449306</v>
      </c>
      <c r="AD58" s="73">
        <f t="shared" si="47"/>
        <v>52578.250498392474</v>
      </c>
      <c r="AE58" s="73">
        <f t="shared" si="48"/>
        <v>35152</v>
      </c>
      <c r="AF58" s="73">
        <f t="shared" si="49"/>
        <v>35796.172139789174</v>
      </c>
      <c r="AG58" s="73">
        <f t="shared" si="50"/>
        <v>0</v>
      </c>
      <c r="AH58" s="73">
        <f t="shared" si="51"/>
        <v>51999.999999999985</v>
      </c>
      <c r="AI58" s="73">
        <f t="shared" si="52"/>
        <v>52755.895876427989</v>
      </c>
      <c r="AJ58" s="73">
        <f t="shared" si="53"/>
        <v>35662.985612465316</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52000</v>
      </c>
      <c r="BX58" s="73">
        <f>$V58*$H$3020</f>
        <v>52000</v>
      </c>
      <c r="BY58" s="73">
        <f>$V58*$H$3021</f>
        <v>52000</v>
      </c>
      <c r="BZ58" s="73">
        <f>$V58*$H$3022</f>
        <v>52000</v>
      </c>
      <c r="CA58" s="73">
        <f>$V58*$H$3023</f>
        <v>52000</v>
      </c>
      <c r="CB58" s="73">
        <f>$V58*$H$3024</f>
        <v>52000</v>
      </c>
      <c r="CC58" s="73">
        <f>$V58*$H$3025</f>
        <v>52000</v>
      </c>
      <c r="CD58" s="73">
        <f>$V58*$H$3026</f>
        <v>52000</v>
      </c>
      <c r="CE58" s="73">
        <f>$V58*$H$3027</f>
        <v>52000</v>
      </c>
      <c r="CF58" s="73">
        <f>$V58*$H$3028</f>
        <v>52000</v>
      </c>
      <c r="CG58" s="73">
        <f>$V58*$H$3029</f>
        <v>52000</v>
      </c>
      <c r="CH58" s="73">
        <f>$V58*$H$3030</f>
        <v>52000</v>
      </c>
      <c r="CI58" s="75">
        <f>$O$2992</f>
        <v>1</v>
      </c>
      <c r="CJ58" s="73">
        <f>$H$3043</f>
        <v>1.03</v>
      </c>
      <c r="CK58" s="73">
        <f>$I$3043</f>
        <v>0.99597028697853884</v>
      </c>
      <c r="CL58" s="73">
        <f>$J$3043</f>
        <v>1.0258495176558473</v>
      </c>
      <c r="CM58" s="73">
        <f t="shared" si="54"/>
        <v>0</v>
      </c>
      <c r="CN58" s="73">
        <f t="shared" si="55"/>
        <v>52000</v>
      </c>
      <c r="CO58" s="72">
        <f>$M58*($C58/$K$3043)*IF($O$2992=1,$F$2992/$G58,1)*$R58</f>
        <v>0.68838792576517649</v>
      </c>
      <c r="CP58" s="72">
        <f>$M58*(1+$S58)*($C58/$L$3043)*IF($O$2992=1,$F$2992/$H58,1)*$R58</f>
        <v>0.68582664639356372</v>
      </c>
      <c r="CQ58" s="73">
        <f t="shared" si="56"/>
        <v>35796.172139789174</v>
      </c>
      <c r="CR58" s="73">
        <f t="shared" si="57"/>
        <v>35662.985612465316</v>
      </c>
      <c r="CS58" s="73">
        <f t="shared" si="58"/>
        <v>0</v>
      </c>
      <c r="CT58" s="272">
        <f t="shared" si="59"/>
        <v>0</v>
      </c>
      <c r="CU58" s="75">
        <f t="shared" si="60"/>
        <v>1</v>
      </c>
      <c r="CV58" s="75">
        <f t="shared" si="61"/>
        <v>0</v>
      </c>
      <c r="CW58" s="273">
        <f t="shared" si="62"/>
        <v>46204</v>
      </c>
      <c r="CX58" s="274">
        <f t="shared" si="63"/>
        <v>0.06</v>
      </c>
      <c r="CY58" s="6" t="str">
        <f t="shared" si="64"/>
        <v>T</v>
      </c>
      <c r="CZ58" s="273" t="str">
        <f t="shared" si="65"/>
        <v/>
      </c>
      <c r="DA58" s="274" t="str">
        <f t="shared" si="66"/>
        <v/>
      </c>
      <c r="DB58" s="6" t="str">
        <f t="shared" si="67"/>
        <v/>
      </c>
      <c r="DC58" s="273" t="str">
        <f t="shared" si="68"/>
        <v/>
      </c>
      <c r="DD58" s="274" t="str">
        <f t="shared" si="69"/>
        <v/>
      </c>
      <c r="DE58" s="6" t="str">
        <f t="shared" si="70"/>
        <v/>
      </c>
      <c r="DF58" s="273" t="str">
        <f t="shared" si="71"/>
        <v/>
      </c>
      <c r="DG58" s="274" t="str">
        <f t="shared" si="72"/>
        <v/>
      </c>
      <c r="DH58" s="6" t="str">
        <f t="shared" si="73"/>
        <v/>
      </c>
    </row>
    <row r="59" spans="1:112" x14ac:dyDescent="0.3">
      <c r="A59" s="6" t="str">
        <f>$A$3046</f>
        <v>SBA|NC</v>
      </c>
      <c r="B59" s="75">
        <f>$C$3046</f>
        <v>12</v>
      </c>
      <c r="C59" s="73">
        <f>$B$3097</f>
        <v>1.02</v>
      </c>
      <c r="D59" s="73">
        <f>$C$3097</f>
        <v>1.0017361111111112</v>
      </c>
      <c r="E59" s="73">
        <f>$D$3097</f>
        <v>1.0165972222222222</v>
      </c>
      <c r="F59" s="73">
        <f>$E$3097</f>
        <v>1.0199999999999998</v>
      </c>
      <c r="G59" s="224">
        <f>$F$3097</f>
        <v>0.99199580598103554</v>
      </c>
      <c r="H59" s="224">
        <f>$G$3097</f>
        <v>0.99865635637004624</v>
      </c>
      <c r="I59" s="73">
        <f t="shared" si="37"/>
        <v>1.0033472231709817</v>
      </c>
      <c r="J59" s="73">
        <f t="shared" si="38"/>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0.66</v>
      </c>
      <c r="N59" s="72">
        <f t="shared" si="39"/>
        <v>0.66755238610908785</v>
      </c>
      <c r="O59" s="72">
        <f t="shared" si="40"/>
        <v>0.66088799794855668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1">
        <f>N(INDEX(lr_ep,56))</f>
        <v>36000</v>
      </c>
      <c r="W59" s="73">
        <f>N(INDEX(lr_mind,56))*$V59</f>
        <v>36000</v>
      </c>
      <c r="X59" s="73">
        <f>N(INDEX(lr_m0,56))*$V59</f>
        <v>35640</v>
      </c>
      <c r="Y59" s="73">
        <f>N(INDEX(lr_m1,56))*$V59</f>
        <v>36000</v>
      </c>
      <c r="Z59" s="73">
        <f t="shared" si="43"/>
        <v>36720</v>
      </c>
      <c r="AA59" s="73">
        <f t="shared" si="44"/>
        <v>36597.5</v>
      </c>
      <c r="AB59" s="73">
        <f t="shared" si="45"/>
        <v>36120.500034155339</v>
      </c>
      <c r="AC59" s="73">
        <f t="shared" si="46"/>
        <v>35711.849015317282</v>
      </c>
      <c r="AD59" s="73">
        <f t="shared" si="47"/>
        <v>36290.476011032886</v>
      </c>
      <c r="AE59" s="73">
        <f t="shared" si="48"/>
        <v>23760</v>
      </c>
      <c r="AF59" s="73">
        <f t="shared" si="49"/>
        <v>24031.885899927162</v>
      </c>
      <c r="AG59" s="73">
        <f t="shared" si="50"/>
        <v>0</v>
      </c>
      <c r="AH59" s="73">
        <f t="shared" si="51"/>
        <v>36000.000000000007</v>
      </c>
      <c r="AI59" s="73">
        <f t="shared" si="52"/>
        <v>36048.436251739447</v>
      </c>
      <c r="AJ59" s="73">
        <f t="shared" si="53"/>
        <v>23791.967926148041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36000</v>
      </c>
      <c r="BX59" s="73">
        <f>$V59*$H$3074</f>
        <v>36000</v>
      </c>
      <c r="BY59" s="73">
        <f>$V59*$H$3075</f>
        <v>36000</v>
      </c>
      <c r="BZ59" s="73">
        <f>$V59*$H$3076</f>
        <v>36000</v>
      </c>
      <c r="CA59" s="73">
        <f>$V59*$H$3077</f>
        <v>36000</v>
      </c>
      <c r="CB59" s="73">
        <f>$V59*$H$3078</f>
        <v>36000</v>
      </c>
      <c r="CC59" s="73">
        <f>$V59*$H$3079</f>
        <v>36000</v>
      </c>
      <c r="CD59" s="73">
        <f>$V59*$H$3080</f>
        <v>36000</v>
      </c>
      <c r="CE59" s="73">
        <f>$V59*$H$3081</f>
        <v>36000</v>
      </c>
      <c r="CF59" s="73">
        <f>$V59*$H$3082</f>
        <v>36000</v>
      </c>
      <c r="CG59" s="73">
        <f>$V59*$H$3083</f>
        <v>36000</v>
      </c>
      <c r="CH59" s="73">
        <f>$V59*$H$3084</f>
        <v>36000</v>
      </c>
      <c r="CI59" s="75">
        <f>$O$3046</f>
        <v>1</v>
      </c>
      <c r="CJ59" s="73">
        <f>$H$3097</f>
        <v>1.0116666666666665</v>
      </c>
      <c r="CK59" s="73">
        <f>$I$3097</f>
        <v>1.0080839018517107</v>
      </c>
      <c r="CL59" s="73">
        <f>$J$3097</f>
        <v>1.019845039965944</v>
      </c>
      <c r="CM59" s="73">
        <f t="shared" si="54"/>
        <v>0</v>
      </c>
      <c r="CN59" s="73">
        <f t="shared" si="55"/>
        <v>36000</v>
      </c>
      <c r="CO59" s="72">
        <f>$M59*($C59/$K$3097)*IF($O$3046=1,$F$3046/$G59,1)*$R59</f>
        <v>0.66755238610908785</v>
      </c>
      <c r="CP59" s="72">
        <f>$M59*(1+$S59)*($C59/$L$3097)*IF($O$3046=1,$F$3046/$H59,1)*$R59</f>
        <v>0.66088799794855668</v>
      </c>
      <c r="CQ59" s="73">
        <f t="shared" si="56"/>
        <v>24031.885899927162</v>
      </c>
      <c r="CR59" s="73">
        <f t="shared" si="57"/>
        <v>23791.967926148041</v>
      </c>
      <c r="CS59" s="73">
        <f t="shared" si="58"/>
        <v>0</v>
      </c>
      <c r="CT59" s="272">
        <f t="shared" si="59"/>
        <v>0</v>
      </c>
      <c r="CU59" s="75">
        <f t="shared" si="60"/>
        <v>1</v>
      </c>
      <c r="CV59" s="75">
        <f t="shared" si="61"/>
        <v>0</v>
      </c>
      <c r="CW59" s="273">
        <f t="shared" si="62"/>
        <v>46235</v>
      </c>
      <c r="CX59" s="274">
        <f t="shared" si="63"/>
        <v>0.02</v>
      </c>
      <c r="CY59" s="6" t="str">
        <f t="shared" si="64"/>
        <v>T</v>
      </c>
      <c r="CZ59" s="273" t="str">
        <f t="shared" si="65"/>
        <v/>
      </c>
      <c r="DA59" s="274" t="str">
        <f t="shared" si="66"/>
        <v/>
      </c>
      <c r="DB59" s="6" t="str">
        <f t="shared" si="67"/>
        <v/>
      </c>
      <c r="DC59" s="273" t="str">
        <f t="shared" si="68"/>
        <v/>
      </c>
      <c r="DD59" s="274" t="str">
        <f t="shared" si="69"/>
        <v/>
      </c>
      <c r="DE59" s="6" t="str">
        <f t="shared" si="70"/>
        <v/>
      </c>
      <c r="DF59" s="273" t="str">
        <f t="shared" si="71"/>
        <v/>
      </c>
      <c r="DG59" s="274" t="str">
        <f t="shared" si="72"/>
        <v/>
      </c>
      <c r="DH59" s="6" t="str">
        <f t="shared" si="73"/>
        <v/>
      </c>
    </row>
    <row r="60" spans="1:112" x14ac:dyDescent="0.3">
      <c r="A60" s="6" t="str">
        <f>$A$3100</f>
        <v>SBA|OH</v>
      </c>
      <c r="B60" s="75">
        <f>$C$3100</f>
        <v>12</v>
      </c>
      <c r="C60" s="73">
        <f>$B$3151</f>
        <v>1</v>
      </c>
      <c r="D60" s="73">
        <f>$C$3151</f>
        <v>1</v>
      </c>
      <c r="E60" s="73">
        <f>$D$3151</f>
        <v>1</v>
      </c>
      <c r="F60" s="73">
        <f>$E$3151</f>
        <v>1</v>
      </c>
      <c r="G60" s="224">
        <f>$F$3151</f>
        <v>0.98800419401896411</v>
      </c>
      <c r="H60" s="224">
        <f>$G$3151</f>
        <v>0.98134364362995397</v>
      </c>
      <c r="I60" s="73">
        <f t="shared" si="37"/>
        <v>1</v>
      </c>
      <c r="J60" s="73">
        <f t="shared" si="38"/>
        <v>1</v>
      </c>
      <c r="K60" s="73">
        <f>IF($L$3100,1,IF(AND(nr_ModAdjMaster="ON",INDEX(lr_modadj,57)="ON"),$F$3100/$G60,1))</f>
        <v>1.012141452489427</v>
      </c>
      <c r="L60" s="73">
        <f>IF($L$3100,1,IF(AND(nr_ModAdjMaster="ON",INDEX(lr_modadj,57)="ON"),$F$3100/$H60,1))</f>
        <v>1.019011032976213</v>
      </c>
      <c r="M60" s="72">
        <f>IF(INDEX(lr_basis,57)="proposed",N(INDEX(lr_lrproj,57))*(1+N(INDEX(lr_s,57))),N(INDEX(lr_lrproj,57)))</f>
        <v>0.68799999999999994</v>
      </c>
      <c r="N60" s="72">
        <f t="shared" si="39"/>
        <v>0.6963533193127257</v>
      </c>
      <c r="O60" s="72">
        <f t="shared" si="40"/>
        <v>0.70107959068763448</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1">
        <f>N(INDEX(lr_ep,57))</f>
        <v>88000</v>
      </c>
      <c r="W60" s="73">
        <f>N(INDEX(lr_mind,57))*$V60</f>
        <v>88000</v>
      </c>
      <c r="X60" s="73">
        <f>N(INDEX(lr_m0,57))*$V60</f>
        <v>87120</v>
      </c>
      <c r="Y60" s="73">
        <f>N(INDEX(lr_m1,57))*$V60</f>
        <v>86240</v>
      </c>
      <c r="Z60" s="73">
        <f t="shared" si="43"/>
        <v>88000</v>
      </c>
      <c r="AA60" s="73">
        <f t="shared" si="44"/>
        <v>88000</v>
      </c>
      <c r="AB60" s="73">
        <f t="shared" si="45"/>
        <v>88000</v>
      </c>
      <c r="AC60" s="73">
        <f t="shared" si="46"/>
        <v>86944.369073668844</v>
      </c>
      <c r="AD60" s="73">
        <f t="shared" si="47"/>
        <v>89068.447819069581</v>
      </c>
      <c r="AE60" s="73">
        <f t="shared" si="48"/>
        <v>60543.999999999993</v>
      </c>
      <c r="AF60" s="73">
        <f t="shared" si="49"/>
        <v>61279.092099519861</v>
      </c>
      <c r="AG60" s="73">
        <f t="shared" si="50"/>
        <v>0</v>
      </c>
      <c r="AH60" s="73">
        <f t="shared" si="51"/>
        <v>88000</v>
      </c>
      <c r="AI60" s="73">
        <f t="shared" si="52"/>
        <v>89672.970901906738</v>
      </c>
      <c r="AJ60" s="73">
        <f t="shared" si="53"/>
        <v>61695.003980511836</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88000</v>
      </c>
      <c r="BX60" s="73">
        <f>$V60*$H$3128</f>
        <v>88000</v>
      </c>
      <c r="BY60" s="73">
        <f>$V60*$H$3129</f>
        <v>88000</v>
      </c>
      <c r="BZ60" s="73">
        <f>$V60*$H$3130</f>
        <v>88000</v>
      </c>
      <c r="CA60" s="73">
        <f>$V60*$H$3131</f>
        <v>88000</v>
      </c>
      <c r="CB60" s="73">
        <f>$V60*$H$3132</f>
        <v>88000</v>
      </c>
      <c r="CC60" s="73">
        <f>$V60*$H$3133</f>
        <v>88000</v>
      </c>
      <c r="CD60" s="73">
        <f>$V60*$H$3134</f>
        <v>88000</v>
      </c>
      <c r="CE60" s="73">
        <f>$V60*$H$3135</f>
        <v>88000</v>
      </c>
      <c r="CF60" s="73">
        <f>$V60*$H$3136</f>
        <v>88000</v>
      </c>
      <c r="CG60" s="73">
        <f>$V60*$H$3137</f>
        <v>88000</v>
      </c>
      <c r="CH60" s="73">
        <f>$V60*$H$3138</f>
        <v>88000</v>
      </c>
      <c r="CI60" s="75">
        <f>$O$3100</f>
        <v>1</v>
      </c>
      <c r="CJ60" s="73">
        <f>$H$3151</f>
        <v>1</v>
      </c>
      <c r="CK60" s="73">
        <f>$I$3151</f>
        <v>0.99194865631796525</v>
      </c>
      <c r="CL60" s="73">
        <f>$J$3151</f>
        <v>0.99194865631796525</v>
      </c>
      <c r="CM60" s="73">
        <f t="shared" si="54"/>
        <v>0</v>
      </c>
      <c r="CN60" s="73">
        <f t="shared" si="55"/>
        <v>88000</v>
      </c>
      <c r="CO60" s="72">
        <f>$M60*($C60/$K$3151)*IF($O$3100=1,$F$3100/$G60,1)*$R60</f>
        <v>0.6963533193127257</v>
      </c>
      <c r="CP60" s="72">
        <f>$M60*(1+$S60)*($C60/$L$3151)*IF($O$3100=1,$F$3100/$H60,1)*$R60</f>
        <v>0.70107959068763448</v>
      </c>
      <c r="CQ60" s="73">
        <f t="shared" si="56"/>
        <v>61279.092099519861</v>
      </c>
      <c r="CR60" s="73">
        <f t="shared" si="57"/>
        <v>61695.003980511836</v>
      </c>
      <c r="CS60" s="73">
        <f t="shared" si="58"/>
        <v>0</v>
      </c>
      <c r="CT60" s="272">
        <f t="shared" si="59"/>
        <v>0</v>
      </c>
      <c r="CU60" s="75">
        <f t="shared" si="60"/>
        <v>0</v>
      </c>
      <c r="CV60" s="75">
        <f t="shared" si="61"/>
        <v>0</v>
      </c>
      <c r="CW60" s="273" t="str">
        <f t="shared" si="62"/>
        <v/>
      </c>
      <c r="CX60" s="274" t="str">
        <f t="shared" si="63"/>
        <v/>
      </c>
      <c r="CY60" s="6" t="str">
        <f t="shared" si="64"/>
        <v/>
      </c>
      <c r="CZ60" s="273" t="str">
        <f t="shared" si="65"/>
        <v/>
      </c>
      <c r="DA60" s="274" t="str">
        <f t="shared" si="66"/>
        <v/>
      </c>
      <c r="DB60" s="6" t="str">
        <f t="shared" si="67"/>
        <v/>
      </c>
      <c r="DC60" s="273" t="str">
        <f t="shared" si="68"/>
        <v/>
      </c>
      <c r="DD60" s="274" t="str">
        <f t="shared" si="69"/>
        <v/>
      </c>
      <c r="DE60" s="6" t="str">
        <f t="shared" si="70"/>
        <v/>
      </c>
      <c r="DF60" s="273" t="str">
        <f t="shared" si="71"/>
        <v/>
      </c>
      <c r="DG60" s="274" t="str">
        <f t="shared" si="72"/>
        <v/>
      </c>
      <c r="DH60" s="6" t="str">
        <f t="shared" si="73"/>
        <v/>
      </c>
    </row>
    <row r="61" spans="1:112" x14ac:dyDescent="0.3">
      <c r="A61" s="6" t="str">
        <f>$A$3154</f>
        <v>SBA|PA</v>
      </c>
      <c r="B61" s="75">
        <f>$C$3154</f>
        <v>12</v>
      </c>
      <c r="C61" s="73">
        <f>$B$3205</f>
        <v>1.04</v>
      </c>
      <c r="D61" s="73">
        <f>$C$3205</f>
        <v>1.00125</v>
      </c>
      <c r="E61" s="73">
        <f>$D$3205</f>
        <v>1.0323611111111111</v>
      </c>
      <c r="F61" s="73">
        <f>$E$3205</f>
        <v>1.0745222222222226</v>
      </c>
      <c r="G61" s="224">
        <f>$F$3205</f>
        <v>0.99099790299051793</v>
      </c>
      <c r="H61" s="224">
        <f>$G$3205</f>
        <v>0.99432817818502306</v>
      </c>
      <c r="I61" s="73">
        <f t="shared" si="37"/>
        <v>1.0073994349522402</v>
      </c>
      <c r="J61" s="73">
        <f t="shared" si="38"/>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0.67200000000000004</v>
      </c>
      <c r="N61" s="72">
        <f t="shared" si="39"/>
        <v>0.68312195035430145</v>
      </c>
      <c r="O61" s="72">
        <f t="shared" si="40"/>
        <v>0.65412005373465265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1">
        <f>N(INDEX(lr_ep,58))</f>
        <v>72000</v>
      </c>
      <c r="W61" s="73">
        <f>N(INDEX(lr_mind,58))*$V61</f>
        <v>72000</v>
      </c>
      <c r="X61" s="73">
        <f>N(INDEX(lr_m0,58))*$V61</f>
        <v>71280</v>
      </c>
      <c r="Y61" s="73">
        <f>N(INDEX(lr_m1,58))*$V61</f>
        <v>71640</v>
      </c>
      <c r="Z61" s="73">
        <f t="shared" si="43"/>
        <v>74880</v>
      </c>
      <c r="AA61" s="73">
        <f t="shared" si="44"/>
        <v>74330</v>
      </c>
      <c r="AB61" s="73">
        <f t="shared" si="45"/>
        <v>72532.759316561293</v>
      </c>
      <c r="AC61" s="73">
        <f t="shared" si="46"/>
        <v>71351.84901531729</v>
      </c>
      <c r="AD61" s="73">
        <f t="shared" si="47"/>
        <v>72654.038704549021</v>
      </c>
      <c r="AE61" s="73">
        <f t="shared" si="48"/>
        <v>48384</v>
      </c>
      <c r="AF61" s="73">
        <f t="shared" si="49"/>
        <v>49184.780425509707</v>
      </c>
      <c r="AG61" s="73">
        <f t="shared" si="50"/>
        <v>0</v>
      </c>
      <c r="AH61" s="73">
        <f t="shared" si="51"/>
        <v>69686.785858314266</v>
      </c>
      <c r="AI61" s="73">
        <f t="shared" si="52"/>
        <v>72410.700591251225</v>
      </c>
      <c r="AJ61" s="73">
        <f t="shared" si="53"/>
        <v>47096.643868894993</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72000</v>
      </c>
      <c r="BX61" s="73">
        <f>$V61*$H$3182</f>
        <v>72000</v>
      </c>
      <c r="BY61" s="73">
        <f>$V61*$H$3183</f>
        <v>72000</v>
      </c>
      <c r="BZ61" s="73">
        <f>$V61*$H$3184</f>
        <v>72000</v>
      </c>
      <c r="CA61" s="73">
        <f>$V61*$H$3185</f>
        <v>72000</v>
      </c>
      <c r="CB61" s="73">
        <f>$V61*$H$3186</f>
        <v>72000</v>
      </c>
      <c r="CC61" s="73">
        <f>$V61*$H$3187</f>
        <v>72000</v>
      </c>
      <c r="CD61" s="73">
        <f>$V61*$H$3188</f>
        <v>72000</v>
      </c>
      <c r="CE61" s="73">
        <f>$V61*$H$3189</f>
        <v>72000</v>
      </c>
      <c r="CF61" s="73">
        <f>$V61*$H$3190</f>
        <v>72000</v>
      </c>
      <c r="CG61" s="73">
        <f>$V61*$H$3191</f>
        <v>72000</v>
      </c>
      <c r="CH61" s="73">
        <f>$V61*$H$3192</f>
        <v>72000</v>
      </c>
      <c r="CI61" s="75">
        <f>$O$3154</f>
        <v>1</v>
      </c>
      <c r="CJ61" s="73">
        <f>$H$3205</f>
        <v>1.0469333333333333</v>
      </c>
      <c r="CK61" s="73">
        <f>$I$3205</f>
        <v>1.004037852440528</v>
      </c>
      <c r="CL61" s="73">
        <f>$J$3205</f>
        <v>1.0511606767191521</v>
      </c>
      <c r="CM61" s="73">
        <f t="shared" si="54"/>
        <v>0</v>
      </c>
      <c r="CN61" s="73">
        <f t="shared" si="55"/>
        <v>72000</v>
      </c>
      <c r="CO61" s="72">
        <f>$M61*($C61/$K$3205)*IF($O$3154=1,$F$3154/$G61,1)*$R61</f>
        <v>0.68312195035430145</v>
      </c>
      <c r="CP61" s="72">
        <f>$M61*(1+$S61)*($C61/$L$3205)*IF($O$3154=1,$F$3154/$H61,1)*$R61</f>
        <v>0.65412005373465265</v>
      </c>
      <c r="CQ61" s="73">
        <f t="shared" si="56"/>
        <v>49184.780425509707</v>
      </c>
      <c r="CR61" s="73">
        <f t="shared" si="57"/>
        <v>47096.643868894993</v>
      </c>
      <c r="CS61" s="73">
        <f t="shared" si="58"/>
        <v>0</v>
      </c>
      <c r="CT61" s="272">
        <f t="shared" si="59"/>
        <v>0</v>
      </c>
      <c r="CU61" s="75">
        <f t="shared" si="60"/>
        <v>1</v>
      </c>
      <c r="CV61" s="75">
        <f t="shared" si="61"/>
        <v>1</v>
      </c>
      <c r="CW61" s="273">
        <f t="shared" si="62"/>
        <v>46296</v>
      </c>
      <c r="CX61" s="274">
        <f t="shared" si="63"/>
        <v>0.04</v>
      </c>
      <c r="CY61" s="6" t="str">
        <f t="shared" si="64"/>
        <v>T</v>
      </c>
      <c r="CZ61" s="273">
        <f t="shared" si="65"/>
        <v>46600</v>
      </c>
      <c r="DA61" s="274">
        <f t="shared" si="66"/>
        <v>0.04</v>
      </c>
      <c r="DB61" s="6" t="str">
        <f t="shared" si="67"/>
        <v>P*</v>
      </c>
      <c r="DC61" s="273" t="str">
        <f t="shared" si="68"/>
        <v/>
      </c>
      <c r="DD61" s="274" t="str">
        <f t="shared" si="69"/>
        <v/>
      </c>
      <c r="DE61" s="6" t="str">
        <f t="shared" si="70"/>
        <v/>
      </c>
      <c r="DF61" s="273" t="str">
        <f t="shared" si="71"/>
        <v/>
      </c>
      <c r="DG61" s="274" t="str">
        <f t="shared" si="72"/>
        <v/>
      </c>
      <c r="DH61" s="6" t="str">
        <f t="shared" si="73"/>
        <v/>
      </c>
    </row>
    <row r="62" spans="1:112" x14ac:dyDescent="0.3">
      <c r="A62" s="6" t="str">
        <f>$A$3208</f>
        <v>SBA|SC</v>
      </c>
      <c r="B62" s="75">
        <f>$C$3208</f>
        <v>12</v>
      </c>
      <c r="C62" s="73">
        <f>$B$3259</f>
        <v>1.05</v>
      </c>
      <c r="D62" s="73">
        <f>$C$3259</f>
        <v>1.0006944444444443</v>
      </c>
      <c r="E62" s="73">
        <f>$D$3259</f>
        <v>1.0326388888888889</v>
      </c>
      <c r="F62" s="73">
        <f>$E$3259</f>
        <v>1.05</v>
      </c>
      <c r="G62" s="224">
        <f>$F$3259</f>
        <v>0.99399161196207142</v>
      </c>
      <c r="H62" s="224">
        <f>$G$3259</f>
        <v>1.0073127127400925</v>
      </c>
      <c r="I62" s="73">
        <f t="shared" si="37"/>
        <v>1.0168123739071957</v>
      </c>
      <c r="J62" s="73">
        <f t="shared" si="38"/>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0.7</v>
      </c>
      <c r="N62" s="72">
        <f t="shared" si="39"/>
        <v>0.7160710947349489</v>
      </c>
      <c r="O62" s="72">
        <f t="shared" si="40"/>
        <v>0.69491826236944798</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1">
        <f>N(INDEX(lr_ep,59))</f>
        <v>56000</v>
      </c>
      <c r="W62" s="73">
        <f>N(INDEX(lr_mind,59))*$V62</f>
        <v>56000</v>
      </c>
      <c r="X62" s="73">
        <f>N(INDEX(lr_m0,59))*$V62</f>
        <v>55440</v>
      </c>
      <c r="Y62" s="73">
        <f>N(INDEX(lr_m1,59))*$V62</f>
        <v>56560</v>
      </c>
      <c r="Z62" s="73">
        <f t="shared" si="43"/>
        <v>58800</v>
      </c>
      <c r="AA62" s="73">
        <f t="shared" si="44"/>
        <v>57827.777777777781</v>
      </c>
      <c r="AB62" s="73">
        <f t="shared" si="45"/>
        <v>56941.492938802956</v>
      </c>
      <c r="AC62" s="73">
        <f t="shared" si="46"/>
        <v>55663.530269875999</v>
      </c>
      <c r="AD62" s="73">
        <f t="shared" si="47"/>
        <v>56338.503591051274</v>
      </c>
      <c r="AE62" s="73">
        <f t="shared" si="48"/>
        <v>39200</v>
      </c>
      <c r="AF62" s="73">
        <f t="shared" si="49"/>
        <v>40099.98130515714</v>
      </c>
      <c r="AG62" s="73">
        <f t="shared" si="50"/>
        <v>0</v>
      </c>
      <c r="AH62" s="73">
        <f t="shared" si="51"/>
        <v>56000</v>
      </c>
      <c r="AI62" s="73">
        <f t="shared" si="52"/>
        <v>55593.460989555846</v>
      </c>
      <c r="AJ62" s="73">
        <f t="shared" si="53"/>
        <v>38915.422692689084</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56000</v>
      </c>
      <c r="BX62" s="73">
        <f>$V62*$H$3236</f>
        <v>56000</v>
      </c>
      <c r="BY62" s="73">
        <f>$V62*$H$3237</f>
        <v>56000</v>
      </c>
      <c r="BZ62" s="73">
        <f>$V62*$H$3238</f>
        <v>56000</v>
      </c>
      <c r="CA62" s="73">
        <f>$V62*$H$3239</f>
        <v>56000</v>
      </c>
      <c r="CB62" s="73">
        <f>$V62*$H$3240</f>
        <v>56000</v>
      </c>
      <c r="CC62" s="73">
        <f>$V62*$H$3241</f>
        <v>56000</v>
      </c>
      <c r="CD62" s="73">
        <f>$V62*$H$3242</f>
        <v>56000</v>
      </c>
      <c r="CE62" s="73">
        <f>$V62*$H$3243</f>
        <v>56000</v>
      </c>
      <c r="CF62" s="73">
        <f>$V62*$H$3244</f>
        <v>56000</v>
      </c>
      <c r="CG62" s="73">
        <f>$V62*$H$3245</f>
        <v>56000</v>
      </c>
      <c r="CH62" s="73">
        <f>$V62*$H$3246</f>
        <v>56000</v>
      </c>
      <c r="CI62" s="75">
        <f>$O$3208</f>
        <v>1</v>
      </c>
      <c r="CJ62" s="73">
        <f>$H$3259</f>
        <v>1.0416666666666667</v>
      </c>
      <c r="CK62" s="73">
        <f>$I$3259</f>
        <v>1.0162008242959635</v>
      </c>
      <c r="CL62" s="73">
        <f>$J$3259</f>
        <v>1.0585434360893644</v>
      </c>
      <c r="CM62" s="73">
        <f t="shared" si="54"/>
        <v>0</v>
      </c>
      <c r="CN62" s="73">
        <f t="shared" si="55"/>
        <v>56000</v>
      </c>
      <c r="CO62" s="72">
        <f>$M62*($C62/$K$3259)*IF($O$3208=1,$F$3208/$G62,1)*$R62</f>
        <v>0.7160710947349489</v>
      </c>
      <c r="CP62" s="72">
        <f>$M62*(1+$S62)*($C62/$L$3259)*IF($O$3208=1,$F$3208/$H62,1)*$R62</f>
        <v>0.69491826236944798</v>
      </c>
      <c r="CQ62" s="73">
        <f t="shared" si="56"/>
        <v>40099.98130515714</v>
      </c>
      <c r="CR62" s="73">
        <f t="shared" si="57"/>
        <v>38915.422692689084</v>
      </c>
      <c r="CS62" s="73">
        <f t="shared" si="58"/>
        <v>0</v>
      </c>
      <c r="CT62" s="272">
        <f t="shared" si="59"/>
        <v>0</v>
      </c>
      <c r="CU62" s="75">
        <f t="shared" si="60"/>
        <v>1</v>
      </c>
      <c r="CV62" s="75">
        <f t="shared" si="61"/>
        <v>0</v>
      </c>
      <c r="CW62" s="273">
        <f t="shared" si="62"/>
        <v>46327</v>
      </c>
      <c r="CX62" s="274">
        <f t="shared" si="63"/>
        <v>0.05</v>
      </c>
      <c r="CY62" s="6" t="str">
        <f t="shared" si="64"/>
        <v>T</v>
      </c>
      <c r="CZ62" s="273" t="str">
        <f t="shared" si="65"/>
        <v/>
      </c>
      <c r="DA62" s="274" t="str">
        <f t="shared" si="66"/>
        <v/>
      </c>
      <c r="DB62" s="6" t="str">
        <f t="shared" si="67"/>
        <v/>
      </c>
      <c r="DC62" s="273" t="str">
        <f t="shared" si="68"/>
        <v/>
      </c>
      <c r="DD62" s="274" t="str">
        <f t="shared" si="69"/>
        <v/>
      </c>
      <c r="DE62" s="6" t="str">
        <f t="shared" si="70"/>
        <v/>
      </c>
      <c r="DF62" s="273" t="str">
        <f t="shared" si="71"/>
        <v/>
      </c>
      <c r="DG62" s="274" t="str">
        <f t="shared" si="72"/>
        <v/>
      </c>
      <c r="DH62" s="6" t="str">
        <f t="shared" si="73"/>
        <v/>
      </c>
    </row>
    <row r="63" spans="1:112" x14ac:dyDescent="0.3">
      <c r="A63" s="6" t="str">
        <f>$A$3262</f>
        <v>SBA|TN</v>
      </c>
      <c r="B63" s="75">
        <f>$C$3262</f>
        <v>12</v>
      </c>
      <c r="C63" s="73">
        <f>$B$3313</f>
        <v>1</v>
      </c>
      <c r="D63" s="73">
        <f>$C$3313</f>
        <v>1</v>
      </c>
      <c r="E63" s="73">
        <f>$D$3313</f>
        <v>1</v>
      </c>
      <c r="F63" s="73">
        <f>$E$3313</f>
        <v>1</v>
      </c>
      <c r="G63" s="224">
        <f>$F$3313</f>
        <v>0.9900000000000001</v>
      </c>
      <c r="H63" s="224">
        <f>$G$3313</f>
        <v>0.9900000000000001</v>
      </c>
      <c r="I63" s="73">
        <f t="shared" si="37"/>
        <v>1</v>
      </c>
      <c r="J63" s="73">
        <f t="shared" si="38"/>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0.68400000000000005</v>
      </c>
      <c r="N63" s="72">
        <f t="shared" si="39"/>
        <v>0.69090909090909081</v>
      </c>
      <c r="O63" s="72">
        <f t="shared" si="40"/>
        <v>0.69090909090909081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1">
        <f>N(INDEX(lr_ep,60))</f>
        <v>40000</v>
      </c>
      <c r="W63" s="73">
        <f>N(INDEX(lr_mind,60))*$V63</f>
        <v>40000</v>
      </c>
      <c r="X63" s="73">
        <f>N(INDEX(lr_m0,60))*$V63</f>
        <v>39600</v>
      </c>
      <c r="Y63" s="73">
        <f>N(INDEX(lr_m1,60))*$V63</f>
        <v>39600</v>
      </c>
      <c r="Z63" s="73">
        <f t="shared" si="43"/>
        <v>40000</v>
      </c>
      <c r="AA63" s="73">
        <f t="shared" si="44"/>
        <v>40000</v>
      </c>
      <c r="AB63" s="73">
        <f t="shared" si="45"/>
        <v>40000</v>
      </c>
      <c r="AC63" s="73">
        <f t="shared" si="46"/>
        <v>39600.000000000007</v>
      </c>
      <c r="AD63" s="73">
        <f t="shared" si="47"/>
        <v>40404.040404040396</v>
      </c>
      <c r="AE63" s="73">
        <f t="shared" si="48"/>
        <v>27360.000000000004</v>
      </c>
      <c r="AF63" s="73">
        <f t="shared" si="49"/>
        <v>27636.363636363632</v>
      </c>
      <c r="AG63" s="73">
        <f t="shared" si="50"/>
        <v>0</v>
      </c>
      <c r="AH63" s="73">
        <f t="shared" si="51"/>
        <v>40000</v>
      </c>
      <c r="AI63" s="73">
        <f t="shared" si="52"/>
        <v>40404.040404040396</v>
      </c>
      <c r="AJ63" s="73">
        <f t="shared" si="53"/>
        <v>27636.363636363632</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40000</v>
      </c>
      <c r="BX63" s="73">
        <f>$V63*$H$3290</f>
        <v>40000</v>
      </c>
      <c r="BY63" s="73">
        <f>$V63*$H$3291</f>
        <v>40000</v>
      </c>
      <c r="BZ63" s="73">
        <f>$V63*$H$3292</f>
        <v>40000</v>
      </c>
      <c r="CA63" s="73">
        <f>$V63*$H$3293</f>
        <v>40000</v>
      </c>
      <c r="CB63" s="73">
        <f>$V63*$H$3294</f>
        <v>40000</v>
      </c>
      <c r="CC63" s="73">
        <f>$V63*$H$3295</f>
        <v>40000</v>
      </c>
      <c r="CD63" s="73">
        <f>$V63*$H$3296</f>
        <v>40000</v>
      </c>
      <c r="CE63" s="73">
        <f>$V63*$H$3297</f>
        <v>40000</v>
      </c>
      <c r="CF63" s="73">
        <f>$V63*$H$3298</f>
        <v>40000</v>
      </c>
      <c r="CG63" s="73">
        <f>$V63*$H$3299</f>
        <v>40000</v>
      </c>
      <c r="CH63" s="73">
        <f>$V63*$H$3300</f>
        <v>40000</v>
      </c>
      <c r="CI63" s="75">
        <f>$O$3262</f>
        <v>1</v>
      </c>
      <c r="CJ63" s="73">
        <f>$H$3313</f>
        <v>1</v>
      </c>
      <c r="CK63" s="73">
        <f>$I$3313</f>
        <v>1</v>
      </c>
      <c r="CL63" s="73">
        <f>$J$3313</f>
        <v>1</v>
      </c>
      <c r="CM63" s="73">
        <f t="shared" si="54"/>
        <v>0</v>
      </c>
      <c r="CN63" s="73">
        <f t="shared" si="55"/>
        <v>40000</v>
      </c>
      <c r="CO63" s="72">
        <f>$M63*($C63/$K$3313)*IF($O$3262=1,$F$3262/$G63,1)*$R63</f>
        <v>0.69090909090909081</v>
      </c>
      <c r="CP63" s="72">
        <f>$M63*(1+$S63)*($C63/$L$3313)*IF($O$3262=1,$F$3262/$H63,1)*$R63</f>
        <v>0.69090909090909081</v>
      </c>
      <c r="CQ63" s="73">
        <f t="shared" si="56"/>
        <v>27636.363636363632</v>
      </c>
      <c r="CR63" s="73">
        <f t="shared" si="57"/>
        <v>27636.363636363632</v>
      </c>
      <c r="CS63" s="73">
        <f t="shared" si="58"/>
        <v>0</v>
      </c>
      <c r="CT63" s="272">
        <f t="shared" si="59"/>
        <v>0</v>
      </c>
      <c r="CU63" s="75">
        <f t="shared" si="60"/>
        <v>0</v>
      </c>
      <c r="CV63" s="75">
        <f t="shared" si="61"/>
        <v>0</v>
      </c>
      <c r="CW63" s="273" t="str">
        <f t="shared" si="62"/>
        <v/>
      </c>
      <c r="CX63" s="274" t="str">
        <f t="shared" si="63"/>
        <v/>
      </c>
      <c r="CY63" s="6" t="str">
        <f t="shared" si="64"/>
        <v/>
      </c>
      <c r="CZ63" s="273" t="str">
        <f t="shared" si="65"/>
        <v/>
      </c>
      <c r="DA63" s="274" t="str">
        <f t="shared" si="66"/>
        <v/>
      </c>
      <c r="DB63" s="6" t="str">
        <f t="shared" si="67"/>
        <v/>
      </c>
      <c r="DC63" s="273" t="str">
        <f t="shared" si="68"/>
        <v/>
      </c>
      <c r="DD63" s="274" t="str">
        <f t="shared" si="69"/>
        <v/>
      </c>
      <c r="DE63" s="6" t="str">
        <f t="shared" si="70"/>
        <v/>
      </c>
      <c r="DF63" s="273" t="str">
        <f t="shared" si="71"/>
        <v/>
      </c>
      <c r="DG63" s="274" t="str">
        <f t="shared" si="72"/>
        <v/>
      </c>
      <c r="DH63" s="6" t="str">
        <f t="shared" si="73"/>
        <v/>
      </c>
    </row>
    <row r="64" spans="1:112" x14ac:dyDescent="0.3">
      <c r="A64" s="6" t="str">
        <f>$A$3316</f>
        <v>SBA|VA</v>
      </c>
      <c r="B64" s="75">
        <f>$C$3316</f>
        <v>12</v>
      </c>
      <c r="C64" s="73">
        <f>$B$3367</f>
        <v>1.02</v>
      </c>
      <c r="D64" s="73">
        <f>$C$3367</f>
        <v>1.01</v>
      </c>
      <c r="E64" s="73">
        <f>$D$3367</f>
        <v>1.0199999999999998</v>
      </c>
      <c r="F64" s="73">
        <f>$E$3367</f>
        <v>1.0199999999999998</v>
      </c>
      <c r="G64" s="224">
        <f>$F$3367</f>
        <v>0.99299370897155337</v>
      </c>
      <c r="H64" s="224">
        <f>$G$3367</f>
        <v>1.002984534555069</v>
      </c>
      <c r="I64" s="73">
        <f t="shared" si="37"/>
        <v>1.0000000000000002</v>
      </c>
      <c r="J64" s="73">
        <f t="shared" si="38"/>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0.66800000000000004</v>
      </c>
      <c r="N64" s="72">
        <f t="shared" si="39"/>
        <v>0.67271322463044592</v>
      </c>
      <c r="O64" s="72">
        <f t="shared" si="40"/>
        <v>0.66601226338582542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1">
        <f>N(INDEX(lr_ep,61))</f>
        <v>92000</v>
      </c>
      <c r="W64" s="73">
        <f>N(INDEX(lr_mind,61))*$V64</f>
        <v>92000</v>
      </c>
      <c r="X64" s="73">
        <f>N(INDEX(lr_m0,61))*$V64</f>
        <v>91080</v>
      </c>
      <c r="Y64" s="73">
        <f>N(INDEX(lr_m1,61))*$V64</f>
        <v>92459.999999999985</v>
      </c>
      <c r="Z64" s="73">
        <f t="shared" si="43"/>
        <v>93840</v>
      </c>
      <c r="AA64" s="73">
        <f t="shared" si="44"/>
        <v>93839.999999999985</v>
      </c>
      <c r="AB64" s="73">
        <f t="shared" si="45"/>
        <v>92000.000000000015</v>
      </c>
      <c r="AC64" s="73">
        <f t="shared" si="46"/>
        <v>91355.421225382903</v>
      </c>
      <c r="AD64" s="73">
        <f t="shared" si="47"/>
        <v>92649.126745510497</v>
      </c>
      <c r="AE64" s="73">
        <f t="shared" si="48"/>
        <v>61456</v>
      </c>
      <c r="AF64" s="73">
        <f t="shared" si="49"/>
        <v>61889.616666001028</v>
      </c>
      <c r="AG64" s="73">
        <f t="shared" si="50"/>
        <v>0</v>
      </c>
      <c r="AH64" s="73">
        <f t="shared" si="51"/>
        <v>92000.000000000015</v>
      </c>
      <c r="AI64" s="73">
        <f t="shared" si="52"/>
        <v>91726.239867508877</v>
      </c>
      <c r="AJ64" s="73">
        <f t="shared" si="53"/>
        <v>61273.128231495939</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92000</v>
      </c>
      <c r="BX64" s="73">
        <f>$V64*$H$3344</f>
        <v>92000</v>
      </c>
      <c r="BY64" s="73">
        <f>$V64*$H$3345</f>
        <v>92000</v>
      </c>
      <c r="BZ64" s="73">
        <f>$V64*$H$3346</f>
        <v>92000</v>
      </c>
      <c r="CA64" s="73">
        <f>$V64*$H$3347</f>
        <v>92000</v>
      </c>
      <c r="CB64" s="73">
        <f>$V64*$H$3348</f>
        <v>92000</v>
      </c>
      <c r="CC64" s="73">
        <f>$V64*$H$3349</f>
        <v>92000</v>
      </c>
      <c r="CD64" s="73">
        <f>$V64*$H$3350</f>
        <v>92000</v>
      </c>
      <c r="CE64" s="73">
        <f>$V64*$H$3351</f>
        <v>92000</v>
      </c>
      <c r="CF64" s="73">
        <f>$V64*$H$3352</f>
        <v>92000</v>
      </c>
      <c r="CG64" s="73">
        <f>$V64*$H$3353</f>
        <v>92000</v>
      </c>
      <c r="CH64" s="73">
        <f>$V64*$H$3354</f>
        <v>92000</v>
      </c>
      <c r="CI64" s="75">
        <f>$O$3316</f>
        <v>1</v>
      </c>
      <c r="CJ64" s="73">
        <f>$H$3367</f>
        <v>1</v>
      </c>
      <c r="CK64" s="73">
        <f>$I$3367</f>
        <v>1.0121382062846183</v>
      </c>
      <c r="CL64" s="73">
        <f>$J$3367</f>
        <v>1.0121382062846183</v>
      </c>
      <c r="CM64" s="73">
        <f t="shared" si="54"/>
        <v>0</v>
      </c>
      <c r="CN64" s="73">
        <f t="shared" si="55"/>
        <v>92000</v>
      </c>
      <c r="CO64" s="72">
        <f>$M64*($C64/$K$3367)*IF($O$3316=1,$F$3316/$G64,1)*$R64</f>
        <v>0.67271322463044592</v>
      </c>
      <c r="CP64" s="72">
        <f>$M64*(1+$S64)*($C64/$L$3367)*IF($O$3316=1,$F$3316/$H64,1)*$R64</f>
        <v>0.66601226338582542</v>
      </c>
      <c r="CQ64" s="73">
        <f t="shared" si="56"/>
        <v>61889.616666001028</v>
      </c>
      <c r="CR64" s="73">
        <f t="shared" si="57"/>
        <v>61273.128231495939</v>
      </c>
      <c r="CS64" s="73">
        <f t="shared" si="58"/>
        <v>0</v>
      </c>
      <c r="CT64" s="272">
        <f t="shared" si="59"/>
        <v>0</v>
      </c>
      <c r="CU64" s="75">
        <f t="shared" si="60"/>
        <v>1</v>
      </c>
      <c r="CV64" s="75">
        <f t="shared" si="61"/>
        <v>0</v>
      </c>
      <c r="CW64" s="273">
        <f t="shared" si="62"/>
        <v>46023</v>
      </c>
      <c r="CX64" s="274">
        <f t="shared" si="63"/>
        <v>0.02</v>
      </c>
      <c r="CY64" s="6" t="str">
        <f t="shared" si="64"/>
        <v>T</v>
      </c>
      <c r="CZ64" s="273" t="str">
        <f t="shared" si="65"/>
        <v/>
      </c>
      <c r="DA64" s="274" t="str">
        <f t="shared" si="66"/>
        <v/>
      </c>
      <c r="DB64" s="6" t="str">
        <f t="shared" si="67"/>
        <v/>
      </c>
      <c r="DC64" s="273" t="str">
        <f t="shared" si="68"/>
        <v/>
      </c>
      <c r="DD64" s="274" t="str">
        <f t="shared" si="69"/>
        <v/>
      </c>
      <c r="DE64" s="6" t="str">
        <f t="shared" si="70"/>
        <v/>
      </c>
      <c r="DF64" s="273" t="str">
        <f t="shared" si="71"/>
        <v/>
      </c>
      <c r="DG64" s="274" t="str">
        <f t="shared" si="72"/>
        <v/>
      </c>
      <c r="DH64" s="6" t="str">
        <f t="shared" si="73"/>
        <v/>
      </c>
    </row>
    <row r="65" spans="1:112" x14ac:dyDescent="0.3">
      <c r="A65" s="6" t="str">
        <f>$A$3370</f>
        <v>SBA|WV</v>
      </c>
      <c r="B65" s="75">
        <f>$C$3370</f>
        <v>12</v>
      </c>
      <c r="C65" s="73">
        <f>$B$3421</f>
        <v>1.03</v>
      </c>
      <c r="D65" s="73">
        <f>$C$3421</f>
        <v>1.012604166666667</v>
      </c>
      <c r="E65" s="73">
        <f>$D$3421</f>
        <v>1.0472055555555555</v>
      </c>
      <c r="F65" s="73">
        <f>$E$3421</f>
        <v>1.0710569444444447</v>
      </c>
      <c r="G65" s="224">
        <f>$F$3421</f>
        <v>0.98900209700948194</v>
      </c>
      <c r="H65" s="224">
        <f>$G$3421</f>
        <v>0.98567182181497681</v>
      </c>
      <c r="I65" s="73">
        <f t="shared" si="37"/>
        <v>0.98357003029225942</v>
      </c>
      <c r="J65" s="73">
        <f t="shared" si="38"/>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0.69599999999999995</v>
      </c>
      <c r="N65" s="72">
        <f t="shared" si="39"/>
        <v>0.69217723921251628</v>
      </c>
      <c r="O65" s="72">
        <f t="shared" si="40"/>
        <v>0.67904970003379161</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1">
        <f>N(INDEX(lr_ep,62))</f>
        <v>76000</v>
      </c>
      <c r="W65" s="73">
        <f>N(INDEX(lr_mind,62))*$V65</f>
        <v>76000</v>
      </c>
      <c r="X65" s="73">
        <f>N(INDEX(lr_m0,62))*$V65</f>
        <v>75240</v>
      </c>
      <c r="Y65" s="73">
        <f>N(INDEX(lr_m1,62))*$V65</f>
        <v>74860</v>
      </c>
      <c r="Z65" s="73">
        <f t="shared" si="43"/>
        <v>78280</v>
      </c>
      <c r="AA65" s="73">
        <f t="shared" si="44"/>
        <v>79587.622222222213</v>
      </c>
      <c r="AB65" s="73">
        <f t="shared" si="45"/>
        <v>74751.322302211716</v>
      </c>
      <c r="AC65" s="73">
        <f t="shared" si="46"/>
        <v>75164.159372720635</v>
      </c>
      <c r="AD65" s="73">
        <f t="shared" si="47"/>
        <v>76845.135343804388</v>
      </c>
      <c r="AE65" s="73">
        <f t="shared" si="48"/>
        <v>52895.999999999993</v>
      </c>
      <c r="AF65" s="73">
        <f t="shared" si="49"/>
        <v>52605.470180151235</v>
      </c>
      <c r="AG65" s="73">
        <f t="shared" si="50"/>
        <v>0</v>
      </c>
      <c r="AH65" s="73">
        <f t="shared" si="51"/>
        <v>73086.683584880448</v>
      </c>
      <c r="AI65" s="73">
        <f t="shared" si="52"/>
        <v>77104.77089631783</v>
      </c>
      <c r="AJ65" s="73">
        <f t="shared" si="53"/>
        <v>51607.777202568162</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76000</v>
      </c>
      <c r="BX65" s="73">
        <f>$V65*$H$3398</f>
        <v>76000</v>
      </c>
      <c r="BY65" s="73">
        <f>$V65*$H$3399</f>
        <v>76000</v>
      </c>
      <c r="BZ65" s="73">
        <f>$V65*$H$3400</f>
        <v>76000</v>
      </c>
      <c r="CA65" s="73">
        <f>$V65*$H$3401</f>
        <v>76000</v>
      </c>
      <c r="CB65" s="73">
        <f>$V65*$H$3402</f>
        <v>76000</v>
      </c>
      <c r="CC65" s="73">
        <f>$V65*$H$3403</f>
        <v>76000</v>
      </c>
      <c r="CD65" s="73">
        <f>$V65*$H$3404</f>
        <v>76000</v>
      </c>
      <c r="CE65" s="73">
        <f>$V65*$H$3405</f>
        <v>76000</v>
      </c>
      <c r="CF65" s="73">
        <f>$V65*$H$3406</f>
        <v>76000</v>
      </c>
      <c r="CG65" s="73">
        <f>$V65*$H$3407</f>
        <v>76000</v>
      </c>
      <c r="CH65" s="73">
        <f>$V65*$H$3408</f>
        <v>76000</v>
      </c>
      <c r="CI65" s="75">
        <f>$O$3370</f>
        <v>1</v>
      </c>
      <c r="CJ65" s="73">
        <f>$H$3421</f>
        <v>1.0391666666666666</v>
      </c>
      <c r="CK65" s="73">
        <f>$I$3421</f>
        <v>0.99597028697853884</v>
      </c>
      <c r="CL65" s="73">
        <f>$J$3421</f>
        <v>1.034979117063237</v>
      </c>
      <c r="CM65" s="73">
        <f t="shared" si="54"/>
        <v>0</v>
      </c>
      <c r="CN65" s="73">
        <f t="shared" si="55"/>
        <v>76000</v>
      </c>
      <c r="CO65" s="72">
        <f>$M65*($C65/$K$3421)*IF($O$3370=1,$F$3370/$G65,1)*$R65</f>
        <v>0.69217723921251628</v>
      </c>
      <c r="CP65" s="72">
        <f>$M65*(1+$S65)*($C65/$L$3421)*IF($O$3370=1,$F$3370/$H65,1)*$R65</f>
        <v>0.67904970003379161</v>
      </c>
      <c r="CQ65" s="73">
        <f t="shared" si="56"/>
        <v>52605.470180151235</v>
      </c>
      <c r="CR65" s="73">
        <f t="shared" si="57"/>
        <v>51607.777202568162</v>
      </c>
      <c r="CS65" s="73">
        <f t="shared" si="58"/>
        <v>0</v>
      </c>
      <c r="CT65" s="272">
        <f t="shared" si="59"/>
        <v>0</v>
      </c>
      <c r="CU65" s="75">
        <f t="shared" si="60"/>
        <v>1</v>
      </c>
      <c r="CV65" s="75">
        <f t="shared" si="61"/>
        <v>1</v>
      </c>
      <c r="CW65" s="273">
        <f t="shared" si="62"/>
        <v>46054</v>
      </c>
      <c r="CX65" s="274">
        <f t="shared" si="63"/>
        <v>0.03</v>
      </c>
      <c r="CY65" s="6" t="str">
        <f t="shared" si="64"/>
        <v>T</v>
      </c>
      <c r="CZ65" s="273">
        <f t="shared" si="65"/>
        <v>46419</v>
      </c>
      <c r="DA65" s="274">
        <f t="shared" si="66"/>
        <v>0.04</v>
      </c>
      <c r="DB65" s="6" t="str">
        <f t="shared" si="67"/>
        <v>P*</v>
      </c>
      <c r="DC65" s="273" t="str">
        <f t="shared" si="68"/>
        <v/>
      </c>
      <c r="DD65" s="274" t="str">
        <f t="shared" si="69"/>
        <v/>
      </c>
      <c r="DE65" s="6" t="str">
        <f t="shared" si="70"/>
        <v/>
      </c>
      <c r="DF65" s="273" t="str">
        <f t="shared" si="71"/>
        <v/>
      </c>
      <c r="DG65" s="274" t="str">
        <f t="shared" si="72"/>
        <v/>
      </c>
      <c r="DH65" s="6" t="str">
        <f t="shared" si="73"/>
        <v/>
      </c>
    </row>
    <row r="66" spans="1:112" x14ac:dyDescent="0.3">
      <c r="A66" s="6" t="str">
        <f>$A$3424</f>
        <v>SBA|WI</v>
      </c>
      <c r="B66" s="75">
        <f>$C$3424</f>
        <v>12</v>
      </c>
      <c r="C66" s="73">
        <f>$B$3475</f>
        <v>1</v>
      </c>
      <c r="D66" s="73">
        <f>$C$3475</f>
        <v>1</v>
      </c>
      <c r="E66" s="73">
        <f>$D$3475</f>
        <v>1</v>
      </c>
      <c r="F66" s="73">
        <f>$E$3475</f>
        <v>1</v>
      </c>
      <c r="G66" s="224">
        <f>$F$3475</f>
        <v>0.99199580598103554</v>
      </c>
      <c r="H66" s="224">
        <f>$G$3475</f>
        <v>0.99865635637004624</v>
      </c>
      <c r="I66" s="73">
        <f t="shared" si="37"/>
        <v>1</v>
      </c>
      <c r="J66" s="73">
        <f t="shared" si="38"/>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0.68</v>
      </c>
      <c r="N66" s="72">
        <f t="shared" si="39"/>
        <v>0.6854867690972879</v>
      </c>
      <c r="O66" s="72">
        <f t="shared" si="40"/>
        <v>0.68091490697730073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1">
        <f>N(INDEX(lr_ep,63))</f>
        <v>60000</v>
      </c>
      <c r="W66" s="73">
        <f>N(INDEX(lr_mind,63))*$V66</f>
        <v>60000</v>
      </c>
      <c r="X66" s="73">
        <f>N(INDEX(lr_m0,63))*$V66</f>
        <v>59400</v>
      </c>
      <c r="Y66" s="73">
        <f>N(INDEX(lr_m1,63))*$V66</f>
        <v>60000</v>
      </c>
      <c r="Z66" s="73">
        <f t="shared" si="43"/>
        <v>60000</v>
      </c>
      <c r="AA66" s="73">
        <f t="shared" si="44"/>
        <v>60000</v>
      </c>
      <c r="AB66" s="73">
        <f t="shared" si="45"/>
        <v>60000</v>
      </c>
      <c r="AC66" s="73">
        <f t="shared" si="46"/>
        <v>59519.748358862133</v>
      </c>
      <c r="AD66" s="73">
        <f t="shared" si="47"/>
        <v>60484.126685054805</v>
      </c>
      <c r="AE66" s="73">
        <f t="shared" si="48"/>
        <v>40800</v>
      </c>
      <c r="AF66" s="73">
        <f t="shared" si="49"/>
        <v>41129.206145837277</v>
      </c>
      <c r="AG66" s="73">
        <f t="shared" si="50"/>
        <v>0</v>
      </c>
      <c r="AH66" s="73">
        <f t="shared" si="51"/>
        <v>60000</v>
      </c>
      <c r="AI66" s="73">
        <f t="shared" si="52"/>
        <v>60080.727086232415</v>
      </c>
      <c r="AJ66" s="73">
        <f t="shared" si="53"/>
        <v>40854.894418638047</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60000</v>
      </c>
      <c r="BX66" s="73">
        <f>$V66*$H$3452</f>
        <v>60000</v>
      </c>
      <c r="BY66" s="73">
        <f>$V66*$H$3453</f>
        <v>60000</v>
      </c>
      <c r="BZ66" s="73">
        <f>$V66*$H$3454</f>
        <v>60000</v>
      </c>
      <c r="CA66" s="73">
        <f>$V66*$H$3455</f>
        <v>60000</v>
      </c>
      <c r="CB66" s="73">
        <f>$V66*$H$3456</f>
        <v>60000</v>
      </c>
      <c r="CC66" s="73">
        <f>$V66*$H$3457</f>
        <v>60000</v>
      </c>
      <c r="CD66" s="73">
        <f>$V66*$H$3458</f>
        <v>60000</v>
      </c>
      <c r="CE66" s="73">
        <f>$V66*$H$3459</f>
        <v>60000</v>
      </c>
      <c r="CF66" s="73">
        <f>$V66*$H$3460</f>
        <v>60000</v>
      </c>
      <c r="CG66" s="73">
        <f>$V66*$H$3461</f>
        <v>60000</v>
      </c>
      <c r="CH66" s="73">
        <f>$V66*$H$3462</f>
        <v>60000</v>
      </c>
      <c r="CI66" s="75">
        <f>$O$3424</f>
        <v>1</v>
      </c>
      <c r="CJ66" s="73">
        <f>$H$3475</f>
        <v>1</v>
      </c>
      <c r="CK66" s="73">
        <f>$I$3475</f>
        <v>1.0080839018517107</v>
      </c>
      <c r="CL66" s="73">
        <f>$J$3475</f>
        <v>1.0080839018517107</v>
      </c>
      <c r="CM66" s="73">
        <f t="shared" si="54"/>
        <v>0</v>
      </c>
      <c r="CN66" s="73">
        <f t="shared" si="55"/>
        <v>60000</v>
      </c>
      <c r="CO66" s="72">
        <f>$M66*($C66/$K$3475)*IF($O$3424=1,$F$3424/$G66,1)*$R66</f>
        <v>0.6854867690972879</v>
      </c>
      <c r="CP66" s="72">
        <f>$M66*(1+$S66)*($C66/$L$3475)*IF($O$3424=1,$F$3424/$H66,1)*$R66</f>
        <v>0.68091490697730073</v>
      </c>
      <c r="CQ66" s="73">
        <f t="shared" si="56"/>
        <v>41129.206145837277</v>
      </c>
      <c r="CR66" s="73">
        <f t="shared" si="57"/>
        <v>40854.894418638047</v>
      </c>
      <c r="CS66" s="73">
        <f t="shared" si="58"/>
        <v>0</v>
      </c>
      <c r="CT66" s="272">
        <f t="shared" si="59"/>
        <v>0</v>
      </c>
      <c r="CU66" s="75">
        <f t="shared" si="60"/>
        <v>0</v>
      </c>
      <c r="CV66" s="75">
        <f t="shared" si="61"/>
        <v>0</v>
      </c>
      <c r="CW66" s="273" t="str">
        <f t="shared" si="62"/>
        <v/>
      </c>
      <c r="CX66" s="274" t="str">
        <f t="shared" si="63"/>
        <v/>
      </c>
      <c r="CY66" s="6" t="str">
        <f t="shared" si="64"/>
        <v/>
      </c>
      <c r="CZ66" s="273" t="str">
        <f t="shared" si="65"/>
        <v/>
      </c>
      <c r="DA66" s="274" t="str">
        <f t="shared" si="66"/>
        <v/>
      </c>
      <c r="DB66" s="6" t="str">
        <f t="shared" si="67"/>
        <v/>
      </c>
      <c r="DC66" s="273" t="str">
        <f t="shared" si="68"/>
        <v/>
      </c>
      <c r="DD66" s="274" t="str">
        <f t="shared" si="69"/>
        <v/>
      </c>
      <c r="DE66" s="6" t="str">
        <f t="shared" si="70"/>
        <v/>
      </c>
      <c r="DF66" s="273" t="str">
        <f t="shared" si="71"/>
        <v/>
      </c>
      <c r="DG66" s="274" t="str">
        <f t="shared" si="72"/>
        <v/>
      </c>
      <c r="DH66" s="6" t="str">
        <f t="shared" si="73"/>
        <v/>
      </c>
    </row>
    <row r="67" spans="1:112" x14ac:dyDescent="0.3">
      <c r="A67" s="6" t="str">
        <f>$A$3478</f>
        <v/>
      </c>
      <c r="B67" s="75">
        <f>$C$3478</f>
        <v>12</v>
      </c>
      <c r="C67" s="73">
        <f>$B$3529</f>
        <v>1</v>
      </c>
      <c r="D67" s="73">
        <f>$C$3529</f>
        <v>1</v>
      </c>
      <c r="E67" s="73">
        <f>$D$3529</f>
        <v>1</v>
      </c>
      <c r="F67" s="73">
        <f>$E$3529</f>
        <v>1</v>
      </c>
      <c r="G67" s="224">
        <f>$F$3529</f>
        <v>1</v>
      </c>
      <c r="H67" s="224">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2">
        <f t="shared" si="59"/>
        <v>0</v>
      </c>
      <c r="CU67" s="75">
        <f t="shared" si="60"/>
        <v>0</v>
      </c>
      <c r="CV67" s="75">
        <f t="shared" si="61"/>
        <v>0</v>
      </c>
      <c r="CW67" s="273" t="str">
        <f t="shared" si="62"/>
        <v/>
      </c>
      <c r="CX67" s="274" t="str">
        <f t="shared" si="63"/>
        <v/>
      </c>
      <c r="CY67" s="6" t="str">
        <f t="shared" si="64"/>
        <v/>
      </c>
      <c r="CZ67" s="273" t="str">
        <f t="shared" si="65"/>
        <v/>
      </c>
      <c r="DA67" s="274" t="str">
        <f t="shared" si="66"/>
        <v/>
      </c>
      <c r="DB67" s="6" t="str">
        <f t="shared" si="67"/>
        <v/>
      </c>
      <c r="DC67" s="273" t="str">
        <f t="shared" si="68"/>
        <v/>
      </c>
      <c r="DD67" s="274" t="str">
        <f t="shared" si="69"/>
        <v/>
      </c>
      <c r="DE67" s="6" t="str">
        <f t="shared" si="70"/>
        <v/>
      </c>
      <c r="DF67" s="273" t="str">
        <f t="shared" si="71"/>
        <v/>
      </c>
      <c r="DG67" s="274" t="str">
        <f t="shared" si="72"/>
        <v/>
      </c>
      <c r="DH67" s="6" t="str">
        <f t="shared" si="73"/>
        <v/>
      </c>
    </row>
    <row r="68" spans="1:112" x14ac:dyDescent="0.3">
      <c r="A68" s="6" t="str">
        <f>$A$3532</f>
        <v/>
      </c>
      <c r="B68" s="75">
        <f>$C$3532</f>
        <v>12</v>
      </c>
      <c r="C68" s="73">
        <f>$B$3583</f>
        <v>1</v>
      </c>
      <c r="D68" s="73">
        <f>$C$3583</f>
        <v>1</v>
      </c>
      <c r="E68" s="73">
        <f>$D$3583</f>
        <v>1</v>
      </c>
      <c r="F68" s="73">
        <f>$E$3583</f>
        <v>1</v>
      </c>
      <c r="G68" s="224">
        <f>$F$3583</f>
        <v>1</v>
      </c>
      <c r="H68" s="224">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2">
        <f t="shared" si="59"/>
        <v>0</v>
      </c>
      <c r="CU68" s="75">
        <f t="shared" si="60"/>
        <v>0</v>
      </c>
      <c r="CV68" s="75">
        <f t="shared" si="61"/>
        <v>0</v>
      </c>
      <c r="CW68" s="273" t="str">
        <f t="shared" si="62"/>
        <v/>
      </c>
      <c r="CX68" s="274" t="str">
        <f t="shared" si="63"/>
        <v/>
      </c>
      <c r="CY68" s="6" t="str">
        <f t="shared" si="64"/>
        <v/>
      </c>
      <c r="CZ68" s="273" t="str">
        <f t="shared" si="65"/>
        <v/>
      </c>
      <c r="DA68" s="274" t="str">
        <f t="shared" si="66"/>
        <v/>
      </c>
      <c r="DB68" s="6" t="str">
        <f t="shared" si="67"/>
        <v/>
      </c>
      <c r="DC68" s="273" t="str">
        <f t="shared" si="68"/>
        <v/>
      </c>
      <c r="DD68" s="274" t="str">
        <f t="shared" si="69"/>
        <v/>
      </c>
      <c r="DE68" s="6" t="str">
        <f t="shared" si="70"/>
        <v/>
      </c>
      <c r="DF68" s="273" t="str">
        <f t="shared" si="71"/>
        <v/>
      </c>
      <c r="DG68" s="274" t="str">
        <f t="shared" si="72"/>
        <v/>
      </c>
      <c r="DH68" s="6" t="str">
        <f t="shared" si="73"/>
        <v/>
      </c>
    </row>
    <row r="69" spans="1:112" x14ac:dyDescent="0.3">
      <c r="A69" s="6" t="str">
        <f>$A$3586</f>
        <v/>
      </c>
      <c r="B69" s="75">
        <f>$C$3586</f>
        <v>12</v>
      </c>
      <c r="C69" s="73">
        <f>$B$3637</f>
        <v>1</v>
      </c>
      <c r="D69" s="73">
        <f>$C$3637</f>
        <v>1</v>
      </c>
      <c r="E69" s="73">
        <f>$D$3637</f>
        <v>1</v>
      </c>
      <c r="F69" s="73">
        <f>$E$3637</f>
        <v>1</v>
      </c>
      <c r="G69" s="224">
        <f>$F$3637</f>
        <v>1</v>
      </c>
      <c r="H69" s="224">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2">
        <f t="shared" si="59"/>
        <v>0</v>
      </c>
      <c r="CU69" s="75">
        <f t="shared" si="60"/>
        <v>0</v>
      </c>
      <c r="CV69" s="75">
        <f t="shared" si="61"/>
        <v>0</v>
      </c>
      <c r="CW69" s="273" t="str">
        <f t="shared" si="62"/>
        <v/>
      </c>
      <c r="CX69" s="274" t="str">
        <f t="shared" si="63"/>
        <v/>
      </c>
      <c r="CY69" s="6" t="str">
        <f t="shared" si="64"/>
        <v/>
      </c>
      <c r="CZ69" s="273" t="str">
        <f t="shared" si="65"/>
        <v/>
      </c>
      <c r="DA69" s="274" t="str">
        <f t="shared" si="66"/>
        <v/>
      </c>
      <c r="DB69" s="6" t="str">
        <f t="shared" si="67"/>
        <v/>
      </c>
      <c r="DC69" s="273" t="str">
        <f t="shared" si="68"/>
        <v/>
      </c>
      <c r="DD69" s="274" t="str">
        <f t="shared" si="69"/>
        <v/>
      </c>
      <c r="DE69" s="6" t="str">
        <f t="shared" si="70"/>
        <v/>
      </c>
      <c r="DF69" s="273" t="str">
        <f t="shared" si="71"/>
        <v/>
      </c>
      <c r="DG69" s="274" t="str">
        <f t="shared" si="72"/>
        <v/>
      </c>
      <c r="DH69" s="6" t="str">
        <f t="shared" si="73"/>
        <v/>
      </c>
    </row>
    <row r="70" spans="1:112" x14ac:dyDescent="0.3">
      <c r="A70" s="6" t="str">
        <f>$A$3640</f>
        <v/>
      </c>
      <c r="B70" s="75">
        <f>$C$3640</f>
        <v>12</v>
      </c>
      <c r="C70" s="73">
        <f>$B$3691</f>
        <v>1</v>
      </c>
      <c r="D70" s="73">
        <f>$C$3691</f>
        <v>1</v>
      </c>
      <c r="E70" s="73">
        <f>$D$3691</f>
        <v>1</v>
      </c>
      <c r="F70" s="73">
        <f>$E$3691</f>
        <v>1</v>
      </c>
      <c r="G70" s="224">
        <f>$F$3691</f>
        <v>1</v>
      </c>
      <c r="H70" s="224">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2">
        <f t="shared" si="59"/>
        <v>0</v>
      </c>
      <c r="CU70" s="75">
        <f t="shared" si="60"/>
        <v>0</v>
      </c>
      <c r="CV70" s="75">
        <f t="shared" si="61"/>
        <v>0</v>
      </c>
      <c r="CW70" s="273" t="str">
        <f t="shared" si="62"/>
        <v/>
      </c>
      <c r="CX70" s="274" t="str">
        <f t="shared" si="63"/>
        <v/>
      </c>
      <c r="CY70" s="6" t="str">
        <f t="shared" si="64"/>
        <v/>
      </c>
      <c r="CZ70" s="273" t="str">
        <f t="shared" si="65"/>
        <v/>
      </c>
      <c r="DA70" s="274" t="str">
        <f t="shared" si="66"/>
        <v/>
      </c>
      <c r="DB70" s="6" t="str">
        <f t="shared" si="67"/>
        <v/>
      </c>
      <c r="DC70" s="273" t="str">
        <f t="shared" si="68"/>
        <v/>
      </c>
      <c r="DD70" s="274" t="str">
        <f t="shared" si="69"/>
        <v/>
      </c>
      <c r="DE70" s="6" t="str">
        <f t="shared" si="70"/>
        <v/>
      </c>
      <c r="DF70" s="273" t="str">
        <f t="shared" si="71"/>
        <v/>
      </c>
      <c r="DG70" s="274" t="str">
        <f t="shared" si="72"/>
        <v/>
      </c>
      <c r="DH70" s="6" t="str">
        <f t="shared" si="73"/>
        <v/>
      </c>
    </row>
    <row r="71" spans="1:112" x14ac:dyDescent="0.3">
      <c r="A71" s="6" t="str">
        <f>$A$3694</f>
        <v/>
      </c>
      <c r="B71" s="75">
        <f>$C$3694</f>
        <v>12</v>
      </c>
      <c r="C71" s="73">
        <f>$B$3745</f>
        <v>1</v>
      </c>
      <c r="D71" s="73">
        <f>$C$3745</f>
        <v>1</v>
      </c>
      <c r="E71" s="73">
        <f>$D$3745</f>
        <v>1</v>
      </c>
      <c r="F71" s="73">
        <f>$E$3745</f>
        <v>1</v>
      </c>
      <c r="G71" s="224">
        <f>$F$3745</f>
        <v>1</v>
      </c>
      <c r="H71" s="224">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2">
        <f t="shared" si="59"/>
        <v>0</v>
      </c>
      <c r="CU71" s="75">
        <f t="shared" si="60"/>
        <v>0</v>
      </c>
      <c r="CV71" s="75">
        <f t="shared" si="61"/>
        <v>0</v>
      </c>
      <c r="CW71" s="273" t="str">
        <f t="shared" si="62"/>
        <v/>
      </c>
      <c r="CX71" s="274" t="str">
        <f t="shared" si="63"/>
        <v/>
      </c>
      <c r="CY71" s="6" t="str">
        <f t="shared" si="64"/>
        <v/>
      </c>
      <c r="CZ71" s="273" t="str">
        <f t="shared" si="65"/>
        <v/>
      </c>
      <c r="DA71" s="274" t="str">
        <f t="shared" si="66"/>
        <v/>
      </c>
      <c r="DB71" s="6" t="str">
        <f t="shared" si="67"/>
        <v/>
      </c>
      <c r="DC71" s="273" t="str">
        <f t="shared" si="68"/>
        <v/>
      </c>
      <c r="DD71" s="274" t="str">
        <f t="shared" si="69"/>
        <v/>
      </c>
      <c r="DE71" s="6" t="str">
        <f t="shared" si="70"/>
        <v/>
      </c>
      <c r="DF71" s="273" t="str">
        <f t="shared" si="71"/>
        <v/>
      </c>
      <c r="DG71" s="274" t="str">
        <f t="shared" si="72"/>
        <v/>
      </c>
      <c r="DH71" s="6" t="str">
        <f t="shared" si="73"/>
        <v/>
      </c>
    </row>
    <row r="72" spans="1:112" x14ac:dyDescent="0.3">
      <c r="A72" s="6" t="str">
        <f>$A$3748</f>
        <v/>
      </c>
      <c r="B72" s="75">
        <f>$C$3748</f>
        <v>12</v>
      </c>
      <c r="C72" s="73">
        <f>$B$3799</f>
        <v>1</v>
      </c>
      <c r="D72" s="73">
        <f>$C$3799</f>
        <v>1</v>
      </c>
      <c r="E72" s="73">
        <f>$D$3799</f>
        <v>1</v>
      </c>
      <c r="F72" s="73">
        <f>$E$3799</f>
        <v>1</v>
      </c>
      <c r="G72" s="224">
        <f>$F$3799</f>
        <v>1</v>
      </c>
      <c r="H72" s="224">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2">
        <f t="shared" si="59"/>
        <v>0</v>
      </c>
      <c r="CU72" s="75">
        <f t="shared" si="60"/>
        <v>0</v>
      </c>
      <c r="CV72" s="75">
        <f t="shared" si="61"/>
        <v>0</v>
      </c>
      <c r="CW72" s="273" t="str">
        <f t="shared" si="62"/>
        <v/>
      </c>
      <c r="CX72" s="274" t="str">
        <f t="shared" si="63"/>
        <v/>
      </c>
      <c r="CY72" s="6" t="str">
        <f t="shared" si="64"/>
        <v/>
      </c>
      <c r="CZ72" s="273" t="str">
        <f t="shared" si="65"/>
        <v/>
      </c>
      <c r="DA72" s="274" t="str">
        <f t="shared" si="66"/>
        <v/>
      </c>
      <c r="DB72" s="6" t="str">
        <f t="shared" si="67"/>
        <v/>
      </c>
      <c r="DC72" s="273" t="str">
        <f t="shared" si="68"/>
        <v/>
      </c>
      <c r="DD72" s="274" t="str">
        <f t="shared" si="69"/>
        <v/>
      </c>
      <c r="DE72" s="6" t="str">
        <f t="shared" si="70"/>
        <v/>
      </c>
      <c r="DF72" s="273" t="str">
        <f t="shared" si="71"/>
        <v/>
      </c>
      <c r="DG72" s="274" t="str">
        <f t="shared" si="72"/>
        <v/>
      </c>
      <c r="DH72" s="6" t="str">
        <f t="shared" si="73"/>
        <v/>
      </c>
    </row>
    <row r="76" spans="1:112" x14ac:dyDescent="0.3">
      <c r="A76" s="6" t="str">
        <f>INDEX(lr_key,1)</f>
        <v>ABD|AZ</v>
      </c>
      <c r="B76" s="6" t="str">
        <f>INDEX(lr_state,1)</f>
        <v>AZ</v>
      </c>
      <c r="C76" s="75">
        <f>nr_TermMonths</f>
        <v>12</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11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12"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112" x14ac:dyDescent="0.3">
      <c r="A79" s="187">
        <v>1</v>
      </c>
      <c r="B79" s="242">
        <f>DATE(nr_PlanYear-2,1,1)</f>
        <v>45658</v>
      </c>
      <c r="C79" s="243">
        <f t="shared" ref="C79:C126" si="74">EOMONTH($B79,0)</f>
        <v>45688</v>
      </c>
      <c r="D79" s="120">
        <f t="shared" ref="D79:D126" si="75">$C79-$B79+1</f>
        <v>31</v>
      </c>
      <c r="E79" s="120">
        <f t="shared" ref="E79:E126" si="76">MONTH($B79)</f>
        <v>1</v>
      </c>
      <c r="F79" s="275">
        <f t="shared" ref="F79:F126" si="77">($B79+$C79+1)/2</f>
        <v>45673.5</v>
      </c>
      <c r="G79" s="120">
        <f t="shared" ref="G79:G126" si="78">YEAR($B79)*12+MONTH($B79)-1</f>
        <v>24300</v>
      </c>
      <c r="H79" s="245">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46">
        <f t="shared" ref="M79:M126" si="84">IF($K79=0,0,MIN(1,$L79/$D79))</f>
        <v>0</v>
      </c>
      <c r="N79" s="121">
        <f t="shared" ref="N79:N126" si="85">IF($K79=0,$J79,(1-$M79)*$I79+$M79*$J79)</f>
        <v>1</v>
      </c>
      <c r="O79" s="246">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12" x14ac:dyDescent="0.3">
      <c r="A80" s="187">
        <v>2</v>
      </c>
      <c r="B80" s="242">
        <f t="shared" ref="B80:B126" si="93">EDATE($B79,1)</f>
        <v>45689</v>
      </c>
      <c r="C80" s="243">
        <f t="shared" si="74"/>
        <v>45716</v>
      </c>
      <c r="D80" s="120">
        <f t="shared" si="75"/>
        <v>28</v>
      </c>
      <c r="E80" s="120">
        <f t="shared" si="76"/>
        <v>2</v>
      </c>
      <c r="F80" s="275">
        <f t="shared" si="77"/>
        <v>45703</v>
      </c>
      <c r="G80" s="120">
        <f t="shared" si="78"/>
        <v>24301</v>
      </c>
      <c r="H80" s="245">
        <f t="shared" si="79"/>
        <v>1</v>
      </c>
      <c r="I80" s="121">
        <f t="shared" si="80"/>
        <v>1</v>
      </c>
      <c r="J80" s="121">
        <f t="shared" si="81"/>
        <v>1</v>
      </c>
      <c r="K80" s="120">
        <f t="shared" si="82"/>
        <v>0</v>
      </c>
      <c r="L80" s="120">
        <f t="shared" si="83"/>
        <v>0</v>
      </c>
      <c r="M80" s="246">
        <f t="shared" si="84"/>
        <v>0</v>
      </c>
      <c r="N80" s="121">
        <f t="shared" si="85"/>
        <v>1</v>
      </c>
      <c r="O80" s="246">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87">
        <v>3</v>
      </c>
      <c r="B81" s="242">
        <f t="shared" si="93"/>
        <v>45717</v>
      </c>
      <c r="C81" s="243">
        <f t="shared" si="74"/>
        <v>45747</v>
      </c>
      <c r="D81" s="120">
        <f t="shared" si="75"/>
        <v>31</v>
      </c>
      <c r="E81" s="120">
        <f t="shared" si="76"/>
        <v>3</v>
      </c>
      <c r="F81" s="275">
        <f t="shared" si="77"/>
        <v>45732.5</v>
      </c>
      <c r="G81" s="120">
        <f t="shared" si="78"/>
        <v>24302</v>
      </c>
      <c r="H81" s="245">
        <f t="shared" si="79"/>
        <v>1</v>
      </c>
      <c r="I81" s="121">
        <f t="shared" si="80"/>
        <v>1</v>
      </c>
      <c r="J81" s="121">
        <f t="shared" si="81"/>
        <v>1</v>
      </c>
      <c r="K81" s="120">
        <f t="shared" si="82"/>
        <v>0</v>
      </c>
      <c r="L81" s="120">
        <f t="shared" si="83"/>
        <v>0</v>
      </c>
      <c r="M81" s="246">
        <f t="shared" si="84"/>
        <v>0</v>
      </c>
      <c r="N81" s="121">
        <f t="shared" si="85"/>
        <v>1</v>
      </c>
      <c r="O81" s="246">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87">
        <v>4</v>
      </c>
      <c r="B82" s="242">
        <f t="shared" si="93"/>
        <v>45748</v>
      </c>
      <c r="C82" s="243">
        <f t="shared" si="74"/>
        <v>45777</v>
      </c>
      <c r="D82" s="120">
        <f t="shared" si="75"/>
        <v>30</v>
      </c>
      <c r="E82" s="120">
        <f t="shared" si="76"/>
        <v>4</v>
      </c>
      <c r="F82" s="275">
        <f t="shared" si="77"/>
        <v>45763</v>
      </c>
      <c r="G82" s="120">
        <f t="shared" si="78"/>
        <v>24303</v>
      </c>
      <c r="H82" s="245">
        <f t="shared" si="79"/>
        <v>1</v>
      </c>
      <c r="I82" s="121">
        <f t="shared" si="80"/>
        <v>1</v>
      </c>
      <c r="J82" s="121">
        <f t="shared" si="81"/>
        <v>1</v>
      </c>
      <c r="K82" s="120">
        <f t="shared" si="82"/>
        <v>0</v>
      </c>
      <c r="L82" s="120">
        <f t="shared" si="83"/>
        <v>0</v>
      </c>
      <c r="M82" s="246">
        <f t="shared" si="84"/>
        <v>0</v>
      </c>
      <c r="N82" s="121">
        <f t="shared" si="85"/>
        <v>1</v>
      </c>
      <c r="O82" s="246">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87">
        <v>5</v>
      </c>
      <c r="B83" s="242">
        <f t="shared" si="93"/>
        <v>45778</v>
      </c>
      <c r="C83" s="243">
        <f t="shared" si="74"/>
        <v>45808</v>
      </c>
      <c r="D83" s="120">
        <f t="shared" si="75"/>
        <v>31</v>
      </c>
      <c r="E83" s="120">
        <f t="shared" si="76"/>
        <v>5</v>
      </c>
      <c r="F83" s="275">
        <f t="shared" si="77"/>
        <v>45793.5</v>
      </c>
      <c r="G83" s="120">
        <f t="shared" si="78"/>
        <v>24304</v>
      </c>
      <c r="H83" s="245">
        <f t="shared" si="79"/>
        <v>1</v>
      </c>
      <c r="I83" s="121">
        <f t="shared" si="80"/>
        <v>1</v>
      </c>
      <c r="J83" s="121">
        <f t="shared" si="81"/>
        <v>1</v>
      </c>
      <c r="K83" s="120">
        <f t="shared" si="82"/>
        <v>0</v>
      </c>
      <c r="L83" s="120">
        <f t="shared" si="83"/>
        <v>0</v>
      </c>
      <c r="M83" s="246">
        <f t="shared" si="84"/>
        <v>0</v>
      </c>
      <c r="N83" s="121">
        <f t="shared" si="85"/>
        <v>1</v>
      </c>
      <c r="O83" s="246">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87">
        <v>6</v>
      </c>
      <c r="B84" s="242">
        <f t="shared" si="93"/>
        <v>45809</v>
      </c>
      <c r="C84" s="243">
        <f t="shared" si="74"/>
        <v>45838</v>
      </c>
      <c r="D84" s="120">
        <f t="shared" si="75"/>
        <v>30</v>
      </c>
      <c r="E84" s="120">
        <f t="shared" si="76"/>
        <v>6</v>
      </c>
      <c r="F84" s="275">
        <f t="shared" si="77"/>
        <v>45824</v>
      </c>
      <c r="G84" s="120">
        <f t="shared" si="78"/>
        <v>24305</v>
      </c>
      <c r="H84" s="245">
        <f t="shared" si="79"/>
        <v>1</v>
      </c>
      <c r="I84" s="121">
        <f t="shared" si="80"/>
        <v>1</v>
      </c>
      <c r="J84" s="121">
        <f t="shared" si="81"/>
        <v>1</v>
      </c>
      <c r="K84" s="120">
        <f t="shared" si="82"/>
        <v>0</v>
      </c>
      <c r="L84" s="120">
        <f t="shared" si="83"/>
        <v>0</v>
      </c>
      <c r="M84" s="246">
        <f t="shared" si="84"/>
        <v>0</v>
      </c>
      <c r="N84" s="121">
        <f t="shared" si="85"/>
        <v>1</v>
      </c>
      <c r="O84" s="246">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87">
        <v>7</v>
      </c>
      <c r="B85" s="242">
        <f t="shared" si="93"/>
        <v>45839</v>
      </c>
      <c r="C85" s="243">
        <f t="shared" si="74"/>
        <v>45869</v>
      </c>
      <c r="D85" s="120">
        <f t="shared" si="75"/>
        <v>31</v>
      </c>
      <c r="E85" s="120">
        <f t="shared" si="76"/>
        <v>7</v>
      </c>
      <c r="F85" s="275">
        <f t="shared" si="77"/>
        <v>45854.5</v>
      </c>
      <c r="G85" s="120">
        <f t="shared" si="78"/>
        <v>24306</v>
      </c>
      <c r="H85" s="245">
        <f t="shared" si="79"/>
        <v>1</v>
      </c>
      <c r="I85" s="121">
        <f t="shared" si="80"/>
        <v>1</v>
      </c>
      <c r="J85" s="121">
        <f t="shared" si="81"/>
        <v>1.04</v>
      </c>
      <c r="K85" s="120">
        <f t="shared" si="82"/>
        <v>1</v>
      </c>
      <c r="L85" s="120">
        <f t="shared" si="83"/>
        <v>31</v>
      </c>
      <c r="M85" s="246">
        <f t="shared" si="84"/>
        <v>1</v>
      </c>
      <c r="N85" s="121">
        <f t="shared" si="85"/>
        <v>1.04</v>
      </c>
      <c r="O85" s="246">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87">
        <v>8</v>
      </c>
      <c r="B86" s="242">
        <f t="shared" si="93"/>
        <v>45870</v>
      </c>
      <c r="C86" s="243">
        <f t="shared" si="74"/>
        <v>45900</v>
      </c>
      <c r="D86" s="120">
        <f t="shared" si="75"/>
        <v>31</v>
      </c>
      <c r="E86" s="120">
        <f t="shared" si="76"/>
        <v>8</v>
      </c>
      <c r="F86" s="275">
        <f t="shared" si="77"/>
        <v>45885.5</v>
      </c>
      <c r="G86" s="120">
        <f t="shared" si="78"/>
        <v>24307</v>
      </c>
      <c r="H86" s="245">
        <f t="shared" si="79"/>
        <v>1</v>
      </c>
      <c r="I86" s="121">
        <f t="shared" si="80"/>
        <v>1.04</v>
      </c>
      <c r="J86" s="121">
        <f t="shared" si="81"/>
        <v>1.04</v>
      </c>
      <c r="K86" s="120">
        <f t="shared" si="82"/>
        <v>0</v>
      </c>
      <c r="L86" s="120">
        <f t="shared" si="83"/>
        <v>0</v>
      </c>
      <c r="M86" s="246">
        <f t="shared" si="84"/>
        <v>0</v>
      </c>
      <c r="N86" s="121">
        <f t="shared" si="85"/>
        <v>1.04</v>
      </c>
      <c r="O86" s="246">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87">
        <v>9</v>
      </c>
      <c r="B87" s="242">
        <f t="shared" si="93"/>
        <v>45901</v>
      </c>
      <c r="C87" s="243">
        <f t="shared" si="74"/>
        <v>45930</v>
      </c>
      <c r="D87" s="120">
        <f t="shared" si="75"/>
        <v>30</v>
      </c>
      <c r="E87" s="120">
        <f t="shared" si="76"/>
        <v>9</v>
      </c>
      <c r="F87" s="275">
        <f t="shared" si="77"/>
        <v>45916</v>
      </c>
      <c r="G87" s="120">
        <f t="shared" si="78"/>
        <v>24308</v>
      </c>
      <c r="H87" s="245">
        <f t="shared" si="79"/>
        <v>1</v>
      </c>
      <c r="I87" s="121">
        <f t="shared" si="80"/>
        <v>1.04</v>
      </c>
      <c r="J87" s="121">
        <f t="shared" si="81"/>
        <v>1.04</v>
      </c>
      <c r="K87" s="120">
        <f t="shared" si="82"/>
        <v>0</v>
      </c>
      <c r="L87" s="120">
        <f t="shared" si="83"/>
        <v>0</v>
      </c>
      <c r="M87" s="246">
        <f t="shared" si="84"/>
        <v>0</v>
      </c>
      <c r="N87" s="121">
        <f t="shared" si="85"/>
        <v>1.04</v>
      </c>
      <c r="O87" s="246">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87">
        <v>10</v>
      </c>
      <c r="B88" s="242">
        <f t="shared" si="93"/>
        <v>45931</v>
      </c>
      <c r="C88" s="243">
        <f t="shared" si="74"/>
        <v>45961</v>
      </c>
      <c r="D88" s="120">
        <f t="shared" si="75"/>
        <v>31</v>
      </c>
      <c r="E88" s="120">
        <f t="shared" si="76"/>
        <v>10</v>
      </c>
      <c r="F88" s="275">
        <f t="shared" si="77"/>
        <v>45946.5</v>
      </c>
      <c r="G88" s="120">
        <f t="shared" si="78"/>
        <v>24309</v>
      </c>
      <c r="H88" s="245">
        <f t="shared" si="79"/>
        <v>1</v>
      </c>
      <c r="I88" s="121">
        <f t="shared" si="80"/>
        <v>1.04</v>
      </c>
      <c r="J88" s="121">
        <f t="shared" si="81"/>
        <v>1.04</v>
      </c>
      <c r="K88" s="120">
        <f t="shared" si="82"/>
        <v>0</v>
      </c>
      <c r="L88" s="120">
        <f t="shared" si="83"/>
        <v>0</v>
      </c>
      <c r="M88" s="246">
        <f t="shared" si="84"/>
        <v>0</v>
      </c>
      <c r="N88" s="121">
        <f t="shared" si="85"/>
        <v>1.04</v>
      </c>
      <c r="O88" s="246">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87">
        <v>11</v>
      </c>
      <c r="B89" s="242">
        <f t="shared" si="93"/>
        <v>45962</v>
      </c>
      <c r="C89" s="243">
        <f t="shared" si="74"/>
        <v>45991</v>
      </c>
      <c r="D89" s="120">
        <f t="shared" si="75"/>
        <v>30</v>
      </c>
      <c r="E89" s="120">
        <f t="shared" si="76"/>
        <v>11</v>
      </c>
      <c r="F89" s="275">
        <f t="shared" si="77"/>
        <v>45977</v>
      </c>
      <c r="G89" s="120">
        <f t="shared" si="78"/>
        <v>24310</v>
      </c>
      <c r="H89" s="245">
        <f t="shared" si="79"/>
        <v>1</v>
      </c>
      <c r="I89" s="121">
        <f t="shared" si="80"/>
        <v>1.04</v>
      </c>
      <c r="J89" s="121">
        <f t="shared" si="81"/>
        <v>1.04</v>
      </c>
      <c r="K89" s="120">
        <f t="shared" si="82"/>
        <v>0</v>
      </c>
      <c r="L89" s="120">
        <f t="shared" si="83"/>
        <v>0</v>
      </c>
      <c r="M89" s="246">
        <f t="shared" si="84"/>
        <v>0</v>
      </c>
      <c r="N89" s="121">
        <f t="shared" si="85"/>
        <v>1.04</v>
      </c>
      <c r="O89" s="246">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87">
        <v>12</v>
      </c>
      <c r="B90" s="242">
        <f t="shared" si="93"/>
        <v>45992</v>
      </c>
      <c r="C90" s="243">
        <f t="shared" si="74"/>
        <v>46022</v>
      </c>
      <c r="D90" s="120">
        <f t="shared" si="75"/>
        <v>31</v>
      </c>
      <c r="E90" s="120">
        <f t="shared" si="76"/>
        <v>12</v>
      </c>
      <c r="F90" s="275">
        <f t="shared" si="77"/>
        <v>46007.5</v>
      </c>
      <c r="G90" s="120">
        <f t="shared" si="78"/>
        <v>24311</v>
      </c>
      <c r="H90" s="245">
        <f t="shared" si="79"/>
        <v>1</v>
      </c>
      <c r="I90" s="121">
        <f t="shared" si="80"/>
        <v>1.04</v>
      </c>
      <c r="J90" s="121">
        <f t="shared" si="81"/>
        <v>1.04</v>
      </c>
      <c r="K90" s="120">
        <f t="shared" si="82"/>
        <v>0</v>
      </c>
      <c r="L90" s="120">
        <f t="shared" si="83"/>
        <v>0</v>
      </c>
      <c r="M90" s="246">
        <f t="shared" si="84"/>
        <v>0</v>
      </c>
      <c r="N90" s="121">
        <f t="shared" si="85"/>
        <v>1.04</v>
      </c>
      <c r="O90" s="246">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87">
        <v>13</v>
      </c>
      <c r="B91" s="242">
        <f t="shared" si="93"/>
        <v>46023</v>
      </c>
      <c r="C91" s="243">
        <f t="shared" si="74"/>
        <v>46053</v>
      </c>
      <c r="D91" s="120">
        <f t="shared" si="75"/>
        <v>31</v>
      </c>
      <c r="E91" s="120">
        <f t="shared" si="76"/>
        <v>1</v>
      </c>
      <c r="F91" s="275">
        <f t="shared" si="77"/>
        <v>46038.5</v>
      </c>
      <c r="G91" s="120">
        <f t="shared" si="78"/>
        <v>24312</v>
      </c>
      <c r="H91" s="245">
        <f t="shared" si="79"/>
        <v>1</v>
      </c>
      <c r="I91" s="121">
        <f t="shared" si="80"/>
        <v>1.04</v>
      </c>
      <c r="J91" s="121">
        <f t="shared" si="81"/>
        <v>1.04</v>
      </c>
      <c r="K91" s="120">
        <f t="shared" si="82"/>
        <v>0</v>
      </c>
      <c r="L91" s="120">
        <f t="shared" si="83"/>
        <v>0</v>
      </c>
      <c r="M91" s="246">
        <f t="shared" si="84"/>
        <v>0</v>
      </c>
      <c r="N91" s="121">
        <f t="shared" si="85"/>
        <v>1.04</v>
      </c>
      <c r="O91" s="246">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87">
        <v>14</v>
      </c>
      <c r="B92" s="242">
        <f t="shared" si="93"/>
        <v>46054</v>
      </c>
      <c r="C92" s="243">
        <f t="shared" si="74"/>
        <v>46081</v>
      </c>
      <c r="D92" s="120">
        <f t="shared" si="75"/>
        <v>28</v>
      </c>
      <c r="E92" s="120">
        <f t="shared" si="76"/>
        <v>2</v>
      </c>
      <c r="F92" s="275">
        <f t="shared" si="77"/>
        <v>46068</v>
      </c>
      <c r="G92" s="120">
        <f t="shared" si="78"/>
        <v>24313</v>
      </c>
      <c r="H92" s="245">
        <f t="shared" si="79"/>
        <v>1</v>
      </c>
      <c r="I92" s="121">
        <f t="shared" si="80"/>
        <v>1.04</v>
      </c>
      <c r="J92" s="121">
        <f t="shared" si="81"/>
        <v>1.04</v>
      </c>
      <c r="K92" s="120">
        <f t="shared" si="82"/>
        <v>0</v>
      </c>
      <c r="L92" s="120">
        <f t="shared" si="83"/>
        <v>0</v>
      </c>
      <c r="M92" s="246">
        <f t="shared" si="84"/>
        <v>0</v>
      </c>
      <c r="N92" s="121">
        <f t="shared" si="85"/>
        <v>1.04</v>
      </c>
      <c r="O92" s="246">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87">
        <v>15</v>
      </c>
      <c r="B93" s="242">
        <f t="shared" si="93"/>
        <v>46082</v>
      </c>
      <c r="C93" s="243">
        <f t="shared" si="74"/>
        <v>46112</v>
      </c>
      <c r="D93" s="120">
        <f t="shared" si="75"/>
        <v>31</v>
      </c>
      <c r="E93" s="120">
        <f t="shared" si="76"/>
        <v>3</v>
      </c>
      <c r="F93" s="275">
        <f t="shared" si="77"/>
        <v>46097.5</v>
      </c>
      <c r="G93" s="120">
        <f t="shared" si="78"/>
        <v>24314</v>
      </c>
      <c r="H93" s="245">
        <f t="shared" si="79"/>
        <v>1</v>
      </c>
      <c r="I93" s="121">
        <f t="shared" si="80"/>
        <v>1.04</v>
      </c>
      <c r="J93" s="121">
        <f t="shared" si="81"/>
        <v>1.04</v>
      </c>
      <c r="K93" s="120">
        <f t="shared" si="82"/>
        <v>0</v>
      </c>
      <c r="L93" s="120">
        <f t="shared" si="83"/>
        <v>0</v>
      </c>
      <c r="M93" s="246">
        <f t="shared" si="84"/>
        <v>0</v>
      </c>
      <c r="N93" s="121">
        <f t="shared" si="85"/>
        <v>1.04</v>
      </c>
      <c r="O93" s="246">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87">
        <v>16</v>
      </c>
      <c r="B94" s="242">
        <f t="shared" si="93"/>
        <v>46113</v>
      </c>
      <c r="C94" s="243">
        <f t="shared" si="74"/>
        <v>46142</v>
      </c>
      <c r="D94" s="120">
        <f t="shared" si="75"/>
        <v>30</v>
      </c>
      <c r="E94" s="120">
        <f t="shared" si="76"/>
        <v>4</v>
      </c>
      <c r="F94" s="275">
        <f t="shared" si="77"/>
        <v>46128</v>
      </c>
      <c r="G94" s="120">
        <f t="shared" si="78"/>
        <v>24315</v>
      </c>
      <c r="H94" s="245">
        <f t="shared" si="79"/>
        <v>1</v>
      </c>
      <c r="I94" s="121">
        <f t="shared" si="80"/>
        <v>1.04</v>
      </c>
      <c r="J94" s="121">
        <f t="shared" si="81"/>
        <v>1.04</v>
      </c>
      <c r="K94" s="120">
        <f t="shared" si="82"/>
        <v>0</v>
      </c>
      <c r="L94" s="120">
        <f t="shared" si="83"/>
        <v>0</v>
      </c>
      <c r="M94" s="246">
        <f t="shared" si="84"/>
        <v>0</v>
      </c>
      <c r="N94" s="121">
        <f t="shared" si="85"/>
        <v>1.04</v>
      </c>
      <c r="O94" s="246">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87">
        <v>17</v>
      </c>
      <c r="B95" s="242">
        <f t="shared" si="93"/>
        <v>46143</v>
      </c>
      <c r="C95" s="243">
        <f t="shared" si="74"/>
        <v>46173</v>
      </c>
      <c r="D95" s="120">
        <f t="shared" si="75"/>
        <v>31</v>
      </c>
      <c r="E95" s="120">
        <f t="shared" si="76"/>
        <v>5</v>
      </c>
      <c r="F95" s="275">
        <f t="shared" si="77"/>
        <v>46158.5</v>
      </c>
      <c r="G95" s="120">
        <f t="shared" si="78"/>
        <v>24316</v>
      </c>
      <c r="H95" s="245">
        <f t="shared" si="79"/>
        <v>1</v>
      </c>
      <c r="I95" s="121">
        <f t="shared" si="80"/>
        <v>1.04</v>
      </c>
      <c r="J95" s="121">
        <f t="shared" si="81"/>
        <v>1.04</v>
      </c>
      <c r="K95" s="120">
        <f t="shared" si="82"/>
        <v>0</v>
      </c>
      <c r="L95" s="120">
        <f t="shared" si="83"/>
        <v>0</v>
      </c>
      <c r="M95" s="246">
        <f t="shared" si="84"/>
        <v>0</v>
      </c>
      <c r="N95" s="121">
        <f t="shared" si="85"/>
        <v>1.04</v>
      </c>
      <c r="O95" s="246">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87">
        <v>18</v>
      </c>
      <c r="B96" s="242">
        <f t="shared" si="93"/>
        <v>46174</v>
      </c>
      <c r="C96" s="243">
        <f t="shared" si="74"/>
        <v>46203</v>
      </c>
      <c r="D96" s="120">
        <f t="shared" si="75"/>
        <v>30</v>
      </c>
      <c r="E96" s="120">
        <f t="shared" si="76"/>
        <v>6</v>
      </c>
      <c r="F96" s="275">
        <f t="shared" si="77"/>
        <v>46189</v>
      </c>
      <c r="G96" s="120">
        <f t="shared" si="78"/>
        <v>24317</v>
      </c>
      <c r="H96" s="245">
        <f t="shared" si="79"/>
        <v>1</v>
      </c>
      <c r="I96" s="121">
        <f t="shared" si="80"/>
        <v>1.04</v>
      </c>
      <c r="J96" s="121">
        <f t="shared" si="81"/>
        <v>1.04</v>
      </c>
      <c r="K96" s="120">
        <f t="shared" si="82"/>
        <v>0</v>
      </c>
      <c r="L96" s="120">
        <f t="shared" si="83"/>
        <v>0</v>
      </c>
      <c r="M96" s="246">
        <f t="shared" si="84"/>
        <v>0</v>
      </c>
      <c r="N96" s="121">
        <f t="shared" si="85"/>
        <v>1.04</v>
      </c>
      <c r="O96" s="246">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87">
        <v>19</v>
      </c>
      <c r="B97" s="242">
        <f t="shared" si="93"/>
        <v>46204</v>
      </c>
      <c r="C97" s="243">
        <f t="shared" si="74"/>
        <v>46234</v>
      </c>
      <c r="D97" s="120">
        <f t="shared" si="75"/>
        <v>31</v>
      </c>
      <c r="E97" s="120">
        <f t="shared" si="76"/>
        <v>7</v>
      </c>
      <c r="F97" s="275">
        <f t="shared" si="77"/>
        <v>46219.5</v>
      </c>
      <c r="G97" s="120">
        <f t="shared" si="78"/>
        <v>24318</v>
      </c>
      <c r="H97" s="245">
        <f t="shared" si="79"/>
        <v>1</v>
      </c>
      <c r="I97" s="121">
        <f t="shared" si="80"/>
        <v>1.04</v>
      </c>
      <c r="J97" s="121">
        <f t="shared" si="81"/>
        <v>1.1024</v>
      </c>
      <c r="K97" s="120">
        <f t="shared" si="82"/>
        <v>1</v>
      </c>
      <c r="L97" s="120">
        <f t="shared" si="83"/>
        <v>31</v>
      </c>
      <c r="M97" s="246">
        <f t="shared" si="84"/>
        <v>1</v>
      </c>
      <c r="N97" s="121">
        <f t="shared" si="85"/>
        <v>1.1024</v>
      </c>
      <c r="O97" s="246">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87">
        <v>20</v>
      </c>
      <c r="B98" s="242">
        <f t="shared" si="93"/>
        <v>46235</v>
      </c>
      <c r="C98" s="243">
        <f t="shared" si="74"/>
        <v>46265</v>
      </c>
      <c r="D98" s="120">
        <f t="shared" si="75"/>
        <v>31</v>
      </c>
      <c r="E98" s="120">
        <f t="shared" si="76"/>
        <v>8</v>
      </c>
      <c r="F98" s="275">
        <f t="shared" si="77"/>
        <v>46250.5</v>
      </c>
      <c r="G98" s="120">
        <f t="shared" si="78"/>
        <v>24319</v>
      </c>
      <c r="H98" s="245">
        <f t="shared" si="79"/>
        <v>1</v>
      </c>
      <c r="I98" s="121">
        <f t="shared" si="80"/>
        <v>1.1024</v>
      </c>
      <c r="J98" s="121">
        <f t="shared" si="81"/>
        <v>1.1024</v>
      </c>
      <c r="K98" s="120">
        <f t="shared" si="82"/>
        <v>0</v>
      </c>
      <c r="L98" s="120">
        <f t="shared" si="83"/>
        <v>0</v>
      </c>
      <c r="M98" s="246">
        <f t="shared" si="84"/>
        <v>0</v>
      </c>
      <c r="N98" s="121">
        <f t="shared" si="85"/>
        <v>1.1024</v>
      </c>
      <c r="O98" s="246">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87">
        <v>21</v>
      </c>
      <c r="B99" s="242">
        <f t="shared" si="93"/>
        <v>46266</v>
      </c>
      <c r="C99" s="243">
        <f t="shared" si="74"/>
        <v>46295</v>
      </c>
      <c r="D99" s="120">
        <f t="shared" si="75"/>
        <v>30</v>
      </c>
      <c r="E99" s="120">
        <f t="shared" si="76"/>
        <v>9</v>
      </c>
      <c r="F99" s="275">
        <f t="shared" si="77"/>
        <v>46281</v>
      </c>
      <c r="G99" s="120">
        <f t="shared" si="78"/>
        <v>24320</v>
      </c>
      <c r="H99" s="245">
        <f t="shared" si="79"/>
        <v>1</v>
      </c>
      <c r="I99" s="121">
        <f t="shared" si="80"/>
        <v>1.1024</v>
      </c>
      <c r="J99" s="121">
        <f t="shared" si="81"/>
        <v>1.1024</v>
      </c>
      <c r="K99" s="120">
        <f t="shared" si="82"/>
        <v>0</v>
      </c>
      <c r="L99" s="120">
        <f t="shared" si="83"/>
        <v>0</v>
      </c>
      <c r="M99" s="246">
        <f t="shared" si="84"/>
        <v>0</v>
      </c>
      <c r="N99" s="121">
        <f t="shared" si="85"/>
        <v>1.1024</v>
      </c>
      <c r="O99" s="246">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87">
        <v>22</v>
      </c>
      <c r="B100" s="242">
        <f t="shared" si="93"/>
        <v>46296</v>
      </c>
      <c r="C100" s="243">
        <f t="shared" si="74"/>
        <v>46326</v>
      </c>
      <c r="D100" s="120">
        <f t="shared" si="75"/>
        <v>31</v>
      </c>
      <c r="E100" s="120">
        <f t="shared" si="76"/>
        <v>10</v>
      </c>
      <c r="F100" s="275">
        <f t="shared" si="77"/>
        <v>46311.5</v>
      </c>
      <c r="G100" s="120">
        <f t="shared" si="78"/>
        <v>24321</v>
      </c>
      <c r="H100" s="245">
        <f t="shared" si="79"/>
        <v>1</v>
      </c>
      <c r="I100" s="121">
        <f t="shared" si="80"/>
        <v>1.1024</v>
      </c>
      <c r="J100" s="121">
        <f t="shared" si="81"/>
        <v>1.1024</v>
      </c>
      <c r="K100" s="120">
        <f t="shared" si="82"/>
        <v>0</v>
      </c>
      <c r="L100" s="120">
        <f t="shared" si="83"/>
        <v>0</v>
      </c>
      <c r="M100" s="246">
        <f t="shared" si="84"/>
        <v>0</v>
      </c>
      <c r="N100" s="121">
        <f t="shared" si="85"/>
        <v>1.1024</v>
      </c>
      <c r="O100" s="246">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87">
        <v>23</v>
      </c>
      <c r="B101" s="242">
        <f t="shared" si="93"/>
        <v>46327</v>
      </c>
      <c r="C101" s="243">
        <f t="shared" si="74"/>
        <v>46356</v>
      </c>
      <c r="D101" s="120">
        <f t="shared" si="75"/>
        <v>30</v>
      </c>
      <c r="E101" s="120">
        <f t="shared" si="76"/>
        <v>11</v>
      </c>
      <c r="F101" s="275">
        <f t="shared" si="77"/>
        <v>46342</v>
      </c>
      <c r="G101" s="120">
        <f t="shared" si="78"/>
        <v>24322</v>
      </c>
      <c r="H101" s="245">
        <f t="shared" si="79"/>
        <v>1</v>
      </c>
      <c r="I101" s="121">
        <f t="shared" si="80"/>
        <v>1.1024</v>
      </c>
      <c r="J101" s="121">
        <f t="shared" si="81"/>
        <v>1.1024</v>
      </c>
      <c r="K101" s="120">
        <f t="shared" si="82"/>
        <v>0</v>
      </c>
      <c r="L101" s="120">
        <f t="shared" si="83"/>
        <v>0</v>
      </c>
      <c r="M101" s="246">
        <f t="shared" si="84"/>
        <v>0</v>
      </c>
      <c r="N101" s="121">
        <f t="shared" si="85"/>
        <v>1.1024</v>
      </c>
      <c r="O101" s="246">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87">
        <v>24</v>
      </c>
      <c r="B102" s="242">
        <f t="shared" si="93"/>
        <v>46357</v>
      </c>
      <c r="C102" s="243">
        <f t="shared" si="74"/>
        <v>46387</v>
      </c>
      <c r="D102" s="120">
        <f t="shared" si="75"/>
        <v>31</v>
      </c>
      <c r="E102" s="120">
        <f t="shared" si="76"/>
        <v>12</v>
      </c>
      <c r="F102" s="275">
        <f t="shared" si="77"/>
        <v>46372.5</v>
      </c>
      <c r="G102" s="120">
        <f t="shared" si="78"/>
        <v>24323</v>
      </c>
      <c r="H102" s="245">
        <f t="shared" si="79"/>
        <v>1</v>
      </c>
      <c r="I102" s="121">
        <f t="shared" si="80"/>
        <v>1.1024</v>
      </c>
      <c r="J102" s="121">
        <f t="shared" si="81"/>
        <v>1.1024</v>
      </c>
      <c r="K102" s="120">
        <f t="shared" si="82"/>
        <v>0</v>
      </c>
      <c r="L102" s="120">
        <f t="shared" si="83"/>
        <v>0</v>
      </c>
      <c r="M102" s="246">
        <f t="shared" si="84"/>
        <v>0</v>
      </c>
      <c r="N102" s="121">
        <f t="shared" si="85"/>
        <v>1.1024</v>
      </c>
      <c r="O102" s="246">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87">
        <v>25</v>
      </c>
      <c r="B103" s="242">
        <f t="shared" si="93"/>
        <v>46388</v>
      </c>
      <c r="C103" s="243">
        <f t="shared" si="74"/>
        <v>46418</v>
      </c>
      <c r="D103" s="120">
        <f t="shared" si="75"/>
        <v>31</v>
      </c>
      <c r="E103" s="120">
        <f t="shared" si="76"/>
        <v>1</v>
      </c>
      <c r="F103" s="275">
        <f t="shared" si="77"/>
        <v>46403.5</v>
      </c>
      <c r="G103" s="120">
        <f t="shared" si="78"/>
        <v>24324</v>
      </c>
      <c r="H103" s="245">
        <f t="shared" si="79"/>
        <v>1</v>
      </c>
      <c r="I103" s="121">
        <f t="shared" si="80"/>
        <v>1.1024</v>
      </c>
      <c r="J103" s="121">
        <f t="shared" si="81"/>
        <v>1.1024</v>
      </c>
      <c r="K103" s="120">
        <f t="shared" si="82"/>
        <v>0</v>
      </c>
      <c r="L103" s="120">
        <f t="shared" si="83"/>
        <v>0</v>
      </c>
      <c r="M103" s="246">
        <f t="shared" si="84"/>
        <v>0</v>
      </c>
      <c r="N103" s="121">
        <f t="shared" si="85"/>
        <v>1.1024</v>
      </c>
      <c r="O103" s="246">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87">
        <v>26</v>
      </c>
      <c r="B104" s="242">
        <f t="shared" si="93"/>
        <v>46419</v>
      </c>
      <c r="C104" s="243">
        <f t="shared" si="74"/>
        <v>46446</v>
      </c>
      <c r="D104" s="120">
        <f t="shared" si="75"/>
        <v>28</v>
      </c>
      <c r="E104" s="120">
        <f t="shared" si="76"/>
        <v>2</v>
      </c>
      <c r="F104" s="275">
        <f t="shared" si="77"/>
        <v>46433</v>
      </c>
      <c r="G104" s="120">
        <f t="shared" si="78"/>
        <v>24325</v>
      </c>
      <c r="H104" s="245">
        <f t="shared" si="79"/>
        <v>1</v>
      </c>
      <c r="I104" s="121">
        <f t="shared" si="80"/>
        <v>1.1024</v>
      </c>
      <c r="J104" s="121">
        <f t="shared" si="81"/>
        <v>1.1024</v>
      </c>
      <c r="K104" s="120">
        <f t="shared" si="82"/>
        <v>0</v>
      </c>
      <c r="L104" s="120">
        <f t="shared" si="83"/>
        <v>0</v>
      </c>
      <c r="M104" s="246">
        <f t="shared" si="84"/>
        <v>0</v>
      </c>
      <c r="N104" s="121">
        <f t="shared" si="85"/>
        <v>1.1024</v>
      </c>
      <c r="O104" s="246">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87">
        <v>27</v>
      </c>
      <c r="B105" s="242">
        <f t="shared" si="93"/>
        <v>46447</v>
      </c>
      <c r="C105" s="243">
        <f t="shared" si="74"/>
        <v>46477</v>
      </c>
      <c r="D105" s="120">
        <f t="shared" si="75"/>
        <v>31</v>
      </c>
      <c r="E105" s="120">
        <f t="shared" si="76"/>
        <v>3</v>
      </c>
      <c r="F105" s="275">
        <f t="shared" si="77"/>
        <v>46462.5</v>
      </c>
      <c r="G105" s="120">
        <f t="shared" si="78"/>
        <v>24326</v>
      </c>
      <c r="H105" s="245">
        <f t="shared" si="79"/>
        <v>1</v>
      </c>
      <c r="I105" s="121">
        <f t="shared" si="80"/>
        <v>1.1024</v>
      </c>
      <c r="J105" s="121">
        <f t="shared" si="81"/>
        <v>1.1024</v>
      </c>
      <c r="K105" s="120">
        <f t="shared" si="82"/>
        <v>0</v>
      </c>
      <c r="L105" s="120">
        <f t="shared" si="83"/>
        <v>0</v>
      </c>
      <c r="M105" s="246">
        <f t="shared" si="84"/>
        <v>0</v>
      </c>
      <c r="N105" s="121">
        <f t="shared" si="85"/>
        <v>1.1024</v>
      </c>
      <c r="O105" s="246">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87">
        <v>28</v>
      </c>
      <c r="B106" s="242">
        <f t="shared" si="93"/>
        <v>46478</v>
      </c>
      <c r="C106" s="243">
        <f t="shared" si="74"/>
        <v>46507</v>
      </c>
      <c r="D106" s="120">
        <f t="shared" si="75"/>
        <v>30</v>
      </c>
      <c r="E106" s="120">
        <f t="shared" si="76"/>
        <v>4</v>
      </c>
      <c r="F106" s="275">
        <f t="shared" si="77"/>
        <v>46493</v>
      </c>
      <c r="G106" s="120">
        <f t="shared" si="78"/>
        <v>24327</v>
      </c>
      <c r="H106" s="245">
        <f t="shared" si="79"/>
        <v>1</v>
      </c>
      <c r="I106" s="121">
        <f t="shared" si="80"/>
        <v>1.1024</v>
      </c>
      <c r="J106" s="121">
        <f t="shared" si="81"/>
        <v>1.1575200000000001</v>
      </c>
      <c r="K106" s="120">
        <f t="shared" si="82"/>
        <v>1</v>
      </c>
      <c r="L106" s="120">
        <f t="shared" si="83"/>
        <v>30</v>
      </c>
      <c r="M106" s="246">
        <f t="shared" si="84"/>
        <v>1</v>
      </c>
      <c r="N106" s="121">
        <f t="shared" si="85"/>
        <v>1.1575200000000001</v>
      </c>
      <c r="O106" s="246">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87">
        <v>29</v>
      </c>
      <c r="B107" s="242">
        <f t="shared" si="93"/>
        <v>46508</v>
      </c>
      <c r="C107" s="243">
        <f t="shared" si="74"/>
        <v>46538</v>
      </c>
      <c r="D107" s="120">
        <f t="shared" si="75"/>
        <v>31</v>
      </c>
      <c r="E107" s="120">
        <f t="shared" si="76"/>
        <v>5</v>
      </c>
      <c r="F107" s="275">
        <f t="shared" si="77"/>
        <v>46523.5</v>
      </c>
      <c r="G107" s="120">
        <f t="shared" si="78"/>
        <v>24328</v>
      </c>
      <c r="H107" s="245">
        <f t="shared" si="79"/>
        <v>1</v>
      </c>
      <c r="I107" s="121">
        <f t="shared" si="80"/>
        <v>1.1575200000000001</v>
      </c>
      <c r="J107" s="121">
        <f t="shared" si="81"/>
        <v>1.1575200000000001</v>
      </c>
      <c r="K107" s="120">
        <f t="shared" si="82"/>
        <v>0</v>
      </c>
      <c r="L107" s="120">
        <f t="shared" si="83"/>
        <v>0</v>
      </c>
      <c r="M107" s="246">
        <f t="shared" si="84"/>
        <v>0</v>
      </c>
      <c r="N107" s="121">
        <f t="shared" si="85"/>
        <v>1.1575200000000001</v>
      </c>
      <c r="O107" s="246">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87">
        <v>30</v>
      </c>
      <c r="B108" s="242">
        <f t="shared" si="93"/>
        <v>46539</v>
      </c>
      <c r="C108" s="243">
        <f t="shared" si="74"/>
        <v>46568</v>
      </c>
      <c r="D108" s="120">
        <f t="shared" si="75"/>
        <v>30</v>
      </c>
      <c r="E108" s="120">
        <f t="shared" si="76"/>
        <v>6</v>
      </c>
      <c r="F108" s="275">
        <f t="shared" si="77"/>
        <v>46554</v>
      </c>
      <c r="G108" s="120">
        <f t="shared" si="78"/>
        <v>24329</v>
      </c>
      <c r="H108" s="245">
        <f t="shared" si="79"/>
        <v>1</v>
      </c>
      <c r="I108" s="121">
        <f t="shared" si="80"/>
        <v>1.1575200000000001</v>
      </c>
      <c r="J108" s="121">
        <f t="shared" si="81"/>
        <v>1.1575200000000001</v>
      </c>
      <c r="K108" s="120">
        <f t="shared" si="82"/>
        <v>0</v>
      </c>
      <c r="L108" s="120">
        <f t="shared" si="83"/>
        <v>0</v>
      </c>
      <c r="M108" s="246">
        <f t="shared" si="84"/>
        <v>0</v>
      </c>
      <c r="N108" s="121">
        <f t="shared" si="85"/>
        <v>1.1575200000000001</v>
      </c>
      <c r="O108" s="246">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87">
        <v>31</v>
      </c>
      <c r="B109" s="242">
        <f t="shared" si="93"/>
        <v>46569</v>
      </c>
      <c r="C109" s="243">
        <f t="shared" si="74"/>
        <v>46599</v>
      </c>
      <c r="D109" s="120">
        <f t="shared" si="75"/>
        <v>31</v>
      </c>
      <c r="E109" s="120">
        <f t="shared" si="76"/>
        <v>7</v>
      </c>
      <c r="F109" s="275">
        <f t="shared" si="77"/>
        <v>46584.5</v>
      </c>
      <c r="G109" s="120">
        <f t="shared" si="78"/>
        <v>24330</v>
      </c>
      <c r="H109" s="245">
        <f t="shared" si="79"/>
        <v>1</v>
      </c>
      <c r="I109" s="121">
        <f t="shared" si="80"/>
        <v>1.1575200000000001</v>
      </c>
      <c r="J109" s="121">
        <f t="shared" si="81"/>
        <v>1.1575200000000001</v>
      </c>
      <c r="K109" s="120">
        <f t="shared" si="82"/>
        <v>0</v>
      </c>
      <c r="L109" s="120">
        <f t="shared" si="83"/>
        <v>0</v>
      </c>
      <c r="M109" s="246">
        <f t="shared" si="84"/>
        <v>0</v>
      </c>
      <c r="N109" s="121">
        <f t="shared" si="85"/>
        <v>1.1575200000000001</v>
      </c>
      <c r="O109" s="246">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87">
        <v>32</v>
      </c>
      <c r="B110" s="242">
        <f t="shared" si="93"/>
        <v>46600</v>
      </c>
      <c r="C110" s="243">
        <f t="shared" si="74"/>
        <v>46630</v>
      </c>
      <c r="D110" s="120">
        <f t="shared" si="75"/>
        <v>31</v>
      </c>
      <c r="E110" s="120">
        <f t="shared" si="76"/>
        <v>8</v>
      </c>
      <c r="F110" s="275">
        <f t="shared" si="77"/>
        <v>46615.5</v>
      </c>
      <c r="G110" s="120">
        <f t="shared" si="78"/>
        <v>24331</v>
      </c>
      <c r="H110" s="245">
        <f t="shared" si="79"/>
        <v>1</v>
      </c>
      <c r="I110" s="121">
        <f t="shared" si="80"/>
        <v>1.1575200000000001</v>
      </c>
      <c r="J110" s="121">
        <f t="shared" si="81"/>
        <v>1.1575200000000001</v>
      </c>
      <c r="K110" s="120">
        <f t="shared" si="82"/>
        <v>0</v>
      </c>
      <c r="L110" s="120">
        <f t="shared" si="83"/>
        <v>0</v>
      </c>
      <c r="M110" s="246">
        <f t="shared" si="84"/>
        <v>0</v>
      </c>
      <c r="N110" s="121">
        <f t="shared" si="85"/>
        <v>1.1575200000000001</v>
      </c>
      <c r="O110" s="246">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87">
        <v>33</v>
      </c>
      <c r="B111" s="242">
        <f t="shared" si="93"/>
        <v>46631</v>
      </c>
      <c r="C111" s="243">
        <f t="shared" si="74"/>
        <v>46660</v>
      </c>
      <c r="D111" s="120">
        <f t="shared" si="75"/>
        <v>30</v>
      </c>
      <c r="E111" s="120">
        <f t="shared" si="76"/>
        <v>9</v>
      </c>
      <c r="F111" s="275">
        <f t="shared" si="77"/>
        <v>46646</v>
      </c>
      <c r="G111" s="120">
        <f t="shared" si="78"/>
        <v>24332</v>
      </c>
      <c r="H111" s="245">
        <f t="shared" si="79"/>
        <v>1</v>
      </c>
      <c r="I111" s="121">
        <f t="shared" si="80"/>
        <v>1.1575200000000001</v>
      </c>
      <c r="J111" s="121">
        <f t="shared" si="81"/>
        <v>1.1575200000000001</v>
      </c>
      <c r="K111" s="120">
        <f t="shared" si="82"/>
        <v>0</v>
      </c>
      <c r="L111" s="120">
        <f t="shared" si="83"/>
        <v>0</v>
      </c>
      <c r="M111" s="246">
        <f t="shared" si="84"/>
        <v>0</v>
      </c>
      <c r="N111" s="121">
        <f t="shared" si="85"/>
        <v>1.1575200000000001</v>
      </c>
      <c r="O111" s="246">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87">
        <v>34</v>
      </c>
      <c r="B112" s="242">
        <f t="shared" si="93"/>
        <v>46661</v>
      </c>
      <c r="C112" s="243">
        <f t="shared" si="74"/>
        <v>46691</v>
      </c>
      <c r="D112" s="120">
        <f t="shared" si="75"/>
        <v>31</v>
      </c>
      <c r="E112" s="120">
        <f t="shared" si="76"/>
        <v>10</v>
      </c>
      <c r="F112" s="275">
        <f t="shared" si="77"/>
        <v>46676.5</v>
      </c>
      <c r="G112" s="120">
        <f t="shared" si="78"/>
        <v>24333</v>
      </c>
      <c r="H112" s="245">
        <f t="shared" si="79"/>
        <v>1</v>
      </c>
      <c r="I112" s="121">
        <f t="shared" si="80"/>
        <v>1.1575200000000001</v>
      </c>
      <c r="J112" s="121">
        <f t="shared" si="81"/>
        <v>1.1575200000000001</v>
      </c>
      <c r="K112" s="120">
        <f t="shared" si="82"/>
        <v>0</v>
      </c>
      <c r="L112" s="120">
        <f t="shared" si="83"/>
        <v>0</v>
      </c>
      <c r="M112" s="246">
        <f t="shared" si="84"/>
        <v>0</v>
      </c>
      <c r="N112" s="121">
        <f t="shared" si="85"/>
        <v>1.1575200000000001</v>
      </c>
      <c r="O112" s="246">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87">
        <v>35</v>
      </c>
      <c r="B113" s="242">
        <f t="shared" si="93"/>
        <v>46692</v>
      </c>
      <c r="C113" s="243">
        <f t="shared" si="74"/>
        <v>46721</v>
      </c>
      <c r="D113" s="120">
        <f t="shared" si="75"/>
        <v>30</v>
      </c>
      <c r="E113" s="120">
        <f t="shared" si="76"/>
        <v>11</v>
      </c>
      <c r="F113" s="275">
        <f t="shared" si="77"/>
        <v>46707</v>
      </c>
      <c r="G113" s="120">
        <f t="shared" si="78"/>
        <v>24334</v>
      </c>
      <c r="H113" s="245">
        <f t="shared" si="79"/>
        <v>1</v>
      </c>
      <c r="I113" s="121">
        <f t="shared" si="80"/>
        <v>1.1575200000000001</v>
      </c>
      <c r="J113" s="121">
        <f t="shared" si="81"/>
        <v>1.1575200000000001</v>
      </c>
      <c r="K113" s="120">
        <f t="shared" si="82"/>
        <v>0</v>
      </c>
      <c r="L113" s="120">
        <f t="shared" si="83"/>
        <v>0</v>
      </c>
      <c r="M113" s="246">
        <f t="shared" si="84"/>
        <v>0</v>
      </c>
      <c r="N113" s="121">
        <f t="shared" si="85"/>
        <v>1.1575200000000001</v>
      </c>
      <c r="O113" s="246">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87">
        <v>36</v>
      </c>
      <c r="B114" s="242">
        <f t="shared" si="93"/>
        <v>46722</v>
      </c>
      <c r="C114" s="243">
        <f t="shared" si="74"/>
        <v>46752</v>
      </c>
      <c r="D114" s="120">
        <f t="shared" si="75"/>
        <v>31</v>
      </c>
      <c r="E114" s="120">
        <f t="shared" si="76"/>
        <v>12</v>
      </c>
      <c r="F114" s="275">
        <f t="shared" si="77"/>
        <v>46737.5</v>
      </c>
      <c r="G114" s="120">
        <f t="shared" si="78"/>
        <v>24335</v>
      </c>
      <c r="H114" s="245">
        <f t="shared" si="79"/>
        <v>1</v>
      </c>
      <c r="I114" s="121">
        <f t="shared" si="80"/>
        <v>1.1575200000000001</v>
      </c>
      <c r="J114" s="121">
        <f t="shared" si="81"/>
        <v>1.1575200000000001</v>
      </c>
      <c r="K114" s="120">
        <f t="shared" si="82"/>
        <v>0</v>
      </c>
      <c r="L114" s="120">
        <f t="shared" si="83"/>
        <v>0</v>
      </c>
      <c r="M114" s="246">
        <f t="shared" si="84"/>
        <v>0</v>
      </c>
      <c r="N114" s="121">
        <f t="shared" si="85"/>
        <v>1.1575200000000001</v>
      </c>
      <c r="O114" s="246">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87">
        <v>37</v>
      </c>
      <c r="B115" s="242">
        <f t="shared" si="93"/>
        <v>46753</v>
      </c>
      <c r="C115" s="243">
        <f t="shared" si="74"/>
        <v>46783</v>
      </c>
      <c r="D115" s="120">
        <f t="shared" si="75"/>
        <v>31</v>
      </c>
      <c r="E115" s="120">
        <f t="shared" si="76"/>
        <v>1</v>
      </c>
      <c r="F115" s="275">
        <f t="shared" si="77"/>
        <v>46768.5</v>
      </c>
      <c r="G115" s="120">
        <f t="shared" si="78"/>
        <v>24336</v>
      </c>
      <c r="H115" s="245">
        <f t="shared" si="79"/>
        <v>1</v>
      </c>
      <c r="I115" s="121">
        <f t="shared" si="80"/>
        <v>1.1575200000000001</v>
      </c>
      <c r="J115" s="121">
        <f t="shared" si="81"/>
        <v>1.1575200000000001</v>
      </c>
      <c r="K115" s="120">
        <f t="shared" si="82"/>
        <v>0</v>
      </c>
      <c r="L115" s="120">
        <f t="shared" si="83"/>
        <v>0</v>
      </c>
      <c r="M115" s="246">
        <f t="shared" si="84"/>
        <v>0</v>
      </c>
      <c r="N115" s="121">
        <f t="shared" si="85"/>
        <v>1.1575200000000001</v>
      </c>
      <c r="O115" s="246">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87">
        <v>38</v>
      </c>
      <c r="B116" s="242">
        <f t="shared" si="93"/>
        <v>46784</v>
      </c>
      <c r="C116" s="243">
        <f t="shared" si="74"/>
        <v>46812</v>
      </c>
      <c r="D116" s="120">
        <f t="shared" si="75"/>
        <v>29</v>
      </c>
      <c r="E116" s="120">
        <f t="shared" si="76"/>
        <v>2</v>
      </c>
      <c r="F116" s="275">
        <f t="shared" si="77"/>
        <v>46798.5</v>
      </c>
      <c r="G116" s="120">
        <f t="shared" si="78"/>
        <v>24337</v>
      </c>
      <c r="H116" s="245">
        <f t="shared" si="79"/>
        <v>1</v>
      </c>
      <c r="I116" s="121">
        <f t="shared" si="80"/>
        <v>1.1575200000000001</v>
      </c>
      <c r="J116" s="121">
        <f t="shared" si="81"/>
        <v>1.1575200000000001</v>
      </c>
      <c r="K116" s="120">
        <f t="shared" si="82"/>
        <v>0</v>
      </c>
      <c r="L116" s="120">
        <f t="shared" si="83"/>
        <v>0</v>
      </c>
      <c r="M116" s="246">
        <f t="shared" si="84"/>
        <v>0</v>
      </c>
      <c r="N116" s="121">
        <f t="shared" si="85"/>
        <v>1.1575200000000001</v>
      </c>
      <c r="O116" s="246">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87">
        <v>39</v>
      </c>
      <c r="B117" s="242">
        <f t="shared" si="93"/>
        <v>46813</v>
      </c>
      <c r="C117" s="243">
        <f t="shared" si="74"/>
        <v>46843</v>
      </c>
      <c r="D117" s="120">
        <f t="shared" si="75"/>
        <v>31</v>
      </c>
      <c r="E117" s="120">
        <f t="shared" si="76"/>
        <v>3</v>
      </c>
      <c r="F117" s="275">
        <f t="shared" si="77"/>
        <v>46828.5</v>
      </c>
      <c r="G117" s="120">
        <f t="shared" si="78"/>
        <v>24338</v>
      </c>
      <c r="H117" s="245">
        <f t="shared" si="79"/>
        <v>1</v>
      </c>
      <c r="I117" s="121">
        <f t="shared" si="80"/>
        <v>1.1575200000000001</v>
      </c>
      <c r="J117" s="121">
        <f t="shared" si="81"/>
        <v>1.1575200000000001</v>
      </c>
      <c r="K117" s="120">
        <f t="shared" si="82"/>
        <v>0</v>
      </c>
      <c r="L117" s="120">
        <f t="shared" si="83"/>
        <v>0</v>
      </c>
      <c r="M117" s="246">
        <f t="shared" si="84"/>
        <v>0</v>
      </c>
      <c r="N117" s="121">
        <f t="shared" si="85"/>
        <v>1.1575200000000001</v>
      </c>
      <c r="O117" s="246">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87">
        <v>40</v>
      </c>
      <c r="B118" s="242">
        <f t="shared" si="93"/>
        <v>46844</v>
      </c>
      <c r="C118" s="243">
        <f t="shared" si="74"/>
        <v>46873</v>
      </c>
      <c r="D118" s="120">
        <f t="shared" si="75"/>
        <v>30</v>
      </c>
      <c r="E118" s="120">
        <f t="shared" si="76"/>
        <v>4</v>
      </c>
      <c r="F118" s="275">
        <f t="shared" si="77"/>
        <v>46859</v>
      </c>
      <c r="G118" s="120">
        <f t="shared" si="78"/>
        <v>24339</v>
      </c>
      <c r="H118" s="245">
        <f t="shared" si="79"/>
        <v>1</v>
      </c>
      <c r="I118" s="121">
        <f t="shared" si="80"/>
        <v>1.1575200000000001</v>
      </c>
      <c r="J118" s="121">
        <f t="shared" si="81"/>
        <v>1.1575200000000001</v>
      </c>
      <c r="K118" s="120">
        <f t="shared" si="82"/>
        <v>0</v>
      </c>
      <c r="L118" s="120">
        <f t="shared" si="83"/>
        <v>0</v>
      </c>
      <c r="M118" s="246">
        <f t="shared" si="84"/>
        <v>0</v>
      </c>
      <c r="N118" s="121">
        <f t="shared" si="85"/>
        <v>1.1575200000000001</v>
      </c>
      <c r="O118" s="246">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87">
        <v>41</v>
      </c>
      <c r="B119" s="242">
        <f t="shared" si="93"/>
        <v>46874</v>
      </c>
      <c r="C119" s="243">
        <f t="shared" si="74"/>
        <v>46904</v>
      </c>
      <c r="D119" s="120">
        <f t="shared" si="75"/>
        <v>31</v>
      </c>
      <c r="E119" s="120">
        <f t="shared" si="76"/>
        <v>5</v>
      </c>
      <c r="F119" s="275">
        <f t="shared" si="77"/>
        <v>46889.5</v>
      </c>
      <c r="G119" s="120">
        <f t="shared" si="78"/>
        <v>24340</v>
      </c>
      <c r="H119" s="245">
        <f t="shared" si="79"/>
        <v>1</v>
      </c>
      <c r="I119" s="121">
        <f t="shared" si="80"/>
        <v>1.1575200000000001</v>
      </c>
      <c r="J119" s="121">
        <f t="shared" si="81"/>
        <v>1.1575200000000001</v>
      </c>
      <c r="K119" s="120">
        <f t="shared" si="82"/>
        <v>0</v>
      </c>
      <c r="L119" s="120">
        <f t="shared" si="83"/>
        <v>0</v>
      </c>
      <c r="M119" s="246">
        <f t="shared" si="84"/>
        <v>0</v>
      </c>
      <c r="N119" s="121">
        <f t="shared" si="85"/>
        <v>1.1575200000000001</v>
      </c>
      <c r="O119" s="246">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87">
        <v>42</v>
      </c>
      <c r="B120" s="242">
        <f t="shared" si="93"/>
        <v>46905</v>
      </c>
      <c r="C120" s="243">
        <f t="shared" si="74"/>
        <v>46934</v>
      </c>
      <c r="D120" s="120">
        <f t="shared" si="75"/>
        <v>30</v>
      </c>
      <c r="E120" s="120">
        <f t="shared" si="76"/>
        <v>6</v>
      </c>
      <c r="F120" s="275">
        <f t="shared" si="77"/>
        <v>46920</v>
      </c>
      <c r="G120" s="120">
        <f t="shared" si="78"/>
        <v>24341</v>
      </c>
      <c r="H120" s="245">
        <f t="shared" si="79"/>
        <v>1</v>
      </c>
      <c r="I120" s="121">
        <f t="shared" si="80"/>
        <v>1.1575200000000001</v>
      </c>
      <c r="J120" s="121">
        <f t="shared" si="81"/>
        <v>1.1575200000000001</v>
      </c>
      <c r="K120" s="120">
        <f t="shared" si="82"/>
        <v>0</v>
      </c>
      <c r="L120" s="120">
        <f t="shared" si="83"/>
        <v>0</v>
      </c>
      <c r="M120" s="246">
        <f t="shared" si="84"/>
        <v>0</v>
      </c>
      <c r="N120" s="121">
        <f t="shared" si="85"/>
        <v>1.1575200000000001</v>
      </c>
      <c r="O120" s="246">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87">
        <v>43</v>
      </c>
      <c r="B121" s="242">
        <f t="shared" si="93"/>
        <v>46935</v>
      </c>
      <c r="C121" s="243">
        <f t="shared" si="74"/>
        <v>46965</v>
      </c>
      <c r="D121" s="120">
        <f t="shared" si="75"/>
        <v>31</v>
      </c>
      <c r="E121" s="120">
        <f t="shared" si="76"/>
        <v>7</v>
      </c>
      <c r="F121" s="275">
        <f t="shared" si="77"/>
        <v>46950.5</v>
      </c>
      <c r="G121" s="120">
        <f t="shared" si="78"/>
        <v>24342</v>
      </c>
      <c r="H121" s="245">
        <f t="shared" si="79"/>
        <v>1</v>
      </c>
      <c r="I121" s="121">
        <f t="shared" si="80"/>
        <v>1.1575200000000001</v>
      </c>
      <c r="J121" s="121">
        <f t="shared" si="81"/>
        <v>1.1575200000000001</v>
      </c>
      <c r="K121" s="120">
        <f t="shared" si="82"/>
        <v>0</v>
      </c>
      <c r="L121" s="120">
        <f t="shared" si="83"/>
        <v>0</v>
      </c>
      <c r="M121" s="246">
        <f t="shared" si="84"/>
        <v>0</v>
      </c>
      <c r="N121" s="121">
        <f t="shared" si="85"/>
        <v>1.1575200000000001</v>
      </c>
      <c r="O121" s="246">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87">
        <v>44</v>
      </c>
      <c r="B122" s="242">
        <f t="shared" si="93"/>
        <v>46966</v>
      </c>
      <c r="C122" s="243">
        <f t="shared" si="74"/>
        <v>46996</v>
      </c>
      <c r="D122" s="120">
        <f t="shared" si="75"/>
        <v>31</v>
      </c>
      <c r="E122" s="120">
        <f t="shared" si="76"/>
        <v>8</v>
      </c>
      <c r="F122" s="275">
        <f t="shared" si="77"/>
        <v>46981.5</v>
      </c>
      <c r="G122" s="120">
        <f t="shared" si="78"/>
        <v>24343</v>
      </c>
      <c r="H122" s="245">
        <f t="shared" si="79"/>
        <v>1</v>
      </c>
      <c r="I122" s="121">
        <f t="shared" si="80"/>
        <v>1.1575200000000001</v>
      </c>
      <c r="J122" s="121">
        <f t="shared" si="81"/>
        <v>1.1575200000000001</v>
      </c>
      <c r="K122" s="120">
        <f t="shared" si="82"/>
        <v>0</v>
      </c>
      <c r="L122" s="120">
        <f t="shared" si="83"/>
        <v>0</v>
      </c>
      <c r="M122" s="246">
        <f t="shared" si="84"/>
        <v>0</v>
      </c>
      <c r="N122" s="121">
        <f t="shared" si="85"/>
        <v>1.1575200000000001</v>
      </c>
      <c r="O122" s="246">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87">
        <v>45</v>
      </c>
      <c r="B123" s="242">
        <f t="shared" si="93"/>
        <v>46997</v>
      </c>
      <c r="C123" s="243">
        <f t="shared" si="74"/>
        <v>47026</v>
      </c>
      <c r="D123" s="120">
        <f t="shared" si="75"/>
        <v>30</v>
      </c>
      <c r="E123" s="120">
        <f t="shared" si="76"/>
        <v>9</v>
      </c>
      <c r="F123" s="275">
        <f t="shared" si="77"/>
        <v>47012</v>
      </c>
      <c r="G123" s="120">
        <f t="shared" si="78"/>
        <v>24344</v>
      </c>
      <c r="H123" s="245">
        <f t="shared" si="79"/>
        <v>1</v>
      </c>
      <c r="I123" s="121">
        <f t="shared" si="80"/>
        <v>1.1575200000000001</v>
      </c>
      <c r="J123" s="121">
        <f t="shared" si="81"/>
        <v>1.1575200000000001</v>
      </c>
      <c r="K123" s="120">
        <f t="shared" si="82"/>
        <v>0</v>
      </c>
      <c r="L123" s="120">
        <f t="shared" si="83"/>
        <v>0</v>
      </c>
      <c r="M123" s="246">
        <f t="shared" si="84"/>
        <v>0</v>
      </c>
      <c r="N123" s="121">
        <f t="shared" si="85"/>
        <v>1.1575200000000001</v>
      </c>
      <c r="O123" s="246">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87">
        <v>46</v>
      </c>
      <c r="B124" s="242">
        <f t="shared" si="93"/>
        <v>47027</v>
      </c>
      <c r="C124" s="243">
        <f t="shared" si="74"/>
        <v>47057</v>
      </c>
      <c r="D124" s="120">
        <f t="shared" si="75"/>
        <v>31</v>
      </c>
      <c r="E124" s="120">
        <f t="shared" si="76"/>
        <v>10</v>
      </c>
      <c r="F124" s="275">
        <f t="shared" si="77"/>
        <v>47042.5</v>
      </c>
      <c r="G124" s="120">
        <f t="shared" si="78"/>
        <v>24345</v>
      </c>
      <c r="H124" s="245">
        <f t="shared" si="79"/>
        <v>1</v>
      </c>
      <c r="I124" s="121">
        <f t="shared" si="80"/>
        <v>1.1575200000000001</v>
      </c>
      <c r="J124" s="121">
        <f t="shared" si="81"/>
        <v>1.1575200000000001</v>
      </c>
      <c r="K124" s="120">
        <f t="shared" si="82"/>
        <v>0</v>
      </c>
      <c r="L124" s="120">
        <f t="shared" si="83"/>
        <v>0</v>
      </c>
      <c r="M124" s="246">
        <f t="shared" si="84"/>
        <v>0</v>
      </c>
      <c r="N124" s="121">
        <f t="shared" si="85"/>
        <v>1.1575200000000001</v>
      </c>
      <c r="O124" s="246">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87">
        <v>47</v>
      </c>
      <c r="B125" s="242">
        <f t="shared" si="93"/>
        <v>47058</v>
      </c>
      <c r="C125" s="243">
        <f t="shared" si="74"/>
        <v>47087</v>
      </c>
      <c r="D125" s="120">
        <f t="shared" si="75"/>
        <v>30</v>
      </c>
      <c r="E125" s="120">
        <f t="shared" si="76"/>
        <v>11</v>
      </c>
      <c r="F125" s="275">
        <f t="shared" si="77"/>
        <v>47073</v>
      </c>
      <c r="G125" s="120">
        <f t="shared" si="78"/>
        <v>24346</v>
      </c>
      <c r="H125" s="245">
        <f t="shared" si="79"/>
        <v>1</v>
      </c>
      <c r="I125" s="121">
        <f t="shared" si="80"/>
        <v>1.1575200000000001</v>
      </c>
      <c r="J125" s="121">
        <f t="shared" si="81"/>
        <v>1.1575200000000001</v>
      </c>
      <c r="K125" s="120">
        <f t="shared" si="82"/>
        <v>0</v>
      </c>
      <c r="L125" s="120">
        <f t="shared" si="83"/>
        <v>0</v>
      </c>
      <c r="M125" s="246">
        <f t="shared" si="84"/>
        <v>0</v>
      </c>
      <c r="N125" s="121">
        <f t="shared" si="85"/>
        <v>1.1575200000000001</v>
      </c>
      <c r="O125" s="246">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87">
        <v>48</v>
      </c>
      <c r="B126" s="242">
        <f t="shared" si="93"/>
        <v>47088</v>
      </c>
      <c r="C126" s="243">
        <f t="shared" si="74"/>
        <v>47118</v>
      </c>
      <c r="D126" s="120">
        <f t="shared" si="75"/>
        <v>31</v>
      </c>
      <c r="E126" s="120">
        <f t="shared" si="76"/>
        <v>12</v>
      </c>
      <c r="F126" s="275">
        <f t="shared" si="77"/>
        <v>47103.5</v>
      </c>
      <c r="G126" s="120">
        <f t="shared" si="78"/>
        <v>24347</v>
      </c>
      <c r="H126" s="245">
        <f t="shared" si="79"/>
        <v>1</v>
      </c>
      <c r="I126" s="121">
        <f t="shared" si="80"/>
        <v>1.1575200000000001</v>
      </c>
      <c r="J126" s="121">
        <f t="shared" si="81"/>
        <v>1.1575200000000001</v>
      </c>
      <c r="K126" s="120">
        <f t="shared" si="82"/>
        <v>0</v>
      </c>
      <c r="L126" s="120">
        <f t="shared" si="83"/>
        <v>0</v>
      </c>
      <c r="M126" s="246">
        <f t="shared" si="84"/>
        <v>0</v>
      </c>
      <c r="N126" s="121">
        <f t="shared" si="85"/>
        <v>1.1575200000000001</v>
      </c>
      <c r="O126" s="246">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1651</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24">
        <f>SUMPRODUCT($H$79:$H$126,$Q$79:$Q$126,$O$79:$O$126)/SUMPRODUCT($H$79:$H$126,$Q$79:$Q$126)</f>
        <v>0.8659874179431073</v>
      </c>
      <c r="G127" s="224">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row>
    <row r="130" spans="1:21" x14ac:dyDescent="0.3">
      <c r="A130" s="6" t="str">
        <f>INDEX(lr_key,2)</f>
        <v>ABD|CO</v>
      </c>
      <c r="B130" s="6" t="str">
        <f>INDEX(lr_state,2)</f>
        <v>CO</v>
      </c>
      <c r="C130" s="75">
        <f>nr_TermMonths</f>
        <v>12</v>
      </c>
      <c r="D130" s="75">
        <f>IF(COUNTIF(se_state,$B130)=0,0,MATCH($B130,se_state,0))</f>
        <v>0</v>
      </c>
      <c r="E130" s="70">
        <f>IF($D130=0,0,INDEX(se_sum,$D130))</f>
        <v>0</v>
      </c>
      <c r="F130" s="224">
        <f>IF(N(INDEX(lr_mind,2))=0,1,INDEX(lr_mind,2))</f>
        <v>1</v>
      </c>
      <c r="G130" s="224">
        <f>IF(N(INDEX(lr_m0,2))=0,1,INDEX(lr_m0,2))</f>
        <v>0.99</v>
      </c>
      <c r="H130" s="74">
        <f>IF(N(INDEX(lr_m0asof,2))=0,DATE(nr_PlanYear-1,10,1),INDEX(lr_m0asof,2))</f>
        <v>46295</v>
      </c>
      <c r="I130" s="224">
        <f>IF(N(INDEX(lr_m1,2))=0,1,INDEX(lr_m1,2))</f>
        <v>0.995</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94">EOMONTH($B133,0)</f>
        <v>45688</v>
      </c>
      <c r="D133" s="120">
        <f t="shared" ref="D133:D180" si="95">$C133-$B133+1</f>
        <v>31</v>
      </c>
      <c r="E133" s="120">
        <f t="shared" ref="E133:E180" si="96">MONTH($B133)</f>
        <v>1</v>
      </c>
      <c r="F133" s="275">
        <f t="shared" ref="F133:F180" si="97">($B133+$C133+1)/2</f>
        <v>45673.5</v>
      </c>
      <c r="G133" s="120">
        <f t="shared" ref="G133:G180" si="98">YEAR($B133)*12+MONTH($B133)-1</f>
        <v>24300</v>
      </c>
      <c r="H133" s="245">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46">
        <f t="shared" ref="M133:M180" si="104">IF($K133=0,0,MIN(1,$L133/$D133))</f>
        <v>0</v>
      </c>
      <c r="N133" s="121">
        <f t="shared" ref="N133:N180" si="105">IF($K133=0,$J133,(1-$M133)*$I133+$M133*$J133)</f>
        <v>1</v>
      </c>
      <c r="O133" s="246">
        <f t="shared" ref="O133:O180" si="106">IF($F133&lt;$B$131,$E$131+$I$131*($F133-$A$131),IF($F133&lt;$C$131,$F$131+$J$131*($F133-$B$131),$G$131+$K$131*($F133-$C$131)))</f>
        <v>0.98318927789934352</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87">
        <v>2</v>
      </c>
      <c r="B134" s="242">
        <f t="shared" ref="B134:B180" si="113">EDATE($B133,1)</f>
        <v>45689</v>
      </c>
      <c r="C134" s="243">
        <f t="shared" si="94"/>
        <v>45716</v>
      </c>
      <c r="D134" s="120">
        <f t="shared" si="95"/>
        <v>28</v>
      </c>
      <c r="E134" s="120">
        <f t="shared" si="96"/>
        <v>2</v>
      </c>
      <c r="F134" s="275">
        <f t="shared" si="97"/>
        <v>45703</v>
      </c>
      <c r="G134" s="120">
        <f t="shared" si="98"/>
        <v>24301</v>
      </c>
      <c r="H134" s="245">
        <f t="shared" si="99"/>
        <v>1</v>
      </c>
      <c r="I134" s="121">
        <f t="shared" si="100"/>
        <v>1</v>
      </c>
      <c r="J134" s="121">
        <f t="shared" si="101"/>
        <v>1</v>
      </c>
      <c r="K134" s="120">
        <f t="shared" si="102"/>
        <v>0</v>
      </c>
      <c r="L134" s="120">
        <f t="shared" si="103"/>
        <v>0</v>
      </c>
      <c r="M134" s="246">
        <f t="shared" si="104"/>
        <v>0</v>
      </c>
      <c r="N134" s="121">
        <f t="shared" si="105"/>
        <v>1</v>
      </c>
      <c r="O134" s="246">
        <f t="shared" si="106"/>
        <v>0.98351203501094098</v>
      </c>
      <c r="P134" s="121">
        <f t="shared" si="107"/>
        <v>0.125</v>
      </c>
      <c r="Q134" s="121">
        <f t="shared" si="108"/>
        <v>0</v>
      </c>
      <c r="R134" s="121">
        <f t="shared" si="109"/>
        <v>0</v>
      </c>
      <c r="S134" s="121" t="str">
        <f t="shared" si="110"/>
        <v/>
      </c>
      <c r="T134" s="121" t="str">
        <f t="shared" si="111"/>
        <v/>
      </c>
      <c r="U134" s="121">
        <f t="shared" si="112"/>
        <v>1</v>
      </c>
    </row>
    <row r="135" spans="1:21" x14ac:dyDescent="0.3">
      <c r="A135" s="187">
        <v>3</v>
      </c>
      <c r="B135" s="242">
        <f t="shared" si="113"/>
        <v>45717</v>
      </c>
      <c r="C135" s="243">
        <f t="shared" si="94"/>
        <v>45747</v>
      </c>
      <c r="D135" s="120">
        <f t="shared" si="95"/>
        <v>31</v>
      </c>
      <c r="E135" s="120">
        <f t="shared" si="96"/>
        <v>3</v>
      </c>
      <c r="F135" s="275">
        <f t="shared" si="97"/>
        <v>45732.5</v>
      </c>
      <c r="G135" s="120">
        <f t="shared" si="98"/>
        <v>24302</v>
      </c>
      <c r="H135" s="245">
        <f t="shared" si="99"/>
        <v>1</v>
      </c>
      <c r="I135" s="121">
        <f t="shared" si="100"/>
        <v>1</v>
      </c>
      <c r="J135" s="121">
        <f t="shared" si="101"/>
        <v>1</v>
      </c>
      <c r="K135" s="120">
        <f t="shared" si="102"/>
        <v>0</v>
      </c>
      <c r="L135" s="120">
        <f t="shared" si="103"/>
        <v>0</v>
      </c>
      <c r="M135" s="246">
        <f t="shared" si="104"/>
        <v>0</v>
      </c>
      <c r="N135" s="121">
        <f t="shared" si="105"/>
        <v>1</v>
      </c>
      <c r="O135" s="246">
        <f t="shared" si="106"/>
        <v>0.98383479212253833</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87">
        <v>4</v>
      </c>
      <c r="B136" s="242">
        <f t="shared" si="113"/>
        <v>45748</v>
      </c>
      <c r="C136" s="243">
        <f t="shared" si="94"/>
        <v>45777</v>
      </c>
      <c r="D136" s="120">
        <f t="shared" si="95"/>
        <v>30</v>
      </c>
      <c r="E136" s="120">
        <f t="shared" si="96"/>
        <v>4</v>
      </c>
      <c r="F136" s="275">
        <f t="shared" si="97"/>
        <v>45763</v>
      </c>
      <c r="G136" s="120">
        <f t="shared" si="98"/>
        <v>24303</v>
      </c>
      <c r="H136" s="245">
        <f t="shared" si="99"/>
        <v>1</v>
      </c>
      <c r="I136" s="121">
        <f t="shared" si="100"/>
        <v>1</v>
      </c>
      <c r="J136" s="121">
        <f t="shared" si="101"/>
        <v>1</v>
      </c>
      <c r="K136" s="120">
        <f t="shared" si="102"/>
        <v>0</v>
      </c>
      <c r="L136" s="120">
        <f t="shared" si="103"/>
        <v>0</v>
      </c>
      <c r="M136" s="246">
        <f t="shared" si="104"/>
        <v>0</v>
      </c>
      <c r="N136" s="121">
        <f t="shared" si="105"/>
        <v>1</v>
      </c>
      <c r="O136" s="246">
        <f t="shared" si="106"/>
        <v>0.98416849015317287</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87">
        <v>5</v>
      </c>
      <c r="B137" s="242">
        <f t="shared" si="113"/>
        <v>45778</v>
      </c>
      <c r="C137" s="243">
        <f t="shared" si="94"/>
        <v>45808</v>
      </c>
      <c r="D137" s="120">
        <f t="shared" si="95"/>
        <v>31</v>
      </c>
      <c r="E137" s="120">
        <f t="shared" si="96"/>
        <v>5</v>
      </c>
      <c r="F137" s="275">
        <f t="shared" si="97"/>
        <v>45793.5</v>
      </c>
      <c r="G137" s="120">
        <f t="shared" si="98"/>
        <v>24304</v>
      </c>
      <c r="H137" s="245">
        <f t="shared" si="99"/>
        <v>1</v>
      </c>
      <c r="I137" s="121">
        <f t="shared" si="100"/>
        <v>1</v>
      </c>
      <c r="J137" s="121">
        <f t="shared" si="101"/>
        <v>1</v>
      </c>
      <c r="K137" s="120">
        <f t="shared" si="102"/>
        <v>0</v>
      </c>
      <c r="L137" s="120">
        <f t="shared" si="103"/>
        <v>0</v>
      </c>
      <c r="M137" s="246">
        <f t="shared" si="104"/>
        <v>0</v>
      </c>
      <c r="N137" s="121">
        <f t="shared" si="105"/>
        <v>1</v>
      </c>
      <c r="O137" s="246">
        <f t="shared" si="106"/>
        <v>0.98450218818380741</v>
      </c>
      <c r="P137" s="121">
        <f t="shared" si="107"/>
        <v>0.375</v>
      </c>
      <c r="Q137" s="121">
        <f t="shared" si="108"/>
        <v>0</v>
      </c>
      <c r="R137" s="121">
        <f t="shared" si="109"/>
        <v>0</v>
      </c>
      <c r="S137" s="121" t="str">
        <f t="shared" si="110"/>
        <v/>
      </c>
      <c r="T137" s="121" t="str">
        <f t="shared" si="111"/>
        <v/>
      </c>
      <c r="U137" s="121">
        <f t="shared" si="112"/>
        <v>1</v>
      </c>
    </row>
    <row r="138" spans="1:21" x14ac:dyDescent="0.3">
      <c r="A138" s="187">
        <v>6</v>
      </c>
      <c r="B138" s="242">
        <f t="shared" si="113"/>
        <v>45809</v>
      </c>
      <c r="C138" s="243">
        <f t="shared" si="94"/>
        <v>45838</v>
      </c>
      <c r="D138" s="120">
        <f t="shared" si="95"/>
        <v>30</v>
      </c>
      <c r="E138" s="120">
        <f t="shared" si="96"/>
        <v>6</v>
      </c>
      <c r="F138" s="275">
        <f t="shared" si="97"/>
        <v>45824</v>
      </c>
      <c r="G138" s="120">
        <f t="shared" si="98"/>
        <v>24305</v>
      </c>
      <c r="H138" s="245">
        <f t="shared" si="99"/>
        <v>1</v>
      </c>
      <c r="I138" s="121">
        <f t="shared" si="100"/>
        <v>1</v>
      </c>
      <c r="J138" s="121">
        <f t="shared" si="101"/>
        <v>1</v>
      </c>
      <c r="K138" s="120">
        <f t="shared" si="102"/>
        <v>0</v>
      </c>
      <c r="L138" s="120">
        <f t="shared" si="103"/>
        <v>0</v>
      </c>
      <c r="M138" s="246">
        <f t="shared" si="104"/>
        <v>0</v>
      </c>
      <c r="N138" s="121">
        <f t="shared" si="105"/>
        <v>1</v>
      </c>
      <c r="O138" s="246">
        <f t="shared" si="106"/>
        <v>0.98483588621444207</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87">
        <v>7</v>
      </c>
      <c r="B139" s="242">
        <f t="shared" si="113"/>
        <v>45839</v>
      </c>
      <c r="C139" s="243">
        <f t="shared" si="94"/>
        <v>45869</v>
      </c>
      <c r="D139" s="120">
        <f t="shared" si="95"/>
        <v>31</v>
      </c>
      <c r="E139" s="120">
        <f t="shared" si="96"/>
        <v>7</v>
      </c>
      <c r="F139" s="275">
        <f t="shared" si="97"/>
        <v>45854.5</v>
      </c>
      <c r="G139" s="120">
        <f t="shared" si="98"/>
        <v>24306</v>
      </c>
      <c r="H139" s="245">
        <f t="shared" si="99"/>
        <v>1</v>
      </c>
      <c r="I139" s="121">
        <f t="shared" si="100"/>
        <v>1</v>
      </c>
      <c r="J139" s="121">
        <f t="shared" si="101"/>
        <v>1</v>
      </c>
      <c r="K139" s="120">
        <f t="shared" si="102"/>
        <v>0</v>
      </c>
      <c r="L139" s="120">
        <f t="shared" si="103"/>
        <v>0</v>
      </c>
      <c r="M139" s="246">
        <f t="shared" si="104"/>
        <v>0</v>
      </c>
      <c r="N139" s="121">
        <f t="shared" si="105"/>
        <v>1</v>
      </c>
      <c r="O139" s="246">
        <f t="shared" si="106"/>
        <v>0.98516958424507661</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87">
        <v>8</v>
      </c>
      <c r="B140" s="242">
        <f t="shared" si="113"/>
        <v>45870</v>
      </c>
      <c r="C140" s="243">
        <f t="shared" si="94"/>
        <v>45900</v>
      </c>
      <c r="D140" s="120">
        <f t="shared" si="95"/>
        <v>31</v>
      </c>
      <c r="E140" s="120">
        <f t="shared" si="96"/>
        <v>8</v>
      </c>
      <c r="F140" s="275">
        <f t="shared" si="97"/>
        <v>45885.5</v>
      </c>
      <c r="G140" s="120">
        <f t="shared" si="98"/>
        <v>24307</v>
      </c>
      <c r="H140" s="245">
        <f t="shared" si="99"/>
        <v>1</v>
      </c>
      <c r="I140" s="121">
        <f t="shared" si="100"/>
        <v>1</v>
      </c>
      <c r="J140" s="121">
        <f t="shared" si="101"/>
        <v>1</v>
      </c>
      <c r="K140" s="120">
        <f t="shared" si="102"/>
        <v>0</v>
      </c>
      <c r="L140" s="120">
        <f t="shared" si="103"/>
        <v>0</v>
      </c>
      <c r="M140" s="246">
        <f t="shared" si="104"/>
        <v>0</v>
      </c>
      <c r="N140" s="121">
        <f t="shared" si="105"/>
        <v>1</v>
      </c>
      <c r="O140" s="246">
        <f t="shared" si="106"/>
        <v>0.98550875273522975</v>
      </c>
      <c r="P140" s="121">
        <f t="shared" si="107"/>
        <v>0.625</v>
      </c>
      <c r="Q140" s="121">
        <f t="shared" si="108"/>
        <v>0</v>
      </c>
      <c r="R140" s="121">
        <f t="shared" si="109"/>
        <v>0</v>
      </c>
      <c r="S140" s="121" t="str">
        <f t="shared" si="110"/>
        <v/>
      </c>
      <c r="T140" s="121" t="str">
        <f t="shared" si="111"/>
        <v/>
      </c>
      <c r="U140" s="121">
        <f t="shared" si="112"/>
        <v>1</v>
      </c>
    </row>
    <row r="141" spans="1:21" x14ac:dyDescent="0.3">
      <c r="A141" s="187">
        <v>9</v>
      </c>
      <c r="B141" s="242">
        <f t="shared" si="113"/>
        <v>45901</v>
      </c>
      <c r="C141" s="243">
        <f t="shared" si="94"/>
        <v>45930</v>
      </c>
      <c r="D141" s="120">
        <f t="shared" si="95"/>
        <v>30</v>
      </c>
      <c r="E141" s="120">
        <f t="shared" si="96"/>
        <v>9</v>
      </c>
      <c r="F141" s="275">
        <f t="shared" si="97"/>
        <v>45916</v>
      </c>
      <c r="G141" s="120">
        <f t="shared" si="98"/>
        <v>24308</v>
      </c>
      <c r="H141" s="245">
        <f t="shared" si="99"/>
        <v>1</v>
      </c>
      <c r="I141" s="121">
        <f t="shared" si="100"/>
        <v>1</v>
      </c>
      <c r="J141" s="121">
        <f t="shared" si="101"/>
        <v>1</v>
      </c>
      <c r="K141" s="120">
        <f t="shared" si="102"/>
        <v>0</v>
      </c>
      <c r="L141" s="120">
        <f t="shared" si="103"/>
        <v>0</v>
      </c>
      <c r="M141" s="246">
        <f t="shared" si="104"/>
        <v>0</v>
      </c>
      <c r="N141" s="121">
        <f t="shared" si="105"/>
        <v>1</v>
      </c>
      <c r="O141" s="246">
        <f t="shared" si="106"/>
        <v>0.9858424507658643</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87">
        <v>10</v>
      </c>
      <c r="B142" s="242">
        <f t="shared" si="113"/>
        <v>45931</v>
      </c>
      <c r="C142" s="243">
        <f t="shared" si="94"/>
        <v>45961</v>
      </c>
      <c r="D142" s="120">
        <f t="shared" si="95"/>
        <v>31</v>
      </c>
      <c r="E142" s="120">
        <f t="shared" si="96"/>
        <v>10</v>
      </c>
      <c r="F142" s="275">
        <f t="shared" si="97"/>
        <v>45946.5</v>
      </c>
      <c r="G142" s="120">
        <f t="shared" si="98"/>
        <v>24309</v>
      </c>
      <c r="H142" s="245">
        <f t="shared" si="99"/>
        <v>1</v>
      </c>
      <c r="I142" s="121">
        <f t="shared" si="100"/>
        <v>1</v>
      </c>
      <c r="J142" s="121">
        <f t="shared" si="101"/>
        <v>1</v>
      </c>
      <c r="K142" s="120">
        <f t="shared" si="102"/>
        <v>0</v>
      </c>
      <c r="L142" s="120">
        <f t="shared" si="103"/>
        <v>0</v>
      </c>
      <c r="M142" s="246">
        <f t="shared" si="104"/>
        <v>0</v>
      </c>
      <c r="N142" s="121">
        <f t="shared" si="105"/>
        <v>1</v>
      </c>
      <c r="O142" s="246">
        <f t="shared" si="106"/>
        <v>0.98617614879649895</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87">
        <v>11</v>
      </c>
      <c r="B143" s="242">
        <f t="shared" si="113"/>
        <v>45962</v>
      </c>
      <c r="C143" s="243">
        <f t="shared" si="94"/>
        <v>45991</v>
      </c>
      <c r="D143" s="120">
        <f t="shared" si="95"/>
        <v>30</v>
      </c>
      <c r="E143" s="120">
        <f t="shared" si="96"/>
        <v>11</v>
      </c>
      <c r="F143" s="275">
        <f t="shared" si="97"/>
        <v>45977</v>
      </c>
      <c r="G143" s="120">
        <f t="shared" si="98"/>
        <v>24310</v>
      </c>
      <c r="H143" s="245">
        <f t="shared" si="99"/>
        <v>1</v>
      </c>
      <c r="I143" s="121">
        <f t="shared" si="100"/>
        <v>1</v>
      </c>
      <c r="J143" s="121">
        <f t="shared" si="101"/>
        <v>1</v>
      </c>
      <c r="K143" s="120">
        <f t="shared" si="102"/>
        <v>0</v>
      </c>
      <c r="L143" s="120">
        <f t="shared" si="103"/>
        <v>0</v>
      </c>
      <c r="M143" s="246">
        <f t="shared" si="104"/>
        <v>0</v>
      </c>
      <c r="N143" s="121">
        <f t="shared" si="105"/>
        <v>1</v>
      </c>
      <c r="O143" s="246">
        <f t="shared" si="106"/>
        <v>0.9865098468271335</v>
      </c>
      <c r="P143" s="121">
        <f t="shared" si="107"/>
        <v>0.875</v>
      </c>
      <c r="Q143" s="121">
        <f t="shared" si="108"/>
        <v>0</v>
      </c>
      <c r="R143" s="121">
        <f t="shared" si="109"/>
        <v>0</v>
      </c>
      <c r="S143" s="121" t="str">
        <f t="shared" si="110"/>
        <v/>
      </c>
      <c r="T143" s="121" t="str">
        <f t="shared" si="111"/>
        <v/>
      </c>
      <c r="U143" s="121">
        <f t="shared" si="112"/>
        <v>1</v>
      </c>
    </row>
    <row r="144" spans="1:21" x14ac:dyDescent="0.3">
      <c r="A144" s="187">
        <v>12</v>
      </c>
      <c r="B144" s="242">
        <f t="shared" si="113"/>
        <v>45992</v>
      </c>
      <c r="C144" s="243">
        <f t="shared" si="94"/>
        <v>46022</v>
      </c>
      <c r="D144" s="120">
        <f t="shared" si="95"/>
        <v>31</v>
      </c>
      <c r="E144" s="120">
        <f t="shared" si="96"/>
        <v>12</v>
      </c>
      <c r="F144" s="275">
        <f t="shared" si="97"/>
        <v>46007.5</v>
      </c>
      <c r="G144" s="120">
        <f t="shared" si="98"/>
        <v>24311</v>
      </c>
      <c r="H144" s="245">
        <f t="shared" si="99"/>
        <v>1</v>
      </c>
      <c r="I144" s="121">
        <f t="shared" si="100"/>
        <v>1</v>
      </c>
      <c r="J144" s="121">
        <f t="shared" si="101"/>
        <v>1</v>
      </c>
      <c r="K144" s="120">
        <f t="shared" si="102"/>
        <v>0</v>
      </c>
      <c r="L144" s="120">
        <f t="shared" si="103"/>
        <v>0</v>
      </c>
      <c r="M144" s="246">
        <f t="shared" si="104"/>
        <v>0</v>
      </c>
      <c r="N144" s="121">
        <f t="shared" si="105"/>
        <v>1</v>
      </c>
      <c r="O144" s="246">
        <f t="shared" si="106"/>
        <v>0.98684354485776804</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87">
        <v>13</v>
      </c>
      <c r="B145" s="242">
        <f t="shared" si="113"/>
        <v>46023</v>
      </c>
      <c r="C145" s="243">
        <f t="shared" si="94"/>
        <v>46053</v>
      </c>
      <c r="D145" s="120">
        <f t="shared" si="95"/>
        <v>31</v>
      </c>
      <c r="E145" s="120">
        <f t="shared" si="96"/>
        <v>1</v>
      </c>
      <c r="F145" s="275">
        <f t="shared" si="97"/>
        <v>46038.5</v>
      </c>
      <c r="G145" s="120">
        <f t="shared" si="98"/>
        <v>24312</v>
      </c>
      <c r="H145" s="245">
        <f t="shared" si="99"/>
        <v>1</v>
      </c>
      <c r="I145" s="121">
        <f t="shared" si="100"/>
        <v>1</v>
      </c>
      <c r="J145" s="121">
        <f t="shared" si="101"/>
        <v>1</v>
      </c>
      <c r="K145" s="120">
        <f t="shared" si="102"/>
        <v>0</v>
      </c>
      <c r="L145" s="120">
        <f t="shared" si="103"/>
        <v>0</v>
      </c>
      <c r="M145" s="246">
        <f t="shared" si="104"/>
        <v>0</v>
      </c>
      <c r="N145" s="121">
        <f t="shared" si="105"/>
        <v>1</v>
      </c>
      <c r="O145" s="246">
        <f t="shared" si="106"/>
        <v>0.98718271334792118</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87">
        <v>14</v>
      </c>
      <c r="B146" s="242">
        <f t="shared" si="113"/>
        <v>46054</v>
      </c>
      <c r="C146" s="243">
        <f t="shared" si="94"/>
        <v>46081</v>
      </c>
      <c r="D146" s="120">
        <f t="shared" si="95"/>
        <v>28</v>
      </c>
      <c r="E146" s="120">
        <f t="shared" si="96"/>
        <v>2</v>
      </c>
      <c r="F146" s="275">
        <f t="shared" si="97"/>
        <v>46068</v>
      </c>
      <c r="G146" s="120">
        <f t="shared" si="98"/>
        <v>24313</v>
      </c>
      <c r="H146" s="245">
        <f t="shared" si="99"/>
        <v>1</v>
      </c>
      <c r="I146" s="121">
        <f t="shared" si="100"/>
        <v>1</v>
      </c>
      <c r="J146" s="121">
        <f t="shared" si="101"/>
        <v>1.03</v>
      </c>
      <c r="K146" s="120">
        <f t="shared" si="102"/>
        <v>1</v>
      </c>
      <c r="L146" s="120">
        <f t="shared" si="103"/>
        <v>28</v>
      </c>
      <c r="M146" s="246">
        <f t="shared" si="104"/>
        <v>1</v>
      </c>
      <c r="N146" s="121">
        <f t="shared" si="105"/>
        <v>1.03</v>
      </c>
      <c r="O146" s="246">
        <f t="shared" si="106"/>
        <v>0.98750547045951864</v>
      </c>
      <c r="P146" s="121">
        <f t="shared" si="107"/>
        <v>0.875</v>
      </c>
      <c r="Q146" s="121">
        <f t="shared" si="108"/>
        <v>0.125</v>
      </c>
      <c r="R146" s="121">
        <f t="shared" si="109"/>
        <v>0</v>
      </c>
      <c r="S146" s="121" t="str">
        <f t="shared" si="110"/>
        <v/>
      </c>
      <c r="T146" s="121" t="str">
        <f t="shared" si="111"/>
        <v/>
      </c>
      <c r="U146" s="121">
        <f t="shared" si="112"/>
        <v>1.03</v>
      </c>
    </row>
    <row r="147" spans="1:21" x14ac:dyDescent="0.3">
      <c r="A147" s="187">
        <v>15</v>
      </c>
      <c r="B147" s="242">
        <f t="shared" si="113"/>
        <v>46082</v>
      </c>
      <c r="C147" s="243">
        <f t="shared" si="94"/>
        <v>46112</v>
      </c>
      <c r="D147" s="120">
        <f t="shared" si="95"/>
        <v>31</v>
      </c>
      <c r="E147" s="120">
        <f t="shared" si="96"/>
        <v>3</v>
      </c>
      <c r="F147" s="275">
        <f t="shared" si="97"/>
        <v>46097.5</v>
      </c>
      <c r="G147" s="120">
        <f t="shared" si="98"/>
        <v>24314</v>
      </c>
      <c r="H147" s="245">
        <f t="shared" si="99"/>
        <v>1</v>
      </c>
      <c r="I147" s="121">
        <f t="shared" si="100"/>
        <v>1.03</v>
      </c>
      <c r="J147" s="121">
        <f t="shared" si="101"/>
        <v>1.03</v>
      </c>
      <c r="K147" s="120">
        <f t="shared" si="102"/>
        <v>0</v>
      </c>
      <c r="L147" s="120">
        <f t="shared" si="103"/>
        <v>0</v>
      </c>
      <c r="M147" s="246">
        <f t="shared" si="104"/>
        <v>0</v>
      </c>
      <c r="N147" s="121">
        <f t="shared" si="105"/>
        <v>1.03</v>
      </c>
      <c r="O147" s="246">
        <f t="shared" si="106"/>
        <v>0.98782822757111599</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87">
        <v>16</v>
      </c>
      <c r="B148" s="242">
        <f t="shared" si="113"/>
        <v>46113</v>
      </c>
      <c r="C148" s="243">
        <f t="shared" si="94"/>
        <v>46142</v>
      </c>
      <c r="D148" s="120">
        <f t="shared" si="95"/>
        <v>30</v>
      </c>
      <c r="E148" s="120">
        <f t="shared" si="96"/>
        <v>4</v>
      </c>
      <c r="F148" s="275">
        <f t="shared" si="97"/>
        <v>46128</v>
      </c>
      <c r="G148" s="120">
        <f t="shared" si="98"/>
        <v>24315</v>
      </c>
      <c r="H148" s="245">
        <f t="shared" si="99"/>
        <v>1</v>
      </c>
      <c r="I148" s="121">
        <f t="shared" si="100"/>
        <v>1.03</v>
      </c>
      <c r="J148" s="121">
        <f t="shared" si="101"/>
        <v>1.03</v>
      </c>
      <c r="K148" s="120">
        <f t="shared" si="102"/>
        <v>0</v>
      </c>
      <c r="L148" s="120">
        <f t="shared" si="103"/>
        <v>0</v>
      </c>
      <c r="M148" s="246">
        <f t="shared" si="104"/>
        <v>0</v>
      </c>
      <c r="N148" s="121">
        <f t="shared" si="105"/>
        <v>1.03</v>
      </c>
      <c r="O148" s="246">
        <f t="shared" si="106"/>
        <v>0.98816192560175053</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87">
        <v>17</v>
      </c>
      <c r="B149" s="242">
        <f t="shared" si="113"/>
        <v>46143</v>
      </c>
      <c r="C149" s="243">
        <f t="shared" si="94"/>
        <v>46173</v>
      </c>
      <c r="D149" s="120">
        <f t="shared" si="95"/>
        <v>31</v>
      </c>
      <c r="E149" s="120">
        <f t="shared" si="96"/>
        <v>5</v>
      </c>
      <c r="F149" s="275">
        <f t="shared" si="97"/>
        <v>46158.5</v>
      </c>
      <c r="G149" s="120">
        <f t="shared" si="98"/>
        <v>24316</v>
      </c>
      <c r="H149" s="245">
        <f t="shared" si="99"/>
        <v>1</v>
      </c>
      <c r="I149" s="121">
        <f t="shared" si="100"/>
        <v>1.03</v>
      </c>
      <c r="J149" s="121">
        <f t="shared" si="101"/>
        <v>1.03</v>
      </c>
      <c r="K149" s="120">
        <f t="shared" si="102"/>
        <v>0</v>
      </c>
      <c r="L149" s="120">
        <f t="shared" si="103"/>
        <v>0</v>
      </c>
      <c r="M149" s="246">
        <f t="shared" si="104"/>
        <v>0</v>
      </c>
      <c r="N149" s="121">
        <f t="shared" si="105"/>
        <v>1.03</v>
      </c>
      <c r="O149" s="246">
        <f t="shared" si="106"/>
        <v>0.98849562363238508</v>
      </c>
      <c r="P149" s="121">
        <f t="shared" si="107"/>
        <v>0.625</v>
      </c>
      <c r="Q149" s="121">
        <f t="shared" si="108"/>
        <v>0.375</v>
      </c>
      <c r="R149" s="121">
        <f t="shared" si="109"/>
        <v>0</v>
      </c>
      <c r="S149" s="121" t="str">
        <f t="shared" si="110"/>
        <v/>
      </c>
      <c r="T149" s="121" t="str">
        <f t="shared" si="111"/>
        <v/>
      </c>
      <c r="U149" s="121">
        <f t="shared" si="112"/>
        <v>1.03</v>
      </c>
    </row>
    <row r="150" spans="1:21" x14ac:dyDescent="0.3">
      <c r="A150" s="187">
        <v>18</v>
      </c>
      <c r="B150" s="242">
        <f t="shared" si="113"/>
        <v>46174</v>
      </c>
      <c r="C150" s="243">
        <f t="shared" si="94"/>
        <v>46203</v>
      </c>
      <c r="D150" s="120">
        <f t="shared" si="95"/>
        <v>30</v>
      </c>
      <c r="E150" s="120">
        <f t="shared" si="96"/>
        <v>6</v>
      </c>
      <c r="F150" s="275">
        <f t="shared" si="97"/>
        <v>46189</v>
      </c>
      <c r="G150" s="120">
        <f t="shared" si="98"/>
        <v>24317</v>
      </c>
      <c r="H150" s="245">
        <f t="shared" si="99"/>
        <v>1</v>
      </c>
      <c r="I150" s="121">
        <f t="shared" si="100"/>
        <v>1.03</v>
      </c>
      <c r="J150" s="121">
        <f t="shared" si="101"/>
        <v>1.03</v>
      </c>
      <c r="K150" s="120">
        <f t="shared" si="102"/>
        <v>0</v>
      </c>
      <c r="L150" s="120">
        <f t="shared" si="103"/>
        <v>0</v>
      </c>
      <c r="M150" s="246">
        <f t="shared" si="104"/>
        <v>0</v>
      </c>
      <c r="N150" s="121">
        <f t="shared" si="105"/>
        <v>1.03</v>
      </c>
      <c r="O150" s="246">
        <f t="shared" si="106"/>
        <v>0.98882932166301973</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87">
        <v>19</v>
      </c>
      <c r="B151" s="242">
        <f t="shared" si="113"/>
        <v>46204</v>
      </c>
      <c r="C151" s="243">
        <f t="shared" si="94"/>
        <v>46234</v>
      </c>
      <c r="D151" s="120">
        <f t="shared" si="95"/>
        <v>31</v>
      </c>
      <c r="E151" s="120">
        <f t="shared" si="96"/>
        <v>7</v>
      </c>
      <c r="F151" s="275">
        <f t="shared" si="97"/>
        <v>46219.5</v>
      </c>
      <c r="G151" s="120">
        <f t="shared" si="98"/>
        <v>24318</v>
      </c>
      <c r="H151" s="245">
        <f t="shared" si="99"/>
        <v>1</v>
      </c>
      <c r="I151" s="121">
        <f t="shared" si="100"/>
        <v>1.03</v>
      </c>
      <c r="J151" s="121">
        <f t="shared" si="101"/>
        <v>1.03</v>
      </c>
      <c r="K151" s="120">
        <f t="shared" si="102"/>
        <v>0</v>
      </c>
      <c r="L151" s="120">
        <f t="shared" si="103"/>
        <v>0</v>
      </c>
      <c r="M151" s="246">
        <f t="shared" si="104"/>
        <v>0</v>
      </c>
      <c r="N151" s="121">
        <f t="shared" si="105"/>
        <v>1.03</v>
      </c>
      <c r="O151" s="246">
        <f t="shared" si="106"/>
        <v>0.98916301969365428</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87">
        <v>20</v>
      </c>
      <c r="B152" s="242">
        <f t="shared" si="113"/>
        <v>46235</v>
      </c>
      <c r="C152" s="243">
        <f t="shared" si="94"/>
        <v>46265</v>
      </c>
      <c r="D152" s="120">
        <f t="shared" si="95"/>
        <v>31</v>
      </c>
      <c r="E152" s="120">
        <f t="shared" si="96"/>
        <v>8</v>
      </c>
      <c r="F152" s="275">
        <f t="shared" si="97"/>
        <v>46250.5</v>
      </c>
      <c r="G152" s="120">
        <f t="shared" si="98"/>
        <v>24319</v>
      </c>
      <c r="H152" s="245">
        <f t="shared" si="99"/>
        <v>1</v>
      </c>
      <c r="I152" s="121">
        <f t="shared" si="100"/>
        <v>1.03</v>
      </c>
      <c r="J152" s="121">
        <f t="shared" si="101"/>
        <v>1.03</v>
      </c>
      <c r="K152" s="120">
        <f t="shared" si="102"/>
        <v>0</v>
      </c>
      <c r="L152" s="120">
        <f t="shared" si="103"/>
        <v>0</v>
      </c>
      <c r="M152" s="246">
        <f t="shared" si="104"/>
        <v>0</v>
      </c>
      <c r="N152" s="121">
        <f t="shared" si="105"/>
        <v>1.03</v>
      </c>
      <c r="O152" s="246">
        <f t="shared" si="106"/>
        <v>0.98950218818380742</v>
      </c>
      <c r="P152" s="121">
        <f t="shared" si="107"/>
        <v>0.375</v>
      </c>
      <c r="Q152" s="121">
        <f t="shared" si="108"/>
        <v>0.625</v>
      </c>
      <c r="R152" s="121">
        <f t="shared" si="109"/>
        <v>0</v>
      </c>
      <c r="S152" s="121" t="str">
        <f t="shared" si="110"/>
        <v/>
      </c>
      <c r="T152" s="121" t="str">
        <f t="shared" si="111"/>
        <v/>
      </c>
      <c r="U152" s="121">
        <f t="shared" si="112"/>
        <v>1.03</v>
      </c>
    </row>
    <row r="153" spans="1:21" x14ac:dyDescent="0.3">
      <c r="A153" s="187">
        <v>21</v>
      </c>
      <c r="B153" s="242">
        <f t="shared" si="113"/>
        <v>46266</v>
      </c>
      <c r="C153" s="243">
        <f t="shared" si="94"/>
        <v>46295</v>
      </c>
      <c r="D153" s="120">
        <f t="shared" si="95"/>
        <v>30</v>
      </c>
      <c r="E153" s="120">
        <f t="shared" si="96"/>
        <v>9</v>
      </c>
      <c r="F153" s="275">
        <f t="shared" si="97"/>
        <v>46281</v>
      </c>
      <c r="G153" s="120">
        <f t="shared" si="98"/>
        <v>24320</v>
      </c>
      <c r="H153" s="245">
        <f t="shared" si="99"/>
        <v>1</v>
      </c>
      <c r="I153" s="121">
        <f t="shared" si="100"/>
        <v>1.03</v>
      </c>
      <c r="J153" s="121">
        <f t="shared" si="101"/>
        <v>1.03</v>
      </c>
      <c r="K153" s="120">
        <f t="shared" si="102"/>
        <v>0</v>
      </c>
      <c r="L153" s="120">
        <f t="shared" si="103"/>
        <v>0</v>
      </c>
      <c r="M153" s="246">
        <f t="shared" si="104"/>
        <v>0</v>
      </c>
      <c r="N153" s="121">
        <f t="shared" si="105"/>
        <v>1.03</v>
      </c>
      <c r="O153" s="246">
        <f t="shared" si="106"/>
        <v>0.98983588621444196</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87">
        <v>22</v>
      </c>
      <c r="B154" s="242">
        <f t="shared" si="113"/>
        <v>46296</v>
      </c>
      <c r="C154" s="243">
        <f t="shared" si="94"/>
        <v>46326</v>
      </c>
      <c r="D154" s="120">
        <f t="shared" si="95"/>
        <v>31</v>
      </c>
      <c r="E154" s="120">
        <f t="shared" si="96"/>
        <v>10</v>
      </c>
      <c r="F154" s="275">
        <f t="shared" si="97"/>
        <v>46311.5</v>
      </c>
      <c r="G154" s="120">
        <f t="shared" si="98"/>
        <v>24321</v>
      </c>
      <c r="H154" s="245">
        <f t="shared" si="99"/>
        <v>1</v>
      </c>
      <c r="I154" s="121">
        <f t="shared" si="100"/>
        <v>1.03</v>
      </c>
      <c r="J154" s="121">
        <f t="shared" si="101"/>
        <v>1.03</v>
      </c>
      <c r="K154" s="120">
        <f t="shared" si="102"/>
        <v>0</v>
      </c>
      <c r="L154" s="120">
        <f t="shared" si="103"/>
        <v>0</v>
      </c>
      <c r="M154" s="246">
        <f t="shared" si="104"/>
        <v>0</v>
      </c>
      <c r="N154" s="121">
        <f t="shared" si="105"/>
        <v>1.03</v>
      </c>
      <c r="O154" s="246">
        <f t="shared" si="106"/>
        <v>0.99016958424507662</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87">
        <v>23</v>
      </c>
      <c r="B155" s="242">
        <f t="shared" si="113"/>
        <v>46327</v>
      </c>
      <c r="C155" s="243">
        <f t="shared" si="94"/>
        <v>46356</v>
      </c>
      <c r="D155" s="120">
        <f t="shared" si="95"/>
        <v>30</v>
      </c>
      <c r="E155" s="120">
        <f t="shared" si="96"/>
        <v>11</v>
      </c>
      <c r="F155" s="275">
        <f t="shared" si="97"/>
        <v>46342</v>
      </c>
      <c r="G155" s="120">
        <f t="shared" si="98"/>
        <v>24322</v>
      </c>
      <c r="H155" s="245">
        <f t="shared" si="99"/>
        <v>1</v>
      </c>
      <c r="I155" s="121">
        <f t="shared" si="100"/>
        <v>1.03</v>
      </c>
      <c r="J155" s="121">
        <f t="shared" si="101"/>
        <v>1.03</v>
      </c>
      <c r="K155" s="120">
        <f t="shared" si="102"/>
        <v>0</v>
      </c>
      <c r="L155" s="120">
        <f t="shared" si="103"/>
        <v>0</v>
      </c>
      <c r="M155" s="246">
        <f t="shared" si="104"/>
        <v>0</v>
      </c>
      <c r="N155" s="121">
        <f t="shared" si="105"/>
        <v>1.03</v>
      </c>
      <c r="O155" s="246">
        <f t="shared" si="106"/>
        <v>0.99050328227571116</v>
      </c>
      <c r="P155" s="121">
        <f t="shared" si="107"/>
        <v>0.125</v>
      </c>
      <c r="Q155" s="121">
        <f t="shared" si="108"/>
        <v>0.875</v>
      </c>
      <c r="R155" s="121">
        <f t="shared" si="109"/>
        <v>0</v>
      </c>
      <c r="S155" s="121" t="str">
        <f t="shared" si="110"/>
        <v/>
      </c>
      <c r="T155" s="121" t="str">
        <f t="shared" si="111"/>
        <v/>
      </c>
      <c r="U155" s="121">
        <f t="shared" si="112"/>
        <v>1.03</v>
      </c>
    </row>
    <row r="156" spans="1:21" x14ac:dyDescent="0.3">
      <c r="A156" s="187">
        <v>24</v>
      </c>
      <c r="B156" s="242">
        <f t="shared" si="113"/>
        <v>46357</v>
      </c>
      <c r="C156" s="243">
        <f t="shared" si="94"/>
        <v>46387</v>
      </c>
      <c r="D156" s="120">
        <f t="shared" si="95"/>
        <v>31</v>
      </c>
      <c r="E156" s="120">
        <f t="shared" si="96"/>
        <v>12</v>
      </c>
      <c r="F156" s="275">
        <f t="shared" si="97"/>
        <v>46372.5</v>
      </c>
      <c r="G156" s="120">
        <f t="shared" si="98"/>
        <v>24323</v>
      </c>
      <c r="H156" s="245">
        <f t="shared" si="99"/>
        <v>1</v>
      </c>
      <c r="I156" s="121">
        <f t="shared" si="100"/>
        <v>1.03</v>
      </c>
      <c r="J156" s="121">
        <f t="shared" si="101"/>
        <v>1.03</v>
      </c>
      <c r="K156" s="120">
        <f t="shared" si="102"/>
        <v>0</v>
      </c>
      <c r="L156" s="120">
        <f t="shared" si="103"/>
        <v>0</v>
      </c>
      <c r="M156" s="246">
        <f t="shared" si="104"/>
        <v>0</v>
      </c>
      <c r="N156" s="121">
        <f t="shared" si="105"/>
        <v>1.03</v>
      </c>
      <c r="O156" s="246">
        <f t="shared" si="106"/>
        <v>0.9908369803063457</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87">
        <v>25</v>
      </c>
      <c r="B157" s="242">
        <f t="shared" si="113"/>
        <v>46388</v>
      </c>
      <c r="C157" s="243">
        <f t="shared" si="94"/>
        <v>46418</v>
      </c>
      <c r="D157" s="120">
        <f t="shared" si="95"/>
        <v>31</v>
      </c>
      <c r="E157" s="120">
        <f t="shared" si="96"/>
        <v>1</v>
      </c>
      <c r="F157" s="275">
        <f t="shared" si="97"/>
        <v>46403.5</v>
      </c>
      <c r="G157" s="120">
        <f t="shared" si="98"/>
        <v>24324</v>
      </c>
      <c r="H157" s="245">
        <f t="shared" si="99"/>
        <v>1</v>
      </c>
      <c r="I157" s="121">
        <f t="shared" si="100"/>
        <v>1.03</v>
      </c>
      <c r="J157" s="121">
        <f t="shared" si="101"/>
        <v>1.03</v>
      </c>
      <c r="K157" s="120">
        <f t="shared" si="102"/>
        <v>0</v>
      </c>
      <c r="L157" s="120">
        <f t="shared" si="103"/>
        <v>0</v>
      </c>
      <c r="M157" s="246">
        <f t="shared" si="104"/>
        <v>0</v>
      </c>
      <c r="N157" s="121">
        <f t="shared" si="105"/>
        <v>1.03</v>
      </c>
      <c r="O157" s="246">
        <f t="shared" si="106"/>
        <v>0.99117614879649885</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87">
        <v>26</v>
      </c>
      <c r="B158" s="242">
        <f t="shared" si="113"/>
        <v>46419</v>
      </c>
      <c r="C158" s="243">
        <f t="shared" si="94"/>
        <v>46446</v>
      </c>
      <c r="D158" s="120">
        <f t="shared" si="95"/>
        <v>28</v>
      </c>
      <c r="E158" s="120">
        <f t="shared" si="96"/>
        <v>2</v>
      </c>
      <c r="F158" s="275">
        <f t="shared" si="97"/>
        <v>46433</v>
      </c>
      <c r="G158" s="120">
        <f t="shared" si="98"/>
        <v>24325</v>
      </c>
      <c r="H158" s="245">
        <f t="shared" si="99"/>
        <v>1</v>
      </c>
      <c r="I158" s="121">
        <f t="shared" si="100"/>
        <v>1.03</v>
      </c>
      <c r="J158" s="121">
        <f t="shared" si="101"/>
        <v>1.0712000000000002</v>
      </c>
      <c r="K158" s="120">
        <f t="shared" si="102"/>
        <v>1</v>
      </c>
      <c r="L158" s="120">
        <f t="shared" si="103"/>
        <v>28</v>
      </c>
      <c r="M158" s="246">
        <f t="shared" si="104"/>
        <v>1</v>
      </c>
      <c r="N158" s="121">
        <f t="shared" si="105"/>
        <v>1.0712000000000002</v>
      </c>
      <c r="O158" s="246">
        <f t="shared" si="106"/>
        <v>0.99149890590809631</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87">
        <v>27</v>
      </c>
      <c r="B159" s="242">
        <f t="shared" si="113"/>
        <v>46447</v>
      </c>
      <c r="C159" s="243">
        <f t="shared" si="94"/>
        <v>46477</v>
      </c>
      <c r="D159" s="120">
        <f t="shared" si="95"/>
        <v>31</v>
      </c>
      <c r="E159" s="120">
        <f t="shared" si="96"/>
        <v>3</v>
      </c>
      <c r="F159" s="275">
        <f t="shared" si="97"/>
        <v>46462.5</v>
      </c>
      <c r="G159" s="120">
        <f t="shared" si="98"/>
        <v>24326</v>
      </c>
      <c r="H159" s="245">
        <f t="shared" si="99"/>
        <v>1</v>
      </c>
      <c r="I159" s="121">
        <f t="shared" si="100"/>
        <v>1.0712000000000002</v>
      </c>
      <c r="J159" s="121">
        <f t="shared" si="101"/>
        <v>1.0712000000000002</v>
      </c>
      <c r="K159" s="120">
        <f t="shared" si="102"/>
        <v>0</v>
      </c>
      <c r="L159" s="120">
        <f t="shared" si="103"/>
        <v>0</v>
      </c>
      <c r="M159" s="246">
        <f t="shared" si="104"/>
        <v>0</v>
      </c>
      <c r="N159" s="121">
        <f t="shared" si="105"/>
        <v>1.0712000000000002</v>
      </c>
      <c r="O159" s="246">
        <f t="shared" si="106"/>
        <v>0.99182166301969366</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87">
        <v>28</v>
      </c>
      <c r="B160" s="242">
        <f t="shared" si="113"/>
        <v>46478</v>
      </c>
      <c r="C160" s="243">
        <f t="shared" si="94"/>
        <v>46507</v>
      </c>
      <c r="D160" s="120">
        <f t="shared" si="95"/>
        <v>30</v>
      </c>
      <c r="E160" s="120">
        <f t="shared" si="96"/>
        <v>4</v>
      </c>
      <c r="F160" s="275">
        <f t="shared" si="97"/>
        <v>46493</v>
      </c>
      <c r="G160" s="120">
        <f t="shared" si="98"/>
        <v>24327</v>
      </c>
      <c r="H160" s="245">
        <f t="shared" si="99"/>
        <v>1</v>
      </c>
      <c r="I160" s="121">
        <f t="shared" si="100"/>
        <v>1.0712000000000002</v>
      </c>
      <c r="J160" s="121">
        <f t="shared" si="101"/>
        <v>1.0712000000000002</v>
      </c>
      <c r="K160" s="120">
        <f t="shared" si="102"/>
        <v>0</v>
      </c>
      <c r="L160" s="120">
        <f t="shared" si="103"/>
        <v>0</v>
      </c>
      <c r="M160" s="246">
        <f t="shared" si="104"/>
        <v>0</v>
      </c>
      <c r="N160" s="121">
        <f t="shared" si="105"/>
        <v>1.0712000000000002</v>
      </c>
      <c r="O160" s="246">
        <f t="shared" si="106"/>
        <v>0.9921553610503282</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87">
        <v>29</v>
      </c>
      <c r="B161" s="242">
        <f t="shared" si="113"/>
        <v>46508</v>
      </c>
      <c r="C161" s="243">
        <f t="shared" si="94"/>
        <v>46538</v>
      </c>
      <c r="D161" s="120">
        <f t="shared" si="95"/>
        <v>31</v>
      </c>
      <c r="E161" s="120">
        <f t="shared" si="96"/>
        <v>5</v>
      </c>
      <c r="F161" s="275">
        <f t="shared" si="97"/>
        <v>46523.5</v>
      </c>
      <c r="G161" s="120">
        <f t="shared" si="98"/>
        <v>24328</v>
      </c>
      <c r="H161" s="245">
        <f t="shared" si="99"/>
        <v>1</v>
      </c>
      <c r="I161" s="121">
        <f t="shared" si="100"/>
        <v>1.0712000000000002</v>
      </c>
      <c r="J161" s="121">
        <f t="shared" si="101"/>
        <v>1.0712000000000002</v>
      </c>
      <c r="K161" s="120">
        <f t="shared" si="102"/>
        <v>0</v>
      </c>
      <c r="L161" s="120">
        <f t="shared" si="103"/>
        <v>0</v>
      </c>
      <c r="M161" s="246">
        <f t="shared" si="104"/>
        <v>0</v>
      </c>
      <c r="N161" s="121">
        <f t="shared" si="105"/>
        <v>1.0712000000000002</v>
      </c>
      <c r="O161" s="246">
        <f t="shared" si="106"/>
        <v>0.99248905908096274</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87">
        <v>30</v>
      </c>
      <c r="B162" s="242">
        <f t="shared" si="113"/>
        <v>46539</v>
      </c>
      <c r="C162" s="243">
        <f t="shared" si="94"/>
        <v>46568</v>
      </c>
      <c r="D162" s="120">
        <f t="shared" si="95"/>
        <v>30</v>
      </c>
      <c r="E162" s="120">
        <f t="shared" si="96"/>
        <v>6</v>
      </c>
      <c r="F162" s="275">
        <f t="shared" si="97"/>
        <v>46554</v>
      </c>
      <c r="G162" s="120">
        <f t="shared" si="98"/>
        <v>24329</v>
      </c>
      <c r="H162" s="245">
        <f t="shared" si="99"/>
        <v>1</v>
      </c>
      <c r="I162" s="121">
        <f t="shared" si="100"/>
        <v>1.0712000000000002</v>
      </c>
      <c r="J162" s="121">
        <f t="shared" si="101"/>
        <v>1.0712000000000002</v>
      </c>
      <c r="K162" s="120">
        <f t="shared" si="102"/>
        <v>0</v>
      </c>
      <c r="L162" s="120">
        <f t="shared" si="103"/>
        <v>0</v>
      </c>
      <c r="M162" s="246">
        <f t="shared" si="104"/>
        <v>0</v>
      </c>
      <c r="N162" s="121">
        <f t="shared" si="105"/>
        <v>1.0712000000000002</v>
      </c>
      <c r="O162" s="246">
        <f t="shared" si="106"/>
        <v>0.9928227571115974</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87">
        <v>31</v>
      </c>
      <c r="B163" s="242">
        <f t="shared" si="113"/>
        <v>46569</v>
      </c>
      <c r="C163" s="243">
        <f t="shared" si="94"/>
        <v>46599</v>
      </c>
      <c r="D163" s="120">
        <f t="shared" si="95"/>
        <v>31</v>
      </c>
      <c r="E163" s="120">
        <f t="shared" si="96"/>
        <v>7</v>
      </c>
      <c r="F163" s="275">
        <f t="shared" si="97"/>
        <v>46584.5</v>
      </c>
      <c r="G163" s="120">
        <f t="shared" si="98"/>
        <v>24330</v>
      </c>
      <c r="H163" s="245">
        <f t="shared" si="99"/>
        <v>1</v>
      </c>
      <c r="I163" s="121">
        <f t="shared" si="100"/>
        <v>1.0712000000000002</v>
      </c>
      <c r="J163" s="121">
        <f t="shared" si="101"/>
        <v>1.0712000000000002</v>
      </c>
      <c r="K163" s="120">
        <f t="shared" si="102"/>
        <v>0</v>
      </c>
      <c r="L163" s="120">
        <f t="shared" si="103"/>
        <v>0</v>
      </c>
      <c r="M163" s="246">
        <f t="shared" si="104"/>
        <v>0</v>
      </c>
      <c r="N163" s="121">
        <f t="shared" si="105"/>
        <v>1.0712000000000002</v>
      </c>
      <c r="O163" s="246">
        <f t="shared" si="106"/>
        <v>0.99315645514223194</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87">
        <v>32</v>
      </c>
      <c r="B164" s="242">
        <f t="shared" si="113"/>
        <v>46600</v>
      </c>
      <c r="C164" s="243">
        <f t="shared" si="94"/>
        <v>46630</v>
      </c>
      <c r="D164" s="120">
        <f t="shared" si="95"/>
        <v>31</v>
      </c>
      <c r="E164" s="120">
        <f t="shared" si="96"/>
        <v>8</v>
      </c>
      <c r="F164" s="275">
        <f t="shared" si="97"/>
        <v>46615.5</v>
      </c>
      <c r="G164" s="120">
        <f t="shared" si="98"/>
        <v>24331</v>
      </c>
      <c r="H164" s="245">
        <f t="shared" si="99"/>
        <v>1</v>
      </c>
      <c r="I164" s="121">
        <f t="shared" si="100"/>
        <v>1.0712000000000002</v>
      </c>
      <c r="J164" s="121">
        <f t="shared" si="101"/>
        <v>1.0712000000000002</v>
      </c>
      <c r="K164" s="120">
        <f t="shared" si="102"/>
        <v>0</v>
      </c>
      <c r="L164" s="120">
        <f t="shared" si="103"/>
        <v>0</v>
      </c>
      <c r="M164" s="246">
        <f t="shared" si="104"/>
        <v>0</v>
      </c>
      <c r="N164" s="121">
        <f t="shared" si="105"/>
        <v>1.0712000000000002</v>
      </c>
      <c r="O164" s="246">
        <f t="shared" si="106"/>
        <v>0.99349562363238508</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87">
        <v>33</v>
      </c>
      <c r="B165" s="242">
        <f t="shared" si="113"/>
        <v>46631</v>
      </c>
      <c r="C165" s="243">
        <f t="shared" si="94"/>
        <v>46660</v>
      </c>
      <c r="D165" s="120">
        <f t="shared" si="95"/>
        <v>30</v>
      </c>
      <c r="E165" s="120">
        <f t="shared" si="96"/>
        <v>9</v>
      </c>
      <c r="F165" s="275">
        <f t="shared" si="97"/>
        <v>46646</v>
      </c>
      <c r="G165" s="120">
        <f t="shared" si="98"/>
        <v>24332</v>
      </c>
      <c r="H165" s="245">
        <f t="shared" si="99"/>
        <v>1</v>
      </c>
      <c r="I165" s="121">
        <f t="shared" si="100"/>
        <v>1.0712000000000002</v>
      </c>
      <c r="J165" s="121">
        <f t="shared" si="101"/>
        <v>1.0712000000000002</v>
      </c>
      <c r="K165" s="120">
        <f t="shared" si="102"/>
        <v>0</v>
      </c>
      <c r="L165" s="120">
        <f t="shared" si="103"/>
        <v>0</v>
      </c>
      <c r="M165" s="246">
        <f t="shared" si="104"/>
        <v>0</v>
      </c>
      <c r="N165" s="121">
        <f t="shared" si="105"/>
        <v>1.0712000000000002</v>
      </c>
      <c r="O165" s="246">
        <f t="shared" si="106"/>
        <v>0.99382932166301974</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87">
        <v>34</v>
      </c>
      <c r="B166" s="242">
        <f t="shared" si="113"/>
        <v>46661</v>
      </c>
      <c r="C166" s="243">
        <f t="shared" si="94"/>
        <v>46691</v>
      </c>
      <c r="D166" s="120">
        <f t="shared" si="95"/>
        <v>31</v>
      </c>
      <c r="E166" s="120">
        <f t="shared" si="96"/>
        <v>10</v>
      </c>
      <c r="F166" s="275">
        <f t="shared" si="97"/>
        <v>46676.5</v>
      </c>
      <c r="G166" s="120">
        <f t="shared" si="98"/>
        <v>24333</v>
      </c>
      <c r="H166" s="245">
        <f t="shared" si="99"/>
        <v>1</v>
      </c>
      <c r="I166" s="121">
        <f t="shared" si="100"/>
        <v>1.0712000000000002</v>
      </c>
      <c r="J166" s="121">
        <f t="shared" si="101"/>
        <v>1.0712000000000002</v>
      </c>
      <c r="K166" s="120">
        <f t="shared" si="102"/>
        <v>0</v>
      </c>
      <c r="L166" s="120">
        <f t="shared" si="103"/>
        <v>0</v>
      </c>
      <c r="M166" s="246">
        <f t="shared" si="104"/>
        <v>0</v>
      </c>
      <c r="N166" s="121">
        <f t="shared" si="105"/>
        <v>1.0712000000000002</v>
      </c>
      <c r="O166" s="246">
        <f t="shared" si="106"/>
        <v>0.99416301969365428</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87">
        <v>35</v>
      </c>
      <c r="B167" s="242">
        <f t="shared" si="113"/>
        <v>46692</v>
      </c>
      <c r="C167" s="243">
        <f t="shared" si="94"/>
        <v>46721</v>
      </c>
      <c r="D167" s="120">
        <f t="shared" si="95"/>
        <v>30</v>
      </c>
      <c r="E167" s="120">
        <f t="shared" si="96"/>
        <v>11</v>
      </c>
      <c r="F167" s="275">
        <f t="shared" si="97"/>
        <v>46707</v>
      </c>
      <c r="G167" s="120">
        <f t="shared" si="98"/>
        <v>24334</v>
      </c>
      <c r="H167" s="245">
        <f t="shared" si="99"/>
        <v>1</v>
      </c>
      <c r="I167" s="121">
        <f t="shared" si="100"/>
        <v>1.0712000000000002</v>
      </c>
      <c r="J167" s="121">
        <f t="shared" si="101"/>
        <v>1.0712000000000002</v>
      </c>
      <c r="K167" s="120">
        <f t="shared" si="102"/>
        <v>0</v>
      </c>
      <c r="L167" s="120">
        <f t="shared" si="103"/>
        <v>0</v>
      </c>
      <c r="M167" s="246">
        <f t="shared" si="104"/>
        <v>0</v>
      </c>
      <c r="N167" s="121">
        <f t="shared" si="105"/>
        <v>1.0712000000000002</v>
      </c>
      <c r="O167" s="246">
        <f t="shared" si="106"/>
        <v>0.99449671772428883</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87">
        <v>36</v>
      </c>
      <c r="B168" s="242">
        <f t="shared" si="113"/>
        <v>46722</v>
      </c>
      <c r="C168" s="243">
        <f t="shared" si="94"/>
        <v>46752</v>
      </c>
      <c r="D168" s="120">
        <f t="shared" si="95"/>
        <v>31</v>
      </c>
      <c r="E168" s="120">
        <f t="shared" si="96"/>
        <v>12</v>
      </c>
      <c r="F168" s="275">
        <f t="shared" si="97"/>
        <v>46737.5</v>
      </c>
      <c r="G168" s="120">
        <f t="shared" si="98"/>
        <v>24335</v>
      </c>
      <c r="H168" s="245">
        <f t="shared" si="99"/>
        <v>1</v>
      </c>
      <c r="I168" s="121">
        <f t="shared" si="100"/>
        <v>1.0712000000000002</v>
      </c>
      <c r="J168" s="121">
        <f t="shared" si="101"/>
        <v>1.0712000000000002</v>
      </c>
      <c r="K168" s="120">
        <f t="shared" si="102"/>
        <v>0</v>
      </c>
      <c r="L168" s="120">
        <f t="shared" si="103"/>
        <v>0</v>
      </c>
      <c r="M168" s="246">
        <f t="shared" si="104"/>
        <v>0</v>
      </c>
      <c r="N168" s="121">
        <f t="shared" si="105"/>
        <v>1.0712000000000002</v>
      </c>
      <c r="O168" s="246">
        <f t="shared" si="106"/>
        <v>0.99483041575492337</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87">
        <v>37</v>
      </c>
      <c r="B169" s="242">
        <f t="shared" si="113"/>
        <v>46753</v>
      </c>
      <c r="C169" s="243">
        <f t="shared" si="94"/>
        <v>46783</v>
      </c>
      <c r="D169" s="120">
        <f t="shared" si="95"/>
        <v>31</v>
      </c>
      <c r="E169" s="120">
        <f t="shared" si="96"/>
        <v>1</v>
      </c>
      <c r="F169" s="275">
        <f t="shared" si="97"/>
        <v>46768.5</v>
      </c>
      <c r="G169" s="120">
        <f t="shared" si="98"/>
        <v>24336</v>
      </c>
      <c r="H169" s="245">
        <f t="shared" si="99"/>
        <v>1</v>
      </c>
      <c r="I169" s="121">
        <f t="shared" si="100"/>
        <v>1.0712000000000002</v>
      </c>
      <c r="J169" s="121">
        <f t="shared" si="101"/>
        <v>1.0712000000000002</v>
      </c>
      <c r="K169" s="120">
        <f t="shared" si="102"/>
        <v>0</v>
      </c>
      <c r="L169" s="120">
        <f t="shared" si="103"/>
        <v>0</v>
      </c>
      <c r="M169" s="246">
        <f t="shared" si="104"/>
        <v>0</v>
      </c>
      <c r="N169" s="121">
        <f t="shared" si="105"/>
        <v>1.0712000000000002</v>
      </c>
      <c r="O169" s="246">
        <f t="shared" si="106"/>
        <v>0.995</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87">
        <v>38</v>
      </c>
      <c r="B170" s="242">
        <f t="shared" si="113"/>
        <v>46784</v>
      </c>
      <c r="C170" s="243">
        <f t="shared" si="94"/>
        <v>46812</v>
      </c>
      <c r="D170" s="120">
        <f t="shared" si="95"/>
        <v>29</v>
      </c>
      <c r="E170" s="120">
        <f t="shared" si="96"/>
        <v>2</v>
      </c>
      <c r="F170" s="275">
        <f t="shared" si="97"/>
        <v>46798.5</v>
      </c>
      <c r="G170" s="120">
        <f t="shared" si="98"/>
        <v>24337</v>
      </c>
      <c r="H170" s="245">
        <f t="shared" si="99"/>
        <v>1</v>
      </c>
      <c r="I170" s="121">
        <f t="shared" si="100"/>
        <v>1.0712000000000002</v>
      </c>
      <c r="J170" s="121">
        <f t="shared" si="101"/>
        <v>1.0712000000000002</v>
      </c>
      <c r="K170" s="120">
        <f t="shared" si="102"/>
        <v>0</v>
      </c>
      <c r="L170" s="120">
        <f t="shared" si="103"/>
        <v>0</v>
      </c>
      <c r="M170" s="246">
        <f t="shared" si="104"/>
        <v>0</v>
      </c>
      <c r="N170" s="121">
        <f t="shared" si="105"/>
        <v>1.0712000000000002</v>
      </c>
      <c r="O170" s="246">
        <f t="shared" si="106"/>
        <v>0.995</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87">
        <v>39</v>
      </c>
      <c r="B171" s="242">
        <f t="shared" si="113"/>
        <v>46813</v>
      </c>
      <c r="C171" s="243">
        <f t="shared" si="94"/>
        <v>46843</v>
      </c>
      <c r="D171" s="120">
        <f t="shared" si="95"/>
        <v>31</v>
      </c>
      <c r="E171" s="120">
        <f t="shared" si="96"/>
        <v>3</v>
      </c>
      <c r="F171" s="275">
        <f t="shared" si="97"/>
        <v>46828.5</v>
      </c>
      <c r="G171" s="120">
        <f t="shared" si="98"/>
        <v>24338</v>
      </c>
      <c r="H171" s="245">
        <f t="shared" si="99"/>
        <v>1</v>
      </c>
      <c r="I171" s="121">
        <f t="shared" si="100"/>
        <v>1.0712000000000002</v>
      </c>
      <c r="J171" s="121">
        <f t="shared" si="101"/>
        <v>1.0712000000000002</v>
      </c>
      <c r="K171" s="120">
        <f t="shared" si="102"/>
        <v>0</v>
      </c>
      <c r="L171" s="120">
        <f t="shared" si="103"/>
        <v>0</v>
      </c>
      <c r="M171" s="246">
        <f t="shared" si="104"/>
        <v>0</v>
      </c>
      <c r="N171" s="121">
        <f t="shared" si="105"/>
        <v>1.0712000000000002</v>
      </c>
      <c r="O171" s="246">
        <f t="shared" si="106"/>
        <v>0.995</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87">
        <v>40</v>
      </c>
      <c r="B172" s="242">
        <f t="shared" si="113"/>
        <v>46844</v>
      </c>
      <c r="C172" s="243">
        <f t="shared" si="94"/>
        <v>46873</v>
      </c>
      <c r="D172" s="120">
        <f t="shared" si="95"/>
        <v>30</v>
      </c>
      <c r="E172" s="120">
        <f t="shared" si="96"/>
        <v>4</v>
      </c>
      <c r="F172" s="275">
        <f t="shared" si="97"/>
        <v>46859</v>
      </c>
      <c r="G172" s="120">
        <f t="shared" si="98"/>
        <v>24339</v>
      </c>
      <c r="H172" s="245">
        <f t="shared" si="99"/>
        <v>1</v>
      </c>
      <c r="I172" s="121">
        <f t="shared" si="100"/>
        <v>1.0712000000000002</v>
      </c>
      <c r="J172" s="121">
        <f t="shared" si="101"/>
        <v>1.0712000000000002</v>
      </c>
      <c r="K172" s="120">
        <f t="shared" si="102"/>
        <v>0</v>
      </c>
      <c r="L172" s="120">
        <f t="shared" si="103"/>
        <v>0</v>
      </c>
      <c r="M172" s="246">
        <f t="shared" si="104"/>
        <v>0</v>
      </c>
      <c r="N172" s="121">
        <f t="shared" si="105"/>
        <v>1.0712000000000002</v>
      </c>
      <c r="O172" s="246">
        <f t="shared" si="106"/>
        <v>0.995</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87">
        <v>41</v>
      </c>
      <c r="B173" s="242">
        <f t="shared" si="113"/>
        <v>46874</v>
      </c>
      <c r="C173" s="243">
        <f t="shared" si="94"/>
        <v>46904</v>
      </c>
      <c r="D173" s="120">
        <f t="shared" si="95"/>
        <v>31</v>
      </c>
      <c r="E173" s="120">
        <f t="shared" si="96"/>
        <v>5</v>
      </c>
      <c r="F173" s="275">
        <f t="shared" si="97"/>
        <v>46889.5</v>
      </c>
      <c r="G173" s="120">
        <f t="shared" si="98"/>
        <v>24340</v>
      </c>
      <c r="H173" s="245">
        <f t="shared" si="99"/>
        <v>1</v>
      </c>
      <c r="I173" s="121">
        <f t="shared" si="100"/>
        <v>1.0712000000000002</v>
      </c>
      <c r="J173" s="121">
        <f t="shared" si="101"/>
        <v>1.0712000000000002</v>
      </c>
      <c r="K173" s="120">
        <f t="shared" si="102"/>
        <v>0</v>
      </c>
      <c r="L173" s="120">
        <f t="shared" si="103"/>
        <v>0</v>
      </c>
      <c r="M173" s="246">
        <f t="shared" si="104"/>
        <v>0</v>
      </c>
      <c r="N173" s="121">
        <f t="shared" si="105"/>
        <v>1.0712000000000002</v>
      </c>
      <c r="O173" s="246">
        <f t="shared" si="106"/>
        <v>0.995</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87">
        <v>42</v>
      </c>
      <c r="B174" s="242">
        <f t="shared" si="113"/>
        <v>46905</v>
      </c>
      <c r="C174" s="243">
        <f t="shared" si="94"/>
        <v>46934</v>
      </c>
      <c r="D174" s="120">
        <f t="shared" si="95"/>
        <v>30</v>
      </c>
      <c r="E174" s="120">
        <f t="shared" si="96"/>
        <v>6</v>
      </c>
      <c r="F174" s="275">
        <f t="shared" si="97"/>
        <v>46920</v>
      </c>
      <c r="G174" s="120">
        <f t="shared" si="98"/>
        <v>24341</v>
      </c>
      <c r="H174" s="245">
        <f t="shared" si="99"/>
        <v>1</v>
      </c>
      <c r="I174" s="121">
        <f t="shared" si="100"/>
        <v>1.0712000000000002</v>
      </c>
      <c r="J174" s="121">
        <f t="shared" si="101"/>
        <v>1.0712000000000002</v>
      </c>
      <c r="K174" s="120">
        <f t="shared" si="102"/>
        <v>0</v>
      </c>
      <c r="L174" s="120">
        <f t="shared" si="103"/>
        <v>0</v>
      </c>
      <c r="M174" s="246">
        <f t="shared" si="104"/>
        <v>0</v>
      </c>
      <c r="N174" s="121">
        <f t="shared" si="105"/>
        <v>1.0712000000000002</v>
      </c>
      <c r="O174" s="246">
        <f t="shared" si="106"/>
        <v>0.995</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87">
        <v>43</v>
      </c>
      <c r="B175" s="242">
        <f t="shared" si="113"/>
        <v>46935</v>
      </c>
      <c r="C175" s="243">
        <f t="shared" si="94"/>
        <v>46965</v>
      </c>
      <c r="D175" s="120">
        <f t="shared" si="95"/>
        <v>31</v>
      </c>
      <c r="E175" s="120">
        <f t="shared" si="96"/>
        <v>7</v>
      </c>
      <c r="F175" s="275">
        <f t="shared" si="97"/>
        <v>46950.5</v>
      </c>
      <c r="G175" s="120">
        <f t="shared" si="98"/>
        <v>24342</v>
      </c>
      <c r="H175" s="245">
        <f t="shared" si="99"/>
        <v>1</v>
      </c>
      <c r="I175" s="121">
        <f t="shared" si="100"/>
        <v>1.0712000000000002</v>
      </c>
      <c r="J175" s="121">
        <f t="shared" si="101"/>
        <v>1.0712000000000002</v>
      </c>
      <c r="K175" s="120">
        <f t="shared" si="102"/>
        <v>0</v>
      </c>
      <c r="L175" s="120">
        <f t="shared" si="103"/>
        <v>0</v>
      </c>
      <c r="M175" s="246">
        <f t="shared" si="104"/>
        <v>0</v>
      </c>
      <c r="N175" s="121">
        <f t="shared" si="105"/>
        <v>1.0712000000000002</v>
      </c>
      <c r="O175" s="246">
        <f t="shared" si="106"/>
        <v>0.995</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87">
        <v>44</v>
      </c>
      <c r="B176" s="242">
        <f t="shared" si="113"/>
        <v>46966</v>
      </c>
      <c r="C176" s="243">
        <f t="shared" si="94"/>
        <v>46996</v>
      </c>
      <c r="D176" s="120">
        <f t="shared" si="95"/>
        <v>31</v>
      </c>
      <c r="E176" s="120">
        <f t="shared" si="96"/>
        <v>8</v>
      </c>
      <c r="F176" s="275">
        <f t="shared" si="97"/>
        <v>46981.5</v>
      </c>
      <c r="G176" s="120">
        <f t="shared" si="98"/>
        <v>24343</v>
      </c>
      <c r="H176" s="245">
        <f t="shared" si="99"/>
        <v>1</v>
      </c>
      <c r="I176" s="121">
        <f t="shared" si="100"/>
        <v>1.0712000000000002</v>
      </c>
      <c r="J176" s="121">
        <f t="shared" si="101"/>
        <v>1.0712000000000002</v>
      </c>
      <c r="K176" s="120">
        <f t="shared" si="102"/>
        <v>0</v>
      </c>
      <c r="L176" s="120">
        <f t="shared" si="103"/>
        <v>0</v>
      </c>
      <c r="M176" s="246">
        <f t="shared" si="104"/>
        <v>0</v>
      </c>
      <c r="N176" s="121">
        <f t="shared" si="105"/>
        <v>1.0712000000000002</v>
      </c>
      <c r="O176" s="246">
        <f t="shared" si="106"/>
        <v>0.995</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87">
        <v>45</v>
      </c>
      <c r="B177" s="242">
        <f t="shared" si="113"/>
        <v>46997</v>
      </c>
      <c r="C177" s="243">
        <f t="shared" si="94"/>
        <v>47026</v>
      </c>
      <c r="D177" s="120">
        <f t="shared" si="95"/>
        <v>30</v>
      </c>
      <c r="E177" s="120">
        <f t="shared" si="96"/>
        <v>9</v>
      </c>
      <c r="F177" s="275">
        <f t="shared" si="97"/>
        <v>47012</v>
      </c>
      <c r="G177" s="120">
        <f t="shared" si="98"/>
        <v>24344</v>
      </c>
      <c r="H177" s="245">
        <f t="shared" si="99"/>
        <v>1</v>
      </c>
      <c r="I177" s="121">
        <f t="shared" si="100"/>
        <v>1.0712000000000002</v>
      </c>
      <c r="J177" s="121">
        <f t="shared" si="101"/>
        <v>1.0712000000000002</v>
      </c>
      <c r="K177" s="120">
        <f t="shared" si="102"/>
        <v>0</v>
      </c>
      <c r="L177" s="120">
        <f t="shared" si="103"/>
        <v>0</v>
      </c>
      <c r="M177" s="246">
        <f t="shared" si="104"/>
        <v>0</v>
      </c>
      <c r="N177" s="121">
        <f t="shared" si="105"/>
        <v>1.0712000000000002</v>
      </c>
      <c r="O177" s="246">
        <f t="shared" si="106"/>
        <v>0.995</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87">
        <v>46</v>
      </c>
      <c r="B178" s="242">
        <f t="shared" si="113"/>
        <v>47027</v>
      </c>
      <c r="C178" s="243">
        <f t="shared" si="94"/>
        <v>47057</v>
      </c>
      <c r="D178" s="120">
        <f t="shared" si="95"/>
        <v>31</v>
      </c>
      <c r="E178" s="120">
        <f t="shared" si="96"/>
        <v>10</v>
      </c>
      <c r="F178" s="275">
        <f t="shared" si="97"/>
        <v>47042.5</v>
      </c>
      <c r="G178" s="120">
        <f t="shared" si="98"/>
        <v>24345</v>
      </c>
      <c r="H178" s="245">
        <f t="shared" si="99"/>
        <v>1</v>
      </c>
      <c r="I178" s="121">
        <f t="shared" si="100"/>
        <v>1.0712000000000002</v>
      </c>
      <c r="J178" s="121">
        <f t="shared" si="101"/>
        <v>1.0712000000000002</v>
      </c>
      <c r="K178" s="120">
        <f t="shared" si="102"/>
        <v>0</v>
      </c>
      <c r="L178" s="120">
        <f t="shared" si="103"/>
        <v>0</v>
      </c>
      <c r="M178" s="246">
        <f t="shared" si="104"/>
        <v>0</v>
      </c>
      <c r="N178" s="121">
        <f t="shared" si="105"/>
        <v>1.0712000000000002</v>
      </c>
      <c r="O178" s="246">
        <f t="shared" si="106"/>
        <v>0.995</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87">
        <v>47</v>
      </c>
      <c r="B179" s="242">
        <f t="shared" si="113"/>
        <v>47058</v>
      </c>
      <c r="C179" s="243">
        <f t="shared" si="94"/>
        <v>47087</v>
      </c>
      <c r="D179" s="120">
        <f t="shared" si="95"/>
        <v>30</v>
      </c>
      <c r="E179" s="120">
        <f t="shared" si="96"/>
        <v>11</v>
      </c>
      <c r="F179" s="275">
        <f t="shared" si="97"/>
        <v>47073</v>
      </c>
      <c r="G179" s="120">
        <f t="shared" si="98"/>
        <v>24346</v>
      </c>
      <c r="H179" s="245">
        <f t="shared" si="99"/>
        <v>1</v>
      </c>
      <c r="I179" s="121">
        <f t="shared" si="100"/>
        <v>1.0712000000000002</v>
      </c>
      <c r="J179" s="121">
        <f t="shared" si="101"/>
        <v>1.0712000000000002</v>
      </c>
      <c r="K179" s="120">
        <f t="shared" si="102"/>
        <v>0</v>
      </c>
      <c r="L179" s="120">
        <f t="shared" si="103"/>
        <v>0</v>
      </c>
      <c r="M179" s="246">
        <f t="shared" si="104"/>
        <v>0</v>
      </c>
      <c r="N179" s="121">
        <f t="shared" si="105"/>
        <v>1.0712000000000002</v>
      </c>
      <c r="O179" s="246">
        <f t="shared" si="106"/>
        <v>0.995</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87">
        <v>48</v>
      </c>
      <c r="B180" s="242">
        <f t="shared" si="113"/>
        <v>47088</v>
      </c>
      <c r="C180" s="243">
        <f t="shared" si="94"/>
        <v>47118</v>
      </c>
      <c r="D180" s="120">
        <f t="shared" si="95"/>
        <v>31</v>
      </c>
      <c r="E180" s="120">
        <f t="shared" si="96"/>
        <v>12</v>
      </c>
      <c r="F180" s="275">
        <f t="shared" si="97"/>
        <v>47103.5</v>
      </c>
      <c r="G180" s="120">
        <f t="shared" si="98"/>
        <v>24347</v>
      </c>
      <c r="H180" s="245">
        <f t="shared" si="99"/>
        <v>1</v>
      </c>
      <c r="I180" s="121">
        <f t="shared" si="100"/>
        <v>1.0712000000000002</v>
      </c>
      <c r="J180" s="121">
        <f t="shared" si="101"/>
        <v>1.0712000000000002</v>
      </c>
      <c r="K180" s="120">
        <f t="shared" si="102"/>
        <v>0</v>
      </c>
      <c r="L180" s="120">
        <f t="shared" si="103"/>
        <v>0</v>
      </c>
      <c r="M180" s="246">
        <f t="shared" si="104"/>
        <v>0</v>
      </c>
      <c r="N180" s="121">
        <f t="shared" si="105"/>
        <v>1.0712000000000002</v>
      </c>
      <c r="O180" s="246">
        <f t="shared" si="106"/>
        <v>0.995</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1651</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24">
        <f>SUMPRODUCT($H$133:$H$180,$Q$133:$Q$180,$O$133:$O$180)/SUMPRODUCT($H$133:$H$180,$Q$133:$Q$180)</f>
        <v>0.99099790299051793</v>
      </c>
      <c r="G181" s="224">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row>
    <row r="184" spans="1:21" x14ac:dyDescent="0.3">
      <c r="A184" s="6" t="str">
        <f>INDEX(lr_key,3)</f>
        <v>ABD|DE</v>
      </c>
      <c r="B184" s="6" t="str">
        <f>INDEX(lr_state,3)</f>
        <v>DE</v>
      </c>
      <c r="C184" s="75">
        <f>nr_TermMonths</f>
        <v>12</v>
      </c>
      <c r="D184" s="75">
        <f>IF(COUNTIF(se_state,$B184)=0,0,MATCH($B184,se_state,0))</f>
        <v>0</v>
      </c>
      <c r="E184" s="70">
        <f>IF($D184=0,0,INDEX(se_sum,$D184))</f>
        <v>0</v>
      </c>
      <c r="F184" s="224">
        <f>IF(N(INDEX(lr_mind,3))=0,1,INDEX(lr_mind,3))</f>
        <v>1</v>
      </c>
      <c r="G184" s="224">
        <f>IF(N(INDEX(lr_m0,3))=0,1,INDEX(lr_m0,3))</f>
        <v>0.99</v>
      </c>
      <c r="H184" s="74">
        <f>IF(N(INDEX(lr_m0asof,3))=0,DATE(nr_PlanYear-1,10,1),INDEX(lr_m0asof,3))</f>
        <v>46295</v>
      </c>
      <c r="I184" s="224">
        <f>IF(N(INDEX(lr_m1,3))=0,1,INDEX(lr_m1,3))</f>
        <v>1.01</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114">EOMONTH($B187,0)</f>
        <v>45688</v>
      </c>
      <c r="D187" s="120">
        <f t="shared" ref="D187:D234" si="115">$C187-$B187+1</f>
        <v>31</v>
      </c>
      <c r="E187" s="120">
        <f t="shared" ref="E187:E234" si="116">MONTH($B187)</f>
        <v>1</v>
      </c>
      <c r="F187" s="275">
        <f t="shared" ref="F187:F234" si="117">($B187+$C187+1)/2</f>
        <v>45673.5</v>
      </c>
      <c r="G187" s="120">
        <f t="shared" ref="G187:G234" si="118">YEAR($B187)*12+MONTH($B187)-1</f>
        <v>24300</v>
      </c>
      <c r="H187" s="245">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46">
        <f t="shared" ref="M187:M234" si="124">IF($K187=0,0,MIN(1,$L187/$D187))</f>
        <v>0</v>
      </c>
      <c r="N187" s="121">
        <f t="shared" ref="N187:N234" si="125">IF($K187=0,$J187,(1-$M187)*$I187+$M187*$J187)</f>
        <v>1</v>
      </c>
      <c r="O187" s="246">
        <f t="shared" ref="O187:O234" si="126">IF($F187&lt;$B$185,$E$185+$I$185*($F187-$A$185),IF($F187&lt;$C$185,$F$185+$J$185*($F187-$B$185),$G$185+$K$185*($F187-$C$185)))</f>
        <v>0.96275711159737409</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87">
        <v>2</v>
      </c>
      <c r="B188" s="242">
        <f t="shared" ref="B188:B234" si="133">EDATE($B187,1)</f>
        <v>45689</v>
      </c>
      <c r="C188" s="243">
        <f t="shared" si="114"/>
        <v>45716</v>
      </c>
      <c r="D188" s="120">
        <f t="shared" si="115"/>
        <v>28</v>
      </c>
      <c r="E188" s="120">
        <f t="shared" si="116"/>
        <v>2</v>
      </c>
      <c r="F188" s="275">
        <f t="shared" si="117"/>
        <v>45703</v>
      </c>
      <c r="G188" s="120">
        <f t="shared" si="118"/>
        <v>24301</v>
      </c>
      <c r="H188" s="245">
        <f t="shared" si="119"/>
        <v>1</v>
      </c>
      <c r="I188" s="121">
        <f t="shared" si="120"/>
        <v>1</v>
      </c>
      <c r="J188" s="121">
        <f t="shared" si="121"/>
        <v>1</v>
      </c>
      <c r="K188" s="120">
        <f t="shared" si="122"/>
        <v>0</v>
      </c>
      <c r="L188" s="120">
        <f t="shared" si="123"/>
        <v>0</v>
      </c>
      <c r="M188" s="246">
        <f t="shared" si="124"/>
        <v>0</v>
      </c>
      <c r="N188" s="121">
        <f t="shared" si="125"/>
        <v>1</v>
      </c>
      <c r="O188" s="246">
        <f t="shared" si="126"/>
        <v>0.9640481400437636</v>
      </c>
      <c r="P188" s="121">
        <f t="shared" si="127"/>
        <v>0.125</v>
      </c>
      <c r="Q188" s="121">
        <f t="shared" si="128"/>
        <v>0</v>
      </c>
      <c r="R188" s="121">
        <f t="shared" si="129"/>
        <v>0</v>
      </c>
      <c r="S188" s="121" t="str">
        <f t="shared" si="130"/>
        <v/>
      </c>
      <c r="T188" s="121" t="str">
        <f t="shared" si="131"/>
        <v/>
      </c>
      <c r="U188" s="121">
        <f t="shared" si="132"/>
        <v>1</v>
      </c>
    </row>
    <row r="189" spans="1:21" x14ac:dyDescent="0.3">
      <c r="A189" s="187">
        <v>3</v>
      </c>
      <c r="B189" s="242">
        <f t="shared" si="133"/>
        <v>45717</v>
      </c>
      <c r="C189" s="243">
        <f t="shared" si="114"/>
        <v>45747</v>
      </c>
      <c r="D189" s="120">
        <f t="shared" si="115"/>
        <v>31</v>
      </c>
      <c r="E189" s="120">
        <f t="shared" si="116"/>
        <v>3</v>
      </c>
      <c r="F189" s="275">
        <f t="shared" si="117"/>
        <v>45732.5</v>
      </c>
      <c r="G189" s="120">
        <f t="shared" si="118"/>
        <v>24302</v>
      </c>
      <c r="H189" s="245">
        <f t="shared" si="119"/>
        <v>1</v>
      </c>
      <c r="I189" s="121">
        <f t="shared" si="120"/>
        <v>1</v>
      </c>
      <c r="J189" s="121">
        <f t="shared" si="121"/>
        <v>1</v>
      </c>
      <c r="K189" s="120">
        <f t="shared" si="122"/>
        <v>0</v>
      </c>
      <c r="L189" s="120">
        <f t="shared" si="123"/>
        <v>0</v>
      </c>
      <c r="M189" s="246">
        <f t="shared" si="124"/>
        <v>0</v>
      </c>
      <c r="N189" s="121">
        <f t="shared" si="125"/>
        <v>1</v>
      </c>
      <c r="O189" s="246">
        <f t="shared" si="126"/>
        <v>0.96533916849015311</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87">
        <v>4</v>
      </c>
      <c r="B190" s="242">
        <f t="shared" si="133"/>
        <v>45748</v>
      </c>
      <c r="C190" s="243">
        <f t="shared" si="114"/>
        <v>45777</v>
      </c>
      <c r="D190" s="120">
        <f t="shared" si="115"/>
        <v>30</v>
      </c>
      <c r="E190" s="120">
        <f t="shared" si="116"/>
        <v>4</v>
      </c>
      <c r="F190" s="275">
        <f t="shared" si="117"/>
        <v>45763</v>
      </c>
      <c r="G190" s="120">
        <f t="shared" si="118"/>
        <v>24303</v>
      </c>
      <c r="H190" s="245">
        <f t="shared" si="119"/>
        <v>1</v>
      </c>
      <c r="I190" s="121">
        <f t="shared" si="120"/>
        <v>1</v>
      </c>
      <c r="J190" s="121">
        <f t="shared" si="121"/>
        <v>1</v>
      </c>
      <c r="K190" s="120">
        <f t="shared" si="122"/>
        <v>0</v>
      </c>
      <c r="L190" s="120">
        <f t="shared" si="123"/>
        <v>0</v>
      </c>
      <c r="M190" s="246">
        <f t="shared" si="124"/>
        <v>0</v>
      </c>
      <c r="N190" s="121">
        <f t="shared" si="125"/>
        <v>1</v>
      </c>
      <c r="O190" s="246">
        <f t="shared" si="126"/>
        <v>0.9666739606126914</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87">
        <v>5</v>
      </c>
      <c r="B191" s="242">
        <f t="shared" si="133"/>
        <v>45778</v>
      </c>
      <c r="C191" s="243">
        <f t="shared" si="114"/>
        <v>45808</v>
      </c>
      <c r="D191" s="120">
        <f t="shared" si="115"/>
        <v>31</v>
      </c>
      <c r="E191" s="120">
        <f t="shared" si="116"/>
        <v>5</v>
      </c>
      <c r="F191" s="275">
        <f t="shared" si="117"/>
        <v>45793.5</v>
      </c>
      <c r="G191" s="120">
        <f t="shared" si="118"/>
        <v>24304</v>
      </c>
      <c r="H191" s="245">
        <f t="shared" si="119"/>
        <v>1</v>
      </c>
      <c r="I191" s="121">
        <f t="shared" si="120"/>
        <v>1</v>
      </c>
      <c r="J191" s="121">
        <f t="shared" si="121"/>
        <v>1</v>
      </c>
      <c r="K191" s="120">
        <f t="shared" si="122"/>
        <v>0</v>
      </c>
      <c r="L191" s="120">
        <f t="shared" si="123"/>
        <v>0</v>
      </c>
      <c r="M191" s="246">
        <f t="shared" si="124"/>
        <v>0</v>
      </c>
      <c r="N191" s="121">
        <f t="shared" si="125"/>
        <v>1</v>
      </c>
      <c r="O191" s="246">
        <f t="shared" si="126"/>
        <v>0.96800875273522968</v>
      </c>
      <c r="P191" s="121">
        <f t="shared" si="127"/>
        <v>0.375</v>
      </c>
      <c r="Q191" s="121">
        <f t="shared" si="128"/>
        <v>0</v>
      </c>
      <c r="R191" s="121">
        <f t="shared" si="129"/>
        <v>0</v>
      </c>
      <c r="S191" s="121" t="str">
        <f t="shared" si="130"/>
        <v/>
      </c>
      <c r="T191" s="121" t="str">
        <f t="shared" si="131"/>
        <v/>
      </c>
      <c r="U191" s="121">
        <f t="shared" si="132"/>
        <v>1</v>
      </c>
    </row>
    <row r="192" spans="1:21" x14ac:dyDescent="0.3">
      <c r="A192" s="187">
        <v>6</v>
      </c>
      <c r="B192" s="242">
        <f t="shared" si="133"/>
        <v>45809</v>
      </c>
      <c r="C192" s="243">
        <f t="shared" si="114"/>
        <v>45838</v>
      </c>
      <c r="D192" s="120">
        <f t="shared" si="115"/>
        <v>30</v>
      </c>
      <c r="E192" s="120">
        <f t="shared" si="116"/>
        <v>6</v>
      </c>
      <c r="F192" s="275">
        <f t="shared" si="117"/>
        <v>45824</v>
      </c>
      <c r="G192" s="120">
        <f t="shared" si="118"/>
        <v>24305</v>
      </c>
      <c r="H192" s="245">
        <f t="shared" si="119"/>
        <v>1</v>
      </c>
      <c r="I192" s="121">
        <f t="shared" si="120"/>
        <v>1</v>
      </c>
      <c r="J192" s="121">
        <f t="shared" si="121"/>
        <v>1</v>
      </c>
      <c r="K192" s="120">
        <f t="shared" si="122"/>
        <v>0</v>
      </c>
      <c r="L192" s="120">
        <f t="shared" si="123"/>
        <v>0</v>
      </c>
      <c r="M192" s="246">
        <f t="shared" si="124"/>
        <v>0</v>
      </c>
      <c r="N192" s="121">
        <f t="shared" si="125"/>
        <v>1</v>
      </c>
      <c r="O192" s="246">
        <f t="shared" si="126"/>
        <v>0.96934354485776797</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87">
        <v>7</v>
      </c>
      <c r="B193" s="242">
        <f t="shared" si="133"/>
        <v>45839</v>
      </c>
      <c r="C193" s="243">
        <f t="shared" si="114"/>
        <v>45869</v>
      </c>
      <c r="D193" s="120">
        <f t="shared" si="115"/>
        <v>31</v>
      </c>
      <c r="E193" s="120">
        <f t="shared" si="116"/>
        <v>7</v>
      </c>
      <c r="F193" s="275">
        <f t="shared" si="117"/>
        <v>45854.5</v>
      </c>
      <c r="G193" s="120">
        <f t="shared" si="118"/>
        <v>24306</v>
      </c>
      <c r="H193" s="245">
        <f t="shared" si="119"/>
        <v>1</v>
      </c>
      <c r="I193" s="121">
        <f t="shared" si="120"/>
        <v>1</v>
      </c>
      <c r="J193" s="121">
        <f t="shared" si="121"/>
        <v>1</v>
      </c>
      <c r="K193" s="120">
        <f t="shared" si="122"/>
        <v>0</v>
      </c>
      <c r="L193" s="120">
        <f t="shared" si="123"/>
        <v>0</v>
      </c>
      <c r="M193" s="246">
        <f t="shared" si="124"/>
        <v>0</v>
      </c>
      <c r="N193" s="121">
        <f t="shared" si="125"/>
        <v>1</v>
      </c>
      <c r="O193" s="246">
        <f t="shared" si="126"/>
        <v>0.97067833698030626</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87">
        <v>8</v>
      </c>
      <c r="B194" s="242">
        <f t="shared" si="133"/>
        <v>45870</v>
      </c>
      <c r="C194" s="243">
        <f t="shared" si="114"/>
        <v>45900</v>
      </c>
      <c r="D194" s="120">
        <f t="shared" si="115"/>
        <v>31</v>
      </c>
      <c r="E194" s="120">
        <f t="shared" si="116"/>
        <v>8</v>
      </c>
      <c r="F194" s="275">
        <f t="shared" si="117"/>
        <v>45885.5</v>
      </c>
      <c r="G194" s="120">
        <f t="shared" si="118"/>
        <v>24307</v>
      </c>
      <c r="H194" s="245">
        <f t="shared" si="119"/>
        <v>1</v>
      </c>
      <c r="I194" s="121">
        <f t="shared" si="120"/>
        <v>1</v>
      </c>
      <c r="J194" s="121">
        <f t="shared" si="121"/>
        <v>1</v>
      </c>
      <c r="K194" s="120">
        <f t="shared" si="122"/>
        <v>0</v>
      </c>
      <c r="L194" s="120">
        <f t="shared" si="123"/>
        <v>0</v>
      </c>
      <c r="M194" s="246">
        <f t="shared" si="124"/>
        <v>0</v>
      </c>
      <c r="N194" s="121">
        <f t="shared" si="125"/>
        <v>1</v>
      </c>
      <c r="O194" s="246">
        <f t="shared" si="126"/>
        <v>0.97203501094091893</v>
      </c>
      <c r="P194" s="121">
        <f t="shared" si="127"/>
        <v>0.625</v>
      </c>
      <c r="Q194" s="121">
        <f t="shared" si="128"/>
        <v>0</v>
      </c>
      <c r="R194" s="121">
        <f t="shared" si="129"/>
        <v>0</v>
      </c>
      <c r="S194" s="121" t="str">
        <f t="shared" si="130"/>
        <v/>
      </c>
      <c r="T194" s="121" t="str">
        <f t="shared" si="131"/>
        <v/>
      </c>
      <c r="U194" s="121">
        <f t="shared" si="132"/>
        <v>1</v>
      </c>
    </row>
    <row r="195" spans="1:21" x14ac:dyDescent="0.3">
      <c r="A195" s="187">
        <v>9</v>
      </c>
      <c r="B195" s="242">
        <f t="shared" si="133"/>
        <v>45901</v>
      </c>
      <c r="C195" s="243">
        <f t="shared" si="114"/>
        <v>45930</v>
      </c>
      <c r="D195" s="120">
        <f t="shared" si="115"/>
        <v>30</v>
      </c>
      <c r="E195" s="120">
        <f t="shared" si="116"/>
        <v>9</v>
      </c>
      <c r="F195" s="275">
        <f t="shared" si="117"/>
        <v>45916</v>
      </c>
      <c r="G195" s="120">
        <f t="shared" si="118"/>
        <v>24308</v>
      </c>
      <c r="H195" s="245">
        <f t="shared" si="119"/>
        <v>1</v>
      </c>
      <c r="I195" s="121">
        <f t="shared" si="120"/>
        <v>1</v>
      </c>
      <c r="J195" s="121">
        <f t="shared" si="121"/>
        <v>1</v>
      </c>
      <c r="K195" s="120">
        <f t="shared" si="122"/>
        <v>0</v>
      </c>
      <c r="L195" s="120">
        <f t="shared" si="123"/>
        <v>0</v>
      </c>
      <c r="M195" s="246">
        <f t="shared" si="124"/>
        <v>0</v>
      </c>
      <c r="N195" s="121">
        <f t="shared" si="125"/>
        <v>1</v>
      </c>
      <c r="O195" s="246">
        <f t="shared" si="126"/>
        <v>0.97336980306345722</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87">
        <v>10</v>
      </c>
      <c r="B196" s="242">
        <f t="shared" si="133"/>
        <v>45931</v>
      </c>
      <c r="C196" s="243">
        <f t="shared" si="114"/>
        <v>45961</v>
      </c>
      <c r="D196" s="120">
        <f t="shared" si="115"/>
        <v>31</v>
      </c>
      <c r="E196" s="120">
        <f t="shared" si="116"/>
        <v>10</v>
      </c>
      <c r="F196" s="275">
        <f t="shared" si="117"/>
        <v>45946.5</v>
      </c>
      <c r="G196" s="120">
        <f t="shared" si="118"/>
        <v>24309</v>
      </c>
      <c r="H196" s="245">
        <f t="shared" si="119"/>
        <v>1</v>
      </c>
      <c r="I196" s="121">
        <f t="shared" si="120"/>
        <v>1</v>
      </c>
      <c r="J196" s="121">
        <f t="shared" si="121"/>
        <v>1</v>
      </c>
      <c r="K196" s="120">
        <f t="shared" si="122"/>
        <v>0</v>
      </c>
      <c r="L196" s="120">
        <f t="shared" si="123"/>
        <v>0</v>
      </c>
      <c r="M196" s="246">
        <f t="shared" si="124"/>
        <v>0</v>
      </c>
      <c r="N196" s="121">
        <f t="shared" si="125"/>
        <v>1</v>
      </c>
      <c r="O196" s="246">
        <f t="shared" si="126"/>
        <v>0.97470459518599561</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87">
        <v>11</v>
      </c>
      <c r="B197" s="242">
        <f t="shared" si="133"/>
        <v>45962</v>
      </c>
      <c r="C197" s="243">
        <f t="shared" si="114"/>
        <v>45991</v>
      </c>
      <c r="D197" s="120">
        <f t="shared" si="115"/>
        <v>30</v>
      </c>
      <c r="E197" s="120">
        <f t="shared" si="116"/>
        <v>11</v>
      </c>
      <c r="F197" s="275">
        <f t="shared" si="117"/>
        <v>45977</v>
      </c>
      <c r="G197" s="120">
        <f t="shared" si="118"/>
        <v>24310</v>
      </c>
      <c r="H197" s="245">
        <f t="shared" si="119"/>
        <v>1</v>
      </c>
      <c r="I197" s="121">
        <f t="shared" si="120"/>
        <v>1</v>
      </c>
      <c r="J197" s="121">
        <f t="shared" si="121"/>
        <v>1</v>
      </c>
      <c r="K197" s="120">
        <f t="shared" si="122"/>
        <v>0</v>
      </c>
      <c r="L197" s="120">
        <f t="shared" si="123"/>
        <v>0</v>
      </c>
      <c r="M197" s="246">
        <f t="shared" si="124"/>
        <v>0</v>
      </c>
      <c r="N197" s="121">
        <f t="shared" si="125"/>
        <v>1</v>
      </c>
      <c r="O197" s="246">
        <f t="shared" si="126"/>
        <v>0.9760393873085339</v>
      </c>
      <c r="P197" s="121">
        <f t="shared" si="127"/>
        <v>0.875</v>
      </c>
      <c r="Q197" s="121">
        <f t="shared" si="128"/>
        <v>0</v>
      </c>
      <c r="R197" s="121">
        <f t="shared" si="129"/>
        <v>0</v>
      </c>
      <c r="S197" s="121" t="str">
        <f t="shared" si="130"/>
        <v/>
      </c>
      <c r="T197" s="121" t="str">
        <f t="shared" si="131"/>
        <v/>
      </c>
      <c r="U197" s="121">
        <f t="shared" si="132"/>
        <v>1</v>
      </c>
    </row>
    <row r="198" spans="1:21" x14ac:dyDescent="0.3">
      <c r="A198" s="187">
        <v>12</v>
      </c>
      <c r="B198" s="242">
        <f t="shared" si="133"/>
        <v>45992</v>
      </c>
      <c r="C198" s="243">
        <f t="shared" si="114"/>
        <v>46022</v>
      </c>
      <c r="D198" s="120">
        <f t="shared" si="115"/>
        <v>31</v>
      </c>
      <c r="E198" s="120">
        <f t="shared" si="116"/>
        <v>12</v>
      </c>
      <c r="F198" s="275">
        <f t="shared" si="117"/>
        <v>46007.5</v>
      </c>
      <c r="G198" s="120">
        <f t="shared" si="118"/>
        <v>24311</v>
      </c>
      <c r="H198" s="245">
        <f t="shared" si="119"/>
        <v>1</v>
      </c>
      <c r="I198" s="121">
        <f t="shared" si="120"/>
        <v>1</v>
      </c>
      <c r="J198" s="121">
        <f t="shared" si="121"/>
        <v>1</v>
      </c>
      <c r="K198" s="120">
        <f t="shared" si="122"/>
        <v>0</v>
      </c>
      <c r="L198" s="120">
        <f t="shared" si="123"/>
        <v>0</v>
      </c>
      <c r="M198" s="246">
        <f t="shared" si="124"/>
        <v>0</v>
      </c>
      <c r="N198" s="121">
        <f t="shared" si="125"/>
        <v>1</v>
      </c>
      <c r="O198" s="246">
        <f t="shared" si="126"/>
        <v>0.97737417943107219</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87">
        <v>13</v>
      </c>
      <c r="B199" s="242">
        <f t="shared" si="133"/>
        <v>46023</v>
      </c>
      <c r="C199" s="243">
        <f t="shared" si="114"/>
        <v>46053</v>
      </c>
      <c r="D199" s="120">
        <f t="shared" si="115"/>
        <v>31</v>
      </c>
      <c r="E199" s="120">
        <f t="shared" si="116"/>
        <v>1</v>
      </c>
      <c r="F199" s="275">
        <f t="shared" si="117"/>
        <v>46038.5</v>
      </c>
      <c r="G199" s="120">
        <f t="shared" si="118"/>
        <v>24312</v>
      </c>
      <c r="H199" s="245">
        <f t="shared" si="119"/>
        <v>1</v>
      </c>
      <c r="I199" s="121">
        <f t="shared" si="120"/>
        <v>1</v>
      </c>
      <c r="J199" s="121">
        <f t="shared" si="121"/>
        <v>1</v>
      </c>
      <c r="K199" s="120">
        <f t="shared" si="122"/>
        <v>0</v>
      </c>
      <c r="L199" s="120">
        <f t="shared" si="123"/>
        <v>0</v>
      </c>
      <c r="M199" s="246">
        <f t="shared" si="124"/>
        <v>0</v>
      </c>
      <c r="N199" s="121">
        <f t="shared" si="125"/>
        <v>1</v>
      </c>
      <c r="O199" s="246">
        <f t="shared" si="126"/>
        <v>0.97873085339168486</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87">
        <v>14</v>
      </c>
      <c r="B200" s="242">
        <f t="shared" si="133"/>
        <v>46054</v>
      </c>
      <c r="C200" s="243">
        <f t="shared" si="114"/>
        <v>46081</v>
      </c>
      <c r="D200" s="120">
        <f t="shared" si="115"/>
        <v>28</v>
      </c>
      <c r="E200" s="120">
        <f t="shared" si="116"/>
        <v>2</v>
      </c>
      <c r="F200" s="275">
        <f t="shared" si="117"/>
        <v>46068</v>
      </c>
      <c r="G200" s="120">
        <f t="shared" si="118"/>
        <v>24313</v>
      </c>
      <c r="H200" s="245">
        <f t="shared" si="119"/>
        <v>1</v>
      </c>
      <c r="I200" s="121">
        <f t="shared" si="120"/>
        <v>1</v>
      </c>
      <c r="J200" s="121">
        <f t="shared" si="121"/>
        <v>1</v>
      </c>
      <c r="K200" s="120">
        <f t="shared" si="122"/>
        <v>0</v>
      </c>
      <c r="L200" s="120">
        <f t="shared" si="123"/>
        <v>0</v>
      </c>
      <c r="M200" s="246">
        <f t="shared" si="124"/>
        <v>0</v>
      </c>
      <c r="N200" s="121">
        <f t="shared" si="125"/>
        <v>1</v>
      </c>
      <c r="O200" s="246">
        <f t="shared" si="126"/>
        <v>0.98002188183807437</v>
      </c>
      <c r="P200" s="121">
        <f t="shared" si="127"/>
        <v>0.875</v>
      </c>
      <c r="Q200" s="121">
        <f t="shared" si="128"/>
        <v>0.125</v>
      </c>
      <c r="R200" s="121">
        <f t="shared" si="129"/>
        <v>0</v>
      </c>
      <c r="S200" s="121" t="str">
        <f t="shared" si="130"/>
        <v/>
      </c>
      <c r="T200" s="121" t="str">
        <f t="shared" si="131"/>
        <v/>
      </c>
      <c r="U200" s="121">
        <f t="shared" si="132"/>
        <v>1</v>
      </c>
    </row>
    <row r="201" spans="1:21" x14ac:dyDescent="0.3">
      <c r="A201" s="187">
        <v>15</v>
      </c>
      <c r="B201" s="242">
        <f t="shared" si="133"/>
        <v>46082</v>
      </c>
      <c r="C201" s="243">
        <f t="shared" si="114"/>
        <v>46112</v>
      </c>
      <c r="D201" s="120">
        <f t="shared" si="115"/>
        <v>31</v>
      </c>
      <c r="E201" s="120">
        <f t="shared" si="116"/>
        <v>3</v>
      </c>
      <c r="F201" s="275">
        <f t="shared" si="117"/>
        <v>46097.5</v>
      </c>
      <c r="G201" s="120">
        <f t="shared" si="118"/>
        <v>24314</v>
      </c>
      <c r="H201" s="245">
        <f t="shared" si="119"/>
        <v>1</v>
      </c>
      <c r="I201" s="121">
        <f t="shared" si="120"/>
        <v>1</v>
      </c>
      <c r="J201" s="121">
        <f t="shared" si="121"/>
        <v>1</v>
      </c>
      <c r="K201" s="120">
        <f t="shared" si="122"/>
        <v>0</v>
      </c>
      <c r="L201" s="120">
        <f t="shared" si="123"/>
        <v>0</v>
      </c>
      <c r="M201" s="246">
        <f t="shared" si="124"/>
        <v>0</v>
      </c>
      <c r="N201" s="121">
        <f t="shared" si="125"/>
        <v>1</v>
      </c>
      <c r="O201" s="246">
        <f t="shared" si="126"/>
        <v>0.98131291028446388</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87">
        <v>16</v>
      </c>
      <c r="B202" s="242">
        <f t="shared" si="133"/>
        <v>46113</v>
      </c>
      <c r="C202" s="243">
        <f t="shared" si="114"/>
        <v>46142</v>
      </c>
      <c r="D202" s="120">
        <f t="shared" si="115"/>
        <v>30</v>
      </c>
      <c r="E202" s="120">
        <f t="shared" si="116"/>
        <v>4</v>
      </c>
      <c r="F202" s="275">
        <f t="shared" si="117"/>
        <v>46128</v>
      </c>
      <c r="G202" s="120">
        <f t="shared" si="118"/>
        <v>24315</v>
      </c>
      <c r="H202" s="245">
        <f t="shared" si="119"/>
        <v>1</v>
      </c>
      <c r="I202" s="121">
        <f t="shared" si="120"/>
        <v>1</v>
      </c>
      <c r="J202" s="121">
        <f t="shared" si="121"/>
        <v>1</v>
      </c>
      <c r="K202" s="120">
        <f t="shared" si="122"/>
        <v>0</v>
      </c>
      <c r="L202" s="120">
        <f t="shared" si="123"/>
        <v>0</v>
      </c>
      <c r="M202" s="246">
        <f t="shared" si="124"/>
        <v>0</v>
      </c>
      <c r="N202" s="121">
        <f t="shared" si="125"/>
        <v>1</v>
      </c>
      <c r="O202" s="246">
        <f t="shared" si="126"/>
        <v>0.98264770240700217</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87">
        <v>17</v>
      </c>
      <c r="B203" s="242">
        <f t="shared" si="133"/>
        <v>46143</v>
      </c>
      <c r="C203" s="243">
        <f t="shared" si="114"/>
        <v>46173</v>
      </c>
      <c r="D203" s="120">
        <f t="shared" si="115"/>
        <v>31</v>
      </c>
      <c r="E203" s="120">
        <f t="shared" si="116"/>
        <v>5</v>
      </c>
      <c r="F203" s="275">
        <f t="shared" si="117"/>
        <v>46158.5</v>
      </c>
      <c r="G203" s="120">
        <f t="shared" si="118"/>
        <v>24316</v>
      </c>
      <c r="H203" s="245">
        <f t="shared" si="119"/>
        <v>1</v>
      </c>
      <c r="I203" s="121">
        <f t="shared" si="120"/>
        <v>1</v>
      </c>
      <c r="J203" s="121">
        <f t="shared" si="121"/>
        <v>1</v>
      </c>
      <c r="K203" s="120">
        <f t="shared" si="122"/>
        <v>0</v>
      </c>
      <c r="L203" s="120">
        <f t="shared" si="123"/>
        <v>0</v>
      </c>
      <c r="M203" s="246">
        <f t="shared" si="124"/>
        <v>0</v>
      </c>
      <c r="N203" s="121">
        <f t="shared" si="125"/>
        <v>1</v>
      </c>
      <c r="O203" s="246">
        <f t="shared" si="126"/>
        <v>0.98398249452954045</v>
      </c>
      <c r="P203" s="121">
        <f t="shared" si="127"/>
        <v>0.625</v>
      </c>
      <c r="Q203" s="121">
        <f t="shared" si="128"/>
        <v>0.375</v>
      </c>
      <c r="R203" s="121">
        <f t="shared" si="129"/>
        <v>0</v>
      </c>
      <c r="S203" s="121" t="str">
        <f t="shared" si="130"/>
        <v/>
      </c>
      <c r="T203" s="121" t="str">
        <f t="shared" si="131"/>
        <v/>
      </c>
      <c r="U203" s="121">
        <f t="shared" si="132"/>
        <v>1</v>
      </c>
    </row>
    <row r="204" spans="1:21" x14ac:dyDescent="0.3">
      <c r="A204" s="187">
        <v>18</v>
      </c>
      <c r="B204" s="242">
        <f t="shared" si="133"/>
        <v>46174</v>
      </c>
      <c r="C204" s="243">
        <f t="shared" si="114"/>
        <v>46203</v>
      </c>
      <c r="D204" s="120">
        <f t="shared" si="115"/>
        <v>30</v>
      </c>
      <c r="E204" s="120">
        <f t="shared" si="116"/>
        <v>6</v>
      </c>
      <c r="F204" s="275">
        <f t="shared" si="117"/>
        <v>46189</v>
      </c>
      <c r="G204" s="120">
        <f t="shared" si="118"/>
        <v>24317</v>
      </c>
      <c r="H204" s="245">
        <f t="shared" si="119"/>
        <v>1</v>
      </c>
      <c r="I204" s="121">
        <f t="shared" si="120"/>
        <v>1</v>
      </c>
      <c r="J204" s="121">
        <f t="shared" si="121"/>
        <v>1</v>
      </c>
      <c r="K204" s="120">
        <f t="shared" si="122"/>
        <v>0</v>
      </c>
      <c r="L204" s="120">
        <f t="shared" si="123"/>
        <v>0</v>
      </c>
      <c r="M204" s="246">
        <f t="shared" si="124"/>
        <v>0</v>
      </c>
      <c r="N204" s="121">
        <f t="shared" si="125"/>
        <v>1</v>
      </c>
      <c r="O204" s="246">
        <f t="shared" si="126"/>
        <v>0.98531728665207874</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87">
        <v>19</v>
      </c>
      <c r="B205" s="242">
        <f t="shared" si="133"/>
        <v>46204</v>
      </c>
      <c r="C205" s="243">
        <f t="shared" si="114"/>
        <v>46234</v>
      </c>
      <c r="D205" s="120">
        <f t="shared" si="115"/>
        <v>31</v>
      </c>
      <c r="E205" s="120">
        <f t="shared" si="116"/>
        <v>7</v>
      </c>
      <c r="F205" s="275">
        <f t="shared" si="117"/>
        <v>46219.5</v>
      </c>
      <c r="G205" s="120">
        <f t="shared" si="118"/>
        <v>24318</v>
      </c>
      <c r="H205" s="245">
        <f t="shared" si="119"/>
        <v>1</v>
      </c>
      <c r="I205" s="121">
        <f t="shared" si="120"/>
        <v>1</v>
      </c>
      <c r="J205" s="121">
        <f t="shared" si="121"/>
        <v>1</v>
      </c>
      <c r="K205" s="120">
        <f t="shared" si="122"/>
        <v>0</v>
      </c>
      <c r="L205" s="120">
        <f t="shared" si="123"/>
        <v>0</v>
      </c>
      <c r="M205" s="246">
        <f t="shared" si="124"/>
        <v>0</v>
      </c>
      <c r="N205" s="121">
        <f t="shared" si="125"/>
        <v>1</v>
      </c>
      <c r="O205" s="246">
        <f t="shared" si="126"/>
        <v>0.98665207877461703</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87">
        <v>20</v>
      </c>
      <c r="B206" s="242">
        <f t="shared" si="133"/>
        <v>46235</v>
      </c>
      <c r="C206" s="243">
        <f t="shared" si="114"/>
        <v>46265</v>
      </c>
      <c r="D206" s="120">
        <f t="shared" si="115"/>
        <v>31</v>
      </c>
      <c r="E206" s="120">
        <f t="shared" si="116"/>
        <v>8</v>
      </c>
      <c r="F206" s="275">
        <f t="shared" si="117"/>
        <v>46250.5</v>
      </c>
      <c r="G206" s="120">
        <f t="shared" si="118"/>
        <v>24319</v>
      </c>
      <c r="H206" s="245">
        <f t="shared" si="119"/>
        <v>1</v>
      </c>
      <c r="I206" s="121">
        <f t="shared" si="120"/>
        <v>1</v>
      </c>
      <c r="J206" s="121">
        <f t="shared" si="121"/>
        <v>1</v>
      </c>
      <c r="K206" s="120">
        <f t="shared" si="122"/>
        <v>0</v>
      </c>
      <c r="L206" s="120">
        <f t="shared" si="123"/>
        <v>0</v>
      </c>
      <c r="M206" s="246">
        <f t="shared" si="124"/>
        <v>0</v>
      </c>
      <c r="N206" s="121">
        <f t="shared" si="125"/>
        <v>1</v>
      </c>
      <c r="O206" s="246">
        <f t="shared" si="126"/>
        <v>0.9880087527352297</v>
      </c>
      <c r="P206" s="121">
        <f t="shared" si="127"/>
        <v>0.375</v>
      </c>
      <c r="Q206" s="121">
        <f t="shared" si="128"/>
        <v>0.625</v>
      </c>
      <c r="R206" s="121">
        <f t="shared" si="129"/>
        <v>0</v>
      </c>
      <c r="S206" s="121" t="str">
        <f t="shared" si="130"/>
        <v/>
      </c>
      <c r="T206" s="121" t="str">
        <f t="shared" si="131"/>
        <v/>
      </c>
      <c r="U206" s="121">
        <f t="shared" si="132"/>
        <v>1</v>
      </c>
    </row>
    <row r="207" spans="1:21" x14ac:dyDescent="0.3">
      <c r="A207" s="187">
        <v>21</v>
      </c>
      <c r="B207" s="242">
        <f t="shared" si="133"/>
        <v>46266</v>
      </c>
      <c r="C207" s="243">
        <f t="shared" si="114"/>
        <v>46295</v>
      </c>
      <c r="D207" s="120">
        <f t="shared" si="115"/>
        <v>30</v>
      </c>
      <c r="E207" s="120">
        <f t="shared" si="116"/>
        <v>9</v>
      </c>
      <c r="F207" s="275">
        <f t="shared" si="117"/>
        <v>46281</v>
      </c>
      <c r="G207" s="120">
        <f t="shared" si="118"/>
        <v>24320</v>
      </c>
      <c r="H207" s="245">
        <f t="shared" si="119"/>
        <v>1</v>
      </c>
      <c r="I207" s="121">
        <f t="shared" si="120"/>
        <v>1</v>
      </c>
      <c r="J207" s="121">
        <f t="shared" si="121"/>
        <v>1</v>
      </c>
      <c r="K207" s="120">
        <f t="shared" si="122"/>
        <v>0</v>
      </c>
      <c r="L207" s="120">
        <f t="shared" si="123"/>
        <v>0</v>
      </c>
      <c r="M207" s="246">
        <f t="shared" si="124"/>
        <v>0</v>
      </c>
      <c r="N207" s="121">
        <f t="shared" si="125"/>
        <v>1</v>
      </c>
      <c r="O207" s="246">
        <f t="shared" si="126"/>
        <v>0.98934354485776799</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87">
        <v>22</v>
      </c>
      <c r="B208" s="242">
        <f t="shared" si="133"/>
        <v>46296</v>
      </c>
      <c r="C208" s="243">
        <f t="shared" si="114"/>
        <v>46326</v>
      </c>
      <c r="D208" s="120">
        <f t="shared" si="115"/>
        <v>31</v>
      </c>
      <c r="E208" s="120">
        <f t="shared" si="116"/>
        <v>10</v>
      </c>
      <c r="F208" s="275">
        <f t="shared" si="117"/>
        <v>46311.5</v>
      </c>
      <c r="G208" s="120">
        <f t="shared" si="118"/>
        <v>24321</v>
      </c>
      <c r="H208" s="245">
        <f t="shared" si="119"/>
        <v>1</v>
      </c>
      <c r="I208" s="121">
        <f t="shared" si="120"/>
        <v>1</v>
      </c>
      <c r="J208" s="121">
        <f t="shared" si="121"/>
        <v>1</v>
      </c>
      <c r="K208" s="120">
        <f t="shared" si="122"/>
        <v>0</v>
      </c>
      <c r="L208" s="120">
        <f t="shared" si="123"/>
        <v>0</v>
      </c>
      <c r="M208" s="246">
        <f t="shared" si="124"/>
        <v>0</v>
      </c>
      <c r="N208" s="121">
        <f t="shared" si="125"/>
        <v>1</v>
      </c>
      <c r="O208" s="246">
        <f t="shared" si="126"/>
        <v>0.99067833698030638</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87">
        <v>23</v>
      </c>
      <c r="B209" s="242">
        <f t="shared" si="133"/>
        <v>46327</v>
      </c>
      <c r="C209" s="243">
        <f t="shared" si="114"/>
        <v>46356</v>
      </c>
      <c r="D209" s="120">
        <f t="shared" si="115"/>
        <v>30</v>
      </c>
      <c r="E209" s="120">
        <f t="shared" si="116"/>
        <v>11</v>
      </c>
      <c r="F209" s="275">
        <f t="shared" si="117"/>
        <v>46342</v>
      </c>
      <c r="G209" s="120">
        <f t="shared" si="118"/>
        <v>24322</v>
      </c>
      <c r="H209" s="245">
        <f t="shared" si="119"/>
        <v>1</v>
      </c>
      <c r="I209" s="121">
        <f t="shared" si="120"/>
        <v>1</v>
      </c>
      <c r="J209" s="121">
        <f t="shared" si="121"/>
        <v>1</v>
      </c>
      <c r="K209" s="120">
        <f t="shared" si="122"/>
        <v>0</v>
      </c>
      <c r="L209" s="120">
        <f t="shared" si="123"/>
        <v>0</v>
      </c>
      <c r="M209" s="246">
        <f t="shared" si="124"/>
        <v>0</v>
      </c>
      <c r="N209" s="121">
        <f t="shared" si="125"/>
        <v>1</v>
      </c>
      <c r="O209" s="246">
        <f t="shared" si="126"/>
        <v>0.99201312910284467</v>
      </c>
      <c r="P209" s="121">
        <f t="shared" si="127"/>
        <v>0.125</v>
      </c>
      <c r="Q209" s="121">
        <f t="shared" si="128"/>
        <v>0.875</v>
      </c>
      <c r="R209" s="121">
        <f t="shared" si="129"/>
        <v>0</v>
      </c>
      <c r="S209" s="121" t="str">
        <f t="shared" si="130"/>
        <v/>
      </c>
      <c r="T209" s="121" t="str">
        <f t="shared" si="131"/>
        <v/>
      </c>
      <c r="U209" s="121">
        <f t="shared" si="132"/>
        <v>1</v>
      </c>
    </row>
    <row r="210" spans="1:21" x14ac:dyDescent="0.3">
      <c r="A210" s="187">
        <v>24</v>
      </c>
      <c r="B210" s="242">
        <f t="shared" si="133"/>
        <v>46357</v>
      </c>
      <c r="C210" s="243">
        <f t="shared" si="114"/>
        <v>46387</v>
      </c>
      <c r="D210" s="120">
        <f t="shared" si="115"/>
        <v>31</v>
      </c>
      <c r="E210" s="120">
        <f t="shared" si="116"/>
        <v>12</v>
      </c>
      <c r="F210" s="275">
        <f t="shared" si="117"/>
        <v>46372.5</v>
      </c>
      <c r="G210" s="120">
        <f t="shared" si="118"/>
        <v>24323</v>
      </c>
      <c r="H210" s="245">
        <f t="shared" si="119"/>
        <v>1</v>
      </c>
      <c r="I210" s="121">
        <f t="shared" si="120"/>
        <v>1</v>
      </c>
      <c r="J210" s="121">
        <f t="shared" si="121"/>
        <v>1</v>
      </c>
      <c r="K210" s="120">
        <f t="shared" si="122"/>
        <v>0</v>
      </c>
      <c r="L210" s="120">
        <f t="shared" si="123"/>
        <v>0</v>
      </c>
      <c r="M210" s="246">
        <f t="shared" si="124"/>
        <v>0</v>
      </c>
      <c r="N210" s="121">
        <f t="shared" si="125"/>
        <v>1</v>
      </c>
      <c r="O210" s="246">
        <f t="shared" si="126"/>
        <v>0.99334792122538296</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87">
        <v>25</v>
      </c>
      <c r="B211" s="242">
        <f t="shared" si="133"/>
        <v>46388</v>
      </c>
      <c r="C211" s="243">
        <f t="shared" si="114"/>
        <v>46418</v>
      </c>
      <c r="D211" s="120">
        <f t="shared" si="115"/>
        <v>31</v>
      </c>
      <c r="E211" s="120">
        <f t="shared" si="116"/>
        <v>1</v>
      </c>
      <c r="F211" s="275">
        <f t="shared" si="117"/>
        <v>46403.5</v>
      </c>
      <c r="G211" s="120">
        <f t="shared" si="118"/>
        <v>24324</v>
      </c>
      <c r="H211" s="245">
        <f t="shared" si="119"/>
        <v>1</v>
      </c>
      <c r="I211" s="121">
        <f t="shared" si="120"/>
        <v>1</v>
      </c>
      <c r="J211" s="121">
        <f t="shared" si="121"/>
        <v>1</v>
      </c>
      <c r="K211" s="120">
        <f t="shared" si="122"/>
        <v>0</v>
      </c>
      <c r="L211" s="120">
        <f t="shared" si="123"/>
        <v>0</v>
      </c>
      <c r="M211" s="246">
        <f t="shared" si="124"/>
        <v>0</v>
      </c>
      <c r="N211" s="121">
        <f t="shared" si="125"/>
        <v>1</v>
      </c>
      <c r="O211" s="246">
        <f t="shared" si="126"/>
        <v>0.99470459518599563</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87">
        <v>26</v>
      </c>
      <c r="B212" s="242">
        <f t="shared" si="133"/>
        <v>46419</v>
      </c>
      <c r="C212" s="243">
        <f t="shared" si="114"/>
        <v>46446</v>
      </c>
      <c r="D212" s="120">
        <f t="shared" si="115"/>
        <v>28</v>
      </c>
      <c r="E212" s="120">
        <f t="shared" si="116"/>
        <v>2</v>
      </c>
      <c r="F212" s="275">
        <f t="shared" si="117"/>
        <v>46433</v>
      </c>
      <c r="G212" s="120">
        <f t="shared" si="118"/>
        <v>24325</v>
      </c>
      <c r="H212" s="245">
        <f t="shared" si="119"/>
        <v>1</v>
      </c>
      <c r="I212" s="121">
        <f t="shared" si="120"/>
        <v>1</v>
      </c>
      <c r="J212" s="121">
        <f t="shared" si="121"/>
        <v>1</v>
      </c>
      <c r="K212" s="120">
        <f t="shared" si="122"/>
        <v>0</v>
      </c>
      <c r="L212" s="120">
        <f t="shared" si="123"/>
        <v>0</v>
      </c>
      <c r="M212" s="246">
        <f t="shared" si="124"/>
        <v>0</v>
      </c>
      <c r="N212" s="121">
        <f t="shared" si="125"/>
        <v>1</v>
      </c>
      <c r="O212" s="246">
        <f t="shared" si="126"/>
        <v>0.99599562363238514</v>
      </c>
      <c r="P212" s="121">
        <f t="shared" si="127"/>
        <v>0</v>
      </c>
      <c r="Q212" s="121">
        <f t="shared" si="128"/>
        <v>0.875</v>
      </c>
      <c r="R212" s="121">
        <f t="shared" si="129"/>
        <v>0.125</v>
      </c>
      <c r="S212" s="121" t="str">
        <f t="shared" si="130"/>
        <v/>
      </c>
      <c r="T212" s="121" t="str">
        <f t="shared" si="131"/>
        <v/>
      </c>
      <c r="U212" s="121">
        <f t="shared" si="132"/>
        <v>1</v>
      </c>
    </row>
    <row r="213" spans="1:21" x14ac:dyDescent="0.3">
      <c r="A213" s="187">
        <v>27</v>
      </c>
      <c r="B213" s="242">
        <f t="shared" si="133"/>
        <v>46447</v>
      </c>
      <c r="C213" s="243">
        <f t="shared" si="114"/>
        <v>46477</v>
      </c>
      <c r="D213" s="120">
        <f t="shared" si="115"/>
        <v>31</v>
      </c>
      <c r="E213" s="120">
        <f t="shared" si="116"/>
        <v>3</v>
      </c>
      <c r="F213" s="275">
        <f t="shared" si="117"/>
        <v>46462.5</v>
      </c>
      <c r="G213" s="120">
        <f t="shared" si="118"/>
        <v>24326</v>
      </c>
      <c r="H213" s="245">
        <f t="shared" si="119"/>
        <v>1</v>
      </c>
      <c r="I213" s="121">
        <f t="shared" si="120"/>
        <v>1</v>
      </c>
      <c r="J213" s="121">
        <f t="shared" si="121"/>
        <v>1</v>
      </c>
      <c r="K213" s="120">
        <f t="shared" si="122"/>
        <v>0</v>
      </c>
      <c r="L213" s="120">
        <f t="shared" si="123"/>
        <v>0</v>
      </c>
      <c r="M213" s="246">
        <f t="shared" si="124"/>
        <v>0</v>
      </c>
      <c r="N213" s="121">
        <f t="shared" si="125"/>
        <v>1</v>
      </c>
      <c r="O213" s="246">
        <f t="shared" si="126"/>
        <v>0.99728665207877465</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87">
        <v>28</v>
      </c>
      <c r="B214" s="242">
        <f t="shared" si="133"/>
        <v>46478</v>
      </c>
      <c r="C214" s="243">
        <f t="shared" si="114"/>
        <v>46507</v>
      </c>
      <c r="D214" s="120">
        <f t="shared" si="115"/>
        <v>30</v>
      </c>
      <c r="E214" s="120">
        <f t="shared" si="116"/>
        <v>4</v>
      </c>
      <c r="F214" s="275">
        <f t="shared" si="117"/>
        <v>46493</v>
      </c>
      <c r="G214" s="120">
        <f t="shared" si="118"/>
        <v>24327</v>
      </c>
      <c r="H214" s="245">
        <f t="shared" si="119"/>
        <v>1</v>
      </c>
      <c r="I214" s="121">
        <f t="shared" si="120"/>
        <v>1</v>
      </c>
      <c r="J214" s="121">
        <f t="shared" si="121"/>
        <v>1</v>
      </c>
      <c r="K214" s="120">
        <f t="shared" si="122"/>
        <v>0</v>
      </c>
      <c r="L214" s="120">
        <f t="shared" si="123"/>
        <v>0</v>
      </c>
      <c r="M214" s="246">
        <f t="shared" si="124"/>
        <v>0</v>
      </c>
      <c r="N214" s="121">
        <f t="shared" si="125"/>
        <v>1</v>
      </c>
      <c r="O214" s="246">
        <f t="shared" si="126"/>
        <v>0.99862144420131294</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87">
        <v>29</v>
      </c>
      <c r="B215" s="242">
        <f t="shared" si="133"/>
        <v>46508</v>
      </c>
      <c r="C215" s="243">
        <f t="shared" si="114"/>
        <v>46538</v>
      </c>
      <c r="D215" s="120">
        <f t="shared" si="115"/>
        <v>31</v>
      </c>
      <c r="E215" s="120">
        <f t="shared" si="116"/>
        <v>5</v>
      </c>
      <c r="F215" s="275">
        <f t="shared" si="117"/>
        <v>46523.5</v>
      </c>
      <c r="G215" s="120">
        <f t="shared" si="118"/>
        <v>24328</v>
      </c>
      <c r="H215" s="245">
        <f t="shared" si="119"/>
        <v>1</v>
      </c>
      <c r="I215" s="121">
        <f t="shared" si="120"/>
        <v>1</v>
      </c>
      <c r="J215" s="121">
        <f t="shared" si="121"/>
        <v>1</v>
      </c>
      <c r="K215" s="120">
        <f t="shared" si="122"/>
        <v>0</v>
      </c>
      <c r="L215" s="120">
        <f t="shared" si="123"/>
        <v>0</v>
      </c>
      <c r="M215" s="246">
        <f t="shared" si="124"/>
        <v>0</v>
      </c>
      <c r="N215" s="121">
        <f t="shared" si="125"/>
        <v>1</v>
      </c>
      <c r="O215" s="246">
        <f t="shared" si="126"/>
        <v>0.99995623632385122</v>
      </c>
      <c r="P215" s="121">
        <f t="shared" si="127"/>
        <v>0</v>
      </c>
      <c r="Q215" s="121">
        <f t="shared" si="128"/>
        <v>0.625</v>
      </c>
      <c r="R215" s="121">
        <f t="shared" si="129"/>
        <v>0.375</v>
      </c>
      <c r="S215" s="121" t="str">
        <f t="shared" si="130"/>
        <v/>
      </c>
      <c r="T215" s="121" t="str">
        <f t="shared" si="131"/>
        <v/>
      </c>
      <c r="U215" s="121">
        <f t="shared" si="132"/>
        <v>1</v>
      </c>
    </row>
    <row r="216" spans="1:21" x14ac:dyDescent="0.3">
      <c r="A216" s="187">
        <v>30</v>
      </c>
      <c r="B216" s="242">
        <f t="shared" si="133"/>
        <v>46539</v>
      </c>
      <c r="C216" s="243">
        <f t="shared" si="114"/>
        <v>46568</v>
      </c>
      <c r="D216" s="120">
        <f t="shared" si="115"/>
        <v>30</v>
      </c>
      <c r="E216" s="120">
        <f t="shared" si="116"/>
        <v>6</v>
      </c>
      <c r="F216" s="275">
        <f t="shared" si="117"/>
        <v>46554</v>
      </c>
      <c r="G216" s="120">
        <f t="shared" si="118"/>
        <v>24329</v>
      </c>
      <c r="H216" s="245">
        <f t="shared" si="119"/>
        <v>1</v>
      </c>
      <c r="I216" s="121">
        <f t="shared" si="120"/>
        <v>1</v>
      </c>
      <c r="J216" s="121">
        <f t="shared" si="121"/>
        <v>1</v>
      </c>
      <c r="K216" s="120">
        <f t="shared" si="122"/>
        <v>0</v>
      </c>
      <c r="L216" s="120">
        <f t="shared" si="123"/>
        <v>0</v>
      </c>
      <c r="M216" s="246">
        <f t="shared" si="124"/>
        <v>0</v>
      </c>
      <c r="N216" s="121">
        <f t="shared" si="125"/>
        <v>1</v>
      </c>
      <c r="O216" s="246">
        <f t="shared" si="126"/>
        <v>1.0012910284463894</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87">
        <v>31</v>
      </c>
      <c r="B217" s="242">
        <f t="shared" si="133"/>
        <v>46569</v>
      </c>
      <c r="C217" s="243">
        <f t="shared" si="114"/>
        <v>46599</v>
      </c>
      <c r="D217" s="120">
        <f t="shared" si="115"/>
        <v>31</v>
      </c>
      <c r="E217" s="120">
        <f t="shared" si="116"/>
        <v>7</v>
      </c>
      <c r="F217" s="275">
        <f t="shared" si="117"/>
        <v>46584.5</v>
      </c>
      <c r="G217" s="120">
        <f t="shared" si="118"/>
        <v>24330</v>
      </c>
      <c r="H217" s="245">
        <f t="shared" si="119"/>
        <v>1</v>
      </c>
      <c r="I217" s="121">
        <f t="shared" si="120"/>
        <v>1</v>
      </c>
      <c r="J217" s="121">
        <f t="shared" si="121"/>
        <v>1</v>
      </c>
      <c r="K217" s="120">
        <f t="shared" si="122"/>
        <v>0</v>
      </c>
      <c r="L217" s="120">
        <f t="shared" si="123"/>
        <v>0</v>
      </c>
      <c r="M217" s="246">
        <f t="shared" si="124"/>
        <v>0</v>
      </c>
      <c r="N217" s="121">
        <f t="shared" si="125"/>
        <v>1</v>
      </c>
      <c r="O217" s="246">
        <f t="shared" si="126"/>
        <v>1.0026258205689278</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87">
        <v>32</v>
      </c>
      <c r="B218" s="242">
        <f t="shared" si="133"/>
        <v>46600</v>
      </c>
      <c r="C218" s="243">
        <f t="shared" si="114"/>
        <v>46630</v>
      </c>
      <c r="D218" s="120">
        <f t="shared" si="115"/>
        <v>31</v>
      </c>
      <c r="E218" s="120">
        <f t="shared" si="116"/>
        <v>8</v>
      </c>
      <c r="F218" s="275">
        <f t="shared" si="117"/>
        <v>46615.5</v>
      </c>
      <c r="G218" s="120">
        <f t="shared" si="118"/>
        <v>24331</v>
      </c>
      <c r="H218" s="245">
        <f t="shared" si="119"/>
        <v>1</v>
      </c>
      <c r="I218" s="121">
        <f t="shared" si="120"/>
        <v>1</v>
      </c>
      <c r="J218" s="121">
        <f t="shared" si="121"/>
        <v>1</v>
      </c>
      <c r="K218" s="120">
        <f t="shared" si="122"/>
        <v>0</v>
      </c>
      <c r="L218" s="120">
        <f t="shared" si="123"/>
        <v>0</v>
      </c>
      <c r="M218" s="246">
        <f t="shared" si="124"/>
        <v>0</v>
      </c>
      <c r="N218" s="121">
        <f t="shared" si="125"/>
        <v>1</v>
      </c>
      <c r="O218" s="246">
        <f t="shared" si="126"/>
        <v>1.0039824945295406</v>
      </c>
      <c r="P218" s="121">
        <f t="shared" si="127"/>
        <v>0</v>
      </c>
      <c r="Q218" s="121">
        <f t="shared" si="128"/>
        <v>0.375</v>
      </c>
      <c r="R218" s="121">
        <f t="shared" si="129"/>
        <v>0.625</v>
      </c>
      <c r="S218" s="121" t="str">
        <f t="shared" si="130"/>
        <v/>
      </c>
      <c r="T218" s="121" t="str">
        <f t="shared" si="131"/>
        <v/>
      </c>
      <c r="U218" s="121">
        <f t="shared" si="132"/>
        <v>1</v>
      </c>
    </row>
    <row r="219" spans="1:21" x14ac:dyDescent="0.3">
      <c r="A219" s="187">
        <v>33</v>
      </c>
      <c r="B219" s="242">
        <f t="shared" si="133"/>
        <v>46631</v>
      </c>
      <c r="C219" s="243">
        <f t="shared" si="114"/>
        <v>46660</v>
      </c>
      <c r="D219" s="120">
        <f t="shared" si="115"/>
        <v>30</v>
      </c>
      <c r="E219" s="120">
        <f t="shared" si="116"/>
        <v>9</v>
      </c>
      <c r="F219" s="275">
        <f t="shared" si="117"/>
        <v>46646</v>
      </c>
      <c r="G219" s="120">
        <f t="shared" si="118"/>
        <v>24332</v>
      </c>
      <c r="H219" s="245">
        <f t="shared" si="119"/>
        <v>1</v>
      </c>
      <c r="I219" s="121">
        <f t="shared" si="120"/>
        <v>1</v>
      </c>
      <c r="J219" s="121">
        <f t="shared" si="121"/>
        <v>1</v>
      </c>
      <c r="K219" s="120">
        <f t="shared" si="122"/>
        <v>0</v>
      </c>
      <c r="L219" s="120">
        <f t="shared" si="123"/>
        <v>0</v>
      </c>
      <c r="M219" s="246">
        <f t="shared" si="124"/>
        <v>0</v>
      </c>
      <c r="N219" s="121">
        <f t="shared" si="125"/>
        <v>1</v>
      </c>
      <c r="O219" s="246">
        <f t="shared" si="126"/>
        <v>1.0053172866520788</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87">
        <v>34</v>
      </c>
      <c r="B220" s="242">
        <f t="shared" si="133"/>
        <v>46661</v>
      </c>
      <c r="C220" s="243">
        <f t="shared" si="114"/>
        <v>46691</v>
      </c>
      <c r="D220" s="120">
        <f t="shared" si="115"/>
        <v>31</v>
      </c>
      <c r="E220" s="120">
        <f t="shared" si="116"/>
        <v>10</v>
      </c>
      <c r="F220" s="275">
        <f t="shared" si="117"/>
        <v>46676.5</v>
      </c>
      <c r="G220" s="120">
        <f t="shared" si="118"/>
        <v>24333</v>
      </c>
      <c r="H220" s="245">
        <f t="shared" si="119"/>
        <v>1</v>
      </c>
      <c r="I220" s="121">
        <f t="shared" si="120"/>
        <v>1</v>
      </c>
      <c r="J220" s="121">
        <f t="shared" si="121"/>
        <v>1</v>
      </c>
      <c r="K220" s="120">
        <f t="shared" si="122"/>
        <v>0</v>
      </c>
      <c r="L220" s="120">
        <f t="shared" si="123"/>
        <v>0</v>
      </c>
      <c r="M220" s="246">
        <f t="shared" si="124"/>
        <v>0</v>
      </c>
      <c r="N220" s="121">
        <f t="shared" si="125"/>
        <v>1</v>
      </c>
      <c r="O220" s="246">
        <f t="shared" si="126"/>
        <v>1.0066520787746172</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87">
        <v>35</v>
      </c>
      <c r="B221" s="242">
        <f t="shared" si="133"/>
        <v>46692</v>
      </c>
      <c r="C221" s="243">
        <f t="shared" si="114"/>
        <v>46721</v>
      </c>
      <c r="D221" s="120">
        <f t="shared" si="115"/>
        <v>30</v>
      </c>
      <c r="E221" s="120">
        <f t="shared" si="116"/>
        <v>11</v>
      </c>
      <c r="F221" s="275">
        <f t="shared" si="117"/>
        <v>46707</v>
      </c>
      <c r="G221" s="120">
        <f t="shared" si="118"/>
        <v>24334</v>
      </c>
      <c r="H221" s="245">
        <f t="shared" si="119"/>
        <v>1</v>
      </c>
      <c r="I221" s="121">
        <f t="shared" si="120"/>
        <v>1</v>
      </c>
      <c r="J221" s="121">
        <f t="shared" si="121"/>
        <v>1</v>
      </c>
      <c r="K221" s="120">
        <f t="shared" si="122"/>
        <v>0</v>
      </c>
      <c r="L221" s="120">
        <f t="shared" si="123"/>
        <v>0</v>
      </c>
      <c r="M221" s="246">
        <f t="shared" si="124"/>
        <v>0</v>
      </c>
      <c r="N221" s="121">
        <f t="shared" si="125"/>
        <v>1</v>
      </c>
      <c r="O221" s="246">
        <f t="shared" si="126"/>
        <v>1.0079868708971553</v>
      </c>
      <c r="P221" s="121">
        <f t="shared" si="127"/>
        <v>0</v>
      </c>
      <c r="Q221" s="121">
        <f t="shared" si="128"/>
        <v>0.125</v>
      </c>
      <c r="R221" s="121">
        <f t="shared" si="129"/>
        <v>0.875</v>
      </c>
      <c r="S221" s="121" t="str">
        <f t="shared" si="130"/>
        <v/>
      </c>
      <c r="T221" s="121" t="str">
        <f t="shared" si="131"/>
        <v/>
      </c>
      <c r="U221" s="121">
        <f t="shared" si="132"/>
        <v>1</v>
      </c>
    </row>
    <row r="222" spans="1:21" x14ac:dyDescent="0.3">
      <c r="A222" s="187">
        <v>36</v>
      </c>
      <c r="B222" s="242">
        <f t="shared" si="133"/>
        <v>46722</v>
      </c>
      <c r="C222" s="243">
        <f t="shared" si="114"/>
        <v>46752</v>
      </c>
      <c r="D222" s="120">
        <f t="shared" si="115"/>
        <v>31</v>
      </c>
      <c r="E222" s="120">
        <f t="shared" si="116"/>
        <v>12</v>
      </c>
      <c r="F222" s="275">
        <f t="shared" si="117"/>
        <v>46737.5</v>
      </c>
      <c r="G222" s="120">
        <f t="shared" si="118"/>
        <v>24335</v>
      </c>
      <c r="H222" s="245">
        <f t="shared" si="119"/>
        <v>1</v>
      </c>
      <c r="I222" s="121">
        <f t="shared" si="120"/>
        <v>1</v>
      </c>
      <c r="J222" s="121">
        <f t="shared" si="121"/>
        <v>1</v>
      </c>
      <c r="K222" s="120">
        <f t="shared" si="122"/>
        <v>0</v>
      </c>
      <c r="L222" s="120">
        <f t="shared" si="123"/>
        <v>0</v>
      </c>
      <c r="M222" s="246">
        <f t="shared" si="124"/>
        <v>0</v>
      </c>
      <c r="N222" s="121">
        <f t="shared" si="125"/>
        <v>1</v>
      </c>
      <c r="O222" s="246">
        <f t="shared" si="126"/>
        <v>1.0093216630196937</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87">
        <v>37</v>
      </c>
      <c r="B223" s="242">
        <f t="shared" si="133"/>
        <v>46753</v>
      </c>
      <c r="C223" s="243">
        <f t="shared" si="114"/>
        <v>46783</v>
      </c>
      <c r="D223" s="120">
        <f t="shared" si="115"/>
        <v>31</v>
      </c>
      <c r="E223" s="120">
        <f t="shared" si="116"/>
        <v>1</v>
      </c>
      <c r="F223" s="275">
        <f t="shared" si="117"/>
        <v>46768.5</v>
      </c>
      <c r="G223" s="120">
        <f t="shared" si="118"/>
        <v>24336</v>
      </c>
      <c r="H223" s="245">
        <f t="shared" si="119"/>
        <v>1</v>
      </c>
      <c r="I223" s="121">
        <f t="shared" si="120"/>
        <v>1</v>
      </c>
      <c r="J223" s="121">
        <f t="shared" si="121"/>
        <v>1</v>
      </c>
      <c r="K223" s="120">
        <f t="shared" si="122"/>
        <v>0</v>
      </c>
      <c r="L223" s="120">
        <f t="shared" si="123"/>
        <v>0</v>
      </c>
      <c r="M223" s="246">
        <f t="shared" si="124"/>
        <v>0</v>
      </c>
      <c r="N223" s="121">
        <f t="shared" si="125"/>
        <v>1</v>
      </c>
      <c r="O223" s="246">
        <f t="shared" si="126"/>
        <v>1.01</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87">
        <v>38</v>
      </c>
      <c r="B224" s="242">
        <f t="shared" si="133"/>
        <v>46784</v>
      </c>
      <c r="C224" s="243">
        <f t="shared" si="114"/>
        <v>46812</v>
      </c>
      <c r="D224" s="120">
        <f t="shared" si="115"/>
        <v>29</v>
      </c>
      <c r="E224" s="120">
        <f t="shared" si="116"/>
        <v>2</v>
      </c>
      <c r="F224" s="275">
        <f t="shared" si="117"/>
        <v>46798.5</v>
      </c>
      <c r="G224" s="120">
        <f t="shared" si="118"/>
        <v>24337</v>
      </c>
      <c r="H224" s="245">
        <f t="shared" si="119"/>
        <v>1</v>
      </c>
      <c r="I224" s="121">
        <f t="shared" si="120"/>
        <v>1</v>
      </c>
      <c r="J224" s="121">
        <f t="shared" si="121"/>
        <v>1</v>
      </c>
      <c r="K224" s="120">
        <f t="shared" si="122"/>
        <v>0</v>
      </c>
      <c r="L224" s="120">
        <f t="shared" si="123"/>
        <v>0</v>
      </c>
      <c r="M224" s="246">
        <f t="shared" si="124"/>
        <v>0</v>
      </c>
      <c r="N224" s="121">
        <f t="shared" si="125"/>
        <v>1</v>
      </c>
      <c r="O224" s="246">
        <f t="shared" si="126"/>
        <v>1.01</v>
      </c>
      <c r="P224" s="121">
        <f t="shared" si="127"/>
        <v>0</v>
      </c>
      <c r="Q224" s="121">
        <f t="shared" si="128"/>
        <v>0</v>
      </c>
      <c r="R224" s="121">
        <f t="shared" si="129"/>
        <v>0.875</v>
      </c>
      <c r="S224" s="121" t="str">
        <f t="shared" si="130"/>
        <v/>
      </c>
      <c r="T224" s="121" t="str">
        <f t="shared" si="131"/>
        <v/>
      </c>
      <c r="U224" s="121">
        <f t="shared" si="132"/>
        <v>1</v>
      </c>
    </row>
    <row r="225" spans="1:21" x14ac:dyDescent="0.3">
      <c r="A225" s="187">
        <v>39</v>
      </c>
      <c r="B225" s="242">
        <f t="shared" si="133"/>
        <v>46813</v>
      </c>
      <c r="C225" s="243">
        <f t="shared" si="114"/>
        <v>46843</v>
      </c>
      <c r="D225" s="120">
        <f t="shared" si="115"/>
        <v>31</v>
      </c>
      <c r="E225" s="120">
        <f t="shared" si="116"/>
        <v>3</v>
      </c>
      <c r="F225" s="275">
        <f t="shared" si="117"/>
        <v>46828.5</v>
      </c>
      <c r="G225" s="120">
        <f t="shared" si="118"/>
        <v>24338</v>
      </c>
      <c r="H225" s="245">
        <f t="shared" si="119"/>
        <v>1</v>
      </c>
      <c r="I225" s="121">
        <f t="shared" si="120"/>
        <v>1</v>
      </c>
      <c r="J225" s="121">
        <f t="shared" si="121"/>
        <v>1</v>
      </c>
      <c r="K225" s="120">
        <f t="shared" si="122"/>
        <v>0</v>
      </c>
      <c r="L225" s="120">
        <f t="shared" si="123"/>
        <v>0</v>
      </c>
      <c r="M225" s="246">
        <f t="shared" si="124"/>
        <v>0</v>
      </c>
      <c r="N225" s="121">
        <f t="shared" si="125"/>
        <v>1</v>
      </c>
      <c r="O225" s="246">
        <f t="shared" si="126"/>
        <v>1.01</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87">
        <v>40</v>
      </c>
      <c r="B226" s="242">
        <f t="shared" si="133"/>
        <v>46844</v>
      </c>
      <c r="C226" s="243">
        <f t="shared" si="114"/>
        <v>46873</v>
      </c>
      <c r="D226" s="120">
        <f t="shared" si="115"/>
        <v>30</v>
      </c>
      <c r="E226" s="120">
        <f t="shared" si="116"/>
        <v>4</v>
      </c>
      <c r="F226" s="275">
        <f t="shared" si="117"/>
        <v>46859</v>
      </c>
      <c r="G226" s="120">
        <f t="shared" si="118"/>
        <v>24339</v>
      </c>
      <c r="H226" s="245">
        <f t="shared" si="119"/>
        <v>1</v>
      </c>
      <c r="I226" s="121">
        <f t="shared" si="120"/>
        <v>1</v>
      </c>
      <c r="J226" s="121">
        <f t="shared" si="121"/>
        <v>1</v>
      </c>
      <c r="K226" s="120">
        <f t="shared" si="122"/>
        <v>0</v>
      </c>
      <c r="L226" s="120">
        <f t="shared" si="123"/>
        <v>0</v>
      </c>
      <c r="M226" s="246">
        <f t="shared" si="124"/>
        <v>0</v>
      </c>
      <c r="N226" s="121">
        <f t="shared" si="125"/>
        <v>1</v>
      </c>
      <c r="O226" s="246">
        <f t="shared" si="126"/>
        <v>1.01</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87">
        <v>41</v>
      </c>
      <c r="B227" s="242">
        <f t="shared" si="133"/>
        <v>46874</v>
      </c>
      <c r="C227" s="243">
        <f t="shared" si="114"/>
        <v>46904</v>
      </c>
      <c r="D227" s="120">
        <f t="shared" si="115"/>
        <v>31</v>
      </c>
      <c r="E227" s="120">
        <f t="shared" si="116"/>
        <v>5</v>
      </c>
      <c r="F227" s="275">
        <f t="shared" si="117"/>
        <v>46889.5</v>
      </c>
      <c r="G227" s="120">
        <f t="shared" si="118"/>
        <v>24340</v>
      </c>
      <c r="H227" s="245">
        <f t="shared" si="119"/>
        <v>1</v>
      </c>
      <c r="I227" s="121">
        <f t="shared" si="120"/>
        <v>1</v>
      </c>
      <c r="J227" s="121">
        <f t="shared" si="121"/>
        <v>1</v>
      </c>
      <c r="K227" s="120">
        <f t="shared" si="122"/>
        <v>0</v>
      </c>
      <c r="L227" s="120">
        <f t="shared" si="123"/>
        <v>0</v>
      </c>
      <c r="M227" s="246">
        <f t="shared" si="124"/>
        <v>0</v>
      </c>
      <c r="N227" s="121">
        <f t="shared" si="125"/>
        <v>1</v>
      </c>
      <c r="O227" s="246">
        <f t="shared" si="126"/>
        <v>1.01</v>
      </c>
      <c r="P227" s="121">
        <f t="shared" si="127"/>
        <v>0</v>
      </c>
      <c r="Q227" s="121">
        <f t="shared" si="128"/>
        <v>0</v>
      </c>
      <c r="R227" s="121">
        <f t="shared" si="129"/>
        <v>0.625</v>
      </c>
      <c r="S227" s="121" t="str">
        <f t="shared" si="130"/>
        <v/>
      </c>
      <c r="T227" s="121" t="str">
        <f t="shared" si="131"/>
        <v/>
      </c>
      <c r="U227" s="121">
        <f t="shared" si="132"/>
        <v>1</v>
      </c>
    </row>
    <row r="228" spans="1:21" x14ac:dyDescent="0.3">
      <c r="A228" s="187">
        <v>42</v>
      </c>
      <c r="B228" s="242">
        <f t="shared" si="133"/>
        <v>46905</v>
      </c>
      <c r="C228" s="243">
        <f t="shared" si="114"/>
        <v>46934</v>
      </c>
      <c r="D228" s="120">
        <f t="shared" si="115"/>
        <v>30</v>
      </c>
      <c r="E228" s="120">
        <f t="shared" si="116"/>
        <v>6</v>
      </c>
      <c r="F228" s="275">
        <f t="shared" si="117"/>
        <v>46920</v>
      </c>
      <c r="G228" s="120">
        <f t="shared" si="118"/>
        <v>24341</v>
      </c>
      <c r="H228" s="245">
        <f t="shared" si="119"/>
        <v>1</v>
      </c>
      <c r="I228" s="121">
        <f t="shared" si="120"/>
        <v>1</v>
      </c>
      <c r="J228" s="121">
        <f t="shared" si="121"/>
        <v>1</v>
      </c>
      <c r="K228" s="120">
        <f t="shared" si="122"/>
        <v>0</v>
      </c>
      <c r="L228" s="120">
        <f t="shared" si="123"/>
        <v>0</v>
      </c>
      <c r="M228" s="246">
        <f t="shared" si="124"/>
        <v>0</v>
      </c>
      <c r="N228" s="121">
        <f t="shared" si="125"/>
        <v>1</v>
      </c>
      <c r="O228" s="246">
        <f t="shared" si="126"/>
        <v>1.01</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87">
        <v>43</v>
      </c>
      <c r="B229" s="242">
        <f t="shared" si="133"/>
        <v>46935</v>
      </c>
      <c r="C229" s="243">
        <f t="shared" si="114"/>
        <v>46965</v>
      </c>
      <c r="D229" s="120">
        <f t="shared" si="115"/>
        <v>31</v>
      </c>
      <c r="E229" s="120">
        <f t="shared" si="116"/>
        <v>7</v>
      </c>
      <c r="F229" s="275">
        <f t="shared" si="117"/>
        <v>46950.5</v>
      </c>
      <c r="G229" s="120">
        <f t="shared" si="118"/>
        <v>24342</v>
      </c>
      <c r="H229" s="245">
        <f t="shared" si="119"/>
        <v>1</v>
      </c>
      <c r="I229" s="121">
        <f t="shared" si="120"/>
        <v>1</v>
      </c>
      <c r="J229" s="121">
        <f t="shared" si="121"/>
        <v>1</v>
      </c>
      <c r="K229" s="120">
        <f t="shared" si="122"/>
        <v>0</v>
      </c>
      <c r="L229" s="120">
        <f t="shared" si="123"/>
        <v>0</v>
      </c>
      <c r="M229" s="246">
        <f t="shared" si="124"/>
        <v>0</v>
      </c>
      <c r="N229" s="121">
        <f t="shared" si="125"/>
        <v>1</v>
      </c>
      <c r="O229" s="246">
        <f t="shared" si="126"/>
        <v>1.01</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87">
        <v>44</v>
      </c>
      <c r="B230" s="242">
        <f t="shared" si="133"/>
        <v>46966</v>
      </c>
      <c r="C230" s="243">
        <f t="shared" si="114"/>
        <v>46996</v>
      </c>
      <c r="D230" s="120">
        <f t="shared" si="115"/>
        <v>31</v>
      </c>
      <c r="E230" s="120">
        <f t="shared" si="116"/>
        <v>8</v>
      </c>
      <c r="F230" s="275">
        <f t="shared" si="117"/>
        <v>46981.5</v>
      </c>
      <c r="G230" s="120">
        <f t="shared" si="118"/>
        <v>24343</v>
      </c>
      <c r="H230" s="245">
        <f t="shared" si="119"/>
        <v>1</v>
      </c>
      <c r="I230" s="121">
        <f t="shared" si="120"/>
        <v>1</v>
      </c>
      <c r="J230" s="121">
        <f t="shared" si="121"/>
        <v>1</v>
      </c>
      <c r="K230" s="120">
        <f t="shared" si="122"/>
        <v>0</v>
      </c>
      <c r="L230" s="120">
        <f t="shared" si="123"/>
        <v>0</v>
      </c>
      <c r="M230" s="246">
        <f t="shared" si="124"/>
        <v>0</v>
      </c>
      <c r="N230" s="121">
        <f t="shared" si="125"/>
        <v>1</v>
      </c>
      <c r="O230" s="246">
        <f t="shared" si="126"/>
        <v>1.01</v>
      </c>
      <c r="P230" s="121">
        <f t="shared" si="127"/>
        <v>0</v>
      </c>
      <c r="Q230" s="121">
        <f t="shared" si="128"/>
        <v>0</v>
      </c>
      <c r="R230" s="121">
        <f t="shared" si="129"/>
        <v>0.375</v>
      </c>
      <c r="S230" s="121" t="str">
        <f t="shared" si="130"/>
        <v/>
      </c>
      <c r="T230" s="121" t="str">
        <f t="shared" si="131"/>
        <v/>
      </c>
      <c r="U230" s="121">
        <f t="shared" si="132"/>
        <v>1</v>
      </c>
    </row>
    <row r="231" spans="1:21" x14ac:dyDescent="0.3">
      <c r="A231" s="187">
        <v>45</v>
      </c>
      <c r="B231" s="242">
        <f t="shared" si="133"/>
        <v>46997</v>
      </c>
      <c r="C231" s="243">
        <f t="shared" si="114"/>
        <v>47026</v>
      </c>
      <c r="D231" s="120">
        <f t="shared" si="115"/>
        <v>30</v>
      </c>
      <c r="E231" s="120">
        <f t="shared" si="116"/>
        <v>9</v>
      </c>
      <c r="F231" s="275">
        <f t="shared" si="117"/>
        <v>47012</v>
      </c>
      <c r="G231" s="120">
        <f t="shared" si="118"/>
        <v>24344</v>
      </c>
      <c r="H231" s="245">
        <f t="shared" si="119"/>
        <v>1</v>
      </c>
      <c r="I231" s="121">
        <f t="shared" si="120"/>
        <v>1</v>
      </c>
      <c r="J231" s="121">
        <f t="shared" si="121"/>
        <v>1</v>
      </c>
      <c r="K231" s="120">
        <f t="shared" si="122"/>
        <v>0</v>
      </c>
      <c r="L231" s="120">
        <f t="shared" si="123"/>
        <v>0</v>
      </c>
      <c r="M231" s="246">
        <f t="shared" si="124"/>
        <v>0</v>
      </c>
      <c r="N231" s="121">
        <f t="shared" si="125"/>
        <v>1</v>
      </c>
      <c r="O231" s="246">
        <f t="shared" si="126"/>
        <v>1.01</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87">
        <v>46</v>
      </c>
      <c r="B232" s="242">
        <f t="shared" si="133"/>
        <v>47027</v>
      </c>
      <c r="C232" s="243">
        <f t="shared" si="114"/>
        <v>47057</v>
      </c>
      <c r="D232" s="120">
        <f t="shared" si="115"/>
        <v>31</v>
      </c>
      <c r="E232" s="120">
        <f t="shared" si="116"/>
        <v>10</v>
      </c>
      <c r="F232" s="275">
        <f t="shared" si="117"/>
        <v>47042.5</v>
      </c>
      <c r="G232" s="120">
        <f t="shared" si="118"/>
        <v>24345</v>
      </c>
      <c r="H232" s="245">
        <f t="shared" si="119"/>
        <v>1</v>
      </c>
      <c r="I232" s="121">
        <f t="shared" si="120"/>
        <v>1</v>
      </c>
      <c r="J232" s="121">
        <f t="shared" si="121"/>
        <v>1</v>
      </c>
      <c r="K232" s="120">
        <f t="shared" si="122"/>
        <v>0</v>
      </c>
      <c r="L232" s="120">
        <f t="shared" si="123"/>
        <v>0</v>
      </c>
      <c r="M232" s="246">
        <f t="shared" si="124"/>
        <v>0</v>
      </c>
      <c r="N232" s="121">
        <f t="shared" si="125"/>
        <v>1</v>
      </c>
      <c r="O232" s="246">
        <f t="shared" si="126"/>
        <v>1.01</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87">
        <v>47</v>
      </c>
      <c r="B233" s="242">
        <f t="shared" si="133"/>
        <v>47058</v>
      </c>
      <c r="C233" s="243">
        <f t="shared" si="114"/>
        <v>47087</v>
      </c>
      <c r="D233" s="120">
        <f t="shared" si="115"/>
        <v>30</v>
      </c>
      <c r="E233" s="120">
        <f t="shared" si="116"/>
        <v>11</v>
      </c>
      <c r="F233" s="275">
        <f t="shared" si="117"/>
        <v>47073</v>
      </c>
      <c r="G233" s="120">
        <f t="shared" si="118"/>
        <v>24346</v>
      </c>
      <c r="H233" s="245">
        <f t="shared" si="119"/>
        <v>1</v>
      </c>
      <c r="I233" s="121">
        <f t="shared" si="120"/>
        <v>1</v>
      </c>
      <c r="J233" s="121">
        <f t="shared" si="121"/>
        <v>1</v>
      </c>
      <c r="K233" s="120">
        <f t="shared" si="122"/>
        <v>0</v>
      </c>
      <c r="L233" s="120">
        <f t="shared" si="123"/>
        <v>0</v>
      </c>
      <c r="M233" s="246">
        <f t="shared" si="124"/>
        <v>0</v>
      </c>
      <c r="N233" s="121">
        <f t="shared" si="125"/>
        <v>1</v>
      </c>
      <c r="O233" s="246">
        <f t="shared" si="126"/>
        <v>1.01</v>
      </c>
      <c r="P233" s="121">
        <f t="shared" si="127"/>
        <v>0</v>
      </c>
      <c r="Q233" s="121">
        <f t="shared" si="128"/>
        <v>0</v>
      </c>
      <c r="R233" s="121">
        <f t="shared" si="129"/>
        <v>0.125</v>
      </c>
      <c r="S233" s="121" t="str">
        <f t="shared" si="130"/>
        <v/>
      </c>
      <c r="T233" s="121" t="str">
        <f t="shared" si="131"/>
        <v/>
      </c>
      <c r="U233" s="121">
        <f t="shared" si="132"/>
        <v>1</v>
      </c>
    </row>
    <row r="234" spans="1:21" x14ac:dyDescent="0.3">
      <c r="A234" s="187">
        <v>48</v>
      </c>
      <c r="B234" s="242">
        <f t="shared" si="133"/>
        <v>47088</v>
      </c>
      <c r="C234" s="243">
        <f t="shared" si="114"/>
        <v>47118</v>
      </c>
      <c r="D234" s="120">
        <f t="shared" si="115"/>
        <v>31</v>
      </c>
      <c r="E234" s="120">
        <f t="shared" si="116"/>
        <v>12</v>
      </c>
      <c r="F234" s="275">
        <f t="shared" si="117"/>
        <v>47103.5</v>
      </c>
      <c r="G234" s="120">
        <f t="shared" si="118"/>
        <v>24347</v>
      </c>
      <c r="H234" s="245">
        <f t="shared" si="119"/>
        <v>1</v>
      </c>
      <c r="I234" s="121">
        <f t="shared" si="120"/>
        <v>1</v>
      </c>
      <c r="J234" s="121">
        <f t="shared" si="121"/>
        <v>1</v>
      </c>
      <c r="K234" s="120">
        <f t="shared" si="122"/>
        <v>0</v>
      </c>
      <c r="L234" s="120">
        <f t="shared" si="123"/>
        <v>0</v>
      </c>
      <c r="M234" s="246">
        <f t="shared" si="124"/>
        <v>0</v>
      </c>
      <c r="N234" s="121">
        <f t="shared" si="125"/>
        <v>1</v>
      </c>
      <c r="O234" s="246">
        <f t="shared" si="126"/>
        <v>1.01</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1651</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0.99399161196207142</v>
      </c>
      <c r="G235" s="224">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12</v>
      </c>
      <c r="D238" s="75">
        <f>IF(COUNTIF(se_state,$B238)=0,0,MATCH($B238,se_state,0))</f>
        <v>0</v>
      </c>
      <c r="E238" s="70">
        <f>IF($D238=0,0,INDEX(se_sum,$D238))</f>
        <v>0</v>
      </c>
      <c r="F238" s="224">
        <f>IF(N(INDEX(lr_mind,4))=0,1,INDEX(lr_mind,4))</f>
        <v>1</v>
      </c>
      <c r="G238" s="224">
        <f>IF(N(INDEX(lr_m0,4))=0,1,INDEX(lr_m0,4))</f>
        <v>1</v>
      </c>
      <c r="H238" s="74">
        <f>IF(N(INDEX(lr_m0asof,4))=0,DATE(nr_PlanYear-1,10,1),INDEX(lr_m0asof,4))</f>
        <v>46295</v>
      </c>
      <c r="I238" s="224">
        <f>IF(N(INDEX(lr_m1,4))=0,1,INDEX(lr_m1,4))</f>
        <v>1</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34">EOMONTH($B241,0)</f>
        <v>45688</v>
      </c>
      <c r="D241" s="120">
        <f t="shared" ref="D241:D288" si="135">$C241-$B241+1</f>
        <v>31</v>
      </c>
      <c r="E241" s="120">
        <f t="shared" ref="E241:E288" si="136">MONTH($B241)</f>
        <v>1</v>
      </c>
      <c r="F241" s="275">
        <f t="shared" ref="F241:F288" si="137">($B241+$C241+1)/2</f>
        <v>45673.5</v>
      </c>
      <c r="G241" s="120">
        <f t="shared" ref="G241:G288" si="138">YEAR($B241)*12+MONTH($B241)-1</f>
        <v>24300</v>
      </c>
      <c r="H241" s="245">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46">
        <f t="shared" ref="M241:M288" si="144">IF($K241=0,0,MIN(1,$L241/$D241))</f>
        <v>0</v>
      </c>
      <c r="N241" s="121">
        <f t="shared" ref="N241:N288" si="145">IF($K241=0,$J241,(1-$M241)*$I241+$M241*$J241)</f>
        <v>1</v>
      </c>
      <c r="O241" s="246">
        <f t="shared" ref="O241:O288" si="146">IF($F241&lt;$B$239,$E$239+$I$239*($F241-$A$239),IF($F241&lt;$C$239,$F$239+$J$239*($F241-$B$239),$G$239+$K$239*($F241-$C$239)))</f>
        <v>1</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87">
        <v>2</v>
      </c>
      <c r="B242" s="242">
        <f t="shared" ref="B242:B288" si="153">EDATE($B241,1)</f>
        <v>45689</v>
      </c>
      <c r="C242" s="243">
        <f t="shared" si="134"/>
        <v>45716</v>
      </c>
      <c r="D242" s="120">
        <f t="shared" si="135"/>
        <v>28</v>
      </c>
      <c r="E242" s="120">
        <f t="shared" si="136"/>
        <v>2</v>
      </c>
      <c r="F242" s="275">
        <f t="shared" si="137"/>
        <v>45703</v>
      </c>
      <c r="G242" s="120">
        <f t="shared" si="138"/>
        <v>24301</v>
      </c>
      <c r="H242" s="245">
        <f t="shared" si="139"/>
        <v>1</v>
      </c>
      <c r="I242" s="121">
        <f t="shared" si="140"/>
        <v>1</v>
      </c>
      <c r="J242" s="121">
        <f t="shared" si="141"/>
        <v>1</v>
      </c>
      <c r="K242" s="120">
        <f t="shared" si="142"/>
        <v>0</v>
      </c>
      <c r="L242" s="120">
        <f t="shared" si="143"/>
        <v>0</v>
      </c>
      <c r="M242" s="246">
        <f t="shared" si="144"/>
        <v>0</v>
      </c>
      <c r="N242" s="121">
        <f t="shared" si="145"/>
        <v>1</v>
      </c>
      <c r="O242" s="246">
        <f t="shared" si="146"/>
        <v>1</v>
      </c>
      <c r="P242" s="121">
        <f t="shared" si="147"/>
        <v>0.125</v>
      </c>
      <c r="Q242" s="121">
        <f t="shared" si="148"/>
        <v>0</v>
      </c>
      <c r="R242" s="121">
        <f t="shared" si="149"/>
        <v>0</v>
      </c>
      <c r="S242" s="121" t="str">
        <f t="shared" si="150"/>
        <v/>
      </c>
      <c r="T242" s="121" t="str">
        <f t="shared" si="151"/>
        <v/>
      </c>
      <c r="U242" s="121">
        <f t="shared" si="152"/>
        <v>1</v>
      </c>
    </row>
    <row r="243" spans="1:21" x14ac:dyDescent="0.3">
      <c r="A243" s="187">
        <v>3</v>
      </c>
      <c r="B243" s="242">
        <f t="shared" si="153"/>
        <v>45717</v>
      </c>
      <c r="C243" s="243">
        <f t="shared" si="134"/>
        <v>45747</v>
      </c>
      <c r="D243" s="120">
        <f t="shared" si="135"/>
        <v>31</v>
      </c>
      <c r="E243" s="120">
        <f t="shared" si="136"/>
        <v>3</v>
      </c>
      <c r="F243" s="275">
        <f t="shared" si="137"/>
        <v>45732.5</v>
      </c>
      <c r="G243" s="120">
        <f t="shared" si="138"/>
        <v>24302</v>
      </c>
      <c r="H243" s="245">
        <f t="shared" si="139"/>
        <v>1</v>
      </c>
      <c r="I243" s="121">
        <f t="shared" si="140"/>
        <v>1</v>
      </c>
      <c r="J243" s="121">
        <f t="shared" si="141"/>
        <v>1</v>
      </c>
      <c r="K243" s="120">
        <f t="shared" si="142"/>
        <v>0</v>
      </c>
      <c r="L243" s="120">
        <f t="shared" si="143"/>
        <v>0</v>
      </c>
      <c r="M243" s="246">
        <f t="shared" si="144"/>
        <v>0</v>
      </c>
      <c r="N243" s="121">
        <f t="shared" si="145"/>
        <v>1</v>
      </c>
      <c r="O243" s="246">
        <f t="shared" si="146"/>
        <v>1</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87">
        <v>4</v>
      </c>
      <c r="B244" s="242">
        <f t="shared" si="153"/>
        <v>45748</v>
      </c>
      <c r="C244" s="243">
        <f t="shared" si="134"/>
        <v>45777</v>
      </c>
      <c r="D244" s="120">
        <f t="shared" si="135"/>
        <v>30</v>
      </c>
      <c r="E244" s="120">
        <f t="shared" si="136"/>
        <v>4</v>
      </c>
      <c r="F244" s="275">
        <f t="shared" si="137"/>
        <v>45763</v>
      </c>
      <c r="G244" s="120">
        <f t="shared" si="138"/>
        <v>24303</v>
      </c>
      <c r="H244" s="245">
        <f t="shared" si="139"/>
        <v>1</v>
      </c>
      <c r="I244" s="121">
        <f t="shared" si="140"/>
        <v>1</v>
      </c>
      <c r="J244" s="121">
        <f t="shared" si="141"/>
        <v>1</v>
      </c>
      <c r="K244" s="120">
        <f t="shared" si="142"/>
        <v>0</v>
      </c>
      <c r="L244" s="120">
        <f t="shared" si="143"/>
        <v>0</v>
      </c>
      <c r="M244" s="246">
        <f t="shared" si="144"/>
        <v>0</v>
      </c>
      <c r="N244" s="121">
        <f t="shared" si="145"/>
        <v>1</v>
      </c>
      <c r="O244" s="246">
        <f t="shared" si="146"/>
        <v>1</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87">
        <v>5</v>
      </c>
      <c r="B245" s="242">
        <f t="shared" si="153"/>
        <v>45778</v>
      </c>
      <c r="C245" s="243">
        <f t="shared" si="134"/>
        <v>45808</v>
      </c>
      <c r="D245" s="120">
        <f t="shared" si="135"/>
        <v>31</v>
      </c>
      <c r="E245" s="120">
        <f t="shared" si="136"/>
        <v>5</v>
      </c>
      <c r="F245" s="275">
        <f t="shared" si="137"/>
        <v>45793.5</v>
      </c>
      <c r="G245" s="120">
        <f t="shared" si="138"/>
        <v>24304</v>
      </c>
      <c r="H245" s="245">
        <f t="shared" si="139"/>
        <v>1</v>
      </c>
      <c r="I245" s="121">
        <f t="shared" si="140"/>
        <v>1</v>
      </c>
      <c r="J245" s="121">
        <f t="shared" si="141"/>
        <v>1</v>
      </c>
      <c r="K245" s="120">
        <f t="shared" si="142"/>
        <v>0</v>
      </c>
      <c r="L245" s="120">
        <f t="shared" si="143"/>
        <v>0</v>
      </c>
      <c r="M245" s="246">
        <f t="shared" si="144"/>
        <v>0</v>
      </c>
      <c r="N245" s="121">
        <f t="shared" si="145"/>
        <v>1</v>
      </c>
      <c r="O245" s="246">
        <f t="shared" si="146"/>
        <v>1</v>
      </c>
      <c r="P245" s="121">
        <f t="shared" si="147"/>
        <v>0.375</v>
      </c>
      <c r="Q245" s="121">
        <f t="shared" si="148"/>
        <v>0</v>
      </c>
      <c r="R245" s="121">
        <f t="shared" si="149"/>
        <v>0</v>
      </c>
      <c r="S245" s="121" t="str">
        <f t="shared" si="150"/>
        <v/>
      </c>
      <c r="T245" s="121" t="str">
        <f t="shared" si="151"/>
        <v/>
      </c>
      <c r="U245" s="121">
        <f t="shared" si="152"/>
        <v>1</v>
      </c>
    </row>
    <row r="246" spans="1:21" x14ac:dyDescent="0.3">
      <c r="A246" s="187">
        <v>6</v>
      </c>
      <c r="B246" s="242">
        <f t="shared" si="153"/>
        <v>45809</v>
      </c>
      <c r="C246" s="243">
        <f t="shared" si="134"/>
        <v>45838</v>
      </c>
      <c r="D246" s="120">
        <f t="shared" si="135"/>
        <v>30</v>
      </c>
      <c r="E246" s="120">
        <f t="shared" si="136"/>
        <v>6</v>
      </c>
      <c r="F246" s="275">
        <f t="shared" si="137"/>
        <v>45824</v>
      </c>
      <c r="G246" s="120">
        <f t="shared" si="138"/>
        <v>24305</v>
      </c>
      <c r="H246" s="245">
        <f t="shared" si="139"/>
        <v>1</v>
      </c>
      <c r="I246" s="121">
        <f t="shared" si="140"/>
        <v>1</v>
      </c>
      <c r="J246" s="121">
        <f t="shared" si="141"/>
        <v>1</v>
      </c>
      <c r="K246" s="120">
        <f t="shared" si="142"/>
        <v>0</v>
      </c>
      <c r="L246" s="120">
        <f t="shared" si="143"/>
        <v>0</v>
      </c>
      <c r="M246" s="246">
        <f t="shared" si="144"/>
        <v>0</v>
      </c>
      <c r="N246" s="121">
        <f t="shared" si="145"/>
        <v>1</v>
      </c>
      <c r="O246" s="246">
        <f t="shared" si="146"/>
        <v>1</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87">
        <v>7</v>
      </c>
      <c r="B247" s="242">
        <f t="shared" si="153"/>
        <v>45839</v>
      </c>
      <c r="C247" s="243">
        <f t="shared" si="134"/>
        <v>45869</v>
      </c>
      <c r="D247" s="120">
        <f t="shared" si="135"/>
        <v>31</v>
      </c>
      <c r="E247" s="120">
        <f t="shared" si="136"/>
        <v>7</v>
      </c>
      <c r="F247" s="275">
        <f t="shared" si="137"/>
        <v>45854.5</v>
      </c>
      <c r="G247" s="120">
        <f t="shared" si="138"/>
        <v>24306</v>
      </c>
      <c r="H247" s="245">
        <f t="shared" si="139"/>
        <v>1</v>
      </c>
      <c r="I247" s="121">
        <f t="shared" si="140"/>
        <v>1</v>
      </c>
      <c r="J247" s="121">
        <f t="shared" si="141"/>
        <v>1</v>
      </c>
      <c r="K247" s="120">
        <f t="shared" si="142"/>
        <v>0</v>
      </c>
      <c r="L247" s="120">
        <f t="shared" si="143"/>
        <v>0</v>
      </c>
      <c r="M247" s="246">
        <f t="shared" si="144"/>
        <v>0</v>
      </c>
      <c r="N247" s="121">
        <f t="shared" si="145"/>
        <v>1</v>
      </c>
      <c r="O247" s="246">
        <f t="shared" si="146"/>
        <v>1</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87">
        <v>8</v>
      </c>
      <c r="B248" s="242">
        <f t="shared" si="153"/>
        <v>45870</v>
      </c>
      <c r="C248" s="243">
        <f t="shared" si="134"/>
        <v>45900</v>
      </c>
      <c r="D248" s="120">
        <f t="shared" si="135"/>
        <v>31</v>
      </c>
      <c r="E248" s="120">
        <f t="shared" si="136"/>
        <v>8</v>
      </c>
      <c r="F248" s="275">
        <f t="shared" si="137"/>
        <v>45885.5</v>
      </c>
      <c r="G248" s="120">
        <f t="shared" si="138"/>
        <v>24307</v>
      </c>
      <c r="H248" s="245">
        <f t="shared" si="139"/>
        <v>1</v>
      </c>
      <c r="I248" s="121">
        <f t="shared" si="140"/>
        <v>1</v>
      </c>
      <c r="J248" s="121">
        <f t="shared" si="141"/>
        <v>1</v>
      </c>
      <c r="K248" s="120">
        <f t="shared" si="142"/>
        <v>0</v>
      </c>
      <c r="L248" s="120">
        <f t="shared" si="143"/>
        <v>0</v>
      </c>
      <c r="M248" s="246">
        <f t="shared" si="144"/>
        <v>0</v>
      </c>
      <c r="N248" s="121">
        <f t="shared" si="145"/>
        <v>1</v>
      </c>
      <c r="O248" s="246">
        <f t="shared" si="146"/>
        <v>1</v>
      </c>
      <c r="P248" s="121">
        <f t="shared" si="147"/>
        <v>0.625</v>
      </c>
      <c r="Q248" s="121">
        <f t="shared" si="148"/>
        <v>0</v>
      </c>
      <c r="R248" s="121">
        <f t="shared" si="149"/>
        <v>0</v>
      </c>
      <c r="S248" s="121" t="str">
        <f t="shared" si="150"/>
        <v/>
      </c>
      <c r="T248" s="121" t="str">
        <f t="shared" si="151"/>
        <v/>
      </c>
      <c r="U248" s="121">
        <f t="shared" si="152"/>
        <v>1</v>
      </c>
    </row>
    <row r="249" spans="1:21" x14ac:dyDescent="0.3">
      <c r="A249" s="187">
        <v>9</v>
      </c>
      <c r="B249" s="242">
        <f t="shared" si="153"/>
        <v>45901</v>
      </c>
      <c r="C249" s="243">
        <f t="shared" si="134"/>
        <v>45930</v>
      </c>
      <c r="D249" s="120">
        <f t="shared" si="135"/>
        <v>30</v>
      </c>
      <c r="E249" s="120">
        <f t="shared" si="136"/>
        <v>9</v>
      </c>
      <c r="F249" s="275">
        <f t="shared" si="137"/>
        <v>45916</v>
      </c>
      <c r="G249" s="120">
        <f t="shared" si="138"/>
        <v>24308</v>
      </c>
      <c r="H249" s="245">
        <f t="shared" si="139"/>
        <v>1</v>
      </c>
      <c r="I249" s="121">
        <f t="shared" si="140"/>
        <v>1</v>
      </c>
      <c r="J249" s="121">
        <f t="shared" si="141"/>
        <v>1</v>
      </c>
      <c r="K249" s="120">
        <f t="shared" si="142"/>
        <v>0</v>
      </c>
      <c r="L249" s="120">
        <f t="shared" si="143"/>
        <v>0</v>
      </c>
      <c r="M249" s="246">
        <f t="shared" si="144"/>
        <v>0</v>
      </c>
      <c r="N249" s="121">
        <f t="shared" si="145"/>
        <v>1</v>
      </c>
      <c r="O249" s="246">
        <f t="shared" si="146"/>
        <v>1</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87">
        <v>10</v>
      </c>
      <c r="B250" s="242">
        <f t="shared" si="153"/>
        <v>45931</v>
      </c>
      <c r="C250" s="243">
        <f t="shared" si="134"/>
        <v>45961</v>
      </c>
      <c r="D250" s="120">
        <f t="shared" si="135"/>
        <v>31</v>
      </c>
      <c r="E250" s="120">
        <f t="shared" si="136"/>
        <v>10</v>
      </c>
      <c r="F250" s="275">
        <f t="shared" si="137"/>
        <v>45946.5</v>
      </c>
      <c r="G250" s="120">
        <f t="shared" si="138"/>
        <v>24309</v>
      </c>
      <c r="H250" s="245">
        <f t="shared" si="139"/>
        <v>1</v>
      </c>
      <c r="I250" s="121">
        <f t="shared" si="140"/>
        <v>1</v>
      </c>
      <c r="J250" s="121">
        <f t="shared" si="141"/>
        <v>1</v>
      </c>
      <c r="K250" s="120">
        <f t="shared" si="142"/>
        <v>0</v>
      </c>
      <c r="L250" s="120">
        <f t="shared" si="143"/>
        <v>0</v>
      </c>
      <c r="M250" s="246">
        <f t="shared" si="144"/>
        <v>0</v>
      </c>
      <c r="N250" s="121">
        <f t="shared" si="145"/>
        <v>1</v>
      </c>
      <c r="O250" s="246">
        <f t="shared" si="146"/>
        <v>1</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87">
        <v>11</v>
      </c>
      <c r="B251" s="242">
        <f t="shared" si="153"/>
        <v>45962</v>
      </c>
      <c r="C251" s="243">
        <f t="shared" si="134"/>
        <v>45991</v>
      </c>
      <c r="D251" s="120">
        <f t="shared" si="135"/>
        <v>30</v>
      </c>
      <c r="E251" s="120">
        <f t="shared" si="136"/>
        <v>11</v>
      </c>
      <c r="F251" s="275">
        <f t="shared" si="137"/>
        <v>45977</v>
      </c>
      <c r="G251" s="120">
        <f t="shared" si="138"/>
        <v>24310</v>
      </c>
      <c r="H251" s="245">
        <f t="shared" si="139"/>
        <v>1</v>
      </c>
      <c r="I251" s="121">
        <f t="shared" si="140"/>
        <v>1</v>
      </c>
      <c r="J251" s="121">
        <f t="shared" si="141"/>
        <v>1</v>
      </c>
      <c r="K251" s="120">
        <f t="shared" si="142"/>
        <v>0</v>
      </c>
      <c r="L251" s="120">
        <f t="shared" si="143"/>
        <v>0</v>
      </c>
      <c r="M251" s="246">
        <f t="shared" si="144"/>
        <v>0</v>
      </c>
      <c r="N251" s="121">
        <f t="shared" si="145"/>
        <v>1</v>
      </c>
      <c r="O251" s="246">
        <f t="shared" si="146"/>
        <v>1</v>
      </c>
      <c r="P251" s="121">
        <f t="shared" si="147"/>
        <v>0.875</v>
      </c>
      <c r="Q251" s="121">
        <f t="shared" si="148"/>
        <v>0</v>
      </c>
      <c r="R251" s="121">
        <f t="shared" si="149"/>
        <v>0</v>
      </c>
      <c r="S251" s="121" t="str">
        <f t="shared" si="150"/>
        <v/>
      </c>
      <c r="T251" s="121" t="str">
        <f t="shared" si="151"/>
        <v/>
      </c>
      <c r="U251" s="121">
        <f t="shared" si="152"/>
        <v>1</v>
      </c>
    </row>
    <row r="252" spans="1:21" x14ac:dyDescent="0.3">
      <c r="A252" s="187">
        <v>12</v>
      </c>
      <c r="B252" s="242">
        <f t="shared" si="153"/>
        <v>45992</v>
      </c>
      <c r="C252" s="243">
        <f t="shared" si="134"/>
        <v>46022</v>
      </c>
      <c r="D252" s="120">
        <f t="shared" si="135"/>
        <v>31</v>
      </c>
      <c r="E252" s="120">
        <f t="shared" si="136"/>
        <v>12</v>
      </c>
      <c r="F252" s="275">
        <f t="shared" si="137"/>
        <v>46007.5</v>
      </c>
      <c r="G252" s="120">
        <f t="shared" si="138"/>
        <v>24311</v>
      </c>
      <c r="H252" s="245">
        <f t="shared" si="139"/>
        <v>1</v>
      </c>
      <c r="I252" s="121">
        <f t="shared" si="140"/>
        <v>1</v>
      </c>
      <c r="J252" s="121">
        <f t="shared" si="141"/>
        <v>1</v>
      </c>
      <c r="K252" s="120">
        <f t="shared" si="142"/>
        <v>0</v>
      </c>
      <c r="L252" s="120">
        <f t="shared" si="143"/>
        <v>0</v>
      </c>
      <c r="M252" s="246">
        <f t="shared" si="144"/>
        <v>0</v>
      </c>
      <c r="N252" s="121">
        <f t="shared" si="145"/>
        <v>1</v>
      </c>
      <c r="O252" s="246">
        <f t="shared" si="146"/>
        <v>1</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87">
        <v>13</v>
      </c>
      <c r="B253" s="242">
        <f t="shared" si="153"/>
        <v>46023</v>
      </c>
      <c r="C253" s="243">
        <f t="shared" si="134"/>
        <v>46053</v>
      </c>
      <c r="D253" s="120">
        <f t="shared" si="135"/>
        <v>31</v>
      </c>
      <c r="E253" s="120">
        <f t="shared" si="136"/>
        <v>1</v>
      </c>
      <c r="F253" s="275">
        <f t="shared" si="137"/>
        <v>46038.5</v>
      </c>
      <c r="G253" s="120">
        <f t="shared" si="138"/>
        <v>24312</v>
      </c>
      <c r="H253" s="245">
        <f t="shared" si="139"/>
        <v>1</v>
      </c>
      <c r="I253" s="121">
        <f t="shared" si="140"/>
        <v>1</v>
      </c>
      <c r="J253" s="121">
        <f t="shared" si="141"/>
        <v>1</v>
      </c>
      <c r="K253" s="120">
        <f t="shared" si="142"/>
        <v>0</v>
      </c>
      <c r="L253" s="120">
        <f t="shared" si="143"/>
        <v>0</v>
      </c>
      <c r="M253" s="246">
        <f t="shared" si="144"/>
        <v>0</v>
      </c>
      <c r="N253" s="121">
        <f t="shared" si="145"/>
        <v>1</v>
      </c>
      <c r="O253" s="246">
        <f t="shared" si="146"/>
        <v>1</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87">
        <v>14</v>
      </c>
      <c r="B254" s="242">
        <f t="shared" si="153"/>
        <v>46054</v>
      </c>
      <c r="C254" s="243">
        <f t="shared" si="134"/>
        <v>46081</v>
      </c>
      <c r="D254" s="120">
        <f t="shared" si="135"/>
        <v>28</v>
      </c>
      <c r="E254" s="120">
        <f t="shared" si="136"/>
        <v>2</v>
      </c>
      <c r="F254" s="275">
        <f t="shared" si="137"/>
        <v>46068</v>
      </c>
      <c r="G254" s="120">
        <f t="shared" si="138"/>
        <v>24313</v>
      </c>
      <c r="H254" s="245">
        <f t="shared" si="139"/>
        <v>1</v>
      </c>
      <c r="I254" s="121">
        <f t="shared" si="140"/>
        <v>1</v>
      </c>
      <c r="J254" s="121">
        <f t="shared" si="141"/>
        <v>1</v>
      </c>
      <c r="K254" s="120">
        <f t="shared" si="142"/>
        <v>0</v>
      </c>
      <c r="L254" s="120">
        <f t="shared" si="143"/>
        <v>0</v>
      </c>
      <c r="M254" s="246">
        <f t="shared" si="144"/>
        <v>0</v>
      </c>
      <c r="N254" s="121">
        <f t="shared" si="145"/>
        <v>1</v>
      </c>
      <c r="O254" s="246">
        <f t="shared" si="146"/>
        <v>1</v>
      </c>
      <c r="P254" s="121">
        <f t="shared" si="147"/>
        <v>0.875</v>
      </c>
      <c r="Q254" s="121">
        <f t="shared" si="148"/>
        <v>0.125</v>
      </c>
      <c r="R254" s="121">
        <f t="shared" si="149"/>
        <v>0</v>
      </c>
      <c r="S254" s="121" t="str">
        <f t="shared" si="150"/>
        <v/>
      </c>
      <c r="T254" s="121" t="str">
        <f t="shared" si="151"/>
        <v/>
      </c>
      <c r="U254" s="121">
        <f t="shared" si="152"/>
        <v>1</v>
      </c>
    </row>
    <row r="255" spans="1:21" x14ac:dyDescent="0.3">
      <c r="A255" s="187">
        <v>15</v>
      </c>
      <c r="B255" s="242">
        <f t="shared" si="153"/>
        <v>46082</v>
      </c>
      <c r="C255" s="243">
        <f t="shared" si="134"/>
        <v>46112</v>
      </c>
      <c r="D255" s="120">
        <f t="shared" si="135"/>
        <v>31</v>
      </c>
      <c r="E255" s="120">
        <f t="shared" si="136"/>
        <v>3</v>
      </c>
      <c r="F255" s="275">
        <f t="shared" si="137"/>
        <v>46097.5</v>
      </c>
      <c r="G255" s="120">
        <f t="shared" si="138"/>
        <v>24314</v>
      </c>
      <c r="H255" s="245">
        <f t="shared" si="139"/>
        <v>1</v>
      </c>
      <c r="I255" s="121">
        <f t="shared" si="140"/>
        <v>1</v>
      </c>
      <c r="J255" s="121">
        <f t="shared" si="141"/>
        <v>1</v>
      </c>
      <c r="K255" s="120">
        <f t="shared" si="142"/>
        <v>0</v>
      </c>
      <c r="L255" s="120">
        <f t="shared" si="143"/>
        <v>0</v>
      </c>
      <c r="M255" s="246">
        <f t="shared" si="144"/>
        <v>0</v>
      </c>
      <c r="N255" s="121">
        <f t="shared" si="145"/>
        <v>1</v>
      </c>
      <c r="O255" s="246">
        <f t="shared" si="146"/>
        <v>1</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87">
        <v>16</v>
      </c>
      <c r="B256" s="242">
        <f t="shared" si="153"/>
        <v>46113</v>
      </c>
      <c r="C256" s="243">
        <f t="shared" si="134"/>
        <v>46142</v>
      </c>
      <c r="D256" s="120">
        <f t="shared" si="135"/>
        <v>30</v>
      </c>
      <c r="E256" s="120">
        <f t="shared" si="136"/>
        <v>4</v>
      </c>
      <c r="F256" s="275">
        <f t="shared" si="137"/>
        <v>46128</v>
      </c>
      <c r="G256" s="120">
        <f t="shared" si="138"/>
        <v>24315</v>
      </c>
      <c r="H256" s="245">
        <f t="shared" si="139"/>
        <v>1</v>
      </c>
      <c r="I256" s="121">
        <f t="shared" si="140"/>
        <v>1</v>
      </c>
      <c r="J256" s="121">
        <f t="shared" si="141"/>
        <v>1.05</v>
      </c>
      <c r="K256" s="120">
        <f t="shared" si="142"/>
        <v>1</v>
      </c>
      <c r="L256" s="120">
        <f t="shared" si="143"/>
        <v>30</v>
      </c>
      <c r="M256" s="246">
        <f t="shared" si="144"/>
        <v>1</v>
      </c>
      <c r="N256" s="121">
        <f t="shared" si="145"/>
        <v>1.05</v>
      </c>
      <c r="O256" s="246">
        <f t="shared" si="146"/>
        <v>1</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87">
        <v>17</v>
      </c>
      <c r="B257" s="242">
        <f t="shared" si="153"/>
        <v>46143</v>
      </c>
      <c r="C257" s="243">
        <f t="shared" si="134"/>
        <v>46173</v>
      </c>
      <c r="D257" s="120">
        <f t="shared" si="135"/>
        <v>31</v>
      </c>
      <c r="E257" s="120">
        <f t="shared" si="136"/>
        <v>5</v>
      </c>
      <c r="F257" s="275">
        <f t="shared" si="137"/>
        <v>46158.5</v>
      </c>
      <c r="G257" s="120">
        <f t="shared" si="138"/>
        <v>24316</v>
      </c>
      <c r="H257" s="245">
        <f t="shared" si="139"/>
        <v>1</v>
      </c>
      <c r="I257" s="121">
        <f t="shared" si="140"/>
        <v>1.05</v>
      </c>
      <c r="J257" s="121">
        <f t="shared" si="141"/>
        <v>1.05</v>
      </c>
      <c r="K257" s="120">
        <f t="shared" si="142"/>
        <v>0</v>
      </c>
      <c r="L257" s="120">
        <f t="shared" si="143"/>
        <v>0</v>
      </c>
      <c r="M257" s="246">
        <f t="shared" si="144"/>
        <v>0</v>
      </c>
      <c r="N257" s="121">
        <f t="shared" si="145"/>
        <v>1.05</v>
      </c>
      <c r="O257" s="246">
        <f t="shared" si="146"/>
        <v>1</v>
      </c>
      <c r="P257" s="121">
        <f t="shared" si="147"/>
        <v>0.625</v>
      </c>
      <c r="Q257" s="121">
        <f t="shared" si="148"/>
        <v>0.375</v>
      </c>
      <c r="R257" s="121">
        <f t="shared" si="149"/>
        <v>0</v>
      </c>
      <c r="S257" s="121" t="str">
        <f t="shared" si="150"/>
        <v/>
      </c>
      <c r="T257" s="121" t="str">
        <f t="shared" si="151"/>
        <v/>
      </c>
      <c r="U257" s="121">
        <f t="shared" si="152"/>
        <v>1.05</v>
      </c>
    </row>
    <row r="258" spans="1:21" x14ac:dyDescent="0.3">
      <c r="A258" s="187">
        <v>18</v>
      </c>
      <c r="B258" s="242">
        <f t="shared" si="153"/>
        <v>46174</v>
      </c>
      <c r="C258" s="243">
        <f t="shared" si="134"/>
        <v>46203</v>
      </c>
      <c r="D258" s="120">
        <f t="shared" si="135"/>
        <v>30</v>
      </c>
      <c r="E258" s="120">
        <f t="shared" si="136"/>
        <v>6</v>
      </c>
      <c r="F258" s="275">
        <f t="shared" si="137"/>
        <v>46189</v>
      </c>
      <c r="G258" s="120">
        <f t="shared" si="138"/>
        <v>24317</v>
      </c>
      <c r="H258" s="245">
        <f t="shared" si="139"/>
        <v>1</v>
      </c>
      <c r="I258" s="121">
        <f t="shared" si="140"/>
        <v>1.05</v>
      </c>
      <c r="J258" s="121">
        <f t="shared" si="141"/>
        <v>1.05</v>
      </c>
      <c r="K258" s="120">
        <f t="shared" si="142"/>
        <v>0</v>
      </c>
      <c r="L258" s="120">
        <f t="shared" si="143"/>
        <v>0</v>
      </c>
      <c r="M258" s="246">
        <f t="shared" si="144"/>
        <v>0</v>
      </c>
      <c r="N258" s="121">
        <f t="shared" si="145"/>
        <v>1.05</v>
      </c>
      <c r="O258" s="246">
        <f t="shared" si="146"/>
        <v>1</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87">
        <v>19</v>
      </c>
      <c r="B259" s="242">
        <f t="shared" si="153"/>
        <v>46204</v>
      </c>
      <c r="C259" s="243">
        <f t="shared" si="134"/>
        <v>46234</v>
      </c>
      <c r="D259" s="120">
        <f t="shared" si="135"/>
        <v>31</v>
      </c>
      <c r="E259" s="120">
        <f t="shared" si="136"/>
        <v>7</v>
      </c>
      <c r="F259" s="275">
        <f t="shared" si="137"/>
        <v>46219.5</v>
      </c>
      <c r="G259" s="120">
        <f t="shared" si="138"/>
        <v>24318</v>
      </c>
      <c r="H259" s="245">
        <f t="shared" si="139"/>
        <v>1</v>
      </c>
      <c r="I259" s="121">
        <f t="shared" si="140"/>
        <v>1.05</v>
      </c>
      <c r="J259" s="121">
        <f t="shared" si="141"/>
        <v>1.05</v>
      </c>
      <c r="K259" s="120">
        <f t="shared" si="142"/>
        <v>0</v>
      </c>
      <c r="L259" s="120">
        <f t="shared" si="143"/>
        <v>0</v>
      </c>
      <c r="M259" s="246">
        <f t="shared" si="144"/>
        <v>0</v>
      </c>
      <c r="N259" s="121">
        <f t="shared" si="145"/>
        <v>1.05</v>
      </c>
      <c r="O259" s="246">
        <f t="shared" si="146"/>
        <v>1</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87">
        <v>20</v>
      </c>
      <c r="B260" s="242">
        <f t="shared" si="153"/>
        <v>46235</v>
      </c>
      <c r="C260" s="243">
        <f t="shared" si="134"/>
        <v>46265</v>
      </c>
      <c r="D260" s="120">
        <f t="shared" si="135"/>
        <v>31</v>
      </c>
      <c r="E260" s="120">
        <f t="shared" si="136"/>
        <v>8</v>
      </c>
      <c r="F260" s="275">
        <f t="shared" si="137"/>
        <v>46250.5</v>
      </c>
      <c r="G260" s="120">
        <f t="shared" si="138"/>
        <v>24319</v>
      </c>
      <c r="H260" s="245">
        <f t="shared" si="139"/>
        <v>1</v>
      </c>
      <c r="I260" s="121">
        <f t="shared" si="140"/>
        <v>1.05</v>
      </c>
      <c r="J260" s="121">
        <f t="shared" si="141"/>
        <v>1.05</v>
      </c>
      <c r="K260" s="120">
        <f t="shared" si="142"/>
        <v>0</v>
      </c>
      <c r="L260" s="120">
        <f t="shared" si="143"/>
        <v>0</v>
      </c>
      <c r="M260" s="246">
        <f t="shared" si="144"/>
        <v>0</v>
      </c>
      <c r="N260" s="121">
        <f t="shared" si="145"/>
        <v>1.05</v>
      </c>
      <c r="O260" s="246">
        <f t="shared" si="146"/>
        <v>1</v>
      </c>
      <c r="P260" s="121">
        <f t="shared" si="147"/>
        <v>0.375</v>
      </c>
      <c r="Q260" s="121">
        <f t="shared" si="148"/>
        <v>0.625</v>
      </c>
      <c r="R260" s="121">
        <f t="shared" si="149"/>
        <v>0</v>
      </c>
      <c r="S260" s="121" t="str">
        <f t="shared" si="150"/>
        <v/>
      </c>
      <c r="T260" s="121" t="str">
        <f t="shared" si="151"/>
        <v/>
      </c>
      <c r="U260" s="121">
        <f t="shared" si="152"/>
        <v>1.05</v>
      </c>
    </row>
    <row r="261" spans="1:21" x14ac:dyDescent="0.3">
      <c r="A261" s="187">
        <v>21</v>
      </c>
      <c r="B261" s="242">
        <f t="shared" si="153"/>
        <v>46266</v>
      </c>
      <c r="C261" s="243">
        <f t="shared" si="134"/>
        <v>46295</v>
      </c>
      <c r="D261" s="120">
        <f t="shared" si="135"/>
        <v>30</v>
      </c>
      <c r="E261" s="120">
        <f t="shared" si="136"/>
        <v>9</v>
      </c>
      <c r="F261" s="275">
        <f t="shared" si="137"/>
        <v>46281</v>
      </c>
      <c r="G261" s="120">
        <f t="shared" si="138"/>
        <v>24320</v>
      </c>
      <c r="H261" s="245">
        <f t="shared" si="139"/>
        <v>1</v>
      </c>
      <c r="I261" s="121">
        <f t="shared" si="140"/>
        <v>1.05</v>
      </c>
      <c r="J261" s="121">
        <f t="shared" si="141"/>
        <v>1.05</v>
      </c>
      <c r="K261" s="120">
        <f t="shared" si="142"/>
        <v>0</v>
      </c>
      <c r="L261" s="120">
        <f t="shared" si="143"/>
        <v>0</v>
      </c>
      <c r="M261" s="246">
        <f t="shared" si="144"/>
        <v>0</v>
      </c>
      <c r="N261" s="121">
        <f t="shared" si="145"/>
        <v>1.05</v>
      </c>
      <c r="O261" s="246">
        <f t="shared" si="146"/>
        <v>1</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87">
        <v>22</v>
      </c>
      <c r="B262" s="242">
        <f t="shared" si="153"/>
        <v>46296</v>
      </c>
      <c r="C262" s="243">
        <f t="shared" si="134"/>
        <v>46326</v>
      </c>
      <c r="D262" s="120">
        <f t="shared" si="135"/>
        <v>31</v>
      </c>
      <c r="E262" s="120">
        <f t="shared" si="136"/>
        <v>10</v>
      </c>
      <c r="F262" s="275">
        <f t="shared" si="137"/>
        <v>46311.5</v>
      </c>
      <c r="G262" s="120">
        <f t="shared" si="138"/>
        <v>24321</v>
      </c>
      <c r="H262" s="245">
        <f t="shared" si="139"/>
        <v>1</v>
      </c>
      <c r="I262" s="121">
        <f t="shared" si="140"/>
        <v>1.05</v>
      </c>
      <c r="J262" s="121">
        <f t="shared" si="141"/>
        <v>1.05</v>
      </c>
      <c r="K262" s="120">
        <f t="shared" si="142"/>
        <v>0</v>
      </c>
      <c r="L262" s="120">
        <f t="shared" si="143"/>
        <v>0</v>
      </c>
      <c r="M262" s="246">
        <f t="shared" si="144"/>
        <v>0</v>
      </c>
      <c r="N262" s="121">
        <f t="shared" si="145"/>
        <v>1.05</v>
      </c>
      <c r="O262" s="246">
        <f t="shared" si="146"/>
        <v>1</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87">
        <v>23</v>
      </c>
      <c r="B263" s="242">
        <f t="shared" si="153"/>
        <v>46327</v>
      </c>
      <c r="C263" s="243">
        <f t="shared" si="134"/>
        <v>46356</v>
      </c>
      <c r="D263" s="120">
        <f t="shared" si="135"/>
        <v>30</v>
      </c>
      <c r="E263" s="120">
        <f t="shared" si="136"/>
        <v>11</v>
      </c>
      <c r="F263" s="275">
        <f t="shared" si="137"/>
        <v>46342</v>
      </c>
      <c r="G263" s="120">
        <f t="shared" si="138"/>
        <v>24322</v>
      </c>
      <c r="H263" s="245">
        <f t="shared" si="139"/>
        <v>1</v>
      </c>
      <c r="I263" s="121">
        <f t="shared" si="140"/>
        <v>1.05</v>
      </c>
      <c r="J263" s="121">
        <f t="shared" si="141"/>
        <v>1.05</v>
      </c>
      <c r="K263" s="120">
        <f t="shared" si="142"/>
        <v>0</v>
      </c>
      <c r="L263" s="120">
        <f t="shared" si="143"/>
        <v>0</v>
      </c>
      <c r="M263" s="246">
        <f t="shared" si="144"/>
        <v>0</v>
      </c>
      <c r="N263" s="121">
        <f t="shared" si="145"/>
        <v>1.05</v>
      </c>
      <c r="O263" s="246">
        <f t="shared" si="146"/>
        <v>1</v>
      </c>
      <c r="P263" s="121">
        <f t="shared" si="147"/>
        <v>0.125</v>
      </c>
      <c r="Q263" s="121">
        <f t="shared" si="148"/>
        <v>0.875</v>
      </c>
      <c r="R263" s="121">
        <f t="shared" si="149"/>
        <v>0</v>
      </c>
      <c r="S263" s="121" t="str">
        <f t="shared" si="150"/>
        <v/>
      </c>
      <c r="T263" s="121" t="str">
        <f t="shared" si="151"/>
        <v/>
      </c>
      <c r="U263" s="121">
        <f t="shared" si="152"/>
        <v>1.05</v>
      </c>
    </row>
    <row r="264" spans="1:21" x14ac:dyDescent="0.3">
      <c r="A264" s="187">
        <v>24</v>
      </c>
      <c r="B264" s="242">
        <f t="shared" si="153"/>
        <v>46357</v>
      </c>
      <c r="C264" s="243">
        <f t="shared" si="134"/>
        <v>46387</v>
      </c>
      <c r="D264" s="120">
        <f t="shared" si="135"/>
        <v>31</v>
      </c>
      <c r="E264" s="120">
        <f t="shared" si="136"/>
        <v>12</v>
      </c>
      <c r="F264" s="275">
        <f t="shared" si="137"/>
        <v>46372.5</v>
      </c>
      <c r="G264" s="120">
        <f t="shared" si="138"/>
        <v>24323</v>
      </c>
      <c r="H264" s="245">
        <f t="shared" si="139"/>
        <v>1</v>
      </c>
      <c r="I264" s="121">
        <f t="shared" si="140"/>
        <v>1.05</v>
      </c>
      <c r="J264" s="121">
        <f t="shared" si="141"/>
        <v>1.05</v>
      </c>
      <c r="K264" s="120">
        <f t="shared" si="142"/>
        <v>0</v>
      </c>
      <c r="L264" s="120">
        <f t="shared" si="143"/>
        <v>0</v>
      </c>
      <c r="M264" s="246">
        <f t="shared" si="144"/>
        <v>0</v>
      </c>
      <c r="N264" s="121">
        <f t="shared" si="145"/>
        <v>1.05</v>
      </c>
      <c r="O264" s="246">
        <f t="shared" si="146"/>
        <v>1</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87">
        <v>25</v>
      </c>
      <c r="B265" s="242">
        <f t="shared" si="153"/>
        <v>46388</v>
      </c>
      <c r="C265" s="243">
        <f t="shared" si="134"/>
        <v>46418</v>
      </c>
      <c r="D265" s="120">
        <f t="shared" si="135"/>
        <v>31</v>
      </c>
      <c r="E265" s="120">
        <f t="shared" si="136"/>
        <v>1</v>
      </c>
      <c r="F265" s="275">
        <f t="shared" si="137"/>
        <v>46403.5</v>
      </c>
      <c r="G265" s="120">
        <f t="shared" si="138"/>
        <v>24324</v>
      </c>
      <c r="H265" s="245">
        <f t="shared" si="139"/>
        <v>1</v>
      </c>
      <c r="I265" s="121">
        <f t="shared" si="140"/>
        <v>1.05</v>
      </c>
      <c r="J265" s="121">
        <f t="shared" si="141"/>
        <v>1.05</v>
      </c>
      <c r="K265" s="120">
        <f t="shared" si="142"/>
        <v>0</v>
      </c>
      <c r="L265" s="120">
        <f t="shared" si="143"/>
        <v>0</v>
      </c>
      <c r="M265" s="246">
        <f t="shared" si="144"/>
        <v>0</v>
      </c>
      <c r="N265" s="121">
        <f t="shared" si="145"/>
        <v>1.05</v>
      </c>
      <c r="O265" s="246">
        <f t="shared" si="146"/>
        <v>1</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87">
        <v>26</v>
      </c>
      <c r="B266" s="242">
        <f t="shared" si="153"/>
        <v>46419</v>
      </c>
      <c r="C266" s="243">
        <f t="shared" si="134"/>
        <v>46446</v>
      </c>
      <c r="D266" s="120">
        <f t="shared" si="135"/>
        <v>28</v>
      </c>
      <c r="E266" s="120">
        <f t="shared" si="136"/>
        <v>2</v>
      </c>
      <c r="F266" s="275">
        <f t="shared" si="137"/>
        <v>46433</v>
      </c>
      <c r="G266" s="120">
        <f t="shared" si="138"/>
        <v>24325</v>
      </c>
      <c r="H266" s="245">
        <f t="shared" si="139"/>
        <v>1</v>
      </c>
      <c r="I266" s="121">
        <f t="shared" si="140"/>
        <v>1.05</v>
      </c>
      <c r="J266" s="121">
        <f t="shared" si="141"/>
        <v>1.05</v>
      </c>
      <c r="K266" s="120">
        <f t="shared" si="142"/>
        <v>0</v>
      </c>
      <c r="L266" s="120">
        <f t="shared" si="143"/>
        <v>0</v>
      </c>
      <c r="M266" s="246">
        <f t="shared" si="144"/>
        <v>0</v>
      </c>
      <c r="N266" s="121">
        <f t="shared" si="145"/>
        <v>1.05</v>
      </c>
      <c r="O266" s="246">
        <f t="shared" si="146"/>
        <v>1</v>
      </c>
      <c r="P266" s="121">
        <f t="shared" si="147"/>
        <v>0</v>
      </c>
      <c r="Q266" s="121">
        <f t="shared" si="148"/>
        <v>0.875</v>
      </c>
      <c r="R266" s="121">
        <f t="shared" si="149"/>
        <v>0.125</v>
      </c>
      <c r="S266" s="121" t="str">
        <f t="shared" si="150"/>
        <v/>
      </c>
      <c r="T266" s="121" t="str">
        <f t="shared" si="151"/>
        <v/>
      </c>
      <c r="U266" s="121">
        <f t="shared" si="152"/>
        <v>1.05</v>
      </c>
    </row>
    <row r="267" spans="1:21" x14ac:dyDescent="0.3">
      <c r="A267" s="187">
        <v>27</v>
      </c>
      <c r="B267" s="242">
        <f t="shared" si="153"/>
        <v>46447</v>
      </c>
      <c r="C267" s="243">
        <f t="shared" si="134"/>
        <v>46477</v>
      </c>
      <c r="D267" s="120">
        <f t="shared" si="135"/>
        <v>31</v>
      </c>
      <c r="E267" s="120">
        <f t="shared" si="136"/>
        <v>3</v>
      </c>
      <c r="F267" s="275">
        <f t="shared" si="137"/>
        <v>46462.5</v>
      </c>
      <c r="G267" s="120">
        <f t="shared" si="138"/>
        <v>24326</v>
      </c>
      <c r="H267" s="245">
        <f t="shared" si="139"/>
        <v>1</v>
      </c>
      <c r="I267" s="121">
        <f t="shared" si="140"/>
        <v>1.05</v>
      </c>
      <c r="J267" s="121">
        <f t="shared" si="141"/>
        <v>1.05</v>
      </c>
      <c r="K267" s="120">
        <f t="shared" si="142"/>
        <v>0</v>
      </c>
      <c r="L267" s="120">
        <f t="shared" si="143"/>
        <v>0</v>
      </c>
      <c r="M267" s="246">
        <f t="shared" si="144"/>
        <v>0</v>
      </c>
      <c r="N267" s="121">
        <f t="shared" si="145"/>
        <v>1.05</v>
      </c>
      <c r="O267" s="246">
        <f t="shared" si="146"/>
        <v>1</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87">
        <v>28</v>
      </c>
      <c r="B268" s="242">
        <f t="shared" si="153"/>
        <v>46478</v>
      </c>
      <c r="C268" s="243">
        <f t="shared" si="134"/>
        <v>46507</v>
      </c>
      <c r="D268" s="120">
        <f t="shared" si="135"/>
        <v>30</v>
      </c>
      <c r="E268" s="120">
        <f t="shared" si="136"/>
        <v>4</v>
      </c>
      <c r="F268" s="275">
        <f t="shared" si="137"/>
        <v>46493</v>
      </c>
      <c r="G268" s="120">
        <f t="shared" si="138"/>
        <v>24327</v>
      </c>
      <c r="H268" s="245">
        <f t="shared" si="139"/>
        <v>1</v>
      </c>
      <c r="I268" s="121">
        <f t="shared" si="140"/>
        <v>1.05</v>
      </c>
      <c r="J268" s="121">
        <f t="shared" si="141"/>
        <v>1.05</v>
      </c>
      <c r="K268" s="120">
        <f t="shared" si="142"/>
        <v>0</v>
      </c>
      <c r="L268" s="120">
        <f t="shared" si="143"/>
        <v>0</v>
      </c>
      <c r="M268" s="246">
        <f t="shared" si="144"/>
        <v>0</v>
      </c>
      <c r="N268" s="121">
        <f t="shared" si="145"/>
        <v>1.05</v>
      </c>
      <c r="O268" s="246">
        <f t="shared" si="146"/>
        <v>1</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87">
        <v>29</v>
      </c>
      <c r="B269" s="242">
        <f t="shared" si="153"/>
        <v>46508</v>
      </c>
      <c r="C269" s="243">
        <f t="shared" si="134"/>
        <v>46538</v>
      </c>
      <c r="D269" s="120">
        <f t="shared" si="135"/>
        <v>31</v>
      </c>
      <c r="E269" s="120">
        <f t="shared" si="136"/>
        <v>5</v>
      </c>
      <c r="F269" s="275">
        <f t="shared" si="137"/>
        <v>46523.5</v>
      </c>
      <c r="G269" s="120">
        <f t="shared" si="138"/>
        <v>24328</v>
      </c>
      <c r="H269" s="245">
        <f t="shared" si="139"/>
        <v>1</v>
      </c>
      <c r="I269" s="121">
        <f t="shared" si="140"/>
        <v>1.05</v>
      </c>
      <c r="J269" s="121">
        <f t="shared" si="141"/>
        <v>1.05</v>
      </c>
      <c r="K269" s="120">
        <f t="shared" si="142"/>
        <v>0</v>
      </c>
      <c r="L269" s="120">
        <f t="shared" si="143"/>
        <v>0</v>
      </c>
      <c r="M269" s="246">
        <f t="shared" si="144"/>
        <v>0</v>
      </c>
      <c r="N269" s="121">
        <f t="shared" si="145"/>
        <v>1.05</v>
      </c>
      <c r="O269" s="246">
        <f t="shared" si="146"/>
        <v>1</v>
      </c>
      <c r="P269" s="121">
        <f t="shared" si="147"/>
        <v>0</v>
      </c>
      <c r="Q269" s="121">
        <f t="shared" si="148"/>
        <v>0.625</v>
      </c>
      <c r="R269" s="121">
        <f t="shared" si="149"/>
        <v>0.375</v>
      </c>
      <c r="S269" s="121" t="str">
        <f t="shared" si="150"/>
        <v/>
      </c>
      <c r="T269" s="121" t="str">
        <f t="shared" si="151"/>
        <v/>
      </c>
      <c r="U269" s="121">
        <f t="shared" si="152"/>
        <v>1.05</v>
      </c>
    </row>
    <row r="270" spans="1:21" x14ac:dyDescent="0.3">
      <c r="A270" s="187">
        <v>30</v>
      </c>
      <c r="B270" s="242">
        <f t="shared" si="153"/>
        <v>46539</v>
      </c>
      <c r="C270" s="243">
        <f t="shared" si="134"/>
        <v>46568</v>
      </c>
      <c r="D270" s="120">
        <f t="shared" si="135"/>
        <v>30</v>
      </c>
      <c r="E270" s="120">
        <f t="shared" si="136"/>
        <v>6</v>
      </c>
      <c r="F270" s="275">
        <f t="shared" si="137"/>
        <v>46554</v>
      </c>
      <c r="G270" s="120">
        <f t="shared" si="138"/>
        <v>24329</v>
      </c>
      <c r="H270" s="245">
        <f t="shared" si="139"/>
        <v>1</v>
      </c>
      <c r="I270" s="121">
        <f t="shared" si="140"/>
        <v>1.05</v>
      </c>
      <c r="J270" s="121">
        <f t="shared" si="141"/>
        <v>1.05</v>
      </c>
      <c r="K270" s="120">
        <f t="shared" si="142"/>
        <v>0</v>
      </c>
      <c r="L270" s="120">
        <f t="shared" si="143"/>
        <v>0</v>
      </c>
      <c r="M270" s="246">
        <f t="shared" si="144"/>
        <v>0</v>
      </c>
      <c r="N270" s="121">
        <f t="shared" si="145"/>
        <v>1.05</v>
      </c>
      <c r="O270" s="246">
        <f t="shared" si="146"/>
        <v>1</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87">
        <v>31</v>
      </c>
      <c r="B271" s="242">
        <f t="shared" si="153"/>
        <v>46569</v>
      </c>
      <c r="C271" s="243">
        <f t="shared" si="134"/>
        <v>46599</v>
      </c>
      <c r="D271" s="120">
        <f t="shared" si="135"/>
        <v>31</v>
      </c>
      <c r="E271" s="120">
        <f t="shared" si="136"/>
        <v>7</v>
      </c>
      <c r="F271" s="275">
        <f t="shared" si="137"/>
        <v>46584.5</v>
      </c>
      <c r="G271" s="120">
        <f t="shared" si="138"/>
        <v>24330</v>
      </c>
      <c r="H271" s="245">
        <f t="shared" si="139"/>
        <v>1</v>
      </c>
      <c r="I271" s="121">
        <f t="shared" si="140"/>
        <v>1.05</v>
      </c>
      <c r="J271" s="121">
        <f t="shared" si="141"/>
        <v>1.05</v>
      </c>
      <c r="K271" s="120">
        <f t="shared" si="142"/>
        <v>0</v>
      </c>
      <c r="L271" s="120">
        <f t="shared" si="143"/>
        <v>0</v>
      </c>
      <c r="M271" s="246">
        <f t="shared" si="144"/>
        <v>0</v>
      </c>
      <c r="N271" s="121">
        <f t="shared" si="145"/>
        <v>1.05</v>
      </c>
      <c r="O271" s="246">
        <f t="shared" si="146"/>
        <v>1</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87">
        <v>32</v>
      </c>
      <c r="B272" s="242">
        <f t="shared" si="153"/>
        <v>46600</v>
      </c>
      <c r="C272" s="243">
        <f t="shared" si="134"/>
        <v>46630</v>
      </c>
      <c r="D272" s="120">
        <f t="shared" si="135"/>
        <v>31</v>
      </c>
      <c r="E272" s="120">
        <f t="shared" si="136"/>
        <v>8</v>
      </c>
      <c r="F272" s="275">
        <f t="shared" si="137"/>
        <v>46615.5</v>
      </c>
      <c r="G272" s="120">
        <f t="shared" si="138"/>
        <v>24331</v>
      </c>
      <c r="H272" s="245">
        <f t="shared" si="139"/>
        <v>1</v>
      </c>
      <c r="I272" s="121">
        <f t="shared" si="140"/>
        <v>1.05</v>
      </c>
      <c r="J272" s="121">
        <f t="shared" si="141"/>
        <v>1.05</v>
      </c>
      <c r="K272" s="120">
        <f t="shared" si="142"/>
        <v>0</v>
      </c>
      <c r="L272" s="120">
        <f t="shared" si="143"/>
        <v>0</v>
      </c>
      <c r="M272" s="246">
        <f t="shared" si="144"/>
        <v>0</v>
      </c>
      <c r="N272" s="121">
        <f t="shared" si="145"/>
        <v>1.05</v>
      </c>
      <c r="O272" s="246">
        <f t="shared" si="146"/>
        <v>1</v>
      </c>
      <c r="P272" s="121">
        <f t="shared" si="147"/>
        <v>0</v>
      </c>
      <c r="Q272" s="121">
        <f t="shared" si="148"/>
        <v>0.375</v>
      </c>
      <c r="R272" s="121">
        <f t="shared" si="149"/>
        <v>0.625</v>
      </c>
      <c r="S272" s="121" t="str">
        <f t="shared" si="150"/>
        <v/>
      </c>
      <c r="T272" s="121" t="str">
        <f t="shared" si="151"/>
        <v/>
      </c>
      <c r="U272" s="121">
        <f t="shared" si="152"/>
        <v>1.05</v>
      </c>
    </row>
    <row r="273" spans="1:21" x14ac:dyDescent="0.3">
      <c r="A273" s="187">
        <v>33</v>
      </c>
      <c r="B273" s="242">
        <f t="shared" si="153"/>
        <v>46631</v>
      </c>
      <c r="C273" s="243">
        <f t="shared" si="134"/>
        <v>46660</v>
      </c>
      <c r="D273" s="120">
        <f t="shared" si="135"/>
        <v>30</v>
      </c>
      <c r="E273" s="120">
        <f t="shared" si="136"/>
        <v>9</v>
      </c>
      <c r="F273" s="275">
        <f t="shared" si="137"/>
        <v>46646</v>
      </c>
      <c r="G273" s="120">
        <f t="shared" si="138"/>
        <v>24332</v>
      </c>
      <c r="H273" s="245">
        <f t="shared" si="139"/>
        <v>1</v>
      </c>
      <c r="I273" s="121">
        <f t="shared" si="140"/>
        <v>1.05</v>
      </c>
      <c r="J273" s="121">
        <f t="shared" si="141"/>
        <v>1.05</v>
      </c>
      <c r="K273" s="120">
        <f t="shared" si="142"/>
        <v>0</v>
      </c>
      <c r="L273" s="120">
        <f t="shared" si="143"/>
        <v>0</v>
      </c>
      <c r="M273" s="246">
        <f t="shared" si="144"/>
        <v>0</v>
      </c>
      <c r="N273" s="121">
        <f t="shared" si="145"/>
        <v>1.05</v>
      </c>
      <c r="O273" s="246">
        <f t="shared" si="146"/>
        <v>1</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87">
        <v>34</v>
      </c>
      <c r="B274" s="242">
        <f t="shared" si="153"/>
        <v>46661</v>
      </c>
      <c r="C274" s="243">
        <f t="shared" si="134"/>
        <v>46691</v>
      </c>
      <c r="D274" s="120">
        <f t="shared" si="135"/>
        <v>31</v>
      </c>
      <c r="E274" s="120">
        <f t="shared" si="136"/>
        <v>10</v>
      </c>
      <c r="F274" s="275">
        <f t="shared" si="137"/>
        <v>46676.5</v>
      </c>
      <c r="G274" s="120">
        <f t="shared" si="138"/>
        <v>24333</v>
      </c>
      <c r="H274" s="245">
        <f t="shared" si="139"/>
        <v>1</v>
      </c>
      <c r="I274" s="121">
        <f t="shared" si="140"/>
        <v>1.05</v>
      </c>
      <c r="J274" s="121">
        <f t="shared" si="141"/>
        <v>1.05</v>
      </c>
      <c r="K274" s="120">
        <f t="shared" si="142"/>
        <v>0</v>
      </c>
      <c r="L274" s="120">
        <f t="shared" si="143"/>
        <v>0</v>
      </c>
      <c r="M274" s="246">
        <f t="shared" si="144"/>
        <v>0</v>
      </c>
      <c r="N274" s="121">
        <f t="shared" si="145"/>
        <v>1.05</v>
      </c>
      <c r="O274" s="246">
        <f t="shared" si="146"/>
        <v>1</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87">
        <v>35</v>
      </c>
      <c r="B275" s="242">
        <f t="shared" si="153"/>
        <v>46692</v>
      </c>
      <c r="C275" s="243">
        <f t="shared" si="134"/>
        <v>46721</v>
      </c>
      <c r="D275" s="120">
        <f t="shared" si="135"/>
        <v>30</v>
      </c>
      <c r="E275" s="120">
        <f t="shared" si="136"/>
        <v>11</v>
      </c>
      <c r="F275" s="275">
        <f t="shared" si="137"/>
        <v>46707</v>
      </c>
      <c r="G275" s="120">
        <f t="shared" si="138"/>
        <v>24334</v>
      </c>
      <c r="H275" s="245">
        <f t="shared" si="139"/>
        <v>1</v>
      </c>
      <c r="I275" s="121">
        <f t="shared" si="140"/>
        <v>1.05</v>
      </c>
      <c r="J275" s="121">
        <f t="shared" si="141"/>
        <v>1.05</v>
      </c>
      <c r="K275" s="120">
        <f t="shared" si="142"/>
        <v>0</v>
      </c>
      <c r="L275" s="120">
        <f t="shared" si="143"/>
        <v>0</v>
      </c>
      <c r="M275" s="246">
        <f t="shared" si="144"/>
        <v>0</v>
      </c>
      <c r="N275" s="121">
        <f t="shared" si="145"/>
        <v>1.05</v>
      </c>
      <c r="O275" s="246">
        <f t="shared" si="146"/>
        <v>1</v>
      </c>
      <c r="P275" s="121">
        <f t="shared" si="147"/>
        <v>0</v>
      </c>
      <c r="Q275" s="121">
        <f t="shared" si="148"/>
        <v>0.125</v>
      </c>
      <c r="R275" s="121">
        <f t="shared" si="149"/>
        <v>0.875</v>
      </c>
      <c r="S275" s="121" t="str">
        <f t="shared" si="150"/>
        <v/>
      </c>
      <c r="T275" s="121" t="str">
        <f t="shared" si="151"/>
        <v/>
      </c>
      <c r="U275" s="121">
        <f t="shared" si="152"/>
        <v>1.05</v>
      </c>
    </row>
    <row r="276" spans="1:21" x14ac:dyDescent="0.3">
      <c r="A276" s="187">
        <v>36</v>
      </c>
      <c r="B276" s="242">
        <f t="shared" si="153"/>
        <v>46722</v>
      </c>
      <c r="C276" s="243">
        <f t="shared" si="134"/>
        <v>46752</v>
      </c>
      <c r="D276" s="120">
        <f t="shared" si="135"/>
        <v>31</v>
      </c>
      <c r="E276" s="120">
        <f t="shared" si="136"/>
        <v>12</v>
      </c>
      <c r="F276" s="275">
        <f t="shared" si="137"/>
        <v>46737.5</v>
      </c>
      <c r="G276" s="120">
        <f t="shared" si="138"/>
        <v>24335</v>
      </c>
      <c r="H276" s="245">
        <f t="shared" si="139"/>
        <v>1</v>
      </c>
      <c r="I276" s="121">
        <f t="shared" si="140"/>
        <v>1.05</v>
      </c>
      <c r="J276" s="121">
        <f t="shared" si="141"/>
        <v>1.05</v>
      </c>
      <c r="K276" s="120">
        <f t="shared" si="142"/>
        <v>0</v>
      </c>
      <c r="L276" s="120">
        <f t="shared" si="143"/>
        <v>0</v>
      </c>
      <c r="M276" s="246">
        <f t="shared" si="144"/>
        <v>0</v>
      </c>
      <c r="N276" s="121">
        <f t="shared" si="145"/>
        <v>1.05</v>
      </c>
      <c r="O276" s="246">
        <f t="shared" si="146"/>
        <v>1</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87">
        <v>37</v>
      </c>
      <c r="B277" s="242">
        <f t="shared" si="153"/>
        <v>46753</v>
      </c>
      <c r="C277" s="243">
        <f t="shared" si="134"/>
        <v>46783</v>
      </c>
      <c r="D277" s="120">
        <f t="shared" si="135"/>
        <v>31</v>
      </c>
      <c r="E277" s="120">
        <f t="shared" si="136"/>
        <v>1</v>
      </c>
      <c r="F277" s="275">
        <f t="shared" si="137"/>
        <v>46768.5</v>
      </c>
      <c r="G277" s="120">
        <f t="shared" si="138"/>
        <v>24336</v>
      </c>
      <c r="H277" s="245">
        <f t="shared" si="139"/>
        <v>1</v>
      </c>
      <c r="I277" s="121">
        <f t="shared" si="140"/>
        <v>1.05</v>
      </c>
      <c r="J277" s="121">
        <f t="shared" si="141"/>
        <v>1.05</v>
      </c>
      <c r="K277" s="120">
        <f t="shared" si="142"/>
        <v>0</v>
      </c>
      <c r="L277" s="120">
        <f t="shared" si="143"/>
        <v>0</v>
      </c>
      <c r="M277" s="246">
        <f t="shared" si="144"/>
        <v>0</v>
      </c>
      <c r="N277" s="121">
        <f t="shared" si="145"/>
        <v>1.05</v>
      </c>
      <c r="O277" s="246">
        <f t="shared" si="146"/>
        <v>1</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87">
        <v>38</v>
      </c>
      <c r="B278" s="242">
        <f t="shared" si="153"/>
        <v>46784</v>
      </c>
      <c r="C278" s="243">
        <f t="shared" si="134"/>
        <v>46812</v>
      </c>
      <c r="D278" s="120">
        <f t="shared" si="135"/>
        <v>29</v>
      </c>
      <c r="E278" s="120">
        <f t="shared" si="136"/>
        <v>2</v>
      </c>
      <c r="F278" s="275">
        <f t="shared" si="137"/>
        <v>46798.5</v>
      </c>
      <c r="G278" s="120">
        <f t="shared" si="138"/>
        <v>24337</v>
      </c>
      <c r="H278" s="245">
        <f t="shared" si="139"/>
        <v>1</v>
      </c>
      <c r="I278" s="121">
        <f t="shared" si="140"/>
        <v>1.05</v>
      </c>
      <c r="J278" s="121">
        <f t="shared" si="141"/>
        <v>1.05</v>
      </c>
      <c r="K278" s="120">
        <f t="shared" si="142"/>
        <v>0</v>
      </c>
      <c r="L278" s="120">
        <f t="shared" si="143"/>
        <v>0</v>
      </c>
      <c r="M278" s="246">
        <f t="shared" si="144"/>
        <v>0</v>
      </c>
      <c r="N278" s="121">
        <f t="shared" si="145"/>
        <v>1.05</v>
      </c>
      <c r="O278" s="246">
        <f t="shared" si="146"/>
        <v>1</v>
      </c>
      <c r="P278" s="121">
        <f t="shared" si="147"/>
        <v>0</v>
      </c>
      <c r="Q278" s="121">
        <f t="shared" si="148"/>
        <v>0</v>
      </c>
      <c r="R278" s="121">
        <f t="shared" si="149"/>
        <v>0.875</v>
      </c>
      <c r="S278" s="121" t="str">
        <f t="shared" si="150"/>
        <v/>
      </c>
      <c r="T278" s="121" t="str">
        <f t="shared" si="151"/>
        <v/>
      </c>
      <c r="U278" s="121">
        <f t="shared" si="152"/>
        <v>1.05</v>
      </c>
    </row>
    <row r="279" spans="1:21" x14ac:dyDescent="0.3">
      <c r="A279" s="187">
        <v>39</v>
      </c>
      <c r="B279" s="242">
        <f t="shared" si="153"/>
        <v>46813</v>
      </c>
      <c r="C279" s="243">
        <f t="shared" si="134"/>
        <v>46843</v>
      </c>
      <c r="D279" s="120">
        <f t="shared" si="135"/>
        <v>31</v>
      </c>
      <c r="E279" s="120">
        <f t="shared" si="136"/>
        <v>3</v>
      </c>
      <c r="F279" s="275">
        <f t="shared" si="137"/>
        <v>46828.5</v>
      </c>
      <c r="G279" s="120">
        <f t="shared" si="138"/>
        <v>24338</v>
      </c>
      <c r="H279" s="245">
        <f t="shared" si="139"/>
        <v>1</v>
      </c>
      <c r="I279" s="121">
        <f t="shared" si="140"/>
        <v>1.05</v>
      </c>
      <c r="J279" s="121">
        <f t="shared" si="141"/>
        <v>1.05</v>
      </c>
      <c r="K279" s="120">
        <f t="shared" si="142"/>
        <v>0</v>
      </c>
      <c r="L279" s="120">
        <f t="shared" si="143"/>
        <v>0</v>
      </c>
      <c r="M279" s="246">
        <f t="shared" si="144"/>
        <v>0</v>
      </c>
      <c r="N279" s="121">
        <f t="shared" si="145"/>
        <v>1.05</v>
      </c>
      <c r="O279" s="246">
        <f t="shared" si="146"/>
        <v>1</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87">
        <v>40</v>
      </c>
      <c r="B280" s="242">
        <f t="shared" si="153"/>
        <v>46844</v>
      </c>
      <c r="C280" s="243">
        <f t="shared" si="134"/>
        <v>46873</v>
      </c>
      <c r="D280" s="120">
        <f t="shared" si="135"/>
        <v>30</v>
      </c>
      <c r="E280" s="120">
        <f t="shared" si="136"/>
        <v>4</v>
      </c>
      <c r="F280" s="275">
        <f t="shared" si="137"/>
        <v>46859</v>
      </c>
      <c r="G280" s="120">
        <f t="shared" si="138"/>
        <v>24339</v>
      </c>
      <c r="H280" s="245">
        <f t="shared" si="139"/>
        <v>1</v>
      </c>
      <c r="I280" s="121">
        <f t="shared" si="140"/>
        <v>1.05</v>
      </c>
      <c r="J280" s="121">
        <f t="shared" si="141"/>
        <v>1.05</v>
      </c>
      <c r="K280" s="120">
        <f t="shared" si="142"/>
        <v>0</v>
      </c>
      <c r="L280" s="120">
        <f t="shared" si="143"/>
        <v>0</v>
      </c>
      <c r="M280" s="246">
        <f t="shared" si="144"/>
        <v>0</v>
      </c>
      <c r="N280" s="121">
        <f t="shared" si="145"/>
        <v>1.05</v>
      </c>
      <c r="O280" s="246">
        <f t="shared" si="146"/>
        <v>1</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87">
        <v>41</v>
      </c>
      <c r="B281" s="242">
        <f t="shared" si="153"/>
        <v>46874</v>
      </c>
      <c r="C281" s="243">
        <f t="shared" si="134"/>
        <v>46904</v>
      </c>
      <c r="D281" s="120">
        <f t="shared" si="135"/>
        <v>31</v>
      </c>
      <c r="E281" s="120">
        <f t="shared" si="136"/>
        <v>5</v>
      </c>
      <c r="F281" s="275">
        <f t="shared" si="137"/>
        <v>46889.5</v>
      </c>
      <c r="G281" s="120">
        <f t="shared" si="138"/>
        <v>24340</v>
      </c>
      <c r="H281" s="245">
        <f t="shared" si="139"/>
        <v>1</v>
      </c>
      <c r="I281" s="121">
        <f t="shared" si="140"/>
        <v>1.05</v>
      </c>
      <c r="J281" s="121">
        <f t="shared" si="141"/>
        <v>1.05</v>
      </c>
      <c r="K281" s="120">
        <f t="shared" si="142"/>
        <v>0</v>
      </c>
      <c r="L281" s="120">
        <f t="shared" si="143"/>
        <v>0</v>
      </c>
      <c r="M281" s="246">
        <f t="shared" si="144"/>
        <v>0</v>
      </c>
      <c r="N281" s="121">
        <f t="shared" si="145"/>
        <v>1.05</v>
      </c>
      <c r="O281" s="246">
        <f t="shared" si="146"/>
        <v>1</v>
      </c>
      <c r="P281" s="121">
        <f t="shared" si="147"/>
        <v>0</v>
      </c>
      <c r="Q281" s="121">
        <f t="shared" si="148"/>
        <v>0</v>
      </c>
      <c r="R281" s="121">
        <f t="shared" si="149"/>
        <v>0.625</v>
      </c>
      <c r="S281" s="121" t="str">
        <f t="shared" si="150"/>
        <v/>
      </c>
      <c r="T281" s="121" t="str">
        <f t="shared" si="151"/>
        <v/>
      </c>
      <c r="U281" s="121">
        <f t="shared" si="152"/>
        <v>1.05</v>
      </c>
    </row>
    <row r="282" spans="1:21" x14ac:dyDescent="0.3">
      <c r="A282" s="187">
        <v>42</v>
      </c>
      <c r="B282" s="242">
        <f t="shared" si="153"/>
        <v>46905</v>
      </c>
      <c r="C282" s="243">
        <f t="shared" si="134"/>
        <v>46934</v>
      </c>
      <c r="D282" s="120">
        <f t="shared" si="135"/>
        <v>30</v>
      </c>
      <c r="E282" s="120">
        <f t="shared" si="136"/>
        <v>6</v>
      </c>
      <c r="F282" s="275">
        <f t="shared" si="137"/>
        <v>46920</v>
      </c>
      <c r="G282" s="120">
        <f t="shared" si="138"/>
        <v>24341</v>
      </c>
      <c r="H282" s="245">
        <f t="shared" si="139"/>
        <v>1</v>
      </c>
      <c r="I282" s="121">
        <f t="shared" si="140"/>
        <v>1.05</v>
      </c>
      <c r="J282" s="121">
        <f t="shared" si="141"/>
        <v>1.05</v>
      </c>
      <c r="K282" s="120">
        <f t="shared" si="142"/>
        <v>0</v>
      </c>
      <c r="L282" s="120">
        <f t="shared" si="143"/>
        <v>0</v>
      </c>
      <c r="M282" s="246">
        <f t="shared" si="144"/>
        <v>0</v>
      </c>
      <c r="N282" s="121">
        <f t="shared" si="145"/>
        <v>1.05</v>
      </c>
      <c r="O282" s="246">
        <f t="shared" si="146"/>
        <v>1</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87">
        <v>43</v>
      </c>
      <c r="B283" s="242">
        <f t="shared" si="153"/>
        <v>46935</v>
      </c>
      <c r="C283" s="243">
        <f t="shared" si="134"/>
        <v>46965</v>
      </c>
      <c r="D283" s="120">
        <f t="shared" si="135"/>
        <v>31</v>
      </c>
      <c r="E283" s="120">
        <f t="shared" si="136"/>
        <v>7</v>
      </c>
      <c r="F283" s="275">
        <f t="shared" si="137"/>
        <v>46950.5</v>
      </c>
      <c r="G283" s="120">
        <f t="shared" si="138"/>
        <v>24342</v>
      </c>
      <c r="H283" s="245">
        <f t="shared" si="139"/>
        <v>1</v>
      </c>
      <c r="I283" s="121">
        <f t="shared" si="140"/>
        <v>1.05</v>
      </c>
      <c r="J283" s="121">
        <f t="shared" si="141"/>
        <v>1.05</v>
      </c>
      <c r="K283" s="120">
        <f t="shared" si="142"/>
        <v>0</v>
      </c>
      <c r="L283" s="120">
        <f t="shared" si="143"/>
        <v>0</v>
      </c>
      <c r="M283" s="246">
        <f t="shared" si="144"/>
        <v>0</v>
      </c>
      <c r="N283" s="121">
        <f t="shared" si="145"/>
        <v>1.05</v>
      </c>
      <c r="O283" s="246">
        <f t="shared" si="146"/>
        <v>1</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87">
        <v>44</v>
      </c>
      <c r="B284" s="242">
        <f t="shared" si="153"/>
        <v>46966</v>
      </c>
      <c r="C284" s="243">
        <f t="shared" si="134"/>
        <v>46996</v>
      </c>
      <c r="D284" s="120">
        <f t="shared" si="135"/>
        <v>31</v>
      </c>
      <c r="E284" s="120">
        <f t="shared" si="136"/>
        <v>8</v>
      </c>
      <c r="F284" s="275">
        <f t="shared" si="137"/>
        <v>46981.5</v>
      </c>
      <c r="G284" s="120">
        <f t="shared" si="138"/>
        <v>24343</v>
      </c>
      <c r="H284" s="245">
        <f t="shared" si="139"/>
        <v>1</v>
      </c>
      <c r="I284" s="121">
        <f t="shared" si="140"/>
        <v>1.05</v>
      </c>
      <c r="J284" s="121">
        <f t="shared" si="141"/>
        <v>1.05</v>
      </c>
      <c r="K284" s="120">
        <f t="shared" si="142"/>
        <v>0</v>
      </c>
      <c r="L284" s="120">
        <f t="shared" si="143"/>
        <v>0</v>
      </c>
      <c r="M284" s="246">
        <f t="shared" si="144"/>
        <v>0</v>
      </c>
      <c r="N284" s="121">
        <f t="shared" si="145"/>
        <v>1.05</v>
      </c>
      <c r="O284" s="246">
        <f t="shared" si="146"/>
        <v>1</v>
      </c>
      <c r="P284" s="121">
        <f t="shared" si="147"/>
        <v>0</v>
      </c>
      <c r="Q284" s="121">
        <f t="shared" si="148"/>
        <v>0</v>
      </c>
      <c r="R284" s="121">
        <f t="shared" si="149"/>
        <v>0.375</v>
      </c>
      <c r="S284" s="121" t="str">
        <f t="shared" si="150"/>
        <v/>
      </c>
      <c r="T284" s="121" t="str">
        <f t="shared" si="151"/>
        <v/>
      </c>
      <c r="U284" s="121">
        <f t="shared" si="152"/>
        <v>1.05</v>
      </c>
    </row>
    <row r="285" spans="1:21" x14ac:dyDescent="0.3">
      <c r="A285" s="187">
        <v>45</v>
      </c>
      <c r="B285" s="242">
        <f t="shared" si="153"/>
        <v>46997</v>
      </c>
      <c r="C285" s="243">
        <f t="shared" si="134"/>
        <v>47026</v>
      </c>
      <c r="D285" s="120">
        <f t="shared" si="135"/>
        <v>30</v>
      </c>
      <c r="E285" s="120">
        <f t="shared" si="136"/>
        <v>9</v>
      </c>
      <c r="F285" s="275">
        <f t="shared" si="137"/>
        <v>47012</v>
      </c>
      <c r="G285" s="120">
        <f t="shared" si="138"/>
        <v>24344</v>
      </c>
      <c r="H285" s="245">
        <f t="shared" si="139"/>
        <v>1</v>
      </c>
      <c r="I285" s="121">
        <f t="shared" si="140"/>
        <v>1.05</v>
      </c>
      <c r="J285" s="121">
        <f t="shared" si="141"/>
        <v>1.05</v>
      </c>
      <c r="K285" s="120">
        <f t="shared" si="142"/>
        <v>0</v>
      </c>
      <c r="L285" s="120">
        <f t="shared" si="143"/>
        <v>0</v>
      </c>
      <c r="M285" s="246">
        <f t="shared" si="144"/>
        <v>0</v>
      </c>
      <c r="N285" s="121">
        <f t="shared" si="145"/>
        <v>1.05</v>
      </c>
      <c r="O285" s="246">
        <f t="shared" si="146"/>
        <v>1</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87">
        <v>46</v>
      </c>
      <c r="B286" s="242">
        <f t="shared" si="153"/>
        <v>47027</v>
      </c>
      <c r="C286" s="243">
        <f t="shared" si="134"/>
        <v>47057</v>
      </c>
      <c r="D286" s="120">
        <f t="shared" si="135"/>
        <v>31</v>
      </c>
      <c r="E286" s="120">
        <f t="shared" si="136"/>
        <v>10</v>
      </c>
      <c r="F286" s="275">
        <f t="shared" si="137"/>
        <v>47042.5</v>
      </c>
      <c r="G286" s="120">
        <f t="shared" si="138"/>
        <v>24345</v>
      </c>
      <c r="H286" s="245">
        <f t="shared" si="139"/>
        <v>1</v>
      </c>
      <c r="I286" s="121">
        <f t="shared" si="140"/>
        <v>1.05</v>
      </c>
      <c r="J286" s="121">
        <f t="shared" si="141"/>
        <v>1.05</v>
      </c>
      <c r="K286" s="120">
        <f t="shared" si="142"/>
        <v>0</v>
      </c>
      <c r="L286" s="120">
        <f t="shared" si="143"/>
        <v>0</v>
      </c>
      <c r="M286" s="246">
        <f t="shared" si="144"/>
        <v>0</v>
      </c>
      <c r="N286" s="121">
        <f t="shared" si="145"/>
        <v>1.05</v>
      </c>
      <c r="O286" s="246">
        <f t="shared" si="146"/>
        <v>1</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87">
        <v>47</v>
      </c>
      <c r="B287" s="242">
        <f t="shared" si="153"/>
        <v>47058</v>
      </c>
      <c r="C287" s="243">
        <f t="shared" si="134"/>
        <v>47087</v>
      </c>
      <c r="D287" s="120">
        <f t="shared" si="135"/>
        <v>30</v>
      </c>
      <c r="E287" s="120">
        <f t="shared" si="136"/>
        <v>11</v>
      </c>
      <c r="F287" s="275">
        <f t="shared" si="137"/>
        <v>47073</v>
      </c>
      <c r="G287" s="120">
        <f t="shared" si="138"/>
        <v>24346</v>
      </c>
      <c r="H287" s="245">
        <f t="shared" si="139"/>
        <v>1</v>
      </c>
      <c r="I287" s="121">
        <f t="shared" si="140"/>
        <v>1.05</v>
      </c>
      <c r="J287" s="121">
        <f t="shared" si="141"/>
        <v>1.05</v>
      </c>
      <c r="K287" s="120">
        <f t="shared" si="142"/>
        <v>0</v>
      </c>
      <c r="L287" s="120">
        <f t="shared" si="143"/>
        <v>0</v>
      </c>
      <c r="M287" s="246">
        <f t="shared" si="144"/>
        <v>0</v>
      </c>
      <c r="N287" s="121">
        <f t="shared" si="145"/>
        <v>1.05</v>
      </c>
      <c r="O287" s="246">
        <f t="shared" si="146"/>
        <v>1</v>
      </c>
      <c r="P287" s="121">
        <f t="shared" si="147"/>
        <v>0</v>
      </c>
      <c r="Q287" s="121">
        <f t="shared" si="148"/>
        <v>0</v>
      </c>
      <c r="R287" s="121">
        <f t="shared" si="149"/>
        <v>0.125</v>
      </c>
      <c r="S287" s="121" t="str">
        <f t="shared" si="150"/>
        <v/>
      </c>
      <c r="T287" s="121" t="str">
        <f t="shared" si="151"/>
        <v/>
      </c>
      <c r="U287" s="121">
        <f t="shared" si="152"/>
        <v>1.05</v>
      </c>
    </row>
    <row r="288" spans="1:21" x14ac:dyDescent="0.3">
      <c r="A288" s="187">
        <v>48</v>
      </c>
      <c r="B288" s="242">
        <f t="shared" si="153"/>
        <v>47088</v>
      </c>
      <c r="C288" s="243">
        <f t="shared" si="134"/>
        <v>47118</v>
      </c>
      <c r="D288" s="120">
        <f t="shared" si="135"/>
        <v>31</v>
      </c>
      <c r="E288" s="120">
        <f t="shared" si="136"/>
        <v>12</v>
      </c>
      <c r="F288" s="275">
        <f t="shared" si="137"/>
        <v>47103.5</v>
      </c>
      <c r="G288" s="120">
        <f t="shared" si="138"/>
        <v>24347</v>
      </c>
      <c r="H288" s="245">
        <f t="shared" si="139"/>
        <v>1</v>
      </c>
      <c r="I288" s="121">
        <f t="shared" si="140"/>
        <v>1.05</v>
      </c>
      <c r="J288" s="121">
        <f t="shared" si="141"/>
        <v>1.05</v>
      </c>
      <c r="K288" s="120">
        <f t="shared" si="142"/>
        <v>0</v>
      </c>
      <c r="L288" s="120">
        <f t="shared" si="143"/>
        <v>0</v>
      </c>
      <c r="M288" s="246">
        <f t="shared" si="144"/>
        <v>0</v>
      </c>
      <c r="N288" s="121">
        <f t="shared" si="145"/>
        <v>1.05</v>
      </c>
      <c r="O288" s="246">
        <f t="shared" si="146"/>
        <v>1</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1651</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24">
        <f>SUMPRODUCT($H$241:$H$288,$Q$241:$Q$288,$O$241:$O$288)/SUMPRODUCT($H$241:$H$288,$Q$241:$Q$288)</f>
        <v>1</v>
      </c>
      <c r="G289" s="224">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row>
    <row r="292" spans="1:21" x14ac:dyDescent="0.3">
      <c r="A292" s="6" t="str">
        <f>INDEX(lr_key,5)</f>
        <v>ABD|GA</v>
      </c>
      <c r="B292" s="6" t="str">
        <f>INDEX(lr_state,5)</f>
        <v>GA</v>
      </c>
      <c r="C292" s="75">
        <f>nr_TermMonths</f>
        <v>12</v>
      </c>
      <c r="D292" s="75">
        <f>IF(COUNTIF(se_state,$B292)=0,0,MATCH($B292,se_state,0))</f>
        <v>0</v>
      </c>
      <c r="E292" s="70">
        <f>IF($D292=0,0,INDEX(se_sum,$D292))</f>
        <v>0</v>
      </c>
      <c r="F292" s="224">
        <f>IF(N(INDEX(lr_mind,5))=0,1,INDEX(lr_mind,5))</f>
        <v>1</v>
      </c>
      <c r="G292" s="224">
        <f>IF(N(INDEX(lr_m0,5))=0,1,INDEX(lr_m0,5))</f>
        <v>0.99</v>
      </c>
      <c r="H292" s="74">
        <f>IF(N(INDEX(lr_m0asof,5))=0,DATE(nr_PlanYear-1,10,1),INDEX(lr_m0asof,5))</f>
        <v>46295</v>
      </c>
      <c r="I292" s="224">
        <f>IF(N(INDEX(lr_m1,5))=0,1,INDEX(lr_m1,5))</f>
        <v>1.0049999999999999</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54">EOMONTH($B295,0)</f>
        <v>45688</v>
      </c>
      <c r="D295" s="120">
        <f t="shared" ref="D295:D342" si="155">$C295-$B295+1</f>
        <v>31</v>
      </c>
      <c r="E295" s="120">
        <f t="shared" ref="E295:E342" si="156">MONTH($B295)</f>
        <v>1</v>
      </c>
      <c r="F295" s="275">
        <f t="shared" ref="F295:F342" si="157">($B295+$C295+1)/2</f>
        <v>45673.5</v>
      </c>
      <c r="G295" s="120">
        <f t="shared" ref="G295:G342" si="158">YEAR($B295)*12+MONTH($B295)-1</f>
        <v>24300</v>
      </c>
      <c r="H295" s="245">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46">
        <f t="shared" ref="M295:M342" si="164">IF($K295=0,0,MIN(1,$L295/$D295))</f>
        <v>0</v>
      </c>
      <c r="N295" s="121">
        <f t="shared" ref="N295:N342" si="165">IF($K295=0,$J295,(1-$M295)*$I295+$M295*$J295)</f>
        <v>1</v>
      </c>
      <c r="O295" s="246">
        <f t="shared" ref="O295:O342" si="166">IF($F295&lt;$B$293,$E$293+$I$293*($F295-$A$293),IF($F295&lt;$C$293,$F$293+$J$293*($F295-$B$293),$G$293+$K$293*($F295-$C$293)))</f>
        <v>0.96956783369803068</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87">
        <v>2</v>
      </c>
      <c r="B296" s="242">
        <f t="shared" ref="B296:B342" si="173">EDATE($B295,1)</f>
        <v>45689</v>
      </c>
      <c r="C296" s="243">
        <f t="shared" si="154"/>
        <v>45716</v>
      </c>
      <c r="D296" s="120">
        <f t="shared" si="155"/>
        <v>28</v>
      </c>
      <c r="E296" s="120">
        <f t="shared" si="156"/>
        <v>2</v>
      </c>
      <c r="F296" s="275">
        <f t="shared" si="157"/>
        <v>45703</v>
      </c>
      <c r="G296" s="120">
        <f t="shared" si="158"/>
        <v>24301</v>
      </c>
      <c r="H296" s="245">
        <f t="shared" si="159"/>
        <v>1</v>
      </c>
      <c r="I296" s="121">
        <f t="shared" si="160"/>
        <v>1</v>
      </c>
      <c r="J296" s="121">
        <f t="shared" si="161"/>
        <v>1</v>
      </c>
      <c r="K296" s="120">
        <f t="shared" si="162"/>
        <v>0</v>
      </c>
      <c r="L296" s="120">
        <f t="shared" si="163"/>
        <v>0</v>
      </c>
      <c r="M296" s="246">
        <f t="shared" si="164"/>
        <v>0</v>
      </c>
      <c r="N296" s="121">
        <f t="shared" si="165"/>
        <v>1</v>
      </c>
      <c r="O296" s="246">
        <f t="shared" si="166"/>
        <v>0.97053610503282284</v>
      </c>
      <c r="P296" s="121">
        <f t="shared" si="167"/>
        <v>0.125</v>
      </c>
      <c r="Q296" s="121">
        <f t="shared" si="168"/>
        <v>0</v>
      </c>
      <c r="R296" s="121">
        <f t="shared" si="169"/>
        <v>0</v>
      </c>
      <c r="S296" s="121" t="str">
        <f t="shared" si="170"/>
        <v/>
      </c>
      <c r="T296" s="121" t="str">
        <f t="shared" si="171"/>
        <v/>
      </c>
      <c r="U296" s="121">
        <f t="shared" si="172"/>
        <v>1</v>
      </c>
    </row>
    <row r="297" spans="1:21" x14ac:dyDescent="0.3">
      <c r="A297" s="187">
        <v>3</v>
      </c>
      <c r="B297" s="242">
        <f t="shared" si="173"/>
        <v>45717</v>
      </c>
      <c r="C297" s="243">
        <f t="shared" si="154"/>
        <v>45747</v>
      </c>
      <c r="D297" s="120">
        <f t="shared" si="155"/>
        <v>31</v>
      </c>
      <c r="E297" s="120">
        <f t="shared" si="156"/>
        <v>3</v>
      </c>
      <c r="F297" s="275">
        <f t="shared" si="157"/>
        <v>45732.5</v>
      </c>
      <c r="G297" s="120">
        <f t="shared" si="158"/>
        <v>24302</v>
      </c>
      <c r="H297" s="245">
        <f t="shared" si="159"/>
        <v>1</v>
      </c>
      <c r="I297" s="121">
        <f t="shared" si="160"/>
        <v>1</v>
      </c>
      <c r="J297" s="121">
        <f t="shared" si="161"/>
        <v>1</v>
      </c>
      <c r="K297" s="120">
        <f t="shared" si="162"/>
        <v>0</v>
      </c>
      <c r="L297" s="120">
        <f t="shared" si="163"/>
        <v>0</v>
      </c>
      <c r="M297" s="246">
        <f t="shared" si="164"/>
        <v>0</v>
      </c>
      <c r="N297" s="121">
        <f t="shared" si="165"/>
        <v>1</v>
      </c>
      <c r="O297" s="246">
        <f t="shared" si="166"/>
        <v>0.971504376367615</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87">
        <v>4</v>
      </c>
      <c r="B298" s="242">
        <f t="shared" si="173"/>
        <v>45748</v>
      </c>
      <c r="C298" s="243">
        <f t="shared" si="154"/>
        <v>45777</v>
      </c>
      <c r="D298" s="120">
        <f t="shared" si="155"/>
        <v>30</v>
      </c>
      <c r="E298" s="120">
        <f t="shared" si="156"/>
        <v>4</v>
      </c>
      <c r="F298" s="275">
        <f t="shared" si="157"/>
        <v>45763</v>
      </c>
      <c r="G298" s="120">
        <f t="shared" si="158"/>
        <v>24303</v>
      </c>
      <c r="H298" s="245">
        <f t="shared" si="159"/>
        <v>1</v>
      </c>
      <c r="I298" s="121">
        <f t="shared" si="160"/>
        <v>1</v>
      </c>
      <c r="J298" s="121">
        <f t="shared" si="161"/>
        <v>1</v>
      </c>
      <c r="K298" s="120">
        <f t="shared" si="162"/>
        <v>0</v>
      </c>
      <c r="L298" s="120">
        <f t="shared" si="163"/>
        <v>0</v>
      </c>
      <c r="M298" s="246">
        <f t="shared" si="164"/>
        <v>0</v>
      </c>
      <c r="N298" s="121">
        <f t="shared" si="165"/>
        <v>1</v>
      </c>
      <c r="O298" s="246">
        <f t="shared" si="166"/>
        <v>0.97250547045951863</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87">
        <v>5</v>
      </c>
      <c r="B299" s="242">
        <f t="shared" si="173"/>
        <v>45778</v>
      </c>
      <c r="C299" s="243">
        <f t="shared" si="154"/>
        <v>45808</v>
      </c>
      <c r="D299" s="120">
        <f t="shared" si="155"/>
        <v>31</v>
      </c>
      <c r="E299" s="120">
        <f t="shared" si="156"/>
        <v>5</v>
      </c>
      <c r="F299" s="275">
        <f t="shared" si="157"/>
        <v>45793.5</v>
      </c>
      <c r="G299" s="120">
        <f t="shared" si="158"/>
        <v>24304</v>
      </c>
      <c r="H299" s="245">
        <f t="shared" si="159"/>
        <v>1</v>
      </c>
      <c r="I299" s="121">
        <f t="shared" si="160"/>
        <v>1</v>
      </c>
      <c r="J299" s="121">
        <f t="shared" si="161"/>
        <v>1</v>
      </c>
      <c r="K299" s="120">
        <f t="shared" si="162"/>
        <v>0</v>
      </c>
      <c r="L299" s="120">
        <f t="shared" si="163"/>
        <v>0</v>
      </c>
      <c r="M299" s="246">
        <f t="shared" si="164"/>
        <v>0</v>
      </c>
      <c r="N299" s="121">
        <f t="shared" si="165"/>
        <v>1</v>
      </c>
      <c r="O299" s="246">
        <f t="shared" si="166"/>
        <v>0.97350656455142237</v>
      </c>
      <c r="P299" s="121">
        <f t="shared" si="167"/>
        <v>0.375</v>
      </c>
      <c r="Q299" s="121">
        <f t="shared" si="168"/>
        <v>0</v>
      </c>
      <c r="R299" s="121">
        <f t="shared" si="169"/>
        <v>0</v>
      </c>
      <c r="S299" s="121" t="str">
        <f t="shared" si="170"/>
        <v/>
      </c>
      <c r="T299" s="121" t="str">
        <f t="shared" si="171"/>
        <v/>
      </c>
      <c r="U299" s="121">
        <f t="shared" si="172"/>
        <v>1</v>
      </c>
    </row>
    <row r="300" spans="1:21" x14ac:dyDescent="0.3">
      <c r="A300" s="187">
        <v>6</v>
      </c>
      <c r="B300" s="242">
        <f t="shared" si="173"/>
        <v>45809</v>
      </c>
      <c r="C300" s="243">
        <f t="shared" si="154"/>
        <v>45838</v>
      </c>
      <c r="D300" s="120">
        <f t="shared" si="155"/>
        <v>30</v>
      </c>
      <c r="E300" s="120">
        <f t="shared" si="156"/>
        <v>6</v>
      </c>
      <c r="F300" s="275">
        <f t="shared" si="157"/>
        <v>45824</v>
      </c>
      <c r="G300" s="120">
        <f t="shared" si="158"/>
        <v>24305</v>
      </c>
      <c r="H300" s="245">
        <f t="shared" si="159"/>
        <v>1</v>
      </c>
      <c r="I300" s="121">
        <f t="shared" si="160"/>
        <v>1</v>
      </c>
      <c r="J300" s="121">
        <f t="shared" si="161"/>
        <v>1</v>
      </c>
      <c r="K300" s="120">
        <f t="shared" si="162"/>
        <v>0</v>
      </c>
      <c r="L300" s="120">
        <f t="shared" si="163"/>
        <v>0</v>
      </c>
      <c r="M300" s="246">
        <f t="shared" si="164"/>
        <v>0</v>
      </c>
      <c r="N300" s="121">
        <f t="shared" si="165"/>
        <v>1</v>
      </c>
      <c r="O300" s="246">
        <f t="shared" si="166"/>
        <v>0.97450765864332611</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87">
        <v>7</v>
      </c>
      <c r="B301" s="242">
        <f t="shared" si="173"/>
        <v>45839</v>
      </c>
      <c r="C301" s="243">
        <f t="shared" si="154"/>
        <v>45869</v>
      </c>
      <c r="D301" s="120">
        <f t="shared" si="155"/>
        <v>31</v>
      </c>
      <c r="E301" s="120">
        <f t="shared" si="156"/>
        <v>7</v>
      </c>
      <c r="F301" s="275">
        <f t="shared" si="157"/>
        <v>45854.5</v>
      </c>
      <c r="G301" s="120">
        <f t="shared" si="158"/>
        <v>24306</v>
      </c>
      <c r="H301" s="245">
        <f t="shared" si="159"/>
        <v>1</v>
      </c>
      <c r="I301" s="121">
        <f t="shared" si="160"/>
        <v>1</v>
      </c>
      <c r="J301" s="121">
        <f t="shared" si="161"/>
        <v>1</v>
      </c>
      <c r="K301" s="120">
        <f t="shared" si="162"/>
        <v>0</v>
      </c>
      <c r="L301" s="120">
        <f t="shared" si="163"/>
        <v>0</v>
      </c>
      <c r="M301" s="246">
        <f t="shared" si="164"/>
        <v>0</v>
      </c>
      <c r="N301" s="121">
        <f t="shared" si="165"/>
        <v>1</v>
      </c>
      <c r="O301" s="246">
        <f t="shared" si="166"/>
        <v>0.97550875273522986</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87">
        <v>8</v>
      </c>
      <c r="B302" s="242">
        <f t="shared" si="173"/>
        <v>45870</v>
      </c>
      <c r="C302" s="243">
        <f t="shared" si="154"/>
        <v>45900</v>
      </c>
      <c r="D302" s="120">
        <f t="shared" si="155"/>
        <v>31</v>
      </c>
      <c r="E302" s="120">
        <f t="shared" si="156"/>
        <v>8</v>
      </c>
      <c r="F302" s="275">
        <f t="shared" si="157"/>
        <v>45885.5</v>
      </c>
      <c r="G302" s="120">
        <f t="shared" si="158"/>
        <v>24307</v>
      </c>
      <c r="H302" s="245">
        <f t="shared" si="159"/>
        <v>1</v>
      </c>
      <c r="I302" s="121">
        <f t="shared" si="160"/>
        <v>1</v>
      </c>
      <c r="J302" s="121">
        <f t="shared" si="161"/>
        <v>1</v>
      </c>
      <c r="K302" s="120">
        <f t="shared" si="162"/>
        <v>0</v>
      </c>
      <c r="L302" s="120">
        <f t="shared" si="163"/>
        <v>0</v>
      </c>
      <c r="M302" s="246">
        <f t="shared" si="164"/>
        <v>0</v>
      </c>
      <c r="N302" s="121">
        <f t="shared" si="165"/>
        <v>1</v>
      </c>
      <c r="O302" s="246">
        <f t="shared" si="166"/>
        <v>0.97652625820568928</v>
      </c>
      <c r="P302" s="121">
        <f t="shared" si="167"/>
        <v>0.625</v>
      </c>
      <c r="Q302" s="121">
        <f t="shared" si="168"/>
        <v>0</v>
      </c>
      <c r="R302" s="121">
        <f t="shared" si="169"/>
        <v>0</v>
      </c>
      <c r="S302" s="121" t="str">
        <f t="shared" si="170"/>
        <v/>
      </c>
      <c r="T302" s="121" t="str">
        <f t="shared" si="171"/>
        <v/>
      </c>
      <c r="U302" s="121">
        <f t="shared" si="172"/>
        <v>1</v>
      </c>
    </row>
    <row r="303" spans="1:21" x14ac:dyDescent="0.3">
      <c r="A303" s="187">
        <v>9</v>
      </c>
      <c r="B303" s="242">
        <f t="shared" si="173"/>
        <v>45901</v>
      </c>
      <c r="C303" s="243">
        <f t="shared" si="154"/>
        <v>45930</v>
      </c>
      <c r="D303" s="120">
        <f t="shared" si="155"/>
        <v>30</v>
      </c>
      <c r="E303" s="120">
        <f t="shared" si="156"/>
        <v>9</v>
      </c>
      <c r="F303" s="275">
        <f t="shared" si="157"/>
        <v>45916</v>
      </c>
      <c r="G303" s="120">
        <f t="shared" si="158"/>
        <v>24308</v>
      </c>
      <c r="H303" s="245">
        <f t="shared" si="159"/>
        <v>1</v>
      </c>
      <c r="I303" s="121">
        <f t="shared" si="160"/>
        <v>1</v>
      </c>
      <c r="J303" s="121">
        <f t="shared" si="161"/>
        <v>1</v>
      </c>
      <c r="K303" s="120">
        <f t="shared" si="162"/>
        <v>0</v>
      </c>
      <c r="L303" s="120">
        <f t="shared" si="163"/>
        <v>0</v>
      </c>
      <c r="M303" s="246">
        <f t="shared" si="164"/>
        <v>0</v>
      </c>
      <c r="N303" s="121">
        <f t="shared" si="165"/>
        <v>1</v>
      </c>
      <c r="O303" s="246">
        <f t="shared" si="166"/>
        <v>0.97752735229759302</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87">
        <v>10</v>
      </c>
      <c r="B304" s="242">
        <f t="shared" si="173"/>
        <v>45931</v>
      </c>
      <c r="C304" s="243">
        <f t="shared" si="154"/>
        <v>45961</v>
      </c>
      <c r="D304" s="120">
        <f t="shared" si="155"/>
        <v>31</v>
      </c>
      <c r="E304" s="120">
        <f t="shared" si="156"/>
        <v>10</v>
      </c>
      <c r="F304" s="275">
        <f t="shared" si="157"/>
        <v>45946.5</v>
      </c>
      <c r="G304" s="120">
        <f t="shared" si="158"/>
        <v>24309</v>
      </c>
      <c r="H304" s="245">
        <f t="shared" si="159"/>
        <v>1</v>
      </c>
      <c r="I304" s="121">
        <f t="shared" si="160"/>
        <v>1</v>
      </c>
      <c r="J304" s="121">
        <f t="shared" si="161"/>
        <v>1</v>
      </c>
      <c r="K304" s="120">
        <f t="shared" si="162"/>
        <v>0</v>
      </c>
      <c r="L304" s="120">
        <f t="shared" si="163"/>
        <v>0</v>
      </c>
      <c r="M304" s="246">
        <f t="shared" si="164"/>
        <v>0</v>
      </c>
      <c r="N304" s="121">
        <f t="shared" si="165"/>
        <v>1</v>
      </c>
      <c r="O304" s="246">
        <f t="shared" si="166"/>
        <v>0.97852844638949676</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87">
        <v>11</v>
      </c>
      <c r="B305" s="242">
        <f t="shared" si="173"/>
        <v>45962</v>
      </c>
      <c r="C305" s="243">
        <f t="shared" si="154"/>
        <v>45991</v>
      </c>
      <c r="D305" s="120">
        <f t="shared" si="155"/>
        <v>30</v>
      </c>
      <c r="E305" s="120">
        <f t="shared" si="156"/>
        <v>11</v>
      </c>
      <c r="F305" s="275">
        <f t="shared" si="157"/>
        <v>45977</v>
      </c>
      <c r="G305" s="120">
        <f t="shared" si="158"/>
        <v>24310</v>
      </c>
      <c r="H305" s="245">
        <f t="shared" si="159"/>
        <v>1</v>
      </c>
      <c r="I305" s="121">
        <f t="shared" si="160"/>
        <v>1</v>
      </c>
      <c r="J305" s="121">
        <f t="shared" si="161"/>
        <v>1</v>
      </c>
      <c r="K305" s="120">
        <f t="shared" si="162"/>
        <v>0</v>
      </c>
      <c r="L305" s="120">
        <f t="shared" si="163"/>
        <v>0</v>
      </c>
      <c r="M305" s="246">
        <f t="shared" si="164"/>
        <v>0</v>
      </c>
      <c r="N305" s="121">
        <f t="shared" si="165"/>
        <v>1</v>
      </c>
      <c r="O305" s="246">
        <f t="shared" si="166"/>
        <v>0.97952954048140051</v>
      </c>
      <c r="P305" s="121">
        <f t="shared" si="167"/>
        <v>0.875</v>
      </c>
      <c r="Q305" s="121">
        <f t="shared" si="168"/>
        <v>0</v>
      </c>
      <c r="R305" s="121">
        <f t="shared" si="169"/>
        <v>0</v>
      </c>
      <c r="S305" s="121" t="str">
        <f t="shared" si="170"/>
        <v/>
      </c>
      <c r="T305" s="121" t="str">
        <f t="shared" si="171"/>
        <v/>
      </c>
      <c r="U305" s="121">
        <f t="shared" si="172"/>
        <v>1</v>
      </c>
    </row>
    <row r="306" spans="1:21" x14ac:dyDescent="0.3">
      <c r="A306" s="187">
        <v>12</v>
      </c>
      <c r="B306" s="242">
        <f t="shared" si="173"/>
        <v>45992</v>
      </c>
      <c r="C306" s="243">
        <f t="shared" si="154"/>
        <v>46022</v>
      </c>
      <c r="D306" s="120">
        <f t="shared" si="155"/>
        <v>31</v>
      </c>
      <c r="E306" s="120">
        <f t="shared" si="156"/>
        <v>12</v>
      </c>
      <c r="F306" s="275">
        <f t="shared" si="157"/>
        <v>46007.5</v>
      </c>
      <c r="G306" s="120">
        <f t="shared" si="158"/>
        <v>24311</v>
      </c>
      <c r="H306" s="245">
        <f t="shared" si="159"/>
        <v>1</v>
      </c>
      <c r="I306" s="121">
        <f t="shared" si="160"/>
        <v>1</v>
      </c>
      <c r="J306" s="121">
        <f t="shared" si="161"/>
        <v>1</v>
      </c>
      <c r="K306" s="120">
        <f t="shared" si="162"/>
        <v>0</v>
      </c>
      <c r="L306" s="120">
        <f t="shared" si="163"/>
        <v>0</v>
      </c>
      <c r="M306" s="246">
        <f t="shared" si="164"/>
        <v>0</v>
      </c>
      <c r="N306" s="121">
        <f t="shared" si="165"/>
        <v>1</v>
      </c>
      <c r="O306" s="246">
        <f t="shared" si="166"/>
        <v>0.98053063457330414</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87">
        <v>13</v>
      </c>
      <c r="B307" s="242">
        <f t="shared" si="173"/>
        <v>46023</v>
      </c>
      <c r="C307" s="243">
        <f t="shared" si="154"/>
        <v>46053</v>
      </c>
      <c r="D307" s="120">
        <f t="shared" si="155"/>
        <v>31</v>
      </c>
      <c r="E307" s="120">
        <f t="shared" si="156"/>
        <v>1</v>
      </c>
      <c r="F307" s="275">
        <f t="shared" si="157"/>
        <v>46038.5</v>
      </c>
      <c r="G307" s="120">
        <f t="shared" si="158"/>
        <v>24312</v>
      </c>
      <c r="H307" s="245">
        <f t="shared" si="159"/>
        <v>1</v>
      </c>
      <c r="I307" s="121">
        <f t="shared" si="160"/>
        <v>1</v>
      </c>
      <c r="J307" s="121">
        <f t="shared" si="161"/>
        <v>1</v>
      </c>
      <c r="K307" s="120">
        <f t="shared" si="162"/>
        <v>0</v>
      </c>
      <c r="L307" s="120">
        <f t="shared" si="163"/>
        <v>0</v>
      </c>
      <c r="M307" s="246">
        <f t="shared" si="164"/>
        <v>0</v>
      </c>
      <c r="N307" s="121">
        <f t="shared" si="165"/>
        <v>1</v>
      </c>
      <c r="O307" s="246">
        <f t="shared" si="166"/>
        <v>0.98154814004376367</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87">
        <v>14</v>
      </c>
      <c r="B308" s="242">
        <f t="shared" si="173"/>
        <v>46054</v>
      </c>
      <c r="C308" s="243">
        <f t="shared" si="154"/>
        <v>46081</v>
      </c>
      <c r="D308" s="120">
        <f t="shared" si="155"/>
        <v>28</v>
      </c>
      <c r="E308" s="120">
        <f t="shared" si="156"/>
        <v>2</v>
      </c>
      <c r="F308" s="275">
        <f t="shared" si="157"/>
        <v>46068</v>
      </c>
      <c r="G308" s="120">
        <f t="shared" si="158"/>
        <v>24313</v>
      </c>
      <c r="H308" s="245">
        <f t="shared" si="159"/>
        <v>1</v>
      </c>
      <c r="I308" s="121">
        <f t="shared" si="160"/>
        <v>1</v>
      </c>
      <c r="J308" s="121">
        <f t="shared" si="161"/>
        <v>1</v>
      </c>
      <c r="K308" s="120">
        <f t="shared" si="162"/>
        <v>0</v>
      </c>
      <c r="L308" s="120">
        <f t="shared" si="163"/>
        <v>0</v>
      </c>
      <c r="M308" s="246">
        <f t="shared" si="164"/>
        <v>0</v>
      </c>
      <c r="N308" s="121">
        <f t="shared" si="165"/>
        <v>1</v>
      </c>
      <c r="O308" s="246">
        <f t="shared" si="166"/>
        <v>0.98251641137855583</v>
      </c>
      <c r="P308" s="121">
        <f t="shared" si="167"/>
        <v>0.875</v>
      </c>
      <c r="Q308" s="121">
        <f t="shared" si="168"/>
        <v>0.125</v>
      </c>
      <c r="R308" s="121">
        <f t="shared" si="169"/>
        <v>0</v>
      </c>
      <c r="S308" s="121" t="str">
        <f t="shared" si="170"/>
        <v/>
      </c>
      <c r="T308" s="121" t="str">
        <f t="shared" si="171"/>
        <v/>
      </c>
      <c r="U308" s="121">
        <f t="shared" si="172"/>
        <v>1</v>
      </c>
    </row>
    <row r="309" spans="1:21" x14ac:dyDescent="0.3">
      <c r="A309" s="187">
        <v>15</v>
      </c>
      <c r="B309" s="242">
        <f t="shared" si="173"/>
        <v>46082</v>
      </c>
      <c r="C309" s="243">
        <f t="shared" si="154"/>
        <v>46112</v>
      </c>
      <c r="D309" s="120">
        <f t="shared" si="155"/>
        <v>31</v>
      </c>
      <c r="E309" s="120">
        <f t="shared" si="156"/>
        <v>3</v>
      </c>
      <c r="F309" s="275">
        <f t="shared" si="157"/>
        <v>46097.5</v>
      </c>
      <c r="G309" s="120">
        <f t="shared" si="158"/>
        <v>24314</v>
      </c>
      <c r="H309" s="245">
        <f t="shared" si="159"/>
        <v>1</v>
      </c>
      <c r="I309" s="121">
        <f t="shared" si="160"/>
        <v>1</v>
      </c>
      <c r="J309" s="121">
        <f t="shared" si="161"/>
        <v>1</v>
      </c>
      <c r="K309" s="120">
        <f t="shared" si="162"/>
        <v>0</v>
      </c>
      <c r="L309" s="120">
        <f t="shared" si="163"/>
        <v>0</v>
      </c>
      <c r="M309" s="246">
        <f t="shared" si="164"/>
        <v>0</v>
      </c>
      <c r="N309" s="121">
        <f t="shared" si="165"/>
        <v>1</v>
      </c>
      <c r="O309" s="246">
        <f t="shared" si="166"/>
        <v>0.98348468271334799</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87">
        <v>16</v>
      </c>
      <c r="B310" s="242">
        <f t="shared" si="173"/>
        <v>46113</v>
      </c>
      <c r="C310" s="243">
        <f t="shared" si="154"/>
        <v>46142</v>
      </c>
      <c r="D310" s="120">
        <f t="shared" si="155"/>
        <v>30</v>
      </c>
      <c r="E310" s="120">
        <f t="shared" si="156"/>
        <v>4</v>
      </c>
      <c r="F310" s="275">
        <f t="shared" si="157"/>
        <v>46128</v>
      </c>
      <c r="G310" s="120">
        <f t="shared" si="158"/>
        <v>24315</v>
      </c>
      <c r="H310" s="245">
        <f t="shared" si="159"/>
        <v>1</v>
      </c>
      <c r="I310" s="121">
        <f t="shared" si="160"/>
        <v>1</v>
      </c>
      <c r="J310" s="121">
        <f t="shared" si="161"/>
        <v>1</v>
      </c>
      <c r="K310" s="120">
        <f t="shared" si="162"/>
        <v>0</v>
      </c>
      <c r="L310" s="120">
        <f t="shared" si="163"/>
        <v>0</v>
      </c>
      <c r="M310" s="246">
        <f t="shared" si="164"/>
        <v>0</v>
      </c>
      <c r="N310" s="121">
        <f t="shared" si="165"/>
        <v>1</v>
      </c>
      <c r="O310" s="246">
        <f t="shared" si="166"/>
        <v>0.98448577680525162</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87">
        <v>17</v>
      </c>
      <c r="B311" s="242">
        <f t="shared" si="173"/>
        <v>46143</v>
      </c>
      <c r="C311" s="243">
        <f t="shared" si="154"/>
        <v>46173</v>
      </c>
      <c r="D311" s="120">
        <f t="shared" si="155"/>
        <v>31</v>
      </c>
      <c r="E311" s="120">
        <f t="shared" si="156"/>
        <v>5</v>
      </c>
      <c r="F311" s="275">
        <f t="shared" si="157"/>
        <v>46158.5</v>
      </c>
      <c r="G311" s="120">
        <f t="shared" si="158"/>
        <v>24316</v>
      </c>
      <c r="H311" s="245">
        <f t="shared" si="159"/>
        <v>1</v>
      </c>
      <c r="I311" s="121">
        <f t="shared" si="160"/>
        <v>1</v>
      </c>
      <c r="J311" s="121">
        <f t="shared" si="161"/>
        <v>1.06</v>
      </c>
      <c r="K311" s="120">
        <f t="shared" si="162"/>
        <v>1</v>
      </c>
      <c r="L311" s="120">
        <f t="shared" si="163"/>
        <v>31</v>
      </c>
      <c r="M311" s="246">
        <f t="shared" si="164"/>
        <v>1</v>
      </c>
      <c r="N311" s="121">
        <f t="shared" si="165"/>
        <v>1.06</v>
      </c>
      <c r="O311" s="246">
        <f t="shared" si="166"/>
        <v>0.98548687089715536</v>
      </c>
      <c r="P311" s="121">
        <f t="shared" si="167"/>
        <v>0.625</v>
      </c>
      <c r="Q311" s="121">
        <f t="shared" si="168"/>
        <v>0.375</v>
      </c>
      <c r="R311" s="121">
        <f t="shared" si="169"/>
        <v>0</v>
      </c>
      <c r="S311" s="121" t="str">
        <f t="shared" si="170"/>
        <v/>
      </c>
      <c r="T311" s="121" t="str">
        <f t="shared" si="171"/>
        <v/>
      </c>
      <c r="U311" s="121">
        <f t="shared" si="172"/>
        <v>1.06</v>
      </c>
    </row>
    <row r="312" spans="1:21" x14ac:dyDescent="0.3">
      <c r="A312" s="187">
        <v>18</v>
      </c>
      <c r="B312" s="242">
        <f t="shared" si="173"/>
        <v>46174</v>
      </c>
      <c r="C312" s="243">
        <f t="shared" si="154"/>
        <v>46203</v>
      </c>
      <c r="D312" s="120">
        <f t="shared" si="155"/>
        <v>30</v>
      </c>
      <c r="E312" s="120">
        <f t="shared" si="156"/>
        <v>6</v>
      </c>
      <c r="F312" s="275">
        <f t="shared" si="157"/>
        <v>46189</v>
      </c>
      <c r="G312" s="120">
        <f t="shared" si="158"/>
        <v>24317</v>
      </c>
      <c r="H312" s="245">
        <f t="shared" si="159"/>
        <v>1</v>
      </c>
      <c r="I312" s="121">
        <f t="shared" si="160"/>
        <v>1.06</v>
      </c>
      <c r="J312" s="121">
        <f t="shared" si="161"/>
        <v>1.06</v>
      </c>
      <c r="K312" s="120">
        <f t="shared" si="162"/>
        <v>0</v>
      </c>
      <c r="L312" s="120">
        <f t="shared" si="163"/>
        <v>0</v>
      </c>
      <c r="M312" s="246">
        <f t="shared" si="164"/>
        <v>0</v>
      </c>
      <c r="N312" s="121">
        <f t="shared" si="165"/>
        <v>1.06</v>
      </c>
      <c r="O312" s="246">
        <f t="shared" si="166"/>
        <v>0.98648796498905911</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87">
        <v>19</v>
      </c>
      <c r="B313" s="242">
        <f t="shared" si="173"/>
        <v>46204</v>
      </c>
      <c r="C313" s="243">
        <f t="shared" si="154"/>
        <v>46234</v>
      </c>
      <c r="D313" s="120">
        <f t="shared" si="155"/>
        <v>31</v>
      </c>
      <c r="E313" s="120">
        <f t="shared" si="156"/>
        <v>7</v>
      </c>
      <c r="F313" s="275">
        <f t="shared" si="157"/>
        <v>46219.5</v>
      </c>
      <c r="G313" s="120">
        <f t="shared" si="158"/>
        <v>24318</v>
      </c>
      <c r="H313" s="245">
        <f t="shared" si="159"/>
        <v>1</v>
      </c>
      <c r="I313" s="121">
        <f t="shared" si="160"/>
        <v>1.06</v>
      </c>
      <c r="J313" s="121">
        <f t="shared" si="161"/>
        <v>1.06</v>
      </c>
      <c r="K313" s="120">
        <f t="shared" si="162"/>
        <v>0</v>
      </c>
      <c r="L313" s="120">
        <f t="shared" si="163"/>
        <v>0</v>
      </c>
      <c r="M313" s="246">
        <f t="shared" si="164"/>
        <v>0</v>
      </c>
      <c r="N313" s="121">
        <f t="shared" si="165"/>
        <v>1.06</v>
      </c>
      <c r="O313" s="246">
        <f t="shared" si="166"/>
        <v>0.98748905908096285</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87">
        <v>20</v>
      </c>
      <c r="B314" s="242">
        <f t="shared" si="173"/>
        <v>46235</v>
      </c>
      <c r="C314" s="243">
        <f t="shared" si="154"/>
        <v>46265</v>
      </c>
      <c r="D314" s="120">
        <f t="shared" si="155"/>
        <v>31</v>
      </c>
      <c r="E314" s="120">
        <f t="shared" si="156"/>
        <v>8</v>
      </c>
      <c r="F314" s="275">
        <f t="shared" si="157"/>
        <v>46250.5</v>
      </c>
      <c r="G314" s="120">
        <f t="shared" si="158"/>
        <v>24319</v>
      </c>
      <c r="H314" s="245">
        <f t="shared" si="159"/>
        <v>1</v>
      </c>
      <c r="I314" s="121">
        <f t="shared" si="160"/>
        <v>1.06</v>
      </c>
      <c r="J314" s="121">
        <f t="shared" si="161"/>
        <v>1.06</v>
      </c>
      <c r="K314" s="120">
        <f t="shared" si="162"/>
        <v>0</v>
      </c>
      <c r="L314" s="120">
        <f t="shared" si="163"/>
        <v>0</v>
      </c>
      <c r="M314" s="246">
        <f t="shared" si="164"/>
        <v>0</v>
      </c>
      <c r="N314" s="121">
        <f t="shared" si="165"/>
        <v>1.06</v>
      </c>
      <c r="O314" s="246">
        <f t="shared" si="166"/>
        <v>0.98850656455142227</v>
      </c>
      <c r="P314" s="121">
        <f t="shared" si="167"/>
        <v>0.375</v>
      </c>
      <c r="Q314" s="121">
        <f t="shared" si="168"/>
        <v>0.625</v>
      </c>
      <c r="R314" s="121">
        <f t="shared" si="169"/>
        <v>0</v>
      </c>
      <c r="S314" s="121" t="str">
        <f t="shared" si="170"/>
        <v/>
      </c>
      <c r="T314" s="121" t="str">
        <f t="shared" si="171"/>
        <v/>
      </c>
      <c r="U314" s="121">
        <f t="shared" si="172"/>
        <v>1.06</v>
      </c>
    </row>
    <row r="315" spans="1:21" x14ac:dyDescent="0.3">
      <c r="A315" s="187">
        <v>21</v>
      </c>
      <c r="B315" s="242">
        <f t="shared" si="173"/>
        <v>46266</v>
      </c>
      <c r="C315" s="243">
        <f t="shared" si="154"/>
        <v>46295</v>
      </c>
      <c r="D315" s="120">
        <f t="shared" si="155"/>
        <v>30</v>
      </c>
      <c r="E315" s="120">
        <f t="shared" si="156"/>
        <v>9</v>
      </c>
      <c r="F315" s="275">
        <f t="shared" si="157"/>
        <v>46281</v>
      </c>
      <c r="G315" s="120">
        <f t="shared" si="158"/>
        <v>24320</v>
      </c>
      <c r="H315" s="245">
        <f t="shared" si="159"/>
        <v>1</v>
      </c>
      <c r="I315" s="121">
        <f t="shared" si="160"/>
        <v>1.06</v>
      </c>
      <c r="J315" s="121">
        <f t="shared" si="161"/>
        <v>1.06</v>
      </c>
      <c r="K315" s="120">
        <f t="shared" si="162"/>
        <v>0</v>
      </c>
      <c r="L315" s="120">
        <f t="shared" si="163"/>
        <v>0</v>
      </c>
      <c r="M315" s="246">
        <f t="shared" si="164"/>
        <v>0</v>
      </c>
      <c r="N315" s="121">
        <f t="shared" si="165"/>
        <v>1.06</v>
      </c>
      <c r="O315" s="246">
        <f t="shared" si="166"/>
        <v>0.98950765864332602</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87">
        <v>22</v>
      </c>
      <c r="B316" s="242">
        <f t="shared" si="173"/>
        <v>46296</v>
      </c>
      <c r="C316" s="243">
        <f t="shared" si="154"/>
        <v>46326</v>
      </c>
      <c r="D316" s="120">
        <f t="shared" si="155"/>
        <v>31</v>
      </c>
      <c r="E316" s="120">
        <f t="shared" si="156"/>
        <v>10</v>
      </c>
      <c r="F316" s="275">
        <f t="shared" si="157"/>
        <v>46311.5</v>
      </c>
      <c r="G316" s="120">
        <f t="shared" si="158"/>
        <v>24321</v>
      </c>
      <c r="H316" s="245">
        <f t="shared" si="159"/>
        <v>1</v>
      </c>
      <c r="I316" s="121">
        <f t="shared" si="160"/>
        <v>1.06</v>
      </c>
      <c r="J316" s="121">
        <f t="shared" si="161"/>
        <v>1.06</v>
      </c>
      <c r="K316" s="120">
        <f t="shared" si="162"/>
        <v>0</v>
      </c>
      <c r="L316" s="120">
        <f t="shared" si="163"/>
        <v>0</v>
      </c>
      <c r="M316" s="246">
        <f t="shared" si="164"/>
        <v>0</v>
      </c>
      <c r="N316" s="121">
        <f t="shared" si="165"/>
        <v>1.06</v>
      </c>
      <c r="O316" s="246">
        <f t="shared" si="166"/>
        <v>0.99050875273522976</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87">
        <v>23</v>
      </c>
      <c r="B317" s="242">
        <f t="shared" si="173"/>
        <v>46327</v>
      </c>
      <c r="C317" s="243">
        <f t="shared" si="154"/>
        <v>46356</v>
      </c>
      <c r="D317" s="120">
        <f t="shared" si="155"/>
        <v>30</v>
      </c>
      <c r="E317" s="120">
        <f t="shared" si="156"/>
        <v>11</v>
      </c>
      <c r="F317" s="275">
        <f t="shared" si="157"/>
        <v>46342</v>
      </c>
      <c r="G317" s="120">
        <f t="shared" si="158"/>
        <v>24322</v>
      </c>
      <c r="H317" s="245">
        <f t="shared" si="159"/>
        <v>1</v>
      </c>
      <c r="I317" s="121">
        <f t="shared" si="160"/>
        <v>1.06</v>
      </c>
      <c r="J317" s="121">
        <f t="shared" si="161"/>
        <v>1.06</v>
      </c>
      <c r="K317" s="120">
        <f t="shared" si="162"/>
        <v>0</v>
      </c>
      <c r="L317" s="120">
        <f t="shared" si="163"/>
        <v>0</v>
      </c>
      <c r="M317" s="246">
        <f t="shared" si="164"/>
        <v>0</v>
      </c>
      <c r="N317" s="121">
        <f t="shared" si="165"/>
        <v>1.06</v>
      </c>
      <c r="O317" s="246">
        <f t="shared" si="166"/>
        <v>0.9915098468271335</v>
      </c>
      <c r="P317" s="121">
        <f t="shared" si="167"/>
        <v>0.125</v>
      </c>
      <c r="Q317" s="121">
        <f t="shared" si="168"/>
        <v>0.875</v>
      </c>
      <c r="R317" s="121">
        <f t="shared" si="169"/>
        <v>0</v>
      </c>
      <c r="S317" s="121" t="str">
        <f t="shared" si="170"/>
        <v/>
      </c>
      <c r="T317" s="121" t="str">
        <f t="shared" si="171"/>
        <v/>
      </c>
      <c r="U317" s="121">
        <f t="shared" si="172"/>
        <v>1.06</v>
      </c>
    </row>
    <row r="318" spans="1:21" x14ac:dyDescent="0.3">
      <c r="A318" s="187">
        <v>24</v>
      </c>
      <c r="B318" s="242">
        <f t="shared" si="173"/>
        <v>46357</v>
      </c>
      <c r="C318" s="243">
        <f t="shared" si="154"/>
        <v>46387</v>
      </c>
      <c r="D318" s="120">
        <f t="shared" si="155"/>
        <v>31</v>
      </c>
      <c r="E318" s="120">
        <f t="shared" si="156"/>
        <v>12</v>
      </c>
      <c r="F318" s="275">
        <f t="shared" si="157"/>
        <v>46372.5</v>
      </c>
      <c r="G318" s="120">
        <f t="shared" si="158"/>
        <v>24323</v>
      </c>
      <c r="H318" s="245">
        <f t="shared" si="159"/>
        <v>1</v>
      </c>
      <c r="I318" s="121">
        <f t="shared" si="160"/>
        <v>1.06</v>
      </c>
      <c r="J318" s="121">
        <f t="shared" si="161"/>
        <v>1.06</v>
      </c>
      <c r="K318" s="120">
        <f t="shared" si="162"/>
        <v>0</v>
      </c>
      <c r="L318" s="120">
        <f t="shared" si="163"/>
        <v>0</v>
      </c>
      <c r="M318" s="246">
        <f t="shared" si="164"/>
        <v>0</v>
      </c>
      <c r="N318" s="121">
        <f t="shared" si="165"/>
        <v>1.06</v>
      </c>
      <c r="O318" s="246">
        <f t="shared" si="166"/>
        <v>0.99251094091903713</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87">
        <v>25</v>
      </c>
      <c r="B319" s="242">
        <f t="shared" si="173"/>
        <v>46388</v>
      </c>
      <c r="C319" s="243">
        <f t="shared" si="154"/>
        <v>46418</v>
      </c>
      <c r="D319" s="120">
        <f t="shared" si="155"/>
        <v>31</v>
      </c>
      <c r="E319" s="120">
        <f t="shared" si="156"/>
        <v>1</v>
      </c>
      <c r="F319" s="275">
        <f t="shared" si="157"/>
        <v>46403.5</v>
      </c>
      <c r="G319" s="120">
        <f t="shared" si="158"/>
        <v>24324</v>
      </c>
      <c r="H319" s="245">
        <f t="shared" si="159"/>
        <v>1</v>
      </c>
      <c r="I319" s="121">
        <f t="shared" si="160"/>
        <v>1.06</v>
      </c>
      <c r="J319" s="121">
        <f t="shared" si="161"/>
        <v>1.06</v>
      </c>
      <c r="K319" s="120">
        <f t="shared" si="162"/>
        <v>0</v>
      </c>
      <c r="L319" s="120">
        <f t="shared" si="163"/>
        <v>0</v>
      </c>
      <c r="M319" s="246">
        <f t="shared" si="164"/>
        <v>0</v>
      </c>
      <c r="N319" s="121">
        <f t="shared" si="165"/>
        <v>1.06</v>
      </c>
      <c r="O319" s="246">
        <f t="shared" si="166"/>
        <v>0.99352844638949667</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87">
        <v>26</v>
      </c>
      <c r="B320" s="242">
        <f t="shared" si="173"/>
        <v>46419</v>
      </c>
      <c r="C320" s="243">
        <f t="shared" si="154"/>
        <v>46446</v>
      </c>
      <c r="D320" s="120">
        <f t="shared" si="155"/>
        <v>28</v>
      </c>
      <c r="E320" s="120">
        <f t="shared" si="156"/>
        <v>2</v>
      </c>
      <c r="F320" s="275">
        <f t="shared" si="157"/>
        <v>46433</v>
      </c>
      <c r="G320" s="120">
        <f t="shared" si="158"/>
        <v>24325</v>
      </c>
      <c r="H320" s="245">
        <f t="shared" si="159"/>
        <v>1</v>
      </c>
      <c r="I320" s="121">
        <f t="shared" si="160"/>
        <v>1.06</v>
      </c>
      <c r="J320" s="121">
        <f t="shared" si="161"/>
        <v>1.06</v>
      </c>
      <c r="K320" s="120">
        <f t="shared" si="162"/>
        <v>0</v>
      </c>
      <c r="L320" s="120">
        <f t="shared" si="163"/>
        <v>0</v>
      </c>
      <c r="M320" s="246">
        <f t="shared" si="164"/>
        <v>0</v>
      </c>
      <c r="N320" s="121">
        <f t="shared" si="165"/>
        <v>1.06</v>
      </c>
      <c r="O320" s="246">
        <f t="shared" si="166"/>
        <v>0.99449671772428883</v>
      </c>
      <c r="P320" s="121">
        <f t="shared" si="167"/>
        <v>0</v>
      </c>
      <c r="Q320" s="121">
        <f t="shared" si="168"/>
        <v>0.875</v>
      </c>
      <c r="R320" s="121">
        <f t="shared" si="169"/>
        <v>0.125</v>
      </c>
      <c r="S320" s="121" t="str">
        <f t="shared" si="170"/>
        <v/>
      </c>
      <c r="T320" s="121" t="str">
        <f t="shared" si="171"/>
        <v/>
      </c>
      <c r="U320" s="121">
        <f t="shared" si="172"/>
        <v>1.06</v>
      </c>
    </row>
    <row r="321" spans="1:21" x14ac:dyDescent="0.3">
      <c r="A321" s="187">
        <v>27</v>
      </c>
      <c r="B321" s="242">
        <f t="shared" si="173"/>
        <v>46447</v>
      </c>
      <c r="C321" s="243">
        <f t="shared" si="154"/>
        <v>46477</v>
      </c>
      <c r="D321" s="120">
        <f t="shared" si="155"/>
        <v>31</v>
      </c>
      <c r="E321" s="120">
        <f t="shared" si="156"/>
        <v>3</v>
      </c>
      <c r="F321" s="275">
        <f t="shared" si="157"/>
        <v>46462.5</v>
      </c>
      <c r="G321" s="120">
        <f t="shared" si="158"/>
        <v>24326</v>
      </c>
      <c r="H321" s="245">
        <f t="shared" si="159"/>
        <v>1</v>
      </c>
      <c r="I321" s="121">
        <f t="shared" si="160"/>
        <v>1.06</v>
      </c>
      <c r="J321" s="121">
        <f t="shared" si="161"/>
        <v>1.06</v>
      </c>
      <c r="K321" s="120">
        <f t="shared" si="162"/>
        <v>0</v>
      </c>
      <c r="L321" s="120">
        <f t="shared" si="163"/>
        <v>0</v>
      </c>
      <c r="M321" s="246">
        <f t="shared" si="164"/>
        <v>0</v>
      </c>
      <c r="N321" s="121">
        <f t="shared" si="165"/>
        <v>1.06</v>
      </c>
      <c r="O321" s="246">
        <f t="shared" si="166"/>
        <v>0.99546498905908087</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87">
        <v>28</v>
      </c>
      <c r="B322" s="242">
        <f t="shared" si="173"/>
        <v>46478</v>
      </c>
      <c r="C322" s="243">
        <f t="shared" si="154"/>
        <v>46507</v>
      </c>
      <c r="D322" s="120">
        <f t="shared" si="155"/>
        <v>30</v>
      </c>
      <c r="E322" s="120">
        <f t="shared" si="156"/>
        <v>4</v>
      </c>
      <c r="F322" s="275">
        <f t="shared" si="157"/>
        <v>46493</v>
      </c>
      <c r="G322" s="120">
        <f t="shared" si="158"/>
        <v>24327</v>
      </c>
      <c r="H322" s="245">
        <f t="shared" si="159"/>
        <v>1</v>
      </c>
      <c r="I322" s="121">
        <f t="shared" si="160"/>
        <v>1.06</v>
      </c>
      <c r="J322" s="121">
        <f t="shared" si="161"/>
        <v>1.06</v>
      </c>
      <c r="K322" s="120">
        <f t="shared" si="162"/>
        <v>0</v>
      </c>
      <c r="L322" s="120">
        <f t="shared" si="163"/>
        <v>0</v>
      </c>
      <c r="M322" s="246">
        <f t="shared" si="164"/>
        <v>0</v>
      </c>
      <c r="N322" s="121">
        <f t="shared" si="165"/>
        <v>1.06</v>
      </c>
      <c r="O322" s="246">
        <f t="shared" si="166"/>
        <v>0.99646608315098462</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87">
        <v>29</v>
      </c>
      <c r="B323" s="242">
        <f t="shared" si="173"/>
        <v>46508</v>
      </c>
      <c r="C323" s="243">
        <f t="shared" si="154"/>
        <v>46538</v>
      </c>
      <c r="D323" s="120">
        <f t="shared" si="155"/>
        <v>31</v>
      </c>
      <c r="E323" s="120">
        <f t="shared" si="156"/>
        <v>5</v>
      </c>
      <c r="F323" s="275">
        <f t="shared" si="157"/>
        <v>46523.5</v>
      </c>
      <c r="G323" s="120">
        <f t="shared" si="158"/>
        <v>24328</v>
      </c>
      <c r="H323" s="245">
        <f t="shared" si="159"/>
        <v>1</v>
      </c>
      <c r="I323" s="121">
        <f t="shared" si="160"/>
        <v>1.06</v>
      </c>
      <c r="J323" s="121">
        <f t="shared" si="161"/>
        <v>1.06</v>
      </c>
      <c r="K323" s="120">
        <f t="shared" si="162"/>
        <v>0</v>
      </c>
      <c r="L323" s="120">
        <f t="shared" si="163"/>
        <v>0</v>
      </c>
      <c r="M323" s="246">
        <f t="shared" si="164"/>
        <v>0</v>
      </c>
      <c r="N323" s="121">
        <f t="shared" si="165"/>
        <v>1.06</v>
      </c>
      <c r="O323" s="246">
        <f t="shared" si="166"/>
        <v>0.99746717724288836</v>
      </c>
      <c r="P323" s="121">
        <f t="shared" si="167"/>
        <v>0</v>
      </c>
      <c r="Q323" s="121">
        <f t="shared" si="168"/>
        <v>0.625</v>
      </c>
      <c r="R323" s="121">
        <f t="shared" si="169"/>
        <v>0.375</v>
      </c>
      <c r="S323" s="121" t="str">
        <f t="shared" si="170"/>
        <v/>
      </c>
      <c r="T323" s="121" t="str">
        <f t="shared" si="171"/>
        <v/>
      </c>
      <c r="U323" s="121">
        <f t="shared" si="172"/>
        <v>1.06</v>
      </c>
    </row>
    <row r="324" spans="1:21" x14ac:dyDescent="0.3">
      <c r="A324" s="187">
        <v>30</v>
      </c>
      <c r="B324" s="242">
        <f t="shared" si="173"/>
        <v>46539</v>
      </c>
      <c r="C324" s="243">
        <f t="shared" si="154"/>
        <v>46568</v>
      </c>
      <c r="D324" s="120">
        <f t="shared" si="155"/>
        <v>30</v>
      </c>
      <c r="E324" s="120">
        <f t="shared" si="156"/>
        <v>6</v>
      </c>
      <c r="F324" s="275">
        <f t="shared" si="157"/>
        <v>46554</v>
      </c>
      <c r="G324" s="120">
        <f t="shared" si="158"/>
        <v>24329</v>
      </c>
      <c r="H324" s="245">
        <f t="shared" si="159"/>
        <v>1</v>
      </c>
      <c r="I324" s="121">
        <f t="shared" si="160"/>
        <v>1.06</v>
      </c>
      <c r="J324" s="121">
        <f t="shared" si="161"/>
        <v>1.06</v>
      </c>
      <c r="K324" s="120">
        <f t="shared" si="162"/>
        <v>0</v>
      </c>
      <c r="L324" s="120">
        <f t="shared" si="163"/>
        <v>0</v>
      </c>
      <c r="M324" s="246">
        <f t="shared" si="164"/>
        <v>0</v>
      </c>
      <c r="N324" s="121">
        <f t="shared" si="165"/>
        <v>1.06</v>
      </c>
      <c r="O324" s="246">
        <f t="shared" si="166"/>
        <v>0.9984682713347921</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87">
        <v>31</v>
      </c>
      <c r="B325" s="242">
        <f t="shared" si="173"/>
        <v>46569</v>
      </c>
      <c r="C325" s="243">
        <f t="shared" si="154"/>
        <v>46599</v>
      </c>
      <c r="D325" s="120">
        <f t="shared" si="155"/>
        <v>31</v>
      </c>
      <c r="E325" s="120">
        <f t="shared" si="156"/>
        <v>7</v>
      </c>
      <c r="F325" s="275">
        <f t="shared" si="157"/>
        <v>46584.5</v>
      </c>
      <c r="G325" s="120">
        <f t="shared" si="158"/>
        <v>24330</v>
      </c>
      <c r="H325" s="245">
        <f t="shared" si="159"/>
        <v>1</v>
      </c>
      <c r="I325" s="121">
        <f t="shared" si="160"/>
        <v>1.06</v>
      </c>
      <c r="J325" s="121">
        <f t="shared" si="161"/>
        <v>1.06</v>
      </c>
      <c r="K325" s="120">
        <f t="shared" si="162"/>
        <v>0</v>
      </c>
      <c r="L325" s="120">
        <f t="shared" si="163"/>
        <v>0</v>
      </c>
      <c r="M325" s="246">
        <f t="shared" si="164"/>
        <v>0</v>
      </c>
      <c r="N325" s="121">
        <f t="shared" si="165"/>
        <v>1.06</v>
      </c>
      <c r="O325" s="246">
        <f t="shared" si="166"/>
        <v>0.99946936542669573</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87">
        <v>32</v>
      </c>
      <c r="B326" s="242">
        <f t="shared" si="173"/>
        <v>46600</v>
      </c>
      <c r="C326" s="243">
        <f t="shared" si="154"/>
        <v>46630</v>
      </c>
      <c r="D326" s="120">
        <f t="shared" si="155"/>
        <v>31</v>
      </c>
      <c r="E326" s="120">
        <f t="shared" si="156"/>
        <v>8</v>
      </c>
      <c r="F326" s="275">
        <f t="shared" si="157"/>
        <v>46615.5</v>
      </c>
      <c r="G326" s="120">
        <f t="shared" si="158"/>
        <v>24331</v>
      </c>
      <c r="H326" s="245">
        <f t="shared" si="159"/>
        <v>1</v>
      </c>
      <c r="I326" s="121">
        <f t="shared" si="160"/>
        <v>1.06</v>
      </c>
      <c r="J326" s="121">
        <f t="shared" si="161"/>
        <v>1.06</v>
      </c>
      <c r="K326" s="120">
        <f t="shared" si="162"/>
        <v>0</v>
      </c>
      <c r="L326" s="120">
        <f t="shared" si="163"/>
        <v>0</v>
      </c>
      <c r="M326" s="246">
        <f t="shared" si="164"/>
        <v>0</v>
      </c>
      <c r="N326" s="121">
        <f t="shared" si="165"/>
        <v>1.06</v>
      </c>
      <c r="O326" s="246">
        <f t="shared" si="166"/>
        <v>1.0004868708971553</v>
      </c>
      <c r="P326" s="121">
        <f t="shared" si="167"/>
        <v>0</v>
      </c>
      <c r="Q326" s="121">
        <f t="shared" si="168"/>
        <v>0.375</v>
      </c>
      <c r="R326" s="121">
        <f t="shared" si="169"/>
        <v>0.625</v>
      </c>
      <c r="S326" s="121" t="str">
        <f t="shared" si="170"/>
        <v/>
      </c>
      <c r="T326" s="121" t="str">
        <f t="shared" si="171"/>
        <v/>
      </c>
      <c r="U326" s="121">
        <f t="shared" si="172"/>
        <v>1.06</v>
      </c>
    </row>
    <row r="327" spans="1:21" x14ac:dyDescent="0.3">
      <c r="A327" s="187">
        <v>33</v>
      </c>
      <c r="B327" s="242">
        <f t="shared" si="173"/>
        <v>46631</v>
      </c>
      <c r="C327" s="243">
        <f t="shared" si="154"/>
        <v>46660</v>
      </c>
      <c r="D327" s="120">
        <f t="shared" si="155"/>
        <v>30</v>
      </c>
      <c r="E327" s="120">
        <f t="shared" si="156"/>
        <v>9</v>
      </c>
      <c r="F327" s="275">
        <f t="shared" si="157"/>
        <v>46646</v>
      </c>
      <c r="G327" s="120">
        <f t="shared" si="158"/>
        <v>24332</v>
      </c>
      <c r="H327" s="245">
        <f t="shared" si="159"/>
        <v>1</v>
      </c>
      <c r="I327" s="121">
        <f t="shared" si="160"/>
        <v>1.06</v>
      </c>
      <c r="J327" s="121">
        <f t="shared" si="161"/>
        <v>1.06</v>
      </c>
      <c r="K327" s="120">
        <f t="shared" si="162"/>
        <v>0</v>
      </c>
      <c r="L327" s="120">
        <f t="shared" si="163"/>
        <v>0</v>
      </c>
      <c r="M327" s="246">
        <f t="shared" si="164"/>
        <v>0</v>
      </c>
      <c r="N327" s="121">
        <f t="shared" si="165"/>
        <v>1.06</v>
      </c>
      <c r="O327" s="246">
        <f t="shared" si="166"/>
        <v>1.0014879649890589</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87">
        <v>34</v>
      </c>
      <c r="B328" s="242">
        <f t="shared" si="173"/>
        <v>46661</v>
      </c>
      <c r="C328" s="243">
        <f t="shared" si="154"/>
        <v>46691</v>
      </c>
      <c r="D328" s="120">
        <f t="shared" si="155"/>
        <v>31</v>
      </c>
      <c r="E328" s="120">
        <f t="shared" si="156"/>
        <v>10</v>
      </c>
      <c r="F328" s="275">
        <f t="shared" si="157"/>
        <v>46676.5</v>
      </c>
      <c r="G328" s="120">
        <f t="shared" si="158"/>
        <v>24333</v>
      </c>
      <c r="H328" s="245">
        <f t="shared" si="159"/>
        <v>1</v>
      </c>
      <c r="I328" s="121">
        <f t="shared" si="160"/>
        <v>1.06</v>
      </c>
      <c r="J328" s="121">
        <f t="shared" si="161"/>
        <v>1.06</v>
      </c>
      <c r="K328" s="120">
        <f t="shared" si="162"/>
        <v>0</v>
      </c>
      <c r="L328" s="120">
        <f t="shared" si="163"/>
        <v>0</v>
      </c>
      <c r="M328" s="246">
        <f t="shared" si="164"/>
        <v>0</v>
      </c>
      <c r="N328" s="121">
        <f t="shared" si="165"/>
        <v>1.06</v>
      </c>
      <c r="O328" s="246">
        <f t="shared" si="166"/>
        <v>1.0024890590809628</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87">
        <v>35</v>
      </c>
      <c r="B329" s="242">
        <f t="shared" si="173"/>
        <v>46692</v>
      </c>
      <c r="C329" s="243">
        <f t="shared" si="154"/>
        <v>46721</v>
      </c>
      <c r="D329" s="120">
        <f t="shared" si="155"/>
        <v>30</v>
      </c>
      <c r="E329" s="120">
        <f t="shared" si="156"/>
        <v>11</v>
      </c>
      <c r="F329" s="275">
        <f t="shared" si="157"/>
        <v>46707</v>
      </c>
      <c r="G329" s="120">
        <f t="shared" si="158"/>
        <v>24334</v>
      </c>
      <c r="H329" s="245">
        <f t="shared" si="159"/>
        <v>1</v>
      </c>
      <c r="I329" s="121">
        <f t="shared" si="160"/>
        <v>1.06</v>
      </c>
      <c r="J329" s="121">
        <f t="shared" si="161"/>
        <v>1.06</v>
      </c>
      <c r="K329" s="120">
        <f t="shared" si="162"/>
        <v>0</v>
      </c>
      <c r="L329" s="120">
        <f t="shared" si="163"/>
        <v>0</v>
      </c>
      <c r="M329" s="246">
        <f t="shared" si="164"/>
        <v>0</v>
      </c>
      <c r="N329" s="121">
        <f t="shared" si="165"/>
        <v>1.06</v>
      </c>
      <c r="O329" s="246">
        <f t="shared" si="166"/>
        <v>1.0034901531728664</v>
      </c>
      <c r="P329" s="121">
        <f t="shared" si="167"/>
        <v>0</v>
      </c>
      <c r="Q329" s="121">
        <f t="shared" si="168"/>
        <v>0.125</v>
      </c>
      <c r="R329" s="121">
        <f t="shared" si="169"/>
        <v>0.875</v>
      </c>
      <c r="S329" s="121" t="str">
        <f t="shared" si="170"/>
        <v/>
      </c>
      <c r="T329" s="121" t="str">
        <f t="shared" si="171"/>
        <v/>
      </c>
      <c r="U329" s="121">
        <f t="shared" si="172"/>
        <v>1.06</v>
      </c>
    </row>
    <row r="330" spans="1:21" x14ac:dyDescent="0.3">
      <c r="A330" s="187">
        <v>36</v>
      </c>
      <c r="B330" s="242">
        <f t="shared" si="173"/>
        <v>46722</v>
      </c>
      <c r="C330" s="243">
        <f t="shared" si="154"/>
        <v>46752</v>
      </c>
      <c r="D330" s="120">
        <f t="shared" si="155"/>
        <v>31</v>
      </c>
      <c r="E330" s="120">
        <f t="shared" si="156"/>
        <v>12</v>
      </c>
      <c r="F330" s="275">
        <f t="shared" si="157"/>
        <v>46737.5</v>
      </c>
      <c r="G330" s="120">
        <f t="shared" si="158"/>
        <v>24335</v>
      </c>
      <c r="H330" s="245">
        <f t="shared" si="159"/>
        <v>1</v>
      </c>
      <c r="I330" s="121">
        <f t="shared" si="160"/>
        <v>1.06</v>
      </c>
      <c r="J330" s="121">
        <f t="shared" si="161"/>
        <v>1.06</v>
      </c>
      <c r="K330" s="120">
        <f t="shared" si="162"/>
        <v>0</v>
      </c>
      <c r="L330" s="120">
        <f t="shared" si="163"/>
        <v>0</v>
      </c>
      <c r="M330" s="246">
        <f t="shared" si="164"/>
        <v>0</v>
      </c>
      <c r="N330" s="121">
        <f t="shared" si="165"/>
        <v>1.06</v>
      </c>
      <c r="O330" s="246">
        <f t="shared" si="166"/>
        <v>1.0044912472647702</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87">
        <v>37</v>
      </c>
      <c r="B331" s="242">
        <f t="shared" si="173"/>
        <v>46753</v>
      </c>
      <c r="C331" s="243">
        <f t="shared" si="154"/>
        <v>46783</v>
      </c>
      <c r="D331" s="120">
        <f t="shared" si="155"/>
        <v>31</v>
      </c>
      <c r="E331" s="120">
        <f t="shared" si="156"/>
        <v>1</v>
      </c>
      <c r="F331" s="275">
        <f t="shared" si="157"/>
        <v>46768.5</v>
      </c>
      <c r="G331" s="120">
        <f t="shared" si="158"/>
        <v>24336</v>
      </c>
      <c r="H331" s="245">
        <f t="shared" si="159"/>
        <v>1</v>
      </c>
      <c r="I331" s="121">
        <f t="shared" si="160"/>
        <v>1.06</v>
      </c>
      <c r="J331" s="121">
        <f t="shared" si="161"/>
        <v>1.06</v>
      </c>
      <c r="K331" s="120">
        <f t="shared" si="162"/>
        <v>0</v>
      </c>
      <c r="L331" s="120">
        <f t="shared" si="163"/>
        <v>0</v>
      </c>
      <c r="M331" s="246">
        <f t="shared" si="164"/>
        <v>0</v>
      </c>
      <c r="N331" s="121">
        <f t="shared" si="165"/>
        <v>1.06</v>
      </c>
      <c r="O331" s="246">
        <f t="shared" si="166"/>
        <v>1.0049999999999999</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87">
        <v>38</v>
      </c>
      <c r="B332" s="242">
        <f t="shared" si="173"/>
        <v>46784</v>
      </c>
      <c r="C332" s="243">
        <f t="shared" si="154"/>
        <v>46812</v>
      </c>
      <c r="D332" s="120">
        <f t="shared" si="155"/>
        <v>29</v>
      </c>
      <c r="E332" s="120">
        <f t="shared" si="156"/>
        <v>2</v>
      </c>
      <c r="F332" s="275">
        <f t="shared" si="157"/>
        <v>46798.5</v>
      </c>
      <c r="G332" s="120">
        <f t="shared" si="158"/>
        <v>24337</v>
      </c>
      <c r="H332" s="245">
        <f t="shared" si="159"/>
        <v>1</v>
      </c>
      <c r="I332" s="121">
        <f t="shared" si="160"/>
        <v>1.06</v>
      </c>
      <c r="J332" s="121">
        <f t="shared" si="161"/>
        <v>1.06</v>
      </c>
      <c r="K332" s="120">
        <f t="shared" si="162"/>
        <v>0</v>
      </c>
      <c r="L332" s="120">
        <f t="shared" si="163"/>
        <v>0</v>
      </c>
      <c r="M332" s="246">
        <f t="shared" si="164"/>
        <v>0</v>
      </c>
      <c r="N332" s="121">
        <f t="shared" si="165"/>
        <v>1.06</v>
      </c>
      <c r="O332" s="246">
        <f t="shared" si="166"/>
        <v>1.0049999999999999</v>
      </c>
      <c r="P332" s="121">
        <f t="shared" si="167"/>
        <v>0</v>
      </c>
      <c r="Q332" s="121">
        <f t="shared" si="168"/>
        <v>0</v>
      </c>
      <c r="R332" s="121">
        <f t="shared" si="169"/>
        <v>0.875</v>
      </c>
      <c r="S332" s="121" t="str">
        <f t="shared" si="170"/>
        <v/>
      </c>
      <c r="T332" s="121" t="str">
        <f t="shared" si="171"/>
        <v/>
      </c>
      <c r="U332" s="121">
        <f t="shared" si="172"/>
        <v>1.06</v>
      </c>
    </row>
    <row r="333" spans="1:21" x14ac:dyDescent="0.3">
      <c r="A333" s="187">
        <v>39</v>
      </c>
      <c r="B333" s="242">
        <f t="shared" si="173"/>
        <v>46813</v>
      </c>
      <c r="C333" s="243">
        <f t="shared" si="154"/>
        <v>46843</v>
      </c>
      <c r="D333" s="120">
        <f t="shared" si="155"/>
        <v>31</v>
      </c>
      <c r="E333" s="120">
        <f t="shared" si="156"/>
        <v>3</v>
      </c>
      <c r="F333" s="275">
        <f t="shared" si="157"/>
        <v>46828.5</v>
      </c>
      <c r="G333" s="120">
        <f t="shared" si="158"/>
        <v>24338</v>
      </c>
      <c r="H333" s="245">
        <f t="shared" si="159"/>
        <v>1</v>
      </c>
      <c r="I333" s="121">
        <f t="shared" si="160"/>
        <v>1.06</v>
      </c>
      <c r="J333" s="121">
        <f t="shared" si="161"/>
        <v>1.06</v>
      </c>
      <c r="K333" s="120">
        <f t="shared" si="162"/>
        <v>0</v>
      </c>
      <c r="L333" s="120">
        <f t="shared" si="163"/>
        <v>0</v>
      </c>
      <c r="M333" s="246">
        <f t="shared" si="164"/>
        <v>0</v>
      </c>
      <c r="N333" s="121">
        <f t="shared" si="165"/>
        <v>1.06</v>
      </c>
      <c r="O333" s="246">
        <f t="shared" si="166"/>
        <v>1.0049999999999999</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87">
        <v>40</v>
      </c>
      <c r="B334" s="242">
        <f t="shared" si="173"/>
        <v>46844</v>
      </c>
      <c r="C334" s="243">
        <f t="shared" si="154"/>
        <v>46873</v>
      </c>
      <c r="D334" s="120">
        <f t="shared" si="155"/>
        <v>30</v>
      </c>
      <c r="E334" s="120">
        <f t="shared" si="156"/>
        <v>4</v>
      </c>
      <c r="F334" s="275">
        <f t="shared" si="157"/>
        <v>46859</v>
      </c>
      <c r="G334" s="120">
        <f t="shared" si="158"/>
        <v>24339</v>
      </c>
      <c r="H334" s="245">
        <f t="shared" si="159"/>
        <v>1</v>
      </c>
      <c r="I334" s="121">
        <f t="shared" si="160"/>
        <v>1.06</v>
      </c>
      <c r="J334" s="121">
        <f t="shared" si="161"/>
        <v>1.06</v>
      </c>
      <c r="K334" s="120">
        <f t="shared" si="162"/>
        <v>0</v>
      </c>
      <c r="L334" s="120">
        <f t="shared" si="163"/>
        <v>0</v>
      </c>
      <c r="M334" s="246">
        <f t="shared" si="164"/>
        <v>0</v>
      </c>
      <c r="N334" s="121">
        <f t="shared" si="165"/>
        <v>1.06</v>
      </c>
      <c r="O334" s="246">
        <f t="shared" si="166"/>
        <v>1.0049999999999999</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87">
        <v>41</v>
      </c>
      <c r="B335" s="242">
        <f t="shared" si="173"/>
        <v>46874</v>
      </c>
      <c r="C335" s="243">
        <f t="shared" si="154"/>
        <v>46904</v>
      </c>
      <c r="D335" s="120">
        <f t="shared" si="155"/>
        <v>31</v>
      </c>
      <c r="E335" s="120">
        <f t="shared" si="156"/>
        <v>5</v>
      </c>
      <c r="F335" s="275">
        <f t="shared" si="157"/>
        <v>46889.5</v>
      </c>
      <c r="G335" s="120">
        <f t="shared" si="158"/>
        <v>24340</v>
      </c>
      <c r="H335" s="245">
        <f t="shared" si="159"/>
        <v>1</v>
      </c>
      <c r="I335" s="121">
        <f t="shared" si="160"/>
        <v>1.06</v>
      </c>
      <c r="J335" s="121">
        <f t="shared" si="161"/>
        <v>1.06</v>
      </c>
      <c r="K335" s="120">
        <f t="shared" si="162"/>
        <v>0</v>
      </c>
      <c r="L335" s="120">
        <f t="shared" si="163"/>
        <v>0</v>
      </c>
      <c r="M335" s="246">
        <f t="shared" si="164"/>
        <v>0</v>
      </c>
      <c r="N335" s="121">
        <f t="shared" si="165"/>
        <v>1.06</v>
      </c>
      <c r="O335" s="246">
        <f t="shared" si="166"/>
        <v>1.0049999999999999</v>
      </c>
      <c r="P335" s="121">
        <f t="shared" si="167"/>
        <v>0</v>
      </c>
      <c r="Q335" s="121">
        <f t="shared" si="168"/>
        <v>0</v>
      </c>
      <c r="R335" s="121">
        <f t="shared" si="169"/>
        <v>0.625</v>
      </c>
      <c r="S335" s="121" t="str">
        <f t="shared" si="170"/>
        <v/>
      </c>
      <c r="T335" s="121" t="str">
        <f t="shared" si="171"/>
        <v/>
      </c>
      <c r="U335" s="121">
        <f t="shared" si="172"/>
        <v>1.06</v>
      </c>
    </row>
    <row r="336" spans="1:21" x14ac:dyDescent="0.3">
      <c r="A336" s="187">
        <v>42</v>
      </c>
      <c r="B336" s="242">
        <f t="shared" si="173"/>
        <v>46905</v>
      </c>
      <c r="C336" s="243">
        <f t="shared" si="154"/>
        <v>46934</v>
      </c>
      <c r="D336" s="120">
        <f t="shared" si="155"/>
        <v>30</v>
      </c>
      <c r="E336" s="120">
        <f t="shared" si="156"/>
        <v>6</v>
      </c>
      <c r="F336" s="275">
        <f t="shared" si="157"/>
        <v>46920</v>
      </c>
      <c r="G336" s="120">
        <f t="shared" si="158"/>
        <v>24341</v>
      </c>
      <c r="H336" s="245">
        <f t="shared" si="159"/>
        <v>1</v>
      </c>
      <c r="I336" s="121">
        <f t="shared" si="160"/>
        <v>1.06</v>
      </c>
      <c r="J336" s="121">
        <f t="shared" si="161"/>
        <v>1.06</v>
      </c>
      <c r="K336" s="120">
        <f t="shared" si="162"/>
        <v>0</v>
      </c>
      <c r="L336" s="120">
        <f t="shared" si="163"/>
        <v>0</v>
      </c>
      <c r="M336" s="246">
        <f t="shared" si="164"/>
        <v>0</v>
      </c>
      <c r="N336" s="121">
        <f t="shared" si="165"/>
        <v>1.06</v>
      </c>
      <c r="O336" s="246">
        <f t="shared" si="166"/>
        <v>1.0049999999999999</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87">
        <v>43</v>
      </c>
      <c r="B337" s="242">
        <f t="shared" si="173"/>
        <v>46935</v>
      </c>
      <c r="C337" s="243">
        <f t="shared" si="154"/>
        <v>46965</v>
      </c>
      <c r="D337" s="120">
        <f t="shared" si="155"/>
        <v>31</v>
      </c>
      <c r="E337" s="120">
        <f t="shared" si="156"/>
        <v>7</v>
      </c>
      <c r="F337" s="275">
        <f t="shared" si="157"/>
        <v>46950.5</v>
      </c>
      <c r="G337" s="120">
        <f t="shared" si="158"/>
        <v>24342</v>
      </c>
      <c r="H337" s="245">
        <f t="shared" si="159"/>
        <v>1</v>
      </c>
      <c r="I337" s="121">
        <f t="shared" si="160"/>
        <v>1.06</v>
      </c>
      <c r="J337" s="121">
        <f t="shared" si="161"/>
        <v>1.06</v>
      </c>
      <c r="K337" s="120">
        <f t="shared" si="162"/>
        <v>0</v>
      </c>
      <c r="L337" s="120">
        <f t="shared" si="163"/>
        <v>0</v>
      </c>
      <c r="M337" s="246">
        <f t="shared" si="164"/>
        <v>0</v>
      </c>
      <c r="N337" s="121">
        <f t="shared" si="165"/>
        <v>1.06</v>
      </c>
      <c r="O337" s="246">
        <f t="shared" si="166"/>
        <v>1.0049999999999999</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87">
        <v>44</v>
      </c>
      <c r="B338" s="242">
        <f t="shared" si="173"/>
        <v>46966</v>
      </c>
      <c r="C338" s="243">
        <f t="shared" si="154"/>
        <v>46996</v>
      </c>
      <c r="D338" s="120">
        <f t="shared" si="155"/>
        <v>31</v>
      </c>
      <c r="E338" s="120">
        <f t="shared" si="156"/>
        <v>8</v>
      </c>
      <c r="F338" s="275">
        <f t="shared" si="157"/>
        <v>46981.5</v>
      </c>
      <c r="G338" s="120">
        <f t="shared" si="158"/>
        <v>24343</v>
      </c>
      <c r="H338" s="245">
        <f t="shared" si="159"/>
        <v>1</v>
      </c>
      <c r="I338" s="121">
        <f t="shared" si="160"/>
        <v>1.06</v>
      </c>
      <c r="J338" s="121">
        <f t="shared" si="161"/>
        <v>1.06</v>
      </c>
      <c r="K338" s="120">
        <f t="shared" si="162"/>
        <v>0</v>
      </c>
      <c r="L338" s="120">
        <f t="shared" si="163"/>
        <v>0</v>
      </c>
      <c r="M338" s="246">
        <f t="shared" si="164"/>
        <v>0</v>
      </c>
      <c r="N338" s="121">
        <f t="shared" si="165"/>
        <v>1.06</v>
      </c>
      <c r="O338" s="246">
        <f t="shared" si="166"/>
        <v>1.0049999999999999</v>
      </c>
      <c r="P338" s="121">
        <f t="shared" si="167"/>
        <v>0</v>
      </c>
      <c r="Q338" s="121">
        <f t="shared" si="168"/>
        <v>0</v>
      </c>
      <c r="R338" s="121">
        <f t="shared" si="169"/>
        <v>0.375</v>
      </c>
      <c r="S338" s="121" t="str">
        <f t="shared" si="170"/>
        <v/>
      </c>
      <c r="T338" s="121" t="str">
        <f t="shared" si="171"/>
        <v/>
      </c>
      <c r="U338" s="121">
        <f t="shared" si="172"/>
        <v>1.06</v>
      </c>
    </row>
    <row r="339" spans="1:21" x14ac:dyDescent="0.3">
      <c r="A339" s="187">
        <v>45</v>
      </c>
      <c r="B339" s="242">
        <f t="shared" si="173"/>
        <v>46997</v>
      </c>
      <c r="C339" s="243">
        <f t="shared" si="154"/>
        <v>47026</v>
      </c>
      <c r="D339" s="120">
        <f t="shared" si="155"/>
        <v>30</v>
      </c>
      <c r="E339" s="120">
        <f t="shared" si="156"/>
        <v>9</v>
      </c>
      <c r="F339" s="275">
        <f t="shared" si="157"/>
        <v>47012</v>
      </c>
      <c r="G339" s="120">
        <f t="shared" si="158"/>
        <v>24344</v>
      </c>
      <c r="H339" s="245">
        <f t="shared" si="159"/>
        <v>1</v>
      </c>
      <c r="I339" s="121">
        <f t="shared" si="160"/>
        <v>1.06</v>
      </c>
      <c r="J339" s="121">
        <f t="shared" si="161"/>
        <v>1.06</v>
      </c>
      <c r="K339" s="120">
        <f t="shared" si="162"/>
        <v>0</v>
      </c>
      <c r="L339" s="120">
        <f t="shared" si="163"/>
        <v>0</v>
      </c>
      <c r="M339" s="246">
        <f t="shared" si="164"/>
        <v>0</v>
      </c>
      <c r="N339" s="121">
        <f t="shared" si="165"/>
        <v>1.06</v>
      </c>
      <c r="O339" s="246">
        <f t="shared" si="166"/>
        <v>1.0049999999999999</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87">
        <v>46</v>
      </c>
      <c r="B340" s="242">
        <f t="shared" si="173"/>
        <v>47027</v>
      </c>
      <c r="C340" s="243">
        <f t="shared" si="154"/>
        <v>47057</v>
      </c>
      <c r="D340" s="120">
        <f t="shared" si="155"/>
        <v>31</v>
      </c>
      <c r="E340" s="120">
        <f t="shared" si="156"/>
        <v>10</v>
      </c>
      <c r="F340" s="275">
        <f t="shared" si="157"/>
        <v>47042.5</v>
      </c>
      <c r="G340" s="120">
        <f t="shared" si="158"/>
        <v>24345</v>
      </c>
      <c r="H340" s="245">
        <f t="shared" si="159"/>
        <v>1</v>
      </c>
      <c r="I340" s="121">
        <f t="shared" si="160"/>
        <v>1.06</v>
      </c>
      <c r="J340" s="121">
        <f t="shared" si="161"/>
        <v>1.06</v>
      </c>
      <c r="K340" s="120">
        <f t="shared" si="162"/>
        <v>0</v>
      </c>
      <c r="L340" s="120">
        <f t="shared" si="163"/>
        <v>0</v>
      </c>
      <c r="M340" s="246">
        <f t="shared" si="164"/>
        <v>0</v>
      </c>
      <c r="N340" s="121">
        <f t="shared" si="165"/>
        <v>1.06</v>
      </c>
      <c r="O340" s="246">
        <f t="shared" si="166"/>
        <v>1.0049999999999999</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87">
        <v>47</v>
      </c>
      <c r="B341" s="242">
        <f t="shared" si="173"/>
        <v>47058</v>
      </c>
      <c r="C341" s="243">
        <f t="shared" si="154"/>
        <v>47087</v>
      </c>
      <c r="D341" s="120">
        <f t="shared" si="155"/>
        <v>30</v>
      </c>
      <c r="E341" s="120">
        <f t="shared" si="156"/>
        <v>11</v>
      </c>
      <c r="F341" s="275">
        <f t="shared" si="157"/>
        <v>47073</v>
      </c>
      <c r="G341" s="120">
        <f t="shared" si="158"/>
        <v>24346</v>
      </c>
      <c r="H341" s="245">
        <f t="shared" si="159"/>
        <v>1</v>
      </c>
      <c r="I341" s="121">
        <f t="shared" si="160"/>
        <v>1.06</v>
      </c>
      <c r="J341" s="121">
        <f t="shared" si="161"/>
        <v>1.06</v>
      </c>
      <c r="K341" s="120">
        <f t="shared" si="162"/>
        <v>0</v>
      </c>
      <c r="L341" s="120">
        <f t="shared" si="163"/>
        <v>0</v>
      </c>
      <c r="M341" s="246">
        <f t="shared" si="164"/>
        <v>0</v>
      </c>
      <c r="N341" s="121">
        <f t="shared" si="165"/>
        <v>1.06</v>
      </c>
      <c r="O341" s="246">
        <f t="shared" si="166"/>
        <v>1.0049999999999999</v>
      </c>
      <c r="P341" s="121">
        <f t="shared" si="167"/>
        <v>0</v>
      </c>
      <c r="Q341" s="121">
        <f t="shared" si="168"/>
        <v>0</v>
      </c>
      <c r="R341" s="121">
        <f t="shared" si="169"/>
        <v>0.125</v>
      </c>
      <c r="S341" s="121" t="str">
        <f t="shared" si="170"/>
        <v/>
      </c>
      <c r="T341" s="121" t="str">
        <f t="shared" si="171"/>
        <v/>
      </c>
      <c r="U341" s="121">
        <f t="shared" si="172"/>
        <v>1.06</v>
      </c>
    </row>
    <row r="342" spans="1:21" x14ac:dyDescent="0.3">
      <c r="A342" s="187">
        <v>48</v>
      </c>
      <c r="B342" s="242">
        <f t="shared" si="173"/>
        <v>47088</v>
      </c>
      <c r="C342" s="243">
        <f t="shared" si="154"/>
        <v>47118</v>
      </c>
      <c r="D342" s="120">
        <f t="shared" si="155"/>
        <v>31</v>
      </c>
      <c r="E342" s="120">
        <f t="shared" si="156"/>
        <v>12</v>
      </c>
      <c r="F342" s="275">
        <f t="shared" si="157"/>
        <v>47103.5</v>
      </c>
      <c r="G342" s="120">
        <f t="shared" si="158"/>
        <v>24347</v>
      </c>
      <c r="H342" s="245">
        <f t="shared" si="159"/>
        <v>1</v>
      </c>
      <c r="I342" s="121">
        <f t="shared" si="160"/>
        <v>1.06</v>
      </c>
      <c r="J342" s="121">
        <f t="shared" si="161"/>
        <v>1.06</v>
      </c>
      <c r="K342" s="120">
        <f t="shared" si="162"/>
        <v>0</v>
      </c>
      <c r="L342" s="120">
        <f t="shared" si="163"/>
        <v>0</v>
      </c>
      <c r="M342" s="246">
        <f t="shared" si="164"/>
        <v>0</v>
      </c>
      <c r="N342" s="121">
        <f t="shared" si="165"/>
        <v>1.06</v>
      </c>
      <c r="O342" s="246">
        <f t="shared" si="166"/>
        <v>1.0049999999999999</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1651</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24">
        <f>SUMPRODUCT($H$295:$H$342,$Q$295:$Q$342,$O$295:$O$342)/SUMPRODUCT($H$295:$H$342,$Q$295:$Q$342)</f>
        <v>0.99299370897155337</v>
      </c>
      <c r="G343" s="224">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row>
    <row r="346" spans="1:21" x14ac:dyDescent="0.3">
      <c r="A346" s="6" t="str">
        <f>INDEX(lr_key,6)</f>
        <v>ABD|IA</v>
      </c>
      <c r="B346" s="6" t="str">
        <f>INDEX(lr_state,6)</f>
        <v>IA</v>
      </c>
      <c r="C346" s="75">
        <f>nr_TermMonths</f>
        <v>12</v>
      </c>
      <c r="D346" s="75">
        <f>IF(COUNTIF(se_state,$B346)=0,0,MATCH($B346,se_state,0))</f>
        <v>0</v>
      </c>
      <c r="E346" s="70">
        <f>IF($D346=0,0,INDEX(se_sum,$D346))</f>
        <v>0</v>
      </c>
      <c r="F346" s="224">
        <f>IF(N(INDEX(lr_mind,6))=0,1,INDEX(lr_mind,6))</f>
        <v>1</v>
      </c>
      <c r="G346" s="224">
        <f>IF(N(INDEX(lr_m0,6))=0,1,INDEX(lr_m0,6))</f>
        <v>0.99</v>
      </c>
      <c r="H346" s="74">
        <f>IF(N(INDEX(lr_m0asof,6))=0,DATE(nr_PlanYear-1,10,1),INDEX(lr_m0asof,6))</f>
        <v>46295</v>
      </c>
      <c r="I346" s="224">
        <f>IF(N(INDEX(lr_m1,6))=0,1,INDEX(lr_m1,6))</f>
        <v>0.98499999999999999</v>
      </c>
      <c r="J346" s="224">
        <f>INDEX(lr_mprior,6)</f>
        <v>0.98</v>
      </c>
      <c r="K346" s="224">
        <f>INDEX(lr_m2,6)</f>
        <v>0.99</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74">EOMONTH($B349,0)</f>
        <v>45688</v>
      </c>
      <c r="D349" s="120">
        <f t="shared" ref="D349:D396" si="175">$C349-$B349+1</f>
        <v>31</v>
      </c>
      <c r="E349" s="120">
        <f t="shared" ref="E349:E396" si="176">MONTH($B349)</f>
        <v>1</v>
      </c>
      <c r="F349" s="275">
        <f t="shared" ref="F349:F396" si="177">($B349+$C349+1)/2</f>
        <v>45673.5</v>
      </c>
      <c r="G349" s="120">
        <f t="shared" ref="G349:G396" si="178">YEAR($B349)*12+MONTH($B349)-1</f>
        <v>24300</v>
      </c>
      <c r="H349" s="245">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46">
        <f t="shared" ref="M349:M396" si="184">IF($K349=0,0,MIN(1,$L349/$D349))</f>
        <v>0</v>
      </c>
      <c r="N349" s="121">
        <f t="shared" ref="N349:N396" si="185">IF($K349=0,$J349,(1-$M349)*$I349+$M349*$J349)</f>
        <v>1</v>
      </c>
      <c r="O349" s="246">
        <f t="shared" ref="O349:O396" si="186">IF($F349&lt;$B$347,$E$347+$I$347*($F349-$A$347),IF($F349&lt;$C$347,$F$347+$J$347*($F349-$B$347),$G$347+$K$347*($F349-$C$347)))</f>
        <v>0.97294520547945207</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87">
        <v>2</v>
      </c>
      <c r="B350" s="242">
        <f t="shared" ref="B350:B396" si="193">EDATE($B349,1)</f>
        <v>45689</v>
      </c>
      <c r="C350" s="243">
        <f t="shared" si="174"/>
        <v>45716</v>
      </c>
      <c r="D350" s="120">
        <f t="shared" si="175"/>
        <v>28</v>
      </c>
      <c r="E350" s="120">
        <f t="shared" si="176"/>
        <v>2</v>
      </c>
      <c r="F350" s="275">
        <f t="shared" si="177"/>
        <v>45703</v>
      </c>
      <c r="G350" s="120">
        <f t="shared" si="178"/>
        <v>24301</v>
      </c>
      <c r="H350" s="245">
        <f t="shared" si="179"/>
        <v>1</v>
      </c>
      <c r="I350" s="121">
        <f t="shared" si="180"/>
        <v>1</v>
      </c>
      <c r="J350" s="121">
        <f t="shared" si="181"/>
        <v>1</v>
      </c>
      <c r="K350" s="120">
        <f t="shared" si="182"/>
        <v>0</v>
      </c>
      <c r="L350" s="120">
        <f t="shared" si="183"/>
        <v>0</v>
      </c>
      <c r="M350" s="246">
        <f t="shared" si="184"/>
        <v>0</v>
      </c>
      <c r="N350" s="121">
        <f t="shared" si="185"/>
        <v>1</v>
      </c>
      <c r="O350" s="246">
        <f t="shared" si="186"/>
        <v>0.97375342465753423</v>
      </c>
      <c r="P350" s="121">
        <f t="shared" si="187"/>
        <v>0.125</v>
      </c>
      <c r="Q350" s="121">
        <f t="shared" si="188"/>
        <v>0</v>
      </c>
      <c r="R350" s="121">
        <f t="shared" si="189"/>
        <v>0</v>
      </c>
      <c r="S350" s="121" t="str">
        <f t="shared" si="190"/>
        <v/>
      </c>
      <c r="T350" s="121" t="str">
        <f t="shared" si="191"/>
        <v/>
      </c>
      <c r="U350" s="121">
        <f t="shared" si="192"/>
        <v>1</v>
      </c>
    </row>
    <row r="351" spans="1:21" x14ac:dyDescent="0.3">
      <c r="A351" s="187">
        <v>3</v>
      </c>
      <c r="B351" s="242">
        <f t="shared" si="193"/>
        <v>45717</v>
      </c>
      <c r="C351" s="243">
        <f t="shared" si="174"/>
        <v>45747</v>
      </c>
      <c r="D351" s="120">
        <f t="shared" si="175"/>
        <v>31</v>
      </c>
      <c r="E351" s="120">
        <f t="shared" si="176"/>
        <v>3</v>
      </c>
      <c r="F351" s="275">
        <f t="shared" si="177"/>
        <v>45732.5</v>
      </c>
      <c r="G351" s="120">
        <f t="shared" si="178"/>
        <v>24302</v>
      </c>
      <c r="H351" s="245">
        <f t="shared" si="179"/>
        <v>1</v>
      </c>
      <c r="I351" s="121">
        <f t="shared" si="180"/>
        <v>1</v>
      </c>
      <c r="J351" s="121">
        <f t="shared" si="181"/>
        <v>1</v>
      </c>
      <c r="K351" s="120">
        <f t="shared" si="182"/>
        <v>0</v>
      </c>
      <c r="L351" s="120">
        <f t="shared" si="183"/>
        <v>0</v>
      </c>
      <c r="M351" s="246">
        <f t="shared" si="184"/>
        <v>0</v>
      </c>
      <c r="N351" s="121">
        <f t="shared" si="185"/>
        <v>1</v>
      </c>
      <c r="O351" s="246">
        <f t="shared" si="186"/>
        <v>0.97456164383561639</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87">
        <v>4</v>
      </c>
      <c r="B352" s="242">
        <f t="shared" si="193"/>
        <v>45748</v>
      </c>
      <c r="C352" s="243">
        <f t="shared" si="174"/>
        <v>45777</v>
      </c>
      <c r="D352" s="120">
        <f t="shared" si="175"/>
        <v>30</v>
      </c>
      <c r="E352" s="120">
        <f t="shared" si="176"/>
        <v>4</v>
      </c>
      <c r="F352" s="275">
        <f t="shared" si="177"/>
        <v>45763</v>
      </c>
      <c r="G352" s="120">
        <f t="shared" si="178"/>
        <v>24303</v>
      </c>
      <c r="H352" s="245">
        <f t="shared" si="179"/>
        <v>1</v>
      </c>
      <c r="I352" s="121">
        <f t="shared" si="180"/>
        <v>1</v>
      </c>
      <c r="J352" s="121">
        <f t="shared" si="181"/>
        <v>1</v>
      </c>
      <c r="K352" s="120">
        <f t="shared" si="182"/>
        <v>0</v>
      </c>
      <c r="L352" s="120">
        <f t="shared" si="183"/>
        <v>0</v>
      </c>
      <c r="M352" s="246">
        <f t="shared" si="184"/>
        <v>0</v>
      </c>
      <c r="N352" s="121">
        <f t="shared" si="185"/>
        <v>1</v>
      </c>
      <c r="O352" s="246">
        <f t="shared" si="186"/>
        <v>0.97539726027397256</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87">
        <v>5</v>
      </c>
      <c r="B353" s="242">
        <f t="shared" si="193"/>
        <v>45778</v>
      </c>
      <c r="C353" s="243">
        <f t="shared" si="174"/>
        <v>45808</v>
      </c>
      <c r="D353" s="120">
        <f t="shared" si="175"/>
        <v>31</v>
      </c>
      <c r="E353" s="120">
        <f t="shared" si="176"/>
        <v>5</v>
      </c>
      <c r="F353" s="275">
        <f t="shared" si="177"/>
        <v>45793.5</v>
      </c>
      <c r="G353" s="120">
        <f t="shared" si="178"/>
        <v>24304</v>
      </c>
      <c r="H353" s="245">
        <f t="shared" si="179"/>
        <v>1</v>
      </c>
      <c r="I353" s="121">
        <f t="shared" si="180"/>
        <v>1</v>
      </c>
      <c r="J353" s="121">
        <f t="shared" si="181"/>
        <v>1</v>
      </c>
      <c r="K353" s="120">
        <f t="shared" si="182"/>
        <v>0</v>
      </c>
      <c r="L353" s="120">
        <f t="shared" si="183"/>
        <v>0</v>
      </c>
      <c r="M353" s="246">
        <f t="shared" si="184"/>
        <v>0</v>
      </c>
      <c r="N353" s="121">
        <f t="shared" si="185"/>
        <v>1</v>
      </c>
      <c r="O353" s="246">
        <f t="shared" si="186"/>
        <v>0.97623287671232872</v>
      </c>
      <c r="P353" s="121">
        <f t="shared" si="187"/>
        <v>0.375</v>
      </c>
      <c r="Q353" s="121">
        <f t="shared" si="188"/>
        <v>0</v>
      </c>
      <c r="R353" s="121">
        <f t="shared" si="189"/>
        <v>0</v>
      </c>
      <c r="S353" s="121" t="str">
        <f t="shared" si="190"/>
        <v/>
      </c>
      <c r="T353" s="121" t="str">
        <f t="shared" si="191"/>
        <v/>
      </c>
      <c r="U353" s="121">
        <f t="shared" si="192"/>
        <v>1</v>
      </c>
    </row>
    <row r="354" spans="1:21" x14ac:dyDescent="0.3">
      <c r="A354" s="187">
        <v>6</v>
      </c>
      <c r="B354" s="242">
        <f t="shared" si="193"/>
        <v>45809</v>
      </c>
      <c r="C354" s="243">
        <f t="shared" si="174"/>
        <v>45838</v>
      </c>
      <c r="D354" s="120">
        <f t="shared" si="175"/>
        <v>30</v>
      </c>
      <c r="E354" s="120">
        <f t="shared" si="176"/>
        <v>6</v>
      </c>
      <c r="F354" s="275">
        <f t="shared" si="177"/>
        <v>45824</v>
      </c>
      <c r="G354" s="120">
        <f t="shared" si="178"/>
        <v>24305</v>
      </c>
      <c r="H354" s="245">
        <f t="shared" si="179"/>
        <v>1</v>
      </c>
      <c r="I354" s="121">
        <f t="shared" si="180"/>
        <v>1</v>
      </c>
      <c r="J354" s="121">
        <f t="shared" si="181"/>
        <v>1</v>
      </c>
      <c r="K354" s="120">
        <f t="shared" si="182"/>
        <v>0</v>
      </c>
      <c r="L354" s="120">
        <f t="shared" si="183"/>
        <v>0</v>
      </c>
      <c r="M354" s="246">
        <f t="shared" si="184"/>
        <v>0</v>
      </c>
      <c r="N354" s="121">
        <f t="shared" si="185"/>
        <v>1</v>
      </c>
      <c r="O354" s="246">
        <f t="shared" si="186"/>
        <v>0.97706849315068489</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87">
        <v>7</v>
      </c>
      <c r="B355" s="242">
        <f t="shared" si="193"/>
        <v>45839</v>
      </c>
      <c r="C355" s="243">
        <f t="shared" si="174"/>
        <v>45869</v>
      </c>
      <c r="D355" s="120">
        <f t="shared" si="175"/>
        <v>31</v>
      </c>
      <c r="E355" s="120">
        <f t="shared" si="176"/>
        <v>7</v>
      </c>
      <c r="F355" s="275">
        <f t="shared" si="177"/>
        <v>45854.5</v>
      </c>
      <c r="G355" s="120">
        <f t="shared" si="178"/>
        <v>24306</v>
      </c>
      <c r="H355" s="245">
        <f t="shared" si="179"/>
        <v>1</v>
      </c>
      <c r="I355" s="121">
        <f t="shared" si="180"/>
        <v>1</v>
      </c>
      <c r="J355" s="121">
        <f t="shared" si="181"/>
        <v>1</v>
      </c>
      <c r="K355" s="120">
        <f t="shared" si="182"/>
        <v>0</v>
      </c>
      <c r="L355" s="120">
        <f t="shared" si="183"/>
        <v>0</v>
      </c>
      <c r="M355" s="246">
        <f t="shared" si="184"/>
        <v>0</v>
      </c>
      <c r="N355" s="121">
        <f t="shared" si="185"/>
        <v>1</v>
      </c>
      <c r="O355" s="246">
        <f t="shared" si="186"/>
        <v>0.97790410958904106</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87">
        <v>8</v>
      </c>
      <c r="B356" s="242">
        <f t="shared" si="193"/>
        <v>45870</v>
      </c>
      <c r="C356" s="243">
        <f t="shared" si="174"/>
        <v>45900</v>
      </c>
      <c r="D356" s="120">
        <f t="shared" si="175"/>
        <v>31</v>
      </c>
      <c r="E356" s="120">
        <f t="shared" si="176"/>
        <v>8</v>
      </c>
      <c r="F356" s="275">
        <f t="shared" si="177"/>
        <v>45885.5</v>
      </c>
      <c r="G356" s="120">
        <f t="shared" si="178"/>
        <v>24307</v>
      </c>
      <c r="H356" s="245">
        <f t="shared" si="179"/>
        <v>1</v>
      </c>
      <c r="I356" s="121">
        <f t="shared" si="180"/>
        <v>1</v>
      </c>
      <c r="J356" s="121">
        <f t="shared" si="181"/>
        <v>1</v>
      </c>
      <c r="K356" s="120">
        <f t="shared" si="182"/>
        <v>0</v>
      </c>
      <c r="L356" s="120">
        <f t="shared" si="183"/>
        <v>0</v>
      </c>
      <c r="M356" s="246">
        <f t="shared" si="184"/>
        <v>0</v>
      </c>
      <c r="N356" s="121">
        <f t="shared" si="185"/>
        <v>1</v>
      </c>
      <c r="O356" s="246">
        <f t="shared" si="186"/>
        <v>0.97875342465753423</v>
      </c>
      <c r="P356" s="121">
        <f t="shared" si="187"/>
        <v>0.625</v>
      </c>
      <c r="Q356" s="121">
        <f t="shared" si="188"/>
        <v>0</v>
      </c>
      <c r="R356" s="121">
        <f t="shared" si="189"/>
        <v>0</v>
      </c>
      <c r="S356" s="121" t="str">
        <f t="shared" si="190"/>
        <v/>
      </c>
      <c r="T356" s="121" t="str">
        <f t="shared" si="191"/>
        <v/>
      </c>
      <c r="U356" s="121">
        <f t="shared" si="192"/>
        <v>1</v>
      </c>
    </row>
    <row r="357" spans="1:21" x14ac:dyDescent="0.3">
      <c r="A357" s="187">
        <v>9</v>
      </c>
      <c r="B357" s="242">
        <f t="shared" si="193"/>
        <v>45901</v>
      </c>
      <c r="C357" s="243">
        <f t="shared" si="174"/>
        <v>45930</v>
      </c>
      <c r="D357" s="120">
        <f t="shared" si="175"/>
        <v>30</v>
      </c>
      <c r="E357" s="120">
        <f t="shared" si="176"/>
        <v>9</v>
      </c>
      <c r="F357" s="275">
        <f t="shared" si="177"/>
        <v>45916</v>
      </c>
      <c r="G357" s="120">
        <f t="shared" si="178"/>
        <v>24308</v>
      </c>
      <c r="H357" s="245">
        <f t="shared" si="179"/>
        <v>1</v>
      </c>
      <c r="I357" s="121">
        <f t="shared" si="180"/>
        <v>1</v>
      </c>
      <c r="J357" s="121">
        <f t="shared" si="181"/>
        <v>1</v>
      </c>
      <c r="K357" s="120">
        <f t="shared" si="182"/>
        <v>0</v>
      </c>
      <c r="L357" s="120">
        <f t="shared" si="183"/>
        <v>0</v>
      </c>
      <c r="M357" s="246">
        <f t="shared" si="184"/>
        <v>0</v>
      </c>
      <c r="N357" s="121">
        <f t="shared" si="185"/>
        <v>1</v>
      </c>
      <c r="O357" s="246">
        <f t="shared" si="186"/>
        <v>0.9795890410958904</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87">
        <v>10</v>
      </c>
      <c r="B358" s="242">
        <f t="shared" si="193"/>
        <v>45931</v>
      </c>
      <c r="C358" s="243">
        <f t="shared" si="174"/>
        <v>45961</v>
      </c>
      <c r="D358" s="120">
        <f t="shared" si="175"/>
        <v>31</v>
      </c>
      <c r="E358" s="120">
        <f t="shared" si="176"/>
        <v>10</v>
      </c>
      <c r="F358" s="275">
        <f t="shared" si="177"/>
        <v>45946.5</v>
      </c>
      <c r="G358" s="120">
        <f t="shared" si="178"/>
        <v>24309</v>
      </c>
      <c r="H358" s="245">
        <f t="shared" si="179"/>
        <v>1</v>
      </c>
      <c r="I358" s="121">
        <f t="shared" si="180"/>
        <v>1</v>
      </c>
      <c r="J358" s="121">
        <f t="shared" si="181"/>
        <v>1</v>
      </c>
      <c r="K358" s="120">
        <f t="shared" si="182"/>
        <v>0</v>
      </c>
      <c r="L358" s="120">
        <f t="shared" si="183"/>
        <v>0</v>
      </c>
      <c r="M358" s="246">
        <f t="shared" si="184"/>
        <v>0</v>
      </c>
      <c r="N358" s="121">
        <f t="shared" si="185"/>
        <v>1</v>
      </c>
      <c r="O358" s="246">
        <f t="shared" si="186"/>
        <v>0.98042465753424657</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87">
        <v>11</v>
      </c>
      <c r="B359" s="242">
        <f t="shared" si="193"/>
        <v>45962</v>
      </c>
      <c r="C359" s="243">
        <f t="shared" si="174"/>
        <v>45991</v>
      </c>
      <c r="D359" s="120">
        <f t="shared" si="175"/>
        <v>30</v>
      </c>
      <c r="E359" s="120">
        <f t="shared" si="176"/>
        <v>11</v>
      </c>
      <c r="F359" s="275">
        <f t="shared" si="177"/>
        <v>45977</v>
      </c>
      <c r="G359" s="120">
        <f t="shared" si="178"/>
        <v>24310</v>
      </c>
      <c r="H359" s="245">
        <f t="shared" si="179"/>
        <v>1</v>
      </c>
      <c r="I359" s="121">
        <f t="shared" si="180"/>
        <v>1</v>
      </c>
      <c r="J359" s="121">
        <f t="shared" si="181"/>
        <v>1</v>
      </c>
      <c r="K359" s="120">
        <f t="shared" si="182"/>
        <v>0</v>
      </c>
      <c r="L359" s="120">
        <f t="shared" si="183"/>
        <v>0</v>
      </c>
      <c r="M359" s="246">
        <f t="shared" si="184"/>
        <v>0</v>
      </c>
      <c r="N359" s="121">
        <f t="shared" si="185"/>
        <v>1</v>
      </c>
      <c r="O359" s="246">
        <f t="shared" si="186"/>
        <v>0.98126027397260274</v>
      </c>
      <c r="P359" s="121">
        <f t="shared" si="187"/>
        <v>0.875</v>
      </c>
      <c r="Q359" s="121">
        <f t="shared" si="188"/>
        <v>0</v>
      </c>
      <c r="R359" s="121">
        <f t="shared" si="189"/>
        <v>0</v>
      </c>
      <c r="S359" s="121" t="str">
        <f t="shared" si="190"/>
        <v/>
      </c>
      <c r="T359" s="121" t="str">
        <f t="shared" si="191"/>
        <v/>
      </c>
      <c r="U359" s="121">
        <f t="shared" si="192"/>
        <v>1</v>
      </c>
    </row>
    <row r="360" spans="1:21" x14ac:dyDescent="0.3">
      <c r="A360" s="187">
        <v>12</v>
      </c>
      <c r="B360" s="242">
        <f t="shared" si="193"/>
        <v>45992</v>
      </c>
      <c r="C360" s="243">
        <f t="shared" si="174"/>
        <v>46022</v>
      </c>
      <c r="D360" s="120">
        <f t="shared" si="175"/>
        <v>31</v>
      </c>
      <c r="E360" s="120">
        <f t="shared" si="176"/>
        <v>12</v>
      </c>
      <c r="F360" s="275">
        <f t="shared" si="177"/>
        <v>46007.5</v>
      </c>
      <c r="G360" s="120">
        <f t="shared" si="178"/>
        <v>24311</v>
      </c>
      <c r="H360" s="245">
        <f t="shared" si="179"/>
        <v>1</v>
      </c>
      <c r="I360" s="121">
        <f t="shared" si="180"/>
        <v>1</v>
      </c>
      <c r="J360" s="121">
        <f t="shared" si="181"/>
        <v>1</v>
      </c>
      <c r="K360" s="120">
        <f t="shared" si="182"/>
        <v>0</v>
      </c>
      <c r="L360" s="120">
        <f t="shared" si="183"/>
        <v>0</v>
      </c>
      <c r="M360" s="246">
        <f t="shared" si="184"/>
        <v>0</v>
      </c>
      <c r="N360" s="121">
        <f t="shared" si="185"/>
        <v>1</v>
      </c>
      <c r="O360" s="246">
        <f t="shared" si="186"/>
        <v>0.9820958904109589</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87">
        <v>13</v>
      </c>
      <c r="B361" s="242">
        <f t="shared" si="193"/>
        <v>46023</v>
      </c>
      <c r="C361" s="243">
        <f t="shared" si="174"/>
        <v>46053</v>
      </c>
      <c r="D361" s="120">
        <f t="shared" si="175"/>
        <v>31</v>
      </c>
      <c r="E361" s="120">
        <f t="shared" si="176"/>
        <v>1</v>
      </c>
      <c r="F361" s="275">
        <f t="shared" si="177"/>
        <v>46038.5</v>
      </c>
      <c r="G361" s="120">
        <f t="shared" si="178"/>
        <v>24312</v>
      </c>
      <c r="H361" s="245">
        <f t="shared" si="179"/>
        <v>1</v>
      </c>
      <c r="I361" s="121">
        <f t="shared" si="180"/>
        <v>1</v>
      </c>
      <c r="J361" s="121">
        <f t="shared" si="181"/>
        <v>1</v>
      </c>
      <c r="K361" s="120">
        <f t="shared" si="182"/>
        <v>0</v>
      </c>
      <c r="L361" s="120">
        <f t="shared" si="183"/>
        <v>0</v>
      </c>
      <c r="M361" s="246">
        <f t="shared" si="184"/>
        <v>0</v>
      </c>
      <c r="N361" s="121">
        <f t="shared" si="185"/>
        <v>1</v>
      </c>
      <c r="O361" s="246">
        <f t="shared" si="186"/>
        <v>0.98294520547945208</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87">
        <v>14</v>
      </c>
      <c r="B362" s="242">
        <f t="shared" si="193"/>
        <v>46054</v>
      </c>
      <c r="C362" s="243">
        <f t="shared" si="174"/>
        <v>46081</v>
      </c>
      <c r="D362" s="120">
        <f t="shared" si="175"/>
        <v>28</v>
      </c>
      <c r="E362" s="120">
        <f t="shared" si="176"/>
        <v>2</v>
      </c>
      <c r="F362" s="275">
        <f t="shared" si="177"/>
        <v>46068</v>
      </c>
      <c r="G362" s="120">
        <f t="shared" si="178"/>
        <v>24313</v>
      </c>
      <c r="H362" s="245">
        <f t="shared" si="179"/>
        <v>1</v>
      </c>
      <c r="I362" s="121">
        <f t="shared" si="180"/>
        <v>1</v>
      </c>
      <c r="J362" s="121">
        <f t="shared" si="181"/>
        <v>1</v>
      </c>
      <c r="K362" s="120">
        <f t="shared" si="182"/>
        <v>0</v>
      </c>
      <c r="L362" s="120">
        <f t="shared" si="183"/>
        <v>0</v>
      </c>
      <c r="M362" s="246">
        <f t="shared" si="184"/>
        <v>0</v>
      </c>
      <c r="N362" s="121">
        <f t="shared" si="185"/>
        <v>1</v>
      </c>
      <c r="O362" s="246">
        <f t="shared" si="186"/>
        <v>0.98375342465753424</v>
      </c>
      <c r="P362" s="121">
        <f t="shared" si="187"/>
        <v>0.875</v>
      </c>
      <c r="Q362" s="121">
        <f t="shared" si="188"/>
        <v>0.125</v>
      </c>
      <c r="R362" s="121">
        <f t="shared" si="189"/>
        <v>0</v>
      </c>
      <c r="S362" s="121" t="str">
        <f t="shared" si="190"/>
        <v/>
      </c>
      <c r="T362" s="121" t="str">
        <f t="shared" si="191"/>
        <v/>
      </c>
      <c r="U362" s="121">
        <f t="shared" si="192"/>
        <v>1</v>
      </c>
    </row>
    <row r="363" spans="1:21" x14ac:dyDescent="0.3">
      <c r="A363" s="187">
        <v>15</v>
      </c>
      <c r="B363" s="242">
        <f t="shared" si="193"/>
        <v>46082</v>
      </c>
      <c r="C363" s="243">
        <f t="shared" si="174"/>
        <v>46112</v>
      </c>
      <c r="D363" s="120">
        <f t="shared" si="175"/>
        <v>31</v>
      </c>
      <c r="E363" s="120">
        <f t="shared" si="176"/>
        <v>3</v>
      </c>
      <c r="F363" s="275">
        <f t="shared" si="177"/>
        <v>46097.5</v>
      </c>
      <c r="G363" s="120">
        <f t="shared" si="178"/>
        <v>24314</v>
      </c>
      <c r="H363" s="245">
        <f t="shared" si="179"/>
        <v>1</v>
      </c>
      <c r="I363" s="121">
        <f t="shared" si="180"/>
        <v>1</v>
      </c>
      <c r="J363" s="121">
        <f t="shared" si="181"/>
        <v>1</v>
      </c>
      <c r="K363" s="120">
        <f t="shared" si="182"/>
        <v>0</v>
      </c>
      <c r="L363" s="120">
        <f t="shared" si="183"/>
        <v>0</v>
      </c>
      <c r="M363" s="246">
        <f t="shared" si="184"/>
        <v>0</v>
      </c>
      <c r="N363" s="121">
        <f t="shared" si="185"/>
        <v>1</v>
      </c>
      <c r="O363" s="246">
        <f t="shared" si="186"/>
        <v>0.9845616438356164</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87">
        <v>16</v>
      </c>
      <c r="B364" s="242">
        <f t="shared" si="193"/>
        <v>46113</v>
      </c>
      <c r="C364" s="243">
        <f t="shared" si="174"/>
        <v>46142</v>
      </c>
      <c r="D364" s="120">
        <f t="shared" si="175"/>
        <v>30</v>
      </c>
      <c r="E364" s="120">
        <f t="shared" si="176"/>
        <v>4</v>
      </c>
      <c r="F364" s="275">
        <f t="shared" si="177"/>
        <v>46128</v>
      </c>
      <c r="G364" s="120">
        <f t="shared" si="178"/>
        <v>24315</v>
      </c>
      <c r="H364" s="245">
        <f t="shared" si="179"/>
        <v>1</v>
      </c>
      <c r="I364" s="121">
        <f t="shared" si="180"/>
        <v>1</v>
      </c>
      <c r="J364" s="121">
        <f t="shared" si="181"/>
        <v>1</v>
      </c>
      <c r="K364" s="120">
        <f t="shared" si="182"/>
        <v>0</v>
      </c>
      <c r="L364" s="120">
        <f t="shared" si="183"/>
        <v>0</v>
      </c>
      <c r="M364" s="246">
        <f t="shared" si="184"/>
        <v>0</v>
      </c>
      <c r="N364" s="121">
        <f t="shared" si="185"/>
        <v>1</v>
      </c>
      <c r="O364" s="246">
        <f t="shared" si="186"/>
        <v>0.98539726027397256</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87">
        <v>17</v>
      </c>
      <c r="B365" s="242">
        <f t="shared" si="193"/>
        <v>46143</v>
      </c>
      <c r="C365" s="243">
        <f t="shared" si="174"/>
        <v>46173</v>
      </c>
      <c r="D365" s="120">
        <f t="shared" si="175"/>
        <v>31</v>
      </c>
      <c r="E365" s="120">
        <f t="shared" si="176"/>
        <v>5</v>
      </c>
      <c r="F365" s="275">
        <f t="shared" si="177"/>
        <v>46158.5</v>
      </c>
      <c r="G365" s="120">
        <f t="shared" si="178"/>
        <v>24316</v>
      </c>
      <c r="H365" s="245">
        <f t="shared" si="179"/>
        <v>1</v>
      </c>
      <c r="I365" s="121">
        <f t="shared" si="180"/>
        <v>1</v>
      </c>
      <c r="J365" s="121">
        <f t="shared" si="181"/>
        <v>1</v>
      </c>
      <c r="K365" s="120">
        <f t="shared" si="182"/>
        <v>0</v>
      </c>
      <c r="L365" s="120">
        <f t="shared" si="183"/>
        <v>0</v>
      </c>
      <c r="M365" s="246">
        <f t="shared" si="184"/>
        <v>0</v>
      </c>
      <c r="N365" s="121">
        <f t="shared" si="185"/>
        <v>1</v>
      </c>
      <c r="O365" s="246">
        <f t="shared" si="186"/>
        <v>0.98623287671232873</v>
      </c>
      <c r="P365" s="121">
        <f t="shared" si="187"/>
        <v>0.625</v>
      </c>
      <c r="Q365" s="121">
        <f t="shared" si="188"/>
        <v>0.375</v>
      </c>
      <c r="R365" s="121">
        <f t="shared" si="189"/>
        <v>0</v>
      </c>
      <c r="S365" s="121" t="str">
        <f t="shared" si="190"/>
        <v/>
      </c>
      <c r="T365" s="121" t="str">
        <f t="shared" si="191"/>
        <v/>
      </c>
      <c r="U365" s="121">
        <f t="shared" si="192"/>
        <v>1</v>
      </c>
    </row>
    <row r="366" spans="1:21" x14ac:dyDescent="0.3">
      <c r="A366" s="187">
        <v>18</v>
      </c>
      <c r="B366" s="242">
        <f t="shared" si="193"/>
        <v>46174</v>
      </c>
      <c r="C366" s="243">
        <f t="shared" si="174"/>
        <v>46203</v>
      </c>
      <c r="D366" s="120">
        <f t="shared" si="175"/>
        <v>30</v>
      </c>
      <c r="E366" s="120">
        <f t="shared" si="176"/>
        <v>6</v>
      </c>
      <c r="F366" s="275">
        <f t="shared" si="177"/>
        <v>46189</v>
      </c>
      <c r="G366" s="120">
        <f t="shared" si="178"/>
        <v>24317</v>
      </c>
      <c r="H366" s="245">
        <f t="shared" si="179"/>
        <v>1</v>
      </c>
      <c r="I366" s="121">
        <f t="shared" si="180"/>
        <v>1</v>
      </c>
      <c r="J366" s="121">
        <f t="shared" si="181"/>
        <v>1.0449999999999999</v>
      </c>
      <c r="K366" s="120">
        <f t="shared" si="182"/>
        <v>1</v>
      </c>
      <c r="L366" s="120">
        <f t="shared" si="183"/>
        <v>30</v>
      </c>
      <c r="M366" s="246">
        <f t="shared" si="184"/>
        <v>1</v>
      </c>
      <c r="N366" s="121">
        <f t="shared" si="185"/>
        <v>1.0449999999999999</v>
      </c>
      <c r="O366" s="246">
        <f t="shared" si="186"/>
        <v>0.9870684931506849</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87">
        <v>19</v>
      </c>
      <c r="B367" s="242">
        <f t="shared" si="193"/>
        <v>46204</v>
      </c>
      <c r="C367" s="243">
        <f t="shared" si="174"/>
        <v>46234</v>
      </c>
      <c r="D367" s="120">
        <f t="shared" si="175"/>
        <v>31</v>
      </c>
      <c r="E367" s="120">
        <f t="shared" si="176"/>
        <v>7</v>
      </c>
      <c r="F367" s="275">
        <f t="shared" si="177"/>
        <v>46219.5</v>
      </c>
      <c r="G367" s="120">
        <f t="shared" si="178"/>
        <v>24318</v>
      </c>
      <c r="H367" s="245">
        <f t="shared" si="179"/>
        <v>1</v>
      </c>
      <c r="I367" s="121">
        <f t="shared" si="180"/>
        <v>1.0449999999999999</v>
      </c>
      <c r="J367" s="121">
        <f t="shared" si="181"/>
        <v>1.0449999999999999</v>
      </c>
      <c r="K367" s="120">
        <f t="shared" si="182"/>
        <v>0</v>
      </c>
      <c r="L367" s="120">
        <f t="shared" si="183"/>
        <v>0</v>
      </c>
      <c r="M367" s="246">
        <f t="shared" si="184"/>
        <v>0</v>
      </c>
      <c r="N367" s="121">
        <f t="shared" si="185"/>
        <v>1.0449999999999999</v>
      </c>
      <c r="O367" s="246">
        <f t="shared" si="186"/>
        <v>0.98790410958904107</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87">
        <v>20</v>
      </c>
      <c r="B368" s="242">
        <f t="shared" si="193"/>
        <v>46235</v>
      </c>
      <c r="C368" s="243">
        <f t="shared" si="174"/>
        <v>46265</v>
      </c>
      <c r="D368" s="120">
        <f t="shared" si="175"/>
        <v>31</v>
      </c>
      <c r="E368" s="120">
        <f t="shared" si="176"/>
        <v>8</v>
      </c>
      <c r="F368" s="275">
        <f t="shared" si="177"/>
        <v>46250.5</v>
      </c>
      <c r="G368" s="120">
        <f t="shared" si="178"/>
        <v>24319</v>
      </c>
      <c r="H368" s="245">
        <f t="shared" si="179"/>
        <v>1</v>
      </c>
      <c r="I368" s="121">
        <f t="shared" si="180"/>
        <v>1.0449999999999999</v>
      </c>
      <c r="J368" s="121">
        <f t="shared" si="181"/>
        <v>1.0449999999999999</v>
      </c>
      <c r="K368" s="120">
        <f t="shared" si="182"/>
        <v>0</v>
      </c>
      <c r="L368" s="120">
        <f t="shared" si="183"/>
        <v>0</v>
      </c>
      <c r="M368" s="246">
        <f t="shared" si="184"/>
        <v>0</v>
      </c>
      <c r="N368" s="121">
        <f t="shared" si="185"/>
        <v>1.0449999999999999</v>
      </c>
      <c r="O368" s="246">
        <f t="shared" si="186"/>
        <v>0.98875342465753424</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87">
        <v>21</v>
      </c>
      <c r="B369" s="242">
        <f t="shared" si="193"/>
        <v>46266</v>
      </c>
      <c r="C369" s="243">
        <f t="shared" si="174"/>
        <v>46295</v>
      </c>
      <c r="D369" s="120">
        <f t="shared" si="175"/>
        <v>30</v>
      </c>
      <c r="E369" s="120">
        <f t="shared" si="176"/>
        <v>9</v>
      </c>
      <c r="F369" s="275">
        <f t="shared" si="177"/>
        <v>46281</v>
      </c>
      <c r="G369" s="120">
        <f t="shared" si="178"/>
        <v>24320</v>
      </c>
      <c r="H369" s="245">
        <f t="shared" si="179"/>
        <v>1</v>
      </c>
      <c r="I369" s="121">
        <f t="shared" si="180"/>
        <v>1.0449999999999999</v>
      </c>
      <c r="J369" s="121">
        <f t="shared" si="181"/>
        <v>1.0449999999999999</v>
      </c>
      <c r="K369" s="120">
        <f t="shared" si="182"/>
        <v>0</v>
      </c>
      <c r="L369" s="120">
        <f t="shared" si="183"/>
        <v>0</v>
      </c>
      <c r="M369" s="246">
        <f t="shared" si="184"/>
        <v>0</v>
      </c>
      <c r="N369" s="121">
        <f t="shared" si="185"/>
        <v>1.0449999999999999</v>
      </c>
      <c r="O369" s="246">
        <f t="shared" si="186"/>
        <v>0.98958904109589041</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87">
        <v>22</v>
      </c>
      <c r="B370" s="242">
        <f t="shared" si="193"/>
        <v>46296</v>
      </c>
      <c r="C370" s="243">
        <f t="shared" si="174"/>
        <v>46326</v>
      </c>
      <c r="D370" s="120">
        <f t="shared" si="175"/>
        <v>31</v>
      </c>
      <c r="E370" s="120">
        <f t="shared" si="176"/>
        <v>10</v>
      </c>
      <c r="F370" s="275">
        <f t="shared" si="177"/>
        <v>46311.5</v>
      </c>
      <c r="G370" s="120">
        <f t="shared" si="178"/>
        <v>24321</v>
      </c>
      <c r="H370" s="245">
        <f t="shared" si="179"/>
        <v>1</v>
      </c>
      <c r="I370" s="121">
        <f t="shared" si="180"/>
        <v>1.0449999999999999</v>
      </c>
      <c r="J370" s="121">
        <f t="shared" si="181"/>
        <v>1.0449999999999999</v>
      </c>
      <c r="K370" s="120">
        <f t="shared" si="182"/>
        <v>0</v>
      </c>
      <c r="L370" s="120">
        <f t="shared" si="183"/>
        <v>0</v>
      </c>
      <c r="M370" s="246">
        <f t="shared" si="184"/>
        <v>0</v>
      </c>
      <c r="N370" s="121">
        <f t="shared" si="185"/>
        <v>1.0449999999999999</v>
      </c>
      <c r="O370" s="246">
        <f t="shared" si="186"/>
        <v>0.98983041575492337</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87">
        <v>23</v>
      </c>
      <c r="B371" s="242">
        <f t="shared" si="193"/>
        <v>46327</v>
      </c>
      <c r="C371" s="243">
        <f t="shared" si="174"/>
        <v>46356</v>
      </c>
      <c r="D371" s="120">
        <f t="shared" si="175"/>
        <v>30</v>
      </c>
      <c r="E371" s="120">
        <f t="shared" si="176"/>
        <v>11</v>
      </c>
      <c r="F371" s="275">
        <f t="shared" si="177"/>
        <v>46342</v>
      </c>
      <c r="G371" s="120">
        <f t="shared" si="178"/>
        <v>24322</v>
      </c>
      <c r="H371" s="245">
        <f t="shared" si="179"/>
        <v>1</v>
      </c>
      <c r="I371" s="121">
        <f t="shared" si="180"/>
        <v>1.0449999999999999</v>
      </c>
      <c r="J371" s="121">
        <f t="shared" si="181"/>
        <v>1.0449999999999999</v>
      </c>
      <c r="K371" s="120">
        <f t="shared" si="182"/>
        <v>0</v>
      </c>
      <c r="L371" s="120">
        <f t="shared" si="183"/>
        <v>0</v>
      </c>
      <c r="M371" s="246">
        <f t="shared" si="184"/>
        <v>0</v>
      </c>
      <c r="N371" s="121">
        <f t="shared" si="185"/>
        <v>1.0449999999999999</v>
      </c>
      <c r="O371" s="246">
        <f t="shared" si="186"/>
        <v>0.98949671772428882</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87">
        <v>24</v>
      </c>
      <c r="B372" s="242">
        <f t="shared" si="193"/>
        <v>46357</v>
      </c>
      <c r="C372" s="243">
        <f t="shared" si="174"/>
        <v>46387</v>
      </c>
      <c r="D372" s="120">
        <f t="shared" si="175"/>
        <v>31</v>
      </c>
      <c r="E372" s="120">
        <f t="shared" si="176"/>
        <v>12</v>
      </c>
      <c r="F372" s="275">
        <f t="shared" si="177"/>
        <v>46372.5</v>
      </c>
      <c r="G372" s="120">
        <f t="shared" si="178"/>
        <v>24323</v>
      </c>
      <c r="H372" s="245">
        <f t="shared" si="179"/>
        <v>1</v>
      </c>
      <c r="I372" s="121">
        <f t="shared" si="180"/>
        <v>1.0449999999999999</v>
      </c>
      <c r="J372" s="121">
        <f t="shared" si="181"/>
        <v>1.0449999999999999</v>
      </c>
      <c r="K372" s="120">
        <f t="shared" si="182"/>
        <v>0</v>
      </c>
      <c r="L372" s="120">
        <f t="shared" si="183"/>
        <v>0</v>
      </c>
      <c r="M372" s="246">
        <f t="shared" si="184"/>
        <v>0</v>
      </c>
      <c r="N372" s="121">
        <f t="shared" si="185"/>
        <v>1.0449999999999999</v>
      </c>
      <c r="O372" s="246">
        <f t="shared" si="186"/>
        <v>0.98916301969365428</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87">
        <v>25</v>
      </c>
      <c r="B373" s="242">
        <f t="shared" si="193"/>
        <v>46388</v>
      </c>
      <c r="C373" s="243">
        <f t="shared" si="174"/>
        <v>46418</v>
      </c>
      <c r="D373" s="120">
        <f t="shared" si="175"/>
        <v>31</v>
      </c>
      <c r="E373" s="120">
        <f t="shared" si="176"/>
        <v>1</v>
      </c>
      <c r="F373" s="275">
        <f t="shared" si="177"/>
        <v>46403.5</v>
      </c>
      <c r="G373" s="120">
        <f t="shared" si="178"/>
        <v>24324</v>
      </c>
      <c r="H373" s="245">
        <f t="shared" si="179"/>
        <v>1</v>
      </c>
      <c r="I373" s="121">
        <f t="shared" si="180"/>
        <v>1.0449999999999999</v>
      </c>
      <c r="J373" s="121">
        <f t="shared" si="181"/>
        <v>1.0449999999999999</v>
      </c>
      <c r="K373" s="120">
        <f t="shared" si="182"/>
        <v>0</v>
      </c>
      <c r="L373" s="120">
        <f t="shared" si="183"/>
        <v>0</v>
      </c>
      <c r="M373" s="246">
        <f t="shared" si="184"/>
        <v>0</v>
      </c>
      <c r="N373" s="121">
        <f t="shared" si="185"/>
        <v>1.0449999999999999</v>
      </c>
      <c r="O373" s="246">
        <f t="shared" si="186"/>
        <v>0.98882385120350114</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87">
        <v>26</v>
      </c>
      <c r="B374" s="242">
        <f t="shared" si="193"/>
        <v>46419</v>
      </c>
      <c r="C374" s="243">
        <f t="shared" si="174"/>
        <v>46446</v>
      </c>
      <c r="D374" s="120">
        <f t="shared" si="175"/>
        <v>28</v>
      </c>
      <c r="E374" s="120">
        <f t="shared" si="176"/>
        <v>2</v>
      </c>
      <c r="F374" s="275">
        <f t="shared" si="177"/>
        <v>46433</v>
      </c>
      <c r="G374" s="120">
        <f t="shared" si="178"/>
        <v>24325</v>
      </c>
      <c r="H374" s="245">
        <f t="shared" si="179"/>
        <v>1</v>
      </c>
      <c r="I374" s="121">
        <f t="shared" si="180"/>
        <v>1.0449999999999999</v>
      </c>
      <c r="J374" s="121">
        <f t="shared" si="181"/>
        <v>1.0449999999999999</v>
      </c>
      <c r="K374" s="120">
        <f t="shared" si="182"/>
        <v>0</v>
      </c>
      <c r="L374" s="120">
        <f t="shared" si="183"/>
        <v>0</v>
      </c>
      <c r="M374" s="246">
        <f t="shared" si="184"/>
        <v>0</v>
      </c>
      <c r="N374" s="121">
        <f t="shared" si="185"/>
        <v>1.0449999999999999</v>
      </c>
      <c r="O374" s="246">
        <f t="shared" si="186"/>
        <v>0.98850109409190368</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87">
        <v>27</v>
      </c>
      <c r="B375" s="242">
        <f t="shared" si="193"/>
        <v>46447</v>
      </c>
      <c r="C375" s="243">
        <f t="shared" si="174"/>
        <v>46477</v>
      </c>
      <c r="D375" s="120">
        <f t="shared" si="175"/>
        <v>31</v>
      </c>
      <c r="E375" s="120">
        <f t="shared" si="176"/>
        <v>3</v>
      </c>
      <c r="F375" s="275">
        <f t="shared" si="177"/>
        <v>46462.5</v>
      </c>
      <c r="G375" s="120">
        <f t="shared" si="178"/>
        <v>24326</v>
      </c>
      <c r="H375" s="245">
        <f t="shared" si="179"/>
        <v>1</v>
      </c>
      <c r="I375" s="121">
        <f t="shared" si="180"/>
        <v>1.0449999999999999</v>
      </c>
      <c r="J375" s="121">
        <f t="shared" si="181"/>
        <v>1.0449999999999999</v>
      </c>
      <c r="K375" s="120">
        <f t="shared" si="182"/>
        <v>0</v>
      </c>
      <c r="L375" s="120">
        <f t="shared" si="183"/>
        <v>0</v>
      </c>
      <c r="M375" s="246">
        <f t="shared" si="184"/>
        <v>0</v>
      </c>
      <c r="N375" s="121">
        <f t="shared" si="185"/>
        <v>1.0449999999999999</v>
      </c>
      <c r="O375" s="246">
        <f t="shared" si="186"/>
        <v>0.98817833698030633</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87">
        <v>28</v>
      </c>
      <c r="B376" s="242">
        <f t="shared" si="193"/>
        <v>46478</v>
      </c>
      <c r="C376" s="243">
        <f t="shared" si="174"/>
        <v>46507</v>
      </c>
      <c r="D376" s="120">
        <f t="shared" si="175"/>
        <v>30</v>
      </c>
      <c r="E376" s="120">
        <f t="shared" si="176"/>
        <v>4</v>
      </c>
      <c r="F376" s="275">
        <f t="shared" si="177"/>
        <v>46493</v>
      </c>
      <c r="G376" s="120">
        <f t="shared" si="178"/>
        <v>24327</v>
      </c>
      <c r="H376" s="245">
        <f t="shared" si="179"/>
        <v>1</v>
      </c>
      <c r="I376" s="121">
        <f t="shared" si="180"/>
        <v>1.0449999999999999</v>
      </c>
      <c r="J376" s="121">
        <f t="shared" si="181"/>
        <v>1.0449999999999999</v>
      </c>
      <c r="K376" s="120">
        <f t="shared" si="182"/>
        <v>0</v>
      </c>
      <c r="L376" s="120">
        <f t="shared" si="183"/>
        <v>0</v>
      </c>
      <c r="M376" s="246">
        <f t="shared" si="184"/>
        <v>0</v>
      </c>
      <c r="N376" s="121">
        <f t="shared" si="185"/>
        <v>1.0449999999999999</v>
      </c>
      <c r="O376" s="246">
        <f t="shared" si="186"/>
        <v>0.98784463894967178</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87">
        <v>29</v>
      </c>
      <c r="B377" s="242">
        <f t="shared" si="193"/>
        <v>46508</v>
      </c>
      <c r="C377" s="243">
        <f t="shared" si="174"/>
        <v>46538</v>
      </c>
      <c r="D377" s="120">
        <f t="shared" si="175"/>
        <v>31</v>
      </c>
      <c r="E377" s="120">
        <f t="shared" si="176"/>
        <v>5</v>
      </c>
      <c r="F377" s="275">
        <f t="shared" si="177"/>
        <v>46523.5</v>
      </c>
      <c r="G377" s="120">
        <f t="shared" si="178"/>
        <v>24328</v>
      </c>
      <c r="H377" s="245">
        <f t="shared" si="179"/>
        <v>1</v>
      </c>
      <c r="I377" s="121">
        <f t="shared" si="180"/>
        <v>1.0449999999999999</v>
      </c>
      <c r="J377" s="121">
        <f t="shared" si="181"/>
        <v>1.0449999999999999</v>
      </c>
      <c r="K377" s="120">
        <f t="shared" si="182"/>
        <v>0</v>
      </c>
      <c r="L377" s="120">
        <f t="shared" si="183"/>
        <v>0</v>
      </c>
      <c r="M377" s="246">
        <f t="shared" si="184"/>
        <v>0</v>
      </c>
      <c r="N377" s="121">
        <f t="shared" si="185"/>
        <v>1.0449999999999999</v>
      </c>
      <c r="O377" s="246">
        <f t="shared" si="186"/>
        <v>0.98751094091903724</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87">
        <v>30</v>
      </c>
      <c r="B378" s="242">
        <f t="shared" si="193"/>
        <v>46539</v>
      </c>
      <c r="C378" s="243">
        <f t="shared" si="174"/>
        <v>46568</v>
      </c>
      <c r="D378" s="120">
        <f t="shared" si="175"/>
        <v>30</v>
      </c>
      <c r="E378" s="120">
        <f t="shared" si="176"/>
        <v>6</v>
      </c>
      <c r="F378" s="275">
        <f t="shared" si="177"/>
        <v>46554</v>
      </c>
      <c r="G378" s="120">
        <f t="shared" si="178"/>
        <v>24329</v>
      </c>
      <c r="H378" s="245">
        <f t="shared" si="179"/>
        <v>1</v>
      </c>
      <c r="I378" s="121">
        <f t="shared" si="180"/>
        <v>1.0449999999999999</v>
      </c>
      <c r="J378" s="121">
        <f t="shared" si="181"/>
        <v>1.0868</v>
      </c>
      <c r="K378" s="120">
        <f t="shared" si="182"/>
        <v>1</v>
      </c>
      <c r="L378" s="120">
        <f t="shared" si="183"/>
        <v>30</v>
      </c>
      <c r="M378" s="246">
        <f t="shared" si="184"/>
        <v>1</v>
      </c>
      <c r="N378" s="121">
        <f t="shared" si="185"/>
        <v>1.0868</v>
      </c>
      <c r="O378" s="246">
        <f t="shared" si="186"/>
        <v>0.98717724288840258</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87">
        <v>31</v>
      </c>
      <c r="B379" s="242">
        <f t="shared" si="193"/>
        <v>46569</v>
      </c>
      <c r="C379" s="243">
        <f t="shared" si="174"/>
        <v>46599</v>
      </c>
      <c r="D379" s="120">
        <f t="shared" si="175"/>
        <v>31</v>
      </c>
      <c r="E379" s="120">
        <f t="shared" si="176"/>
        <v>7</v>
      </c>
      <c r="F379" s="275">
        <f t="shared" si="177"/>
        <v>46584.5</v>
      </c>
      <c r="G379" s="120">
        <f t="shared" si="178"/>
        <v>24330</v>
      </c>
      <c r="H379" s="245">
        <f t="shared" si="179"/>
        <v>1</v>
      </c>
      <c r="I379" s="121">
        <f t="shared" si="180"/>
        <v>1.0868</v>
      </c>
      <c r="J379" s="121">
        <f t="shared" si="181"/>
        <v>1.0868</v>
      </c>
      <c r="K379" s="120">
        <f t="shared" si="182"/>
        <v>0</v>
      </c>
      <c r="L379" s="120">
        <f t="shared" si="183"/>
        <v>0</v>
      </c>
      <c r="M379" s="246">
        <f t="shared" si="184"/>
        <v>0</v>
      </c>
      <c r="N379" s="121">
        <f t="shared" si="185"/>
        <v>1.0868</v>
      </c>
      <c r="O379" s="246">
        <f t="shared" si="186"/>
        <v>0.98684354485776804</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87">
        <v>32</v>
      </c>
      <c r="B380" s="242">
        <f t="shared" si="193"/>
        <v>46600</v>
      </c>
      <c r="C380" s="243">
        <f t="shared" si="174"/>
        <v>46630</v>
      </c>
      <c r="D380" s="120">
        <f t="shared" si="175"/>
        <v>31</v>
      </c>
      <c r="E380" s="120">
        <f t="shared" si="176"/>
        <v>8</v>
      </c>
      <c r="F380" s="275">
        <f t="shared" si="177"/>
        <v>46615.5</v>
      </c>
      <c r="G380" s="120">
        <f t="shared" si="178"/>
        <v>24331</v>
      </c>
      <c r="H380" s="245">
        <f t="shared" si="179"/>
        <v>1</v>
      </c>
      <c r="I380" s="121">
        <f t="shared" si="180"/>
        <v>1.0868</v>
      </c>
      <c r="J380" s="121">
        <f t="shared" si="181"/>
        <v>1.0868</v>
      </c>
      <c r="K380" s="120">
        <f t="shared" si="182"/>
        <v>0</v>
      </c>
      <c r="L380" s="120">
        <f t="shared" si="183"/>
        <v>0</v>
      </c>
      <c r="M380" s="246">
        <f t="shared" si="184"/>
        <v>0</v>
      </c>
      <c r="N380" s="121">
        <f t="shared" si="185"/>
        <v>1.0868</v>
      </c>
      <c r="O380" s="246">
        <f t="shared" si="186"/>
        <v>0.9865043763676149</v>
      </c>
      <c r="P380" s="121">
        <f t="shared" si="187"/>
        <v>0</v>
      </c>
      <c r="Q380" s="121">
        <f t="shared" si="188"/>
        <v>0.375</v>
      </c>
      <c r="R380" s="121">
        <f t="shared" si="189"/>
        <v>0.625</v>
      </c>
      <c r="S380" s="121" t="str">
        <f t="shared" si="190"/>
        <v/>
      </c>
      <c r="T380" s="121" t="str">
        <f t="shared" si="191"/>
        <v/>
      </c>
      <c r="U380" s="121">
        <f t="shared" si="192"/>
        <v>1.0868</v>
      </c>
    </row>
    <row r="381" spans="1:21" x14ac:dyDescent="0.3">
      <c r="A381" s="187">
        <v>33</v>
      </c>
      <c r="B381" s="242">
        <f t="shared" si="193"/>
        <v>46631</v>
      </c>
      <c r="C381" s="243">
        <f t="shared" si="174"/>
        <v>46660</v>
      </c>
      <c r="D381" s="120">
        <f t="shared" si="175"/>
        <v>30</v>
      </c>
      <c r="E381" s="120">
        <f t="shared" si="176"/>
        <v>9</v>
      </c>
      <c r="F381" s="275">
        <f t="shared" si="177"/>
        <v>46646</v>
      </c>
      <c r="G381" s="120">
        <f t="shared" si="178"/>
        <v>24332</v>
      </c>
      <c r="H381" s="245">
        <f t="shared" si="179"/>
        <v>1</v>
      </c>
      <c r="I381" s="121">
        <f t="shared" si="180"/>
        <v>1.0868</v>
      </c>
      <c r="J381" s="121">
        <f t="shared" si="181"/>
        <v>1.0868</v>
      </c>
      <c r="K381" s="120">
        <f t="shared" si="182"/>
        <v>0</v>
      </c>
      <c r="L381" s="120">
        <f t="shared" si="183"/>
        <v>0</v>
      </c>
      <c r="M381" s="246">
        <f t="shared" si="184"/>
        <v>0</v>
      </c>
      <c r="N381" s="121">
        <f t="shared" si="185"/>
        <v>1.0868</v>
      </c>
      <c r="O381" s="246">
        <f t="shared" si="186"/>
        <v>0.98617067833698024</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87">
        <v>34</v>
      </c>
      <c r="B382" s="242">
        <f t="shared" si="193"/>
        <v>46661</v>
      </c>
      <c r="C382" s="243">
        <f t="shared" si="174"/>
        <v>46691</v>
      </c>
      <c r="D382" s="120">
        <f t="shared" si="175"/>
        <v>31</v>
      </c>
      <c r="E382" s="120">
        <f t="shared" si="176"/>
        <v>10</v>
      </c>
      <c r="F382" s="275">
        <f t="shared" si="177"/>
        <v>46676.5</v>
      </c>
      <c r="G382" s="120">
        <f t="shared" si="178"/>
        <v>24333</v>
      </c>
      <c r="H382" s="245">
        <f t="shared" si="179"/>
        <v>1</v>
      </c>
      <c r="I382" s="121">
        <f t="shared" si="180"/>
        <v>1.0868</v>
      </c>
      <c r="J382" s="121">
        <f t="shared" si="181"/>
        <v>1.0868</v>
      </c>
      <c r="K382" s="120">
        <f t="shared" si="182"/>
        <v>0</v>
      </c>
      <c r="L382" s="120">
        <f t="shared" si="183"/>
        <v>0</v>
      </c>
      <c r="M382" s="246">
        <f t="shared" si="184"/>
        <v>0</v>
      </c>
      <c r="N382" s="121">
        <f t="shared" si="185"/>
        <v>1.0868</v>
      </c>
      <c r="O382" s="246">
        <f t="shared" si="186"/>
        <v>0.9858369803063457</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87">
        <v>35</v>
      </c>
      <c r="B383" s="242">
        <f t="shared" si="193"/>
        <v>46692</v>
      </c>
      <c r="C383" s="243">
        <f t="shared" si="174"/>
        <v>46721</v>
      </c>
      <c r="D383" s="120">
        <f t="shared" si="175"/>
        <v>30</v>
      </c>
      <c r="E383" s="120">
        <f t="shared" si="176"/>
        <v>11</v>
      </c>
      <c r="F383" s="275">
        <f t="shared" si="177"/>
        <v>46707</v>
      </c>
      <c r="G383" s="120">
        <f t="shared" si="178"/>
        <v>24334</v>
      </c>
      <c r="H383" s="245">
        <f t="shared" si="179"/>
        <v>1</v>
      </c>
      <c r="I383" s="121">
        <f t="shared" si="180"/>
        <v>1.0868</v>
      </c>
      <c r="J383" s="121">
        <f t="shared" si="181"/>
        <v>1.0868</v>
      </c>
      <c r="K383" s="120">
        <f t="shared" si="182"/>
        <v>0</v>
      </c>
      <c r="L383" s="120">
        <f t="shared" si="183"/>
        <v>0</v>
      </c>
      <c r="M383" s="246">
        <f t="shared" si="184"/>
        <v>0</v>
      </c>
      <c r="N383" s="121">
        <f t="shared" si="185"/>
        <v>1.0868</v>
      </c>
      <c r="O383" s="246">
        <f t="shared" si="186"/>
        <v>0.98550328227571116</v>
      </c>
      <c r="P383" s="121">
        <f t="shared" si="187"/>
        <v>0</v>
      </c>
      <c r="Q383" s="121">
        <f t="shared" si="188"/>
        <v>0.125</v>
      </c>
      <c r="R383" s="121">
        <f t="shared" si="189"/>
        <v>0.875</v>
      </c>
      <c r="S383" s="121" t="str">
        <f t="shared" si="190"/>
        <v/>
      </c>
      <c r="T383" s="121" t="str">
        <f t="shared" si="191"/>
        <v/>
      </c>
      <c r="U383" s="121">
        <f t="shared" si="192"/>
        <v>1.0868</v>
      </c>
    </row>
    <row r="384" spans="1:21" x14ac:dyDescent="0.3">
      <c r="A384" s="187">
        <v>36</v>
      </c>
      <c r="B384" s="242">
        <f t="shared" si="193"/>
        <v>46722</v>
      </c>
      <c r="C384" s="243">
        <f t="shared" si="174"/>
        <v>46752</v>
      </c>
      <c r="D384" s="120">
        <f t="shared" si="175"/>
        <v>31</v>
      </c>
      <c r="E384" s="120">
        <f t="shared" si="176"/>
        <v>12</v>
      </c>
      <c r="F384" s="275">
        <f t="shared" si="177"/>
        <v>46737.5</v>
      </c>
      <c r="G384" s="120">
        <f t="shared" si="178"/>
        <v>24335</v>
      </c>
      <c r="H384" s="245">
        <f t="shared" si="179"/>
        <v>1</v>
      </c>
      <c r="I384" s="121">
        <f t="shared" si="180"/>
        <v>1.0868</v>
      </c>
      <c r="J384" s="121">
        <f t="shared" si="181"/>
        <v>1.0868</v>
      </c>
      <c r="K384" s="120">
        <f t="shared" si="182"/>
        <v>0</v>
      </c>
      <c r="L384" s="120">
        <f t="shared" si="183"/>
        <v>0</v>
      </c>
      <c r="M384" s="246">
        <f t="shared" si="184"/>
        <v>0</v>
      </c>
      <c r="N384" s="121">
        <f t="shared" si="185"/>
        <v>1.0868</v>
      </c>
      <c r="O384" s="246">
        <f t="shared" si="186"/>
        <v>0.98516958424507661</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87">
        <v>37</v>
      </c>
      <c r="B385" s="242">
        <f t="shared" si="193"/>
        <v>46753</v>
      </c>
      <c r="C385" s="243">
        <f t="shared" si="174"/>
        <v>46783</v>
      </c>
      <c r="D385" s="120">
        <f t="shared" si="175"/>
        <v>31</v>
      </c>
      <c r="E385" s="120">
        <f t="shared" si="176"/>
        <v>1</v>
      </c>
      <c r="F385" s="275">
        <f t="shared" si="177"/>
        <v>46768.5</v>
      </c>
      <c r="G385" s="120">
        <f t="shared" si="178"/>
        <v>24336</v>
      </c>
      <c r="H385" s="245">
        <f t="shared" si="179"/>
        <v>1</v>
      </c>
      <c r="I385" s="121">
        <f t="shared" si="180"/>
        <v>1.0868</v>
      </c>
      <c r="J385" s="121">
        <f t="shared" si="181"/>
        <v>1.0868</v>
      </c>
      <c r="K385" s="120">
        <f t="shared" si="182"/>
        <v>0</v>
      </c>
      <c r="L385" s="120">
        <f t="shared" si="183"/>
        <v>0</v>
      </c>
      <c r="M385" s="246">
        <f t="shared" si="184"/>
        <v>0</v>
      </c>
      <c r="N385" s="121">
        <f t="shared" si="185"/>
        <v>1.0868</v>
      </c>
      <c r="O385" s="246">
        <f t="shared" si="186"/>
        <v>0.98521174863387972</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87">
        <v>38</v>
      </c>
      <c r="B386" s="242">
        <f t="shared" si="193"/>
        <v>46784</v>
      </c>
      <c r="C386" s="243">
        <f t="shared" si="174"/>
        <v>46812</v>
      </c>
      <c r="D386" s="120">
        <f t="shared" si="175"/>
        <v>29</v>
      </c>
      <c r="E386" s="120">
        <f t="shared" si="176"/>
        <v>2</v>
      </c>
      <c r="F386" s="275">
        <f t="shared" si="177"/>
        <v>46798.5</v>
      </c>
      <c r="G386" s="120">
        <f t="shared" si="178"/>
        <v>24337</v>
      </c>
      <c r="H386" s="245">
        <f t="shared" si="179"/>
        <v>1</v>
      </c>
      <c r="I386" s="121">
        <f t="shared" si="180"/>
        <v>1.0868</v>
      </c>
      <c r="J386" s="121">
        <f t="shared" si="181"/>
        <v>1.0868</v>
      </c>
      <c r="K386" s="120">
        <f t="shared" si="182"/>
        <v>0</v>
      </c>
      <c r="L386" s="120">
        <f t="shared" si="183"/>
        <v>0</v>
      </c>
      <c r="M386" s="246">
        <f t="shared" si="184"/>
        <v>0</v>
      </c>
      <c r="N386" s="121">
        <f t="shared" si="185"/>
        <v>1.0868</v>
      </c>
      <c r="O386" s="246">
        <f t="shared" si="186"/>
        <v>0.98562158469945349</v>
      </c>
      <c r="P386" s="121">
        <f t="shared" si="187"/>
        <v>0</v>
      </c>
      <c r="Q386" s="121">
        <f t="shared" si="188"/>
        <v>0</v>
      </c>
      <c r="R386" s="121">
        <f t="shared" si="189"/>
        <v>0.875</v>
      </c>
      <c r="S386" s="121" t="str">
        <f t="shared" si="190"/>
        <v/>
      </c>
      <c r="T386" s="121" t="str">
        <f t="shared" si="191"/>
        <v/>
      </c>
      <c r="U386" s="121">
        <f t="shared" si="192"/>
        <v>1.0868</v>
      </c>
    </row>
    <row r="387" spans="1:21" x14ac:dyDescent="0.3">
      <c r="A387" s="187">
        <v>39</v>
      </c>
      <c r="B387" s="242">
        <f t="shared" si="193"/>
        <v>46813</v>
      </c>
      <c r="C387" s="243">
        <f t="shared" si="174"/>
        <v>46843</v>
      </c>
      <c r="D387" s="120">
        <f t="shared" si="175"/>
        <v>31</v>
      </c>
      <c r="E387" s="120">
        <f t="shared" si="176"/>
        <v>3</v>
      </c>
      <c r="F387" s="275">
        <f t="shared" si="177"/>
        <v>46828.5</v>
      </c>
      <c r="G387" s="120">
        <f t="shared" si="178"/>
        <v>24338</v>
      </c>
      <c r="H387" s="245">
        <f t="shared" si="179"/>
        <v>1</v>
      </c>
      <c r="I387" s="121">
        <f t="shared" si="180"/>
        <v>1.0868</v>
      </c>
      <c r="J387" s="121">
        <f t="shared" si="181"/>
        <v>1.0868</v>
      </c>
      <c r="K387" s="120">
        <f t="shared" si="182"/>
        <v>0</v>
      </c>
      <c r="L387" s="120">
        <f t="shared" si="183"/>
        <v>0</v>
      </c>
      <c r="M387" s="246">
        <f t="shared" si="184"/>
        <v>0</v>
      </c>
      <c r="N387" s="121">
        <f t="shared" si="185"/>
        <v>1.0868</v>
      </c>
      <c r="O387" s="246">
        <f t="shared" si="186"/>
        <v>0.98603142076502726</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87">
        <v>40</v>
      </c>
      <c r="B388" s="242">
        <f t="shared" si="193"/>
        <v>46844</v>
      </c>
      <c r="C388" s="243">
        <f t="shared" si="174"/>
        <v>46873</v>
      </c>
      <c r="D388" s="120">
        <f t="shared" si="175"/>
        <v>30</v>
      </c>
      <c r="E388" s="120">
        <f t="shared" si="176"/>
        <v>4</v>
      </c>
      <c r="F388" s="275">
        <f t="shared" si="177"/>
        <v>46859</v>
      </c>
      <c r="G388" s="120">
        <f t="shared" si="178"/>
        <v>24339</v>
      </c>
      <c r="H388" s="245">
        <f t="shared" si="179"/>
        <v>1</v>
      </c>
      <c r="I388" s="121">
        <f t="shared" si="180"/>
        <v>1.0868</v>
      </c>
      <c r="J388" s="121">
        <f t="shared" si="181"/>
        <v>1.0868</v>
      </c>
      <c r="K388" s="120">
        <f t="shared" si="182"/>
        <v>0</v>
      </c>
      <c r="L388" s="120">
        <f t="shared" si="183"/>
        <v>0</v>
      </c>
      <c r="M388" s="246">
        <f t="shared" si="184"/>
        <v>0</v>
      </c>
      <c r="N388" s="121">
        <f t="shared" si="185"/>
        <v>1.0868</v>
      </c>
      <c r="O388" s="246">
        <f t="shared" si="186"/>
        <v>0.98644808743169399</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87">
        <v>41</v>
      </c>
      <c r="B389" s="242">
        <f t="shared" si="193"/>
        <v>46874</v>
      </c>
      <c r="C389" s="243">
        <f t="shared" si="174"/>
        <v>46904</v>
      </c>
      <c r="D389" s="120">
        <f t="shared" si="175"/>
        <v>31</v>
      </c>
      <c r="E389" s="120">
        <f t="shared" si="176"/>
        <v>5</v>
      </c>
      <c r="F389" s="275">
        <f t="shared" si="177"/>
        <v>46889.5</v>
      </c>
      <c r="G389" s="120">
        <f t="shared" si="178"/>
        <v>24340</v>
      </c>
      <c r="H389" s="245">
        <f t="shared" si="179"/>
        <v>1</v>
      </c>
      <c r="I389" s="121">
        <f t="shared" si="180"/>
        <v>1.0868</v>
      </c>
      <c r="J389" s="121">
        <f t="shared" si="181"/>
        <v>1.0868</v>
      </c>
      <c r="K389" s="120">
        <f t="shared" si="182"/>
        <v>0</v>
      </c>
      <c r="L389" s="120">
        <f t="shared" si="183"/>
        <v>0</v>
      </c>
      <c r="M389" s="246">
        <f t="shared" si="184"/>
        <v>0</v>
      </c>
      <c r="N389" s="121">
        <f t="shared" si="185"/>
        <v>1.0868</v>
      </c>
      <c r="O389" s="246">
        <f t="shared" si="186"/>
        <v>0.98686475409836061</v>
      </c>
      <c r="P389" s="121">
        <f t="shared" si="187"/>
        <v>0</v>
      </c>
      <c r="Q389" s="121">
        <f t="shared" si="188"/>
        <v>0</v>
      </c>
      <c r="R389" s="121">
        <f t="shared" si="189"/>
        <v>0.625</v>
      </c>
      <c r="S389" s="121" t="str">
        <f t="shared" si="190"/>
        <v/>
      </c>
      <c r="T389" s="121" t="str">
        <f t="shared" si="191"/>
        <v/>
      </c>
      <c r="U389" s="121">
        <f t="shared" si="192"/>
        <v>1.0868</v>
      </c>
    </row>
    <row r="390" spans="1:21" x14ac:dyDescent="0.3">
      <c r="A390" s="187">
        <v>42</v>
      </c>
      <c r="B390" s="242">
        <f t="shared" si="193"/>
        <v>46905</v>
      </c>
      <c r="C390" s="243">
        <f t="shared" si="174"/>
        <v>46934</v>
      </c>
      <c r="D390" s="120">
        <f t="shared" si="175"/>
        <v>30</v>
      </c>
      <c r="E390" s="120">
        <f t="shared" si="176"/>
        <v>6</v>
      </c>
      <c r="F390" s="275">
        <f t="shared" si="177"/>
        <v>46920</v>
      </c>
      <c r="G390" s="120">
        <f t="shared" si="178"/>
        <v>24341</v>
      </c>
      <c r="H390" s="245">
        <f t="shared" si="179"/>
        <v>1</v>
      </c>
      <c r="I390" s="121">
        <f t="shared" si="180"/>
        <v>1.0868</v>
      </c>
      <c r="J390" s="121">
        <f t="shared" si="181"/>
        <v>1.0868</v>
      </c>
      <c r="K390" s="120">
        <f t="shared" si="182"/>
        <v>0</v>
      </c>
      <c r="L390" s="120">
        <f t="shared" si="183"/>
        <v>0</v>
      </c>
      <c r="M390" s="246">
        <f t="shared" si="184"/>
        <v>0</v>
      </c>
      <c r="N390" s="121">
        <f t="shared" si="185"/>
        <v>1.0868</v>
      </c>
      <c r="O390" s="246">
        <f t="shared" si="186"/>
        <v>0.98728142076502734</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87">
        <v>43</v>
      </c>
      <c r="B391" s="242">
        <f t="shared" si="193"/>
        <v>46935</v>
      </c>
      <c r="C391" s="243">
        <f t="shared" si="174"/>
        <v>46965</v>
      </c>
      <c r="D391" s="120">
        <f t="shared" si="175"/>
        <v>31</v>
      </c>
      <c r="E391" s="120">
        <f t="shared" si="176"/>
        <v>7</v>
      </c>
      <c r="F391" s="275">
        <f t="shared" si="177"/>
        <v>46950.5</v>
      </c>
      <c r="G391" s="120">
        <f t="shared" si="178"/>
        <v>24342</v>
      </c>
      <c r="H391" s="245">
        <f t="shared" si="179"/>
        <v>1</v>
      </c>
      <c r="I391" s="121">
        <f t="shared" si="180"/>
        <v>1.0868</v>
      </c>
      <c r="J391" s="121">
        <f t="shared" si="181"/>
        <v>1.0868</v>
      </c>
      <c r="K391" s="120">
        <f t="shared" si="182"/>
        <v>0</v>
      </c>
      <c r="L391" s="120">
        <f t="shared" si="183"/>
        <v>0</v>
      </c>
      <c r="M391" s="246">
        <f t="shared" si="184"/>
        <v>0</v>
      </c>
      <c r="N391" s="121">
        <f t="shared" si="185"/>
        <v>1.0868</v>
      </c>
      <c r="O391" s="246">
        <f t="shared" si="186"/>
        <v>0.98769808743169396</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87">
        <v>44</v>
      </c>
      <c r="B392" s="242">
        <f t="shared" si="193"/>
        <v>46966</v>
      </c>
      <c r="C392" s="243">
        <f t="shared" si="174"/>
        <v>46996</v>
      </c>
      <c r="D392" s="120">
        <f t="shared" si="175"/>
        <v>31</v>
      </c>
      <c r="E392" s="120">
        <f t="shared" si="176"/>
        <v>8</v>
      </c>
      <c r="F392" s="275">
        <f t="shared" si="177"/>
        <v>46981.5</v>
      </c>
      <c r="G392" s="120">
        <f t="shared" si="178"/>
        <v>24343</v>
      </c>
      <c r="H392" s="245">
        <f t="shared" si="179"/>
        <v>1</v>
      </c>
      <c r="I392" s="121">
        <f t="shared" si="180"/>
        <v>1.0868</v>
      </c>
      <c r="J392" s="121">
        <f t="shared" si="181"/>
        <v>1.0868</v>
      </c>
      <c r="K392" s="120">
        <f t="shared" si="182"/>
        <v>0</v>
      </c>
      <c r="L392" s="120">
        <f t="shared" si="183"/>
        <v>0</v>
      </c>
      <c r="M392" s="246">
        <f t="shared" si="184"/>
        <v>0</v>
      </c>
      <c r="N392" s="121">
        <f t="shared" si="185"/>
        <v>1.0868</v>
      </c>
      <c r="O392" s="246">
        <f t="shared" si="186"/>
        <v>0.98812158469945355</v>
      </c>
      <c r="P392" s="121">
        <f t="shared" si="187"/>
        <v>0</v>
      </c>
      <c r="Q392" s="121">
        <f t="shared" si="188"/>
        <v>0</v>
      </c>
      <c r="R392" s="121">
        <f t="shared" si="189"/>
        <v>0.375</v>
      </c>
      <c r="S392" s="121" t="str">
        <f t="shared" si="190"/>
        <v/>
      </c>
      <c r="T392" s="121" t="str">
        <f t="shared" si="191"/>
        <v/>
      </c>
      <c r="U392" s="121">
        <f t="shared" si="192"/>
        <v>1.0868</v>
      </c>
    </row>
    <row r="393" spans="1:21" x14ac:dyDescent="0.3">
      <c r="A393" s="187">
        <v>45</v>
      </c>
      <c r="B393" s="242">
        <f t="shared" si="193"/>
        <v>46997</v>
      </c>
      <c r="C393" s="243">
        <f t="shared" si="174"/>
        <v>47026</v>
      </c>
      <c r="D393" s="120">
        <f t="shared" si="175"/>
        <v>30</v>
      </c>
      <c r="E393" s="120">
        <f t="shared" si="176"/>
        <v>9</v>
      </c>
      <c r="F393" s="275">
        <f t="shared" si="177"/>
        <v>47012</v>
      </c>
      <c r="G393" s="120">
        <f t="shared" si="178"/>
        <v>24344</v>
      </c>
      <c r="H393" s="245">
        <f t="shared" si="179"/>
        <v>1</v>
      </c>
      <c r="I393" s="121">
        <f t="shared" si="180"/>
        <v>1.0868</v>
      </c>
      <c r="J393" s="121">
        <f t="shared" si="181"/>
        <v>1.0868</v>
      </c>
      <c r="K393" s="120">
        <f t="shared" si="182"/>
        <v>0</v>
      </c>
      <c r="L393" s="120">
        <f t="shared" si="183"/>
        <v>0</v>
      </c>
      <c r="M393" s="246">
        <f t="shared" si="184"/>
        <v>0</v>
      </c>
      <c r="N393" s="121">
        <f t="shared" si="185"/>
        <v>1.0868</v>
      </c>
      <c r="O393" s="246">
        <f t="shared" si="186"/>
        <v>0.98853825136612017</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87">
        <v>46</v>
      </c>
      <c r="B394" s="242">
        <f t="shared" si="193"/>
        <v>47027</v>
      </c>
      <c r="C394" s="243">
        <f t="shared" si="174"/>
        <v>47057</v>
      </c>
      <c r="D394" s="120">
        <f t="shared" si="175"/>
        <v>31</v>
      </c>
      <c r="E394" s="120">
        <f t="shared" si="176"/>
        <v>10</v>
      </c>
      <c r="F394" s="275">
        <f t="shared" si="177"/>
        <v>47042.5</v>
      </c>
      <c r="G394" s="120">
        <f t="shared" si="178"/>
        <v>24345</v>
      </c>
      <c r="H394" s="245">
        <f t="shared" si="179"/>
        <v>1</v>
      </c>
      <c r="I394" s="121">
        <f t="shared" si="180"/>
        <v>1.0868</v>
      </c>
      <c r="J394" s="121">
        <f t="shared" si="181"/>
        <v>1.0868</v>
      </c>
      <c r="K394" s="120">
        <f t="shared" si="182"/>
        <v>0</v>
      </c>
      <c r="L394" s="120">
        <f t="shared" si="183"/>
        <v>0</v>
      </c>
      <c r="M394" s="246">
        <f t="shared" si="184"/>
        <v>0</v>
      </c>
      <c r="N394" s="121">
        <f t="shared" si="185"/>
        <v>1.0868</v>
      </c>
      <c r="O394" s="246">
        <f t="shared" si="186"/>
        <v>0.9889549180327869</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87">
        <v>47</v>
      </c>
      <c r="B395" s="242">
        <f t="shared" si="193"/>
        <v>47058</v>
      </c>
      <c r="C395" s="243">
        <f t="shared" si="174"/>
        <v>47087</v>
      </c>
      <c r="D395" s="120">
        <f t="shared" si="175"/>
        <v>30</v>
      </c>
      <c r="E395" s="120">
        <f t="shared" si="176"/>
        <v>11</v>
      </c>
      <c r="F395" s="275">
        <f t="shared" si="177"/>
        <v>47073</v>
      </c>
      <c r="G395" s="120">
        <f t="shared" si="178"/>
        <v>24346</v>
      </c>
      <c r="H395" s="245">
        <f t="shared" si="179"/>
        <v>1</v>
      </c>
      <c r="I395" s="121">
        <f t="shared" si="180"/>
        <v>1.0868</v>
      </c>
      <c r="J395" s="121">
        <f t="shared" si="181"/>
        <v>1.0868</v>
      </c>
      <c r="K395" s="120">
        <f t="shared" si="182"/>
        <v>0</v>
      </c>
      <c r="L395" s="120">
        <f t="shared" si="183"/>
        <v>0</v>
      </c>
      <c r="M395" s="246">
        <f t="shared" si="184"/>
        <v>0</v>
      </c>
      <c r="N395" s="121">
        <f t="shared" si="185"/>
        <v>1.0868</v>
      </c>
      <c r="O395" s="246">
        <f t="shared" si="186"/>
        <v>0.98937158469945352</v>
      </c>
      <c r="P395" s="121">
        <f t="shared" si="187"/>
        <v>0</v>
      </c>
      <c r="Q395" s="121">
        <f t="shared" si="188"/>
        <v>0</v>
      </c>
      <c r="R395" s="121">
        <f t="shared" si="189"/>
        <v>0.125</v>
      </c>
      <c r="S395" s="121" t="str">
        <f t="shared" si="190"/>
        <v/>
      </c>
      <c r="T395" s="121" t="str">
        <f t="shared" si="191"/>
        <v/>
      </c>
      <c r="U395" s="121">
        <f t="shared" si="192"/>
        <v>1.0868</v>
      </c>
    </row>
    <row r="396" spans="1:21" x14ac:dyDescent="0.3">
      <c r="A396" s="187">
        <v>48</v>
      </c>
      <c r="B396" s="242">
        <f t="shared" si="193"/>
        <v>47088</v>
      </c>
      <c r="C396" s="243">
        <f t="shared" si="174"/>
        <v>47118</v>
      </c>
      <c r="D396" s="120">
        <f t="shared" si="175"/>
        <v>31</v>
      </c>
      <c r="E396" s="120">
        <f t="shared" si="176"/>
        <v>12</v>
      </c>
      <c r="F396" s="275">
        <f t="shared" si="177"/>
        <v>47103.5</v>
      </c>
      <c r="G396" s="120">
        <f t="shared" si="178"/>
        <v>24347</v>
      </c>
      <c r="H396" s="245">
        <f t="shared" si="179"/>
        <v>1</v>
      </c>
      <c r="I396" s="121">
        <f t="shared" si="180"/>
        <v>1.0868</v>
      </c>
      <c r="J396" s="121">
        <f t="shared" si="181"/>
        <v>1.0868</v>
      </c>
      <c r="K396" s="120">
        <f t="shared" si="182"/>
        <v>0</v>
      </c>
      <c r="L396" s="120">
        <f t="shared" si="183"/>
        <v>0</v>
      </c>
      <c r="M396" s="246">
        <f t="shared" si="184"/>
        <v>0</v>
      </c>
      <c r="N396" s="121">
        <f t="shared" si="185"/>
        <v>1.0868</v>
      </c>
      <c r="O396" s="246">
        <f t="shared" si="186"/>
        <v>0.98978825136612025</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1651</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24">
        <f>SUMPRODUCT($H$349:$H$396,$Q$349:$Q$396,$O$349:$O$396)/SUMPRODUCT($H$349:$H$396,$Q$349:$Q$396)</f>
        <v>0.98800949758575374</v>
      </c>
      <c r="G397" s="224">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24">
        <f>IF(N(INDEX(lr_mind,7))=0,1,INDEX(lr_mind,7))</f>
        <v>1</v>
      </c>
      <c r="G400" s="224">
        <f>IF(N(INDEX(lr_m0,7))=0,1,INDEX(lr_m0,7))</f>
        <v>0.99</v>
      </c>
      <c r="H400" s="74">
        <f>IF(N(INDEX(lr_m0asof,7))=0,DATE(nr_PlanYear-1,10,1),INDEX(lr_m0asof,7))</f>
        <v>46295</v>
      </c>
      <c r="I400" s="224">
        <f>IF(N(INDEX(lr_m1,7))=0,1,INDEX(lr_m1,7))</f>
        <v>1</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94">EOMONTH($B403,0)</f>
        <v>45688</v>
      </c>
      <c r="D403" s="120">
        <f t="shared" ref="D403:D450" si="195">$C403-$B403+1</f>
        <v>31</v>
      </c>
      <c r="E403" s="120">
        <f t="shared" ref="E403:E450" si="196">MONTH($B403)</f>
        <v>1</v>
      </c>
      <c r="F403" s="275">
        <f t="shared" ref="F403:F450" si="197">($B403+$C403+1)/2</f>
        <v>45673.5</v>
      </c>
      <c r="G403" s="120">
        <f t="shared" ref="G403:G450" si="198">YEAR($B403)*12+MONTH($B403)-1</f>
        <v>24300</v>
      </c>
      <c r="H403" s="245">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46">
        <f t="shared" ref="M403:M450" si="204">IF($K403=0,0,MIN(1,$L403/$D403))</f>
        <v>0</v>
      </c>
      <c r="N403" s="121">
        <f t="shared" ref="N403:N450" si="205">IF($K403=0,$J403,(1-$M403)*$I403+$M403*$J403)</f>
        <v>1</v>
      </c>
      <c r="O403" s="246">
        <f t="shared" ref="O403:O450" si="206">IF($F403&lt;$B$401,$E$401+$I$401*($F403-$A$401),IF($F403&lt;$C$401,$F$401+$J$401*($F403-$B$401),$G$401+$K$401*($F403-$C$401)))</f>
        <v>0.97637855579868715</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87">
        <v>2</v>
      </c>
      <c r="B404" s="242">
        <f t="shared" ref="B404:B450" si="213">EDATE($B403,1)</f>
        <v>45689</v>
      </c>
      <c r="C404" s="243">
        <f t="shared" si="194"/>
        <v>45716</v>
      </c>
      <c r="D404" s="120">
        <f t="shared" si="195"/>
        <v>28</v>
      </c>
      <c r="E404" s="120">
        <f t="shared" si="196"/>
        <v>2</v>
      </c>
      <c r="F404" s="275">
        <f t="shared" si="197"/>
        <v>45703</v>
      </c>
      <c r="G404" s="120">
        <f t="shared" si="198"/>
        <v>24301</v>
      </c>
      <c r="H404" s="245">
        <f t="shared" si="199"/>
        <v>1</v>
      </c>
      <c r="I404" s="121">
        <f t="shared" si="200"/>
        <v>1</v>
      </c>
      <c r="J404" s="121">
        <f t="shared" si="201"/>
        <v>1</v>
      </c>
      <c r="K404" s="120">
        <f t="shared" si="202"/>
        <v>0</v>
      </c>
      <c r="L404" s="120">
        <f t="shared" si="203"/>
        <v>0</v>
      </c>
      <c r="M404" s="246">
        <f t="shared" si="204"/>
        <v>0</v>
      </c>
      <c r="N404" s="121">
        <f t="shared" si="205"/>
        <v>1</v>
      </c>
      <c r="O404" s="246">
        <f t="shared" si="206"/>
        <v>0.97702407002188185</v>
      </c>
      <c r="P404" s="121">
        <f t="shared" si="207"/>
        <v>0.125</v>
      </c>
      <c r="Q404" s="121">
        <f t="shared" si="208"/>
        <v>0</v>
      </c>
      <c r="R404" s="121">
        <f t="shared" si="209"/>
        <v>0</v>
      </c>
      <c r="S404" s="121" t="str">
        <f t="shared" si="210"/>
        <v/>
      </c>
      <c r="T404" s="121" t="str">
        <f t="shared" si="211"/>
        <v/>
      </c>
      <c r="U404" s="121">
        <f t="shared" si="212"/>
        <v>1</v>
      </c>
    </row>
    <row r="405" spans="1:21" x14ac:dyDescent="0.3">
      <c r="A405" s="187">
        <v>3</v>
      </c>
      <c r="B405" s="242">
        <f t="shared" si="213"/>
        <v>45717</v>
      </c>
      <c r="C405" s="243">
        <f t="shared" si="194"/>
        <v>45747</v>
      </c>
      <c r="D405" s="120">
        <f t="shared" si="195"/>
        <v>31</v>
      </c>
      <c r="E405" s="120">
        <f t="shared" si="196"/>
        <v>3</v>
      </c>
      <c r="F405" s="275">
        <f t="shared" si="197"/>
        <v>45732.5</v>
      </c>
      <c r="G405" s="120">
        <f t="shared" si="198"/>
        <v>24302</v>
      </c>
      <c r="H405" s="245">
        <f t="shared" si="199"/>
        <v>1</v>
      </c>
      <c r="I405" s="121">
        <f t="shared" si="200"/>
        <v>1</v>
      </c>
      <c r="J405" s="121">
        <f t="shared" si="201"/>
        <v>1</v>
      </c>
      <c r="K405" s="120">
        <f t="shared" si="202"/>
        <v>0</v>
      </c>
      <c r="L405" s="120">
        <f t="shared" si="203"/>
        <v>0</v>
      </c>
      <c r="M405" s="246">
        <f t="shared" si="204"/>
        <v>0</v>
      </c>
      <c r="N405" s="121">
        <f t="shared" si="205"/>
        <v>1</v>
      </c>
      <c r="O405" s="246">
        <f t="shared" si="206"/>
        <v>0.97766958424507666</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87">
        <v>4</v>
      </c>
      <c r="B406" s="242">
        <f t="shared" si="213"/>
        <v>45748</v>
      </c>
      <c r="C406" s="243">
        <f t="shared" si="194"/>
        <v>45777</v>
      </c>
      <c r="D406" s="120">
        <f t="shared" si="195"/>
        <v>30</v>
      </c>
      <c r="E406" s="120">
        <f t="shared" si="196"/>
        <v>4</v>
      </c>
      <c r="F406" s="275">
        <f t="shared" si="197"/>
        <v>45763</v>
      </c>
      <c r="G406" s="120">
        <f t="shared" si="198"/>
        <v>24303</v>
      </c>
      <c r="H406" s="245">
        <f t="shared" si="199"/>
        <v>1</v>
      </c>
      <c r="I406" s="121">
        <f t="shared" si="200"/>
        <v>1</v>
      </c>
      <c r="J406" s="121">
        <f t="shared" si="201"/>
        <v>1</v>
      </c>
      <c r="K406" s="120">
        <f t="shared" si="202"/>
        <v>0</v>
      </c>
      <c r="L406" s="120">
        <f t="shared" si="203"/>
        <v>0</v>
      </c>
      <c r="M406" s="246">
        <f t="shared" si="204"/>
        <v>0</v>
      </c>
      <c r="N406" s="121">
        <f t="shared" si="205"/>
        <v>1</v>
      </c>
      <c r="O406" s="246">
        <f t="shared" si="206"/>
        <v>0.97833698030634575</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87">
        <v>5</v>
      </c>
      <c r="B407" s="242">
        <f t="shared" si="213"/>
        <v>45778</v>
      </c>
      <c r="C407" s="243">
        <f t="shared" si="194"/>
        <v>45808</v>
      </c>
      <c r="D407" s="120">
        <f t="shared" si="195"/>
        <v>31</v>
      </c>
      <c r="E407" s="120">
        <f t="shared" si="196"/>
        <v>5</v>
      </c>
      <c r="F407" s="275">
        <f t="shared" si="197"/>
        <v>45793.5</v>
      </c>
      <c r="G407" s="120">
        <f t="shared" si="198"/>
        <v>24304</v>
      </c>
      <c r="H407" s="245">
        <f t="shared" si="199"/>
        <v>1</v>
      </c>
      <c r="I407" s="121">
        <f t="shared" si="200"/>
        <v>1</v>
      </c>
      <c r="J407" s="121">
        <f t="shared" si="201"/>
        <v>1</v>
      </c>
      <c r="K407" s="120">
        <f t="shared" si="202"/>
        <v>0</v>
      </c>
      <c r="L407" s="120">
        <f t="shared" si="203"/>
        <v>0</v>
      </c>
      <c r="M407" s="246">
        <f t="shared" si="204"/>
        <v>0</v>
      </c>
      <c r="N407" s="121">
        <f t="shared" si="205"/>
        <v>1</v>
      </c>
      <c r="O407" s="246">
        <f t="shared" si="206"/>
        <v>0.97900437636761495</v>
      </c>
      <c r="P407" s="121">
        <f t="shared" si="207"/>
        <v>0.375</v>
      </c>
      <c r="Q407" s="121">
        <f t="shared" si="208"/>
        <v>0</v>
      </c>
      <c r="R407" s="121">
        <f t="shared" si="209"/>
        <v>0</v>
      </c>
      <c r="S407" s="121" t="str">
        <f t="shared" si="210"/>
        <v/>
      </c>
      <c r="T407" s="121" t="str">
        <f t="shared" si="211"/>
        <v/>
      </c>
      <c r="U407" s="121">
        <f t="shared" si="212"/>
        <v>1</v>
      </c>
    </row>
    <row r="408" spans="1:21" x14ac:dyDescent="0.3">
      <c r="A408" s="187">
        <v>6</v>
      </c>
      <c r="B408" s="242">
        <f t="shared" si="213"/>
        <v>45809</v>
      </c>
      <c r="C408" s="243">
        <f t="shared" si="194"/>
        <v>45838</v>
      </c>
      <c r="D408" s="120">
        <f t="shared" si="195"/>
        <v>30</v>
      </c>
      <c r="E408" s="120">
        <f t="shared" si="196"/>
        <v>6</v>
      </c>
      <c r="F408" s="275">
        <f t="shared" si="197"/>
        <v>45824</v>
      </c>
      <c r="G408" s="120">
        <f t="shared" si="198"/>
        <v>24305</v>
      </c>
      <c r="H408" s="245">
        <f t="shared" si="199"/>
        <v>1</v>
      </c>
      <c r="I408" s="121">
        <f t="shared" si="200"/>
        <v>1</v>
      </c>
      <c r="J408" s="121">
        <f t="shared" si="201"/>
        <v>1</v>
      </c>
      <c r="K408" s="120">
        <f t="shared" si="202"/>
        <v>0</v>
      </c>
      <c r="L408" s="120">
        <f t="shared" si="203"/>
        <v>0</v>
      </c>
      <c r="M408" s="246">
        <f t="shared" si="204"/>
        <v>0</v>
      </c>
      <c r="N408" s="121">
        <f t="shared" si="205"/>
        <v>1</v>
      </c>
      <c r="O408" s="246">
        <f t="shared" si="206"/>
        <v>0.97967177242888404</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87">
        <v>7</v>
      </c>
      <c r="B409" s="242">
        <f t="shared" si="213"/>
        <v>45839</v>
      </c>
      <c r="C409" s="243">
        <f t="shared" si="194"/>
        <v>45869</v>
      </c>
      <c r="D409" s="120">
        <f t="shared" si="195"/>
        <v>31</v>
      </c>
      <c r="E409" s="120">
        <f t="shared" si="196"/>
        <v>7</v>
      </c>
      <c r="F409" s="275">
        <f t="shared" si="197"/>
        <v>45854.5</v>
      </c>
      <c r="G409" s="120">
        <f t="shared" si="198"/>
        <v>24306</v>
      </c>
      <c r="H409" s="245">
        <f t="shared" si="199"/>
        <v>1</v>
      </c>
      <c r="I409" s="121">
        <f t="shared" si="200"/>
        <v>1</v>
      </c>
      <c r="J409" s="121">
        <f t="shared" si="201"/>
        <v>1</v>
      </c>
      <c r="K409" s="120">
        <f t="shared" si="202"/>
        <v>0</v>
      </c>
      <c r="L409" s="120">
        <f t="shared" si="203"/>
        <v>0</v>
      </c>
      <c r="M409" s="246">
        <f t="shared" si="204"/>
        <v>0</v>
      </c>
      <c r="N409" s="121">
        <f t="shared" si="205"/>
        <v>1</v>
      </c>
      <c r="O409" s="246">
        <f t="shared" si="206"/>
        <v>0.98033916849015323</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87">
        <v>8</v>
      </c>
      <c r="B410" s="242">
        <f t="shared" si="213"/>
        <v>45870</v>
      </c>
      <c r="C410" s="243">
        <f t="shared" si="194"/>
        <v>45900</v>
      </c>
      <c r="D410" s="120">
        <f t="shared" si="195"/>
        <v>31</v>
      </c>
      <c r="E410" s="120">
        <f t="shared" si="196"/>
        <v>8</v>
      </c>
      <c r="F410" s="275">
        <f t="shared" si="197"/>
        <v>45885.5</v>
      </c>
      <c r="G410" s="120">
        <f t="shared" si="198"/>
        <v>24307</v>
      </c>
      <c r="H410" s="245">
        <f t="shared" si="199"/>
        <v>1</v>
      </c>
      <c r="I410" s="121">
        <f t="shared" si="200"/>
        <v>1</v>
      </c>
      <c r="J410" s="121">
        <f t="shared" si="201"/>
        <v>1</v>
      </c>
      <c r="K410" s="120">
        <f t="shared" si="202"/>
        <v>0</v>
      </c>
      <c r="L410" s="120">
        <f t="shared" si="203"/>
        <v>0</v>
      </c>
      <c r="M410" s="246">
        <f t="shared" si="204"/>
        <v>0</v>
      </c>
      <c r="N410" s="121">
        <f t="shared" si="205"/>
        <v>1</v>
      </c>
      <c r="O410" s="246">
        <f t="shared" si="206"/>
        <v>0.98101750547045952</v>
      </c>
      <c r="P410" s="121">
        <f t="shared" si="207"/>
        <v>0.625</v>
      </c>
      <c r="Q410" s="121">
        <f t="shared" si="208"/>
        <v>0</v>
      </c>
      <c r="R410" s="121">
        <f t="shared" si="209"/>
        <v>0</v>
      </c>
      <c r="S410" s="121" t="str">
        <f t="shared" si="210"/>
        <v/>
      </c>
      <c r="T410" s="121" t="str">
        <f t="shared" si="211"/>
        <v/>
      </c>
      <c r="U410" s="121">
        <f t="shared" si="212"/>
        <v>1</v>
      </c>
    </row>
    <row r="411" spans="1:21" x14ac:dyDescent="0.3">
      <c r="A411" s="187">
        <v>9</v>
      </c>
      <c r="B411" s="242">
        <f t="shared" si="213"/>
        <v>45901</v>
      </c>
      <c r="C411" s="243">
        <f t="shared" si="194"/>
        <v>45930</v>
      </c>
      <c r="D411" s="120">
        <f t="shared" si="195"/>
        <v>30</v>
      </c>
      <c r="E411" s="120">
        <f t="shared" si="196"/>
        <v>9</v>
      </c>
      <c r="F411" s="275">
        <f t="shared" si="197"/>
        <v>45916</v>
      </c>
      <c r="G411" s="120">
        <f t="shared" si="198"/>
        <v>24308</v>
      </c>
      <c r="H411" s="245">
        <f t="shared" si="199"/>
        <v>1</v>
      </c>
      <c r="I411" s="121">
        <f t="shared" si="200"/>
        <v>1</v>
      </c>
      <c r="J411" s="121">
        <f t="shared" si="201"/>
        <v>1</v>
      </c>
      <c r="K411" s="120">
        <f t="shared" si="202"/>
        <v>0</v>
      </c>
      <c r="L411" s="120">
        <f t="shared" si="203"/>
        <v>0</v>
      </c>
      <c r="M411" s="246">
        <f t="shared" si="204"/>
        <v>0</v>
      </c>
      <c r="N411" s="121">
        <f t="shared" si="205"/>
        <v>1</v>
      </c>
      <c r="O411" s="246">
        <f t="shared" si="206"/>
        <v>0.98168490153172872</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87">
        <v>10</v>
      </c>
      <c r="B412" s="242">
        <f t="shared" si="213"/>
        <v>45931</v>
      </c>
      <c r="C412" s="243">
        <f t="shared" si="194"/>
        <v>45961</v>
      </c>
      <c r="D412" s="120">
        <f t="shared" si="195"/>
        <v>31</v>
      </c>
      <c r="E412" s="120">
        <f t="shared" si="196"/>
        <v>10</v>
      </c>
      <c r="F412" s="275">
        <f t="shared" si="197"/>
        <v>45946.5</v>
      </c>
      <c r="G412" s="120">
        <f t="shared" si="198"/>
        <v>24309</v>
      </c>
      <c r="H412" s="245">
        <f t="shared" si="199"/>
        <v>1</v>
      </c>
      <c r="I412" s="121">
        <f t="shared" si="200"/>
        <v>1</v>
      </c>
      <c r="J412" s="121">
        <f t="shared" si="201"/>
        <v>1</v>
      </c>
      <c r="K412" s="120">
        <f t="shared" si="202"/>
        <v>0</v>
      </c>
      <c r="L412" s="120">
        <f t="shared" si="203"/>
        <v>0</v>
      </c>
      <c r="M412" s="246">
        <f t="shared" si="204"/>
        <v>0</v>
      </c>
      <c r="N412" s="121">
        <f t="shared" si="205"/>
        <v>1</v>
      </c>
      <c r="O412" s="246">
        <f t="shared" si="206"/>
        <v>0.9823522975929978</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87">
        <v>11</v>
      </c>
      <c r="B413" s="242">
        <f t="shared" si="213"/>
        <v>45962</v>
      </c>
      <c r="C413" s="243">
        <f t="shared" si="194"/>
        <v>45991</v>
      </c>
      <c r="D413" s="120">
        <f t="shared" si="195"/>
        <v>30</v>
      </c>
      <c r="E413" s="120">
        <f t="shared" si="196"/>
        <v>11</v>
      </c>
      <c r="F413" s="275">
        <f t="shared" si="197"/>
        <v>45977</v>
      </c>
      <c r="G413" s="120">
        <f t="shared" si="198"/>
        <v>24310</v>
      </c>
      <c r="H413" s="245">
        <f t="shared" si="199"/>
        <v>1</v>
      </c>
      <c r="I413" s="121">
        <f t="shared" si="200"/>
        <v>1</v>
      </c>
      <c r="J413" s="121">
        <f t="shared" si="201"/>
        <v>1</v>
      </c>
      <c r="K413" s="120">
        <f t="shared" si="202"/>
        <v>0</v>
      </c>
      <c r="L413" s="120">
        <f t="shared" si="203"/>
        <v>0</v>
      </c>
      <c r="M413" s="246">
        <f t="shared" si="204"/>
        <v>0</v>
      </c>
      <c r="N413" s="121">
        <f t="shared" si="205"/>
        <v>1</v>
      </c>
      <c r="O413" s="246">
        <f t="shared" si="206"/>
        <v>0.983019693654267</v>
      </c>
      <c r="P413" s="121">
        <f t="shared" si="207"/>
        <v>0.875</v>
      </c>
      <c r="Q413" s="121">
        <f t="shared" si="208"/>
        <v>0</v>
      </c>
      <c r="R413" s="121">
        <f t="shared" si="209"/>
        <v>0</v>
      </c>
      <c r="S413" s="121" t="str">
        <f t="shared" si="210"/>
        <v/>
      </c>
      <c r="T413" s="121" t="str">
        <f t="shared" si="211"/>
        <v/>
      </c>
      <c r="U413" s="121">
        <f t="shared" si="212"/>
        <v>1</v>
      </c>
    </row>
    <row r="414" spans="1:21" x14ac:dyDescent="0.3">
      <c r="A414" s="187">
        <v>12</v>
      </c>
      <c r="B414" s="242">
        <f t="shared" si="213"/>
        <v>45992</v>
      </c>
      <c r="C414" s="243">
        <f t="shared" si="194"/>
        <v>46022</v>
      </c>
      <c r="D414" s="120">
        <f t="shared" si="195"/>
        <v>31</v>
      </c>
      <c r="E414" s="120">
        <f t="shared" si="196"/>
        <v>12</v>
      </c>
      <c r="F414" s="275">
        <f t="shared" si="197"/>
        <v>46007.5</v>
      </c>
      <c r="G414" s="120">
        <f t="shared" si="198"/>
        <v>24311</v>
      </c>
      <c r="H414" s="245">
        <f t="shared" si="199"/>
        <v>1</v>
      </c>
      <c r="I414" s="121">
        <f t="shared" si="200"/>
        <v>1</v>
      </c>
      <c r="J414" s="121">
        <f t="shared" si="201"/>
        <v>1</v>
      </c>
      <c r="K414" s="120">
        <f t="shared" si="202"/>
        <v>0</v>
      </c>
      <c r="L414" s="120">
        <f t="shared" si="203"/>
        <v>0</v>
      </c>
      <c r="M414" s="246">
        <f t="shared" si="204"/>
        <v>0</v>
      </c>
      <c r="N414" s="121">
        <f t="shared" si="205"/>
        <v>1</v>
      </c>
      <c r="O414" s="246">
        <f t="shared" si="206"/>
        <v>0.98368708971553609</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87">
        <v>13</v>
      </c>
      <c r="B415" s="242">
        <f t="shared" si="213"/>
        <v>46023</v>
      </c>
      <c r="C415" s="243">
        <f t="shared" si="194"/>
        <v>46053</v>
      </c>
      <c r="D415" s="120">
        <f t="shared" si="195"/>
        <v>31</v>
      </c>
      <c r="E415" s="120">
        <f t="shared" si="196"/>
        <v>1</v>
      </c>
      <c r="F415" s="275">
        <f t="shared" si="197"/>
        <v>46038.5</v>
      </c>
      <c r="G415" s="120">
        <f t="shared" si="198"/>
        <v>24312</v>
      </c>
      <c r="H415" s="245">
        <f t="shared" si="199"/>
        <v>1</v>
      </c>
      <c r="I415" s="121">
        <f t="shared" si="200"/>
        <v>1</v>
      </c>
      <c r="J415" s="121">
        <f t="shared" si="201"/>
        <v>1</v>
      </c>
      <c r="K415" s="120">
        <f t="shared" si="202"/>
        <v>0</v>
      </c>
      <c r="L415" s="120">
        <f t="shared" si="203"/>
        <v>0</v>
      </c>
      <c r="M415" s="246">
        <f t="shared" si="204"/>
        <v>0</v>
      </c>
      <c r="N415" s="121">
        <f t="shared" si="205"/>
        <v>1</v>
      </c>
      <c r="O415" s="246">
        <f t="shared" si="206"/>
        <v>0.98436542669584248</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87">
        <v>14</v>
      </c>
      <c r="B416" s="242">
        <f t="shared" si="213"/>
        <v>46054</v>
      </c>
      <c r="C416" s="243">
        <f t="shared" si="194"/>
        <v>46081</v>
      </c>
      <c r="D416" s="120">
        <f t="shared" si="195"/>
        <v>28</v>
      </c>
      <c r="E416" s="120">
        <f t="shared" si="196"/>
        <v>2</v>
      </c>
      <c r="F416" s="275">
        <f t="shared" si="197"/>
        <v>46068</v>
      </c>
      <c r="G416" s="120">
        <f t="shared" si="198"/>
        <v>24313</v>
      </c>
      <c r="H416" s="245">
        <f t="shared" si="199"/>
        <v>1</v>
      </c>
      <c r="I416" s="121">
        <f t="shared" si="200"/>
        <v>1</v>
      </c>
      <c r="J416" s="121">
        <f t="shared" si="201"/>
        <v>1</v>
      </c>
      <c r="K416" s="120">
        <f t="shared" si="202"/>
        <v>0</v>
      </c>
      <c r="L416" s="120">
        <f t="shared" si="203"/>
        <v>0</v>
      </c>
      <c r="M416" s="246">
        <f t="shared" si="204"/>
        <v>0</v>
      </c>
      <c r="N416" s="121">
        <f t="shared" si="205"/>
        <v>1</v>
      </c>
      <c r="O416" s="246">
        <f t="shared" si="206"/>
        <v>0.98501094091903718</v>
      </c>
      <c r="P416" s="121">
        <f t="shared" si="207"/>
        <v>0.875</v>
      </c>
      <c r="Q416" s="121">
        <f t="shared" si="208"/>
        <v>0.125</v>
      </c>
      <c r="R416" s="121">
        <f t="shared" si="209"/>
        <v>0</v>
      </c>
      <c r="S416" s="121" t="str">
        <f t="shared" si="210"/>
        <v/>
      </c>
      <c r="T416" s="121" t="str">
        <f t="shared" si="211"/>
        <v/>
      </c>
      <c r="U416" s="121">
        <f t="shared" si="212"/>
        <v>1</v>
      </c>
    </row>
    <row r="417" spans="1:21" x14ac:dyDescent="0.3">
      <c r="A417" s="187">
        <v>15</v>
      </c>
      <c r="B417" s="242">
        <f t="shared" si="213"/>
        <v>46082</v>
      </c>
      <c r="C417" s="243">
        <f t="shared" si="194"/>
        <v>46112</v>
      </c>
      <c r="D417" s="120">
        <f t="shared" si="195"/>
        <v>31</v>
      </c>
      <c r="E417" s="120">
        <f t="shared" si="196"/>
        <v>3</v>
      </c>
      <c r="F417" s="275">
        <f t="shared" si="197"/>
        <v>46097.5</v>
      </c>
      <c r="G417" s="120">
        <f t="shared" si="198"/>
        <v>24314</v>
      </c>
      <c r="H417" s="245">
        <f t="shared" si="199"/>
        <v>1</v>
      </c>
      <c r="I417" s="121">
        <f t="shared" si="200"/>
        <v>1</v>
      </c>
      <c r="J417" s="121">
        <f t="shared" si="201"/>
        <v>1</v>
      </c>
      <c r="K417" s="120">
        <f t="shared" si="202"/>
        <v>0</v>
      </c>
      <c r="L417" s="120">
        <f t="shared" si="203"/>
        <v>0</v>
      </c>
      <c r="M417" s="246">
        <f t="shared" si="204"/>
        <v>0</v>
      </c>
      <c r="N417" s="121">
        <f t="shared" si="205"/>
        <v>1</v>
      </c>
      <c r="O417" s="246">
        <f t="shared" si="206"/>
        <v>0.98565645514223199</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87">
        <v>16</v>
      </c>
      <c r="B418" s="242">
        <f t="shared" si="213"/>
        <v>46113</v>
      </c>
      <c r="C418" s="243">
        <f t="shared" si="194"/>
        <v>46142</v>
      </c>
      <c r="D418" s="120">
        <f t="shared" si="195"/>
        <v>30</v>
      </c>
      <c r="E418" s="120">
        <f t="shared" si="196"/>
        <v>4</v>
      </c>
      <c r="F418" s="275">
        <f t="shared" si="197"/>
        <v>46128</v>
      </c>
      <c r="G418" s="120">
        <f t="shared" si="198"/>
        <v>24315</v>
      </c>
      <c r="H418" s="245">
        <f t="shared" si="199"/>
        <v>1</v>
      </c>
      <c r="I418" s="121">
        <f t="shared" si="200"/>
        <v>1</v>
      </c>
      <c r="J418" s="121">
        <f t="shared" si="201"/>
        <v>1</v>
      </c>
      <c r="K418" s="120">
        <f t="shared" si="202"/>
        <v>0</v>
      </c>
      <c r="L418" s="120">
        <f t="shared" si="203"/>
        <v>0</v>
      </c>
      <c r="M418" s="246">
        <f t="shared" si="204"/>
        <v>0</v>
      </c>
      <c r="N418" s="121">
        <f t="shared" si="205"/>
        <v>1</v>
      </c>
      <c r="O418" s="246">
        <f t="shared" si="206"/>
        <v>0.98632385120350108</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87">
        <v>17</v>
      </c>
      <c r="B419" s="242">
        <f t="shared" si="213"/>
        <v>46143</v>
      </c>
      <c r="C419" s="243">
        <f t="shared" si="194"/>
        <v>46173</v>
      </c>
      <c r="D419" s="120">
        <f t="shared" si="195"/>
        <v>31</v>
      </c>
      <c r="E419" s="120">
        <f t="shared" si="196"/>
        <v>5</v>
      </c>
      <c r="F419" s="275">
        <f t="shared" si="197"/>
        <v>46158.5</v>
      </c>
      <c r="G419" s="120">
        <f t="shared" si="198"/>
        <v>24316</v>
      </c>
      <c r="H419" s="245">
        <f t="shared" si="199"/>
        <v>1</v>
      </c>
      <c r="I419" s="121">
        <f t="shared" si="200"/>
        <v>1</v>
      </c>
      <c r="J419" s="121">
        <f t="shared" si="201"/>
        <v>1</v>
      </c>
      <c r="K419" s="120">
        <f t="shared" si="202"/>
        <v>0</v>
      </c>
      <c r="L419" s="120">
        <f t="shared" si="203"/>
        <v>0</v>
      </c>
      <c r="M419" s="246">
        <f t="shared" si="204"/>
        <v>0</v>
      </c>
      <c r="N419" s="121">
        <f t="shared" si="205"/>
        <v>1</v>
      </c>
      <c r="O419" s="246">
        <f t="shared" si="206"/>
        <v>0.98699124726477028</v>
      </c>
      <c r="P419" s="121">
        <f t="shared" si="207"/>
        <v>0.625</v>
      </c>
      <c r="Q419" s="121">
        <f t="shared" si="208"/>
        <v>0.375</v>
      </c>
      <c r="R419" s="121">
        <f t="shared" si="209"/>
        <v>0</v>
      </c>
      <c r="S419" s="121" t="str">
        <f t="shared" si="210"/>
        <v/>
      </c>
      <c r="T419" s="121" t="str">
        <f t="shared" si="211"/>
        <v/>
      </c>
      <c r="U419" s="121">
        <f t="shared" si="212"/>
        <v>1</v>
      </c>
    </row>
    <row r="420" spans="1:21" x14ac:dyDescent="0.3">
      <c r="A420" s="187">
        <v>18</v>
      </c>
      <c r="B420" s="242">
        <f t="shared" si="213"/>
        <v>46174</v>
      </c>
      <c r="C420" s="243">
        <f t="shared" si="194"/>
        <v>46203</v>
      </c>
      <c r="D420" s="120">
        <f t="shared" si="195"/>
        <v>30</v>
      </c>
      <c r="E420" s="120">
        <f t="shared" si="196"/>
        <v>6</v>
      </c>
      <c r="F420" s="275">
        <f t="shared" si="197"/>
        <v>46189</v>
      </c>
      <c r="G420" s="120">
        <f t="shared" si="198"/>
        <v>24317</v>
      </c>
      <c r="H420" s="245">
        <f t="shared" si="199"/>
        <v>1</v>
      </c>
      <c r="I420" s="121">
        <f t="shared" si="200"/>
        <v>1</v>
      </c>
      <c r="J420" s="121">
        <f t="shared" si="201"/>
        <v>1</v>
      </c>
      <c r="K420" s="120">
        <f t="shared" si="202"/>
        <v>0</v>
      </c>
      <c r="L420" s="120">
        <f t="shared" si="203"/>
        <v>0</v>
      </c>
      <c r="M420" s="246">
        <f t="shared" si="204"/>
        <v>0</v>
      </c>
      <c r="N420" s="121">
        <f t="shared" si="205"/>
        <v>1</v>
      </c>
      <c r="O420" s="246">
        <f t="shared" si="206"/>
        <v>0.98765864332603936</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87">
        <v>19</v>
      </c>
      <c r="B421" s="242">
        <f t="shared" si="213"/>
        <v>46204</v>
      </c>
      <c r="C421" s="243">
        <f t="shared" si="194"/>
        <v>46234</v>
      </c>
      <c r="D421" s="120">
        <f t="shared" si="195"/>
        <v>31</v>
      </c>
      <c r="E421" s="120">
        <f t="shared" si="196"/>
        <v>7</v>
      </c>
      <c r="F421" s="275">
        <f t="shared" si="197"/>
        <v>46219.5</v>
      </c>
      <c r="G421" s="120">
        <f t="shared" si="198"/>
        <v>24318</v>
      </c>
      <c r="H421" s="245">
        <f t="shared" si="199"/>
        <v>1</v>
      </c>
      <c r="I421" s="121">
        <f t="shared" si="200"/>
        <v>1</v>
      </c>
      <c r="J421" s="121">
        <f t="shared" si="201"/>
        <v>1.03</v>
      </c>
      <c r="K421" s="120">
        <f t="shared" si="202"/>
        <v>1</v>
      </c>
      <c r="L421" s="120">
        <f t="shared" si="203"/>
        <v>31</v>
      </c>
      <c r="M421" s="246">
        <f t="shared" si="204"/>
        <v>1</v>
      </c>
      <c r="N421" s="121">
        <f t="shared" si="205"/>
        <v>1.03</v>
      </c>
      <c r="O421" s="246">
        <f t="shared" si="206"/>
        <v>0.98832603938730856</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87">
        <v>20</v>
      </c>
      <c r="B422" s="242">
        <f t="shared" si="213"/>
        <v>46235</v>
      </c>
      <c r="C422" s="243">
        <f t="shared" si="194"/>
        <v>46265</v>
      </c>
      <c r="D422" s="120">
        <f t="shared" si="195"/>
        <v>31</v>
      </c>
      <c r="E422" s="120">
        <f t="shared" si="196"/>
        <v>8</v>
      </c>
      <c r="F422" s="275">
        <f t="shared" si="197"/>
        <v>46250.5</v>
      </c>
      <c r="G422" s="120">
        <f t="shared" si="198"/>
        <v>24319</v>
      </c>
      <c r="H422" s="245">
        <f t="shared" si="199"/>
        <v>1</v>
      </c>
      <c r="I422" s="121">
        <f t="shared" si="200"/>
        <v>1.03</v>
      </c>
      <c r="J422" s="121">
        <f t="shared" si="201"/>
        <v>1.03</v>
      </c>
      <c r="K422" s="120">
        <f t="shared" si="202"/>
        <v>0</v>
      </c>
      <c r="L422" s="120">
        <f t="shared" si="203"/>
        <v>0</v>
      </c>
      <c r="M422" s="246">
        <f t="shared" si="204"/>
        <v>0</v>
      </c>
      <c r="N422" s="121">
        <f t="shared" si="205"/>
        <v>1.03</v>
      </c>
      <c r="O422" s="246">
        <f t="shared" si="206"/>
        <v>0.98900437636761485</v>
      </c>
      <c r="P422" s="121">
        <f t="shared" si="207"/>
        <v>0.375</v>
      </c>
      <c r="Q422" s="121">
        <f t="shared" si="208"/>
        <v>0.625</v>
      </c>
      <c r="R422" s="121">
        <f t="shared" si="209"/>
        <v>0</v>
      </c>
      <c r="S422" s="121" t="str">
        <f t="shared" si="210"/>
        <v/>
      </c>
      <c r="T422" s="121" t="str">
        <f t="shared" si="211"/>
        <v/>
      </c>
      <c r="U422" s="121">
        <f t="shared" si="212"/>
        <v>1.03</v>
      </c>
    </row>
    <row r="423" spans="1:21" x14ac:dyDescent="0.3">
      <c r="A423" s="187">
        <v>21</v>
      </c>
      <c r="B423" s="242">
        <f t="shared" si="213"/>
        <v>46266</v>
      </c>
      <c r="C423" s="243">
        <f t="shared" si="194"/>
        <v>46295</v>
      </c>
      <c r="D423" s="120">
        <f t="shared" si="195"/>
        <v>30</v>
      </c>
      <c r="E423" s="120">
        <f t="shared" si="196"/>
        <v>9</v>
      </c>
      <c r="F423" s="275">
        <f t="shared" si="197"/>
        <v>46281</v>
      </c>
      <c r="G423" s="120">
        <f t="shared" si="198"/>
        <v>24320</v>
      </c>
      <c r="H423" s="245">
        <f t="shared" si="199"/>
        <v>1</v>
      </c>
      <c r="I423" s="121">
        <f t="shared" si="200"/>
        <v>1.03</v>
      </c>
      <c r="J423" s="121">
        <f t="shared" si="201"/>
        <v>1.03</v>
      </c>
      <c r="K423" s="120">
        <f t="shared" si="202"/>
        <v>0</v>
      </c>
      <c r="L423" s="120">
        <f t="shared" si="203"/>
        <v>0</v>
      </c>
      <c r="M423" s="246">
        <f t="shared" si="204"/>
        <v>0</v>
      </c>
      <c r="N423" s="121">
        <f t="shared" si="205"/>
        <v>1.03</v>
      </c>
      <c r="O423" s="246">
        <f t="shared" si="206"/>
        <v>0.98967177242888404</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87">
        <v>22</v>
      </c>
      <c r="B424" s="242">
        <f t="shared" si="213"/>
        <v>46296</v>
      </c>
      <c r="C424" s="243">
        <f t="shared" si="194"/>
        <v>46326</v>
      </c>
      <c r="D424" s="120">
        <f t="shared" si="195"/>
        <v>31</v>
      </c>
      <c r="E424" s="120">
        <f t="shared" si="196"/>
        <v>10</v>
      </c>
      <c r="F424" s="275">
        <f t="shared" si="197"/>
        <v>46311.5</v>
      </c>
      <c r="G424" s="120">
        <f t="shared" si="198"/>
        <v>24321</v>
      </c>
      <c r="H424" s="245">
        <f t="shared" si="199"/>
        <v>1</v>
      </c>
      <c r="I424" s="121">
        <f t="shared" si="200"/>
        <v>1.03</v>
      </c>
      <c r="J424" s="121">
        <f t="shared" si="201"/>
        <v>1.03</v>
      </c>
      <c r="K424" s="120">
        <f t="shared" si="202"/>
        <v>0</v>
      </c>
      <c r="L424" s="120">
        <f t="shared" si="203"/>
        <v>0</v>
      </c>
      <c r="M424" s="246">
        <f t="shared" si="204"/>
        <v>0</v>
      </c>
      <c r="N424" s="121">
        <f t="shared" si="205"/>
        <v>1.03</v>
      </c>
      <c r="O424" s="246">
        <f t="shared" si="206"/>
        <v>0.99033916849015313</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87">
        <v>23</v>
      </c>
      <c r="B425" s="242">
        <f t="shared" si="213"/>
        <v>46327</v>
      </c>
      <c r="C425" s="243">
        <f t="shared" si="194"/>
        <v>46356</v>
      </c>
      <c r="D425" s="120">
        <f t="shared" si="195"/>
        <v>30</v>
      </c>
      <c r="E425" s="120">
        <f t="shared" si="196"/>
        <v>11</v>
      </c>
      <c r="F425" s="275">
        <f t="shared" si="197"/>
        <v>46342</v>
      </c>
      <c r="G425" s="120">
        <f t="shared" si="198"/>
        <v>24322</v>
      </c>
      <c r="H425" s="245">
        <f t="shared" si="199"/>
        <v>1</v>
      </c>
      <c r="I425" s="121">
        <f t="shared" si="200"/>
        <v>1.03</v>
      </c>
      <c r="J425" s="121">
        <f t="shared" si="201"/>
        <v>1.03</v>
      </c>
      <c r="K425" s="120">
        <f t="shared" si="202"/>
        <v>0</v>
      </c>
      <c r="L425" s="120">
        <f t="shared" si="203"/>
        <v>0</v>
      </c>
      <c r="M425" s="246">
        <f t="shared" si="204"/>
        <v>0</v>
      </c>
      <c r="N425" s="121">
        <f t="shared" si="205"/>
        <v>1.03</v>
      </c>
      <c r="O425" s="246">
        <f t="shared" si="206"/>
        <v>0.99100656455142233</v>
      </c>
      <c r="P425" s="121">
        <f t="shared" si="207"/>
        <v>0.125</v>
      </c>
      <c r="Q425" s="121">
        <f t="shared" si="208"/>
        <v>0.875</v>
      </c>
      <c r="R425" s="121">
        <f t="shared" si="209"/>
        <v>0</v>
      </c>
      <c r="S425" s="121" t="str">
        <f t="shared" si="210"/>
        <v/>
      </c>
      <c r="T425" s="121" t="str">
        <f t="shared" si="211"/>
        <v/>
      </c>
      <c r="U425" s="121">
        <f t="shared" si="212"/>
        <v>1.03</v>
      </c>
    </row>
    <row r="426" spans="1:21" x14ac:dyDescent="0.3">
      <c r="A426" s="187">
        <v>24</v>
      </c>
      <c r="B426" s="242">
        <f t="shared" si="213"/>
        <v>46357</v>
      </c>
      <c r="C426" s="243">
        <f t="shared" si="194"/>
        <v>46387</v>
      </c>
      <c r="D426" s="120">
        <f t="shared" si="195"/>
        <v>31</v>
      </c>
      <c r="E426" s="120">
        <f t="shared" si="196"/>
        <v>12</v>
      </c>
      <c r="F426" s="275">
        <f t="shared" si="197"/>
        <v>46372.5</v>
      </c>
      <c r="G426" s="120">
        <f t="shared" si="198"/>
        <v>24323</v>
      </c>
      <c r="H426" s="245">
        <f t="shared" si="199"/>
        <v>1</v>
      </c>
      <c r="I426" s="121">
        <f t="shared" si="200"/>
        <v>1.03</v>
      </c>
      <c r="J426" s="121">
        <f t="shared" si="201"/>
        <v>1.03</v>
      </c>
      <c r="K426" s="120">
        <f t="shared" si="202"/>
        <v>0</v>
      </c>
      <c r="L426" s="120">
        <f t="shared" si="203"/>
        <v>0</v>
      </c>
      <c r="M426" s="246">
        <f t="shared" si="204"/>
        <v>0</v>
      </c>
      <c r="N426" s="121">
        <f t="shared" si="205"/>
        <v>1.03</v>
      </c>
      <c r="O426" s="246">
        <f t="shared" si="206"/>
        <v>0.99167396061269142</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87">
        <v>25</v>
      </c>
      <c r="B427" s="242">
        <f t="shared" si="213"/>
        <v>46388</v>
      </c>
      <c r="C427" s="243">
        <f t="shared" si="194"/>
        <v>46418</v>
      </c>
      <c r="D427" s="120">
        <f t="shared" si="195"/>
        <v>31</v>
      </c>
      <c r="E427" s="120">
        <f t="shared" si="196"/>
        <v>1</v>
      </c>
      <c r="F427" s="275">
        <f t="shared" si="197"/>
        <v>46403.5</v>
      </c>
      <c r="G427" s="120">
        <f t="shared" si="198"/>
        <v>24324</v>
      </c>
      <c r="H427" s="245">
        <f t="shared" si="199"/>
        <v>1</v>
      </c>
      <c r="I427" s="121">
        <f t="shared" si="200"/>
        <v>1.03</v>
      </c>
      <c r="J427" s="121">
        <f t="shared" si="201"/>
        <v>1.03</v>
      </c>
      <c r="K427" s="120">
        <f t="shared" si="202"/>
        <v>0</v>
      </c>
      <c r="L427" s="120">
        <f t="shared" si="203"/>
        <v>0</v>
      </c>
      <c r="M427" s="246">
        <f t="shared" si="204"/>
        <v>0</v>
      </c>
      <c r="N427" s="121">
        <f t="shared" si="205"/>
        <v>1.03</v>
      </c>
      <c r="O427" s="246">
        <f t="shared" si="206"/>
        <v>0.99235229759299781</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87">
        <v>26</v>
      </c>
      <c r="B428" s="242">
        <f t="shared" si="213"/>
        <v>46419</v>
      </c>
      <c r="C428" s="243">
        <f t="shared" si="194"/>
        <v>46446</v>
      </c>
      <c r="D428" s="120">
        <f t="shared" si="195"/>
        <v>28</v>
      </c>
      <c r="E428" s="120">
        <f t="shared" si="196"/>
        <v>2</v>
      </c>
      <c r="F428" s="275">
        <f t="shared" si="197"/>
        <v>46433</v>
      </c>
      <c r="G428" s="120">
        <f t="shared" si="198"/>
        <v>24325</v>
      </c>
      <c r="H428" s="245">
        <f t="shared" si="199"/>
        <v>1</v>
      </c>
      <c r="I428" s="121">
        <f t="shared" si="200"/>
        <v>1.03</v>
      </c>
      <c r="J428" s="121">
        <f t="shared" si="201"/>
        <v>1.03</v>
      </c>
      <c r="K428" s="120">
        <f t="shared" si="202"/>
        <v>0</v>
      </c>
      <c r="L428" s="120">
        <f t="shared" si="203"/>
        <v>0</v>
      </c>
      <c r="M428" s="246">
        <f t="shared" si="204"/>
        <v>0</v>
      </c>
      <c r="N428" s="121">
        <f t="shared" si="205"/>
        <v>1.03</v>
      </c>
      <c r="O428" s="246">
        <f t="shared" si="206"/>
        <v>0.99299781181619251</v>
      </c>
      <c r="P428" s="121">
        <f t="shared" si="207"/>
        <v>0</v>
      </c>
      <c r="Q428" s="121">
        <f t="shared" si="208"/>
        <v>0.875</v>
      </c>
      <c r="R428" s="121">
        <f t="shared" si="209"/>
        <v>0.125</v>
      </c>
      <c r="S428" s="121" t="str">
        <f t="shared" si="210"/>
        <v/>
      </c>
      <c r="T428" s="121" t="str">
        <f t="shared" si="211"/>
        <v/>
      </c>
      <c r="U428" s="121">
        <f t="shared" si="212"/>
        <v>1.03</v>
      </c>
    </row>
    <row r="429" spans="1:21" x14ac:dyDescent="0.3">
      <c r="A429" s="187">
        <v>27</v>
      </c>
      <c r="B429" s="242">
        <f t="shared" si="213"/>
        <v>46447</v>
      </c>
      <c r="C429" s="243">
        <f t="shared" si="194"/>
        <v>46477</v>
      </c>
      <c r="D429" s="120">
        <f t="shared" si="195"/>
        <v>31</v>
      </c>
      <c r="E429" s="120">
        <f t="shared" si="196"/>
        <v>3</v>
      </c>
      <c r="F429" s="275">
        <f t="shared" si="197"/>
        <v>46462.5</v>
      </c>
      <c r="G429" s="120">
        <f t="shared" si="198"/>
        <v>24326</v>
      </c>
      <c r="H429" s="245">
        <f t="shared" si="199"/>
        <v>1</v>
      </c>
      <c r="I429" s="121">
        <f t="shared" si="200"/>
        <v>1.03</v>
      </c>
      <c r="J429" s="121">
        <f t="shared" si="201"/>
        <v>1.03</v>
      </c>
      <c r="K429" s="120">
        <f t="shared" si="202"/>
        <v>0</v>
      </c>
      <c r="L429" s="120">
        <f t="shared" si="203"/>
        <v>0</v>
      </c>
      <c r="M429" s="246">
        <f t="shared" si="204"/>
        <v>0</v>
      </c>
      <c r="N429" s="121">
        <f t="shared" si="205"/>
        <v>1.03</v>
      </c>
      <c r="O429" s="246">
        <f t="shared" si="206"/>
        <v>0.99364332603938732</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87">
        <v>28</v>
      </c>
      <c r="B430" s="242">
        <f t="shared" si="213"/>
        <v>46478</v>
      </c>
      <c r="C430" s="243">
        <f t="shared" si="194"/>
        <v>46507</v>
      </c>
      <c r="D430" s="120">
        <f t="shared" si="195"/>
        <v>30</v>
      </c>
      <c r="E430" s="120">
        <f t="shared" si="196"/>
        <v>4</v>
      </c>
      <c r="F430" s="275">
        <f t="shared" si="197"/>
        <v>46493</v>
      </c>
      <c r="G430" s="120">
        <f t="shared" si="198"/>
        <v>24327</v>
      </c>
      <c r="H430" s="245">
        <f t="shared" si="199"/>
        <v>1</v>
      </c>
      <c r="I430" s="121">
        <f t="shared" si="200"/>
        <v>1.03</v>
      </c>
      <c r="J430" s="121">
        <f t="shared" si="201"/>
        <v>1.03</v>
      </c>
      <c r="K430" s="120">
        <f t="shared" si="202"/>
        <v>0</v>
      </c>
      <c r="L430" s="120">
        <f t="shared" si="203"/>
        <v>0</v>
      </c>
      <c r="M430" s="246">
        <f t="shared" si="204"/>
        <v>0</v>
      </c>
      <c r="N430" s="121">
        <f t="shared" si="205"/>
        <v>1.03</v>
      </c>
      <c r="O430" s="246">
        <f t="shared" si="206"/>
        <v>0.99431072210065641</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87">
        <v>29</v>
      </c>
      <c r="B431" s="242">
        <f t="shared" si="213"/>
        <v>46508</v>
      </c>
      <c r="C431" s="243">
        <f t="shared" si="194"/>
        <v>46538</v>
      </c>
      <c r="D431" s="120">
        <f t="shared" si="195"/>
        <v>31</v>
      </c>
      <c r="E431" s="120">
        <f t="shared" si="196"/>
        <v>5</v>
      </c>
      <c r="F431" s="275">
        <f t="shared" si="197"/>
        <v>46523.5</v>
      </c>
      <c r="G431" s="120">
        <f t="shared" si="198"/>
        <v>24328</v>
      </c>
      <c r="H431" s="245">
        <f t="shared" si="199"/>
        <v>1</v>
      </c>
      <c r="I431" s="121">
        <f t="shared" si="200"/>
        <v>1.03</v>
      </c>
      <c r="J431" s="121">
        <f t="shared" si="201"/>
        <v>1.03</v>
      </c>
      <c r="K431" s="120">
        <f t="shared" si="202"/>
        <v>0</v>
      </c>
      <c r="L431" s="120">
        <f t="shared" si="203"/>
        <v>0</v>
      </c>
      <c r="M431" s="246">
        <f t="shared" si="204"/>
        <v>0</v>
      </c>
      <c r="N431" s="121">
        <f t="shared" si="205"/>
        <v>1.03</v>
      </c>
      <c r="O431" s="246">
        <f t="shared" si="206"/>
        <v>0.99497811816192561</v>
      </c>
      <c r="P431" s="121">
        <f t="shared" si="207"/>
        <v>0</v>
      </c>
      <c r="Q431" s="121">
        <f t="shared" si="208"/>
        <v>0.625</v>
      </c>
      <c r="R431" s="121">
        <f t="shared" si="209"/>
        <v>0.375</v>
      </c>
      <c r="S431" s="121" t="str">
        <f t="shared" si="210"/>
        <v/>
      </c>
      <c r="T431" s="121" t="str">
        <f t="shared" si="211"/>
        <v/>
      </c>
      <c r="U431" s="121">
        <f t="shared" si="212"/>
        <v>1.03</v>
      </c>
    </row>
    <row r="432" spans="1:21" x14ac:dyDescent="0.3">
      <c r="A432" s="187">
        <v>30</v>
      </c>
      <c r="B432" s="242">
        <f t="shared" si="213"/>
        <v>46539</v>
      </c>
      <c r="C432" s="243">
        <f t="shared" si="194"/>
        <v>46568</v>
      </c>
      <c r="D432" s="120">
        <f t="shared" si="195"/>
        <v>30</v>
      </c>
      <c r="E432" s="120">
        <f t="shared" si="196"/>
        <v>6</v>
      </c>
      <c r="F432" s="275">
        <f t="shared" si="197"/>
        <v>46554</v>
      </c>
      <c r="G432" s="120">
        <f t="shared" si="198"/>
        <v>24329</v>
      </c>
      <c r="H432" s="245">
        <f t="shared" si="199"/>
        <v>1</v>
      </c>
      <c r="I432" s="121">
        <f t="shared" si="200"/>
        <v>1.03</v>
      </c>
      <c r="J432" s="121">
        <f t="shared" si="201"/>
        <v>1.03</v>
      </c>
      <c r="K432" s="120">
        <f t="shared" si="202"/>
        <v>0</v>
      </c>
      <c r="L432" s="120">
        <f t="shared" si="203"/>
        <v>0</v>
      </c>
      <c r="M432" s="246">
        <f t="shared" si="204"/>
        <v>0</v>
      </c>
      <c r="N432" s="121">
        <f t="shared" si="205"/>
        <v>1.03</v>
      </c>
      <c r="O432" s="246">
        <f t="shared" si="206"/>
        <v>0.99564551422319469</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87">
        <v>31</v>
      </c>
      <c r="B433" s="242">
        <f t="shared" si="213"/>
        <v>46569</v>
      </c>
      <c r="C433" s="243">
        <f t="shared" si="194"/>
        <v>46599</v>
      </c>
      <c r="D433" s="120">
        <f t="shared" si="195"/>
        <v>31</v>
      </c>
      <c r="E433" s="120">
        <f t="shared" si="196"/>
        <v>7</v>
      </c>
      <c r="F433" s="275">
        <f t="shared" si="197"/>
        <v>46584.5</v>
      </c>
      <c r="G433" s="120">
        <f t="shared" si="198"/>
        <v>24330</v>
      </c>
      <c r="H433" s="245">
        <f t="shared" si="199"/>
        <v>1</v>
      </c>
      <c r="I433" s="121">
        <f t="shared" si="200"/>
        <v>1.03</v>
      </c>
      <c r="J433" s="121">
        <f t="shared" si="201"/>
        <v>1.03</v>
      </c>
      <c r="K433" s="120">
        <f t="shared" si="202"/>
        <v>0</v>
      </c>
      <c r="L433" s="120">
        <f t="shared" si="203"/>
        <v>0</v>
      </c>
      <c r="M433" s="246">
        <f t="shared" si="204"/>
        <v>0</v>
      </c>
      <c r="N433" s="121">
        <f t="shared" si="205"/>
        <v>1.03</v>
      </c>
      <c r="O433" s="246">
        <f t="shared" si="206"/>
        <v>0.99631291028446389</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87">
        <v>32</v>
      </c>
      <c r="B434" s="242">
        <f t="shared" si="213"/>
        <v>46600</v>
      </c>
      <c r="C434" s="243">
        <f t="shared" si="194"/>
        <v>46630</v>
      </c>
      <c r="D434" s="120">
        <f t="shared" si="195"/>
        <v>31</v>
      </c>
      <c r="E434" s="120">
        <f t="shared" si="196"/>
        <v>8</v>
      </c>
      <c r="F434" s="275">
        <f t="shared" si="197"/>
        <v>46615.5</v>
      </c>
      <c r="G434" s="120">
        <f t="shared" si="198"/>
        <v>24331</v>
      </c>
      <c r="H434" s="245">
        <f t="shared" si="199"/>
        <v>1</v>
      </c>
      <c r="I434" s="121">
        <f t="shared" si="200"/>
        <v>1.03</v>
      </c>
      <c r="J434" s="121">
        <f t="shared" si="201"/>
        <v>1.03</v>
      </c>
      <c r="K434" s="120">
        <f t="shared" si="202"/>
        <v>0</v>
      </c>
      <c r="L434" s="120">
        <f t="shared" si="203"/>
        <v>0</v>
      </c>
      <c r="M434" s="246">
        <f t="shared" si="204"/>
        <v>0</v>
      </c>
      <c r="N434" s="121">
        <f t="shared" si="205"/>
        <v>1.03</v>
      </c>
      <c r="O434" s="246">
        <f t="shared" si="206"/>
        <v>0.99699124726477029</v>
      </c>
      <c r="P434" s="121">
        <f t="shared" si="207"/>
        <v>0</v>
      </c>
      <c r="Q434" s="121">
        <f t="shared" si="208"/>
        <v>0.375</v>
      </c>
      <c r="R434" s="121">
        <f t="shared" si="209"/>
        <v>0.625</v>
      </c>
      <c r="S434" s="121" t="str">
        <f t="shared" si="210"/>
        <v/>
      </c>
      <c r="T434" s="121" t="str">
        <f t="shared" si="211"/>
        <v/>
      </c>
      <c r="U434" s="121">
        <f t="shared" si="212"/>
        <v>1.03</v>
      </c>
    </row>
    <row r="435" spans="1:21" x14ac:dyDescent="0.3">
      <c r="A435" s="187">
        <v>33</v>
      </c>
      <c r="B435" s="242">
        <f t="shared" si="213"/>
        <v>46631</v>
      </c>
      <c r="C435" s="243">
        <f t="shared" si="194"/>
        <v>46660</v>
      </c>
      <c r="D435" s="120">
        <f t="shared" si="195"/>
        <v>30</v>
      </c>
      <c r="E435" s="120">
        <f t="shared" si="196"/>
        <v>9</v>
      </c>
      <c r="F435" s="275">
        <f t="shared" si="197"/>
        <v>46646</v>
      </c>
      <c r="G435" s="120">
        <f t="shared" si="198"/>
        <v>24332</v>
      </c>
      <c r="H435" s="245">
        <f t="shared" si="199"/>
        <v>1</v>
      </c>
      <c r="I435" s="121">
        <f t="shared" si="200"/>
        <v>1.03</v>
      </c>
      <c r="J435" s="121">
        <f t="shared" si="201"/>
        <v>1.03</v>
      </c>
      <c r="K435" s="120">
        <f t="shared" si="202"/>
        <v>0</v>
      </c>
      <c r="L435" s="120">
        <f t="shared" si="203"/>
        <v>0</v>
      </c>
      <c r="M435" s="246">
        <f t="shared" si="204"/>
        <v>0</v>
      </c>
      <c r="N435" s="121">
        <f t="shared" si="205"/>
        <v>1.03</v>
      </c>
      <c r="O435" s="246">
        <f t="shared" si="206"/>
        <v>0.99765864332603937</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87">
        <v>34</v>
      </c>
      <c r="B436" s="242">
        <f t="shared" si="213"/>
        <v>46661</v>
      </c>
      <c r="C436" s="243">
        <f t="shared" si="194"/>
        <v>46691</v>
      </c>
      <c r="D436" s="120">
        <f t="shared" si="195"/>
        <v>31</v>
      </c>
      <c r="E436" s="120">
        <f t="shared" si="196"/>
        <v>10</v>
      </c>
      <c r="F436" s="275">
        <f t="shared" si="197"/>
        <v>46676.5</v>
      </c>
      <c r="G436" s="120">
        <f t="shared" si="198"/>
        <v>24333</v>
      </c>
      <c r="H436" s="245">
        <f t="shared" si="199"/>
        <v>1</v>
      </c>
      <c r="I436" s="121">
        <f t="shared" si="200"/>
        <v>1.03</v>
      </c>
      <c r="J436" s="121">
        <f t="shared" si="201"/>
        <v>1.03</v>
      </c>
      <c r="K436" s="120">
        <f t="shared" si="202"/>
        <v>0</v>
      </c>
      <c r="L436" s="120">
        <f t="shared" si="203"/>
        <v>0</v>
      </c>
      <c r="M436" s="246">
        <f t="shared" si="204"/>
        <v>0</v>
      </c>
      <c r="N436" s="121">
        <f t="shared" si="205"/>
        <v>1.03</v>
      </c>
      <c r="O436" s="246">
        <f t="shared" si="206"/>
        <v>0.99832603938730857</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87">
        <v>35</v>
      </c>
      <c r="B437" s="242">
        <f t="shared" si="213"/>
        <v>46692</v>
      </c>
      <c r="C437" s="243">
        <f t="shared" si="194"/>
        <v>46721</v>
      </c>
      <c r="D437" s="120">
        <f t="shared" si="195"/>
        <v>30</v>
      </c>
      <c r="E437" s="120">
        <f t="shared" si="196"/>
        <v>11</v>
      </c>
      <c r="F437" s="275">
        <f t="shared" si="197"/>
        <v>46707</v>
      </c>
      <c r="G437" s="120">
        <f t="shared" si="198"/>
        <v>24334</v>
      </c>
      <c r="H437" s="245">
        <f t="shared" si="199"/>
        <v>1</v>
      </c>
      <c r="I437" s="121">
        <f t="shared" si="200"/>
        <v>1.03</v>
      </c>
      <c r="J437" s="121">
        <f t="shared" si="201"/>
        <v>1.03</v>
      </c>
      <c r="K437" s="120">
        <f t="shared" si="202"/>
        <v>0</v>
      </c>
      <c r="L437" s="120">
        <f t="shared" si="203"/>
        <v>0</v>
      </c>
      <c r="M437" s="246">
        <f t="shared" si="204"/>
        <v>0</v>
      </c>
      <c r="N437" s="121">
        <f t="shared" si="205"/>
        <v>1.03</v>
      </c>
      <c r="O437" s="246">
        <f t="shared" si="206"/>
        <v>0.99899343544857766</v>
      </c>
      <c r="P437" s="121">
        <f t="shared" si="207"/>
        <v>0</v>
      </c>
      <c r="Q437" s="121">
        <f t="shared" si="208"/>
        <v>0.125</v>
      </c>
      <c r="R437" s="121">
        <f t="shared" si="209"/>
        <v>0.875</v>
      </c>
      <c r="S437" s="121" t="str">
        <f t="shared" si="210"/>
        <v/>
      </c>
      <c r="T437" s="121" t="str">
        <f t="shared" si="211"/>
        <v/>
      </c>
      <c r="U437" s="121">
        <f t="shared" si="212"/>
        <v>1.03</v>
      </c>
    </row>
    <row r="438" spans="1:21" x14ac:dyDescent="0.3">
      <c r="A438" s="187">
        <v>36</v>
      </c>
      <c r="B438" s="242">
        <f t="shared" si="213"/>
        <v>46722</v>
      </c>
      <c r="C438" s="243">
        <f t="shared" si="194"/>
        <v>46752</v>
      </c>
      <c r="D438" s="120">
        <f t="shared" si="195"/>
        <v>31</v>
      </c>
      <c r="E438" s="120">
        <f t="shared" si="196"/>
        <v>12</v>
      </c>
      <c r="F438" s="275">
        <f t="shared" si="197"/>
        <v>46737.5</v>
      </c>
      <c r="G438" s="120">
        <f t="shared" si="198"/>
        <v>24335</v>
      </c>
      <c r="H438" s="245">
        <f t="shared" si="199"/>
        <v>1</v>
      </c>
      <c r="I438" s="121">
        <f t="shared" si="200"/>
        <v>1.03</v>
      </c>
      <c r="J438" s="121">
        <f t="shared" si="201"/>
        <v>1.03</v>
      </c>
      <c r="K438" s="120">
        <f t="shared" si="202"/>
        <v>0</v>
      </c>
      <c r="L438" s="120">
        <f t="shared" si="203"/>
        <v>0</v>
      </c>
      <c r="M438" s="246">
        <f t="shared" si="204"/>
        <v>0</v>
      </c>
      <c r="N438" s="121">
        <f t="shared" si="205"/>
        <v>1.03</v>
      </c>
      <c r="O438" s="246">
        <f t="shared" si="206"/>
        <v>0.99966083150984686</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87">
        <v>37</v>
      </c>
      <c r="B439" s="242">
        <f t="shared" si="213"/>
        <v>46753</v>
      </c>
      <c r="C439" s="243">
        <f t="shared" si="194"/>
        <v>46783</v>
      </c>
      <c r="D439" s="120">
        <f t="shared" si="195"/>
        <v>31</v>
      </c>
      <c r="E439" s="120">
        <f t="shared" si="196"/>
        <v>1</v>
      </c>
      <c r="F439" s="275">
        <f t="shared" si="197"/>
        <v>46768.5</v>
      </c>
      <c r="G439" s="120">
        <f t="shared" si="198"/>
        <v>24336</v>
      </c>
      <c r="H439" s="245">
        <f t="shared" si="199"/>
        <v>1</v>
      </c>
      <c r="I439" s="121">
        <f t="shared" si="200"/>
        <v>1.03</v>
      </c>
      <c r="J439" s="121">
        <f t="shared" si="201"/>
        <v>1.03</v>
      </c>
      <c r="K439" s="120">
        <f t="shared" si="202"/>
        <v>0</v>
      </c>
      <c r="L439" s="120">
        <f t="shared" si="203"/>
        <v>0</v>
      </c>
      <c r="M439" s="246">
        <f t="shared" si="204"/>
        <v>0</v>
      </c>
      <c r="N439" s="121">
        <f t="shared" si="205"/>
        <v>1.03</v>
      </c>
      <c r="O439" s="246">
        <f t="shared" si="206"/>
        <v>1</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87">
        <v>38</v>
      </c>
      <c r="B440" s="242">
        <f t="shared" si="213"/>
        <v>46784</v>
      </c>
      <c r="C440" s="243">
        <f t="shared" si="194"/>
        <v>46812</v>
      </c>
      <c r="D440" s="120">
        <f t="shared" si="195"/>
        <v>29</v>
      </c>
      <c r="E440" s="120">
        <f t="shared" si="196"/>
        <v>2</v>
      </c>
      <c r="F440" s="275">
        <f t="shared" si="197"/>
        <v>46798.5</v>
      </c>
      <c r="G440" s="120">
        <f t="shared" si="198"/>
        <v>24337</v>
      </c>
      <c r="H440" s="245">
        <f t="shared" si="199"/>
        <v>1</v>
      </c>
      <c r="I440" s="121">
        <f t="shared" si="200"/>
        <v>1.03</v>
      </c>
      <c r="J440" s="121">
        <f t="shared" si="201"/>
        <v>1.03</v>
      </c>
      <c r="K440" s="120">
        <f t="shared" si="202"/>
        <v>0</v>
      </c>
      <c r="L440" s="120">
        <f t="shared" si="203"/>
        <v>0</v>
      </c>
      <c r="M440" s="246">
        <f t="shared" si="204"/>
        <v>0</v>
      </c>
      <c r="N440" s="121">
        <f t="shared" si="205"/>
        <v>1.03</v>
      </c>
      <c r="O440" s="246">
        <f t="shared" si="206"/>
        <v>1</v>
      </c>
      <c r="P440" s="121">
        <f t="shared" si="207"/>
        <v>0</v>
      </c>
      <c r="Q440" s="121">
        <f t="shared" si="208"/>
        <v>0</v>
      </c>
      <c r="R440" s="121">
        <f t="shared" si="209"/>
        <v>0.875</v>
      </c>
      <c r="S440" s="121" t="str">
        <f t="shared" si="210"/>
        <v/>
      </c>
      <c r="T440" s="121" t="str">
        <f t="shared" si="211"/>
        <v/>
      </c>
      <c r="U440" s="121">
        <f t="shared" si="212"/>
        <v>1.03</v>
      </c>
    </row>
    <row r="441" spans="1:21" x14ac:dyDescent="0.3">
      <c r="A441" s="187">
        <v>39</v>
      </c>
      <c r="B441" s="242">
        <f t="shared" si="213"/>
        <v>46813</v>
      </c>
      <c r="C441" s="243">
        <f t="shared" si="194"/>
        <v>46843</v>
      </c>
      <c r="D441" s="120">
        <f t="shared" si="195"/>
        <v>31</v>
      </c>
      <c r="E441" s="120">
        <f t="shared" si="196"/>
        <v>3</v>
      </c>
      <c r="F441" s="275">
        <f t="shared" si="197"/>
        <v>46828.5</v>
      </c>
      <c r="G441" s="120">
        <f t="shared" si="198"/>
        <v>24338</v>
      </c>
      <c r="H441" s="245">
        <f t="shared" si="199"/>
        <v>1</v>
      </c>
      <c r="I441" s="121">
        <f t="shared" si="200"/>
        <v>1.03</v>
      </c>
      <c r="J441" s="121">
        <f t="shared" si="201"/>
        <v>1.03</v>
      </c>
      <c r="K441" s="120">
        <f t="shared" si="202"/>
        <v>0</v>
      </c>
      <c r="L441" s="120">
        <f t="shared" si="203"/>
        <v>0</v>
      </c>
      <c r="M441" s="246">
        <f t="shared" si="204"/>
        <v>0</v>
      </c>
      <c r="N441" s="121">
        <f t="shared" si="205"/>
        <v>1.03</v>
      </c>
      <c r="O441" s="246">
        <f t="shared" si="206"/>
        <v>1</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87">
        <v>40</v>
      </c>
      <c r="B442" s="242">
        <f t="shared" si="213"/>
        <v>46844</v>
      </c>
      <c r="C442" s="243">
        <f t="shared" si="194"/>
        <v>46873</v>
      </c>
      <c r="D442" s="120">
        <f t="shared" si="195"/>
        <v>30</v>
      </c>
      <c r="E442" s="120">
        <f t="shared" si="196"/>
        <v>4</v>
      </c>
      <c r="F442" s="275">
        <f t="shared" si="197"/>
        <v>46859</v>
      </c>
      <c r="G442" s="120">
        <f t="shared" si="198"/>
        <v>24339</v>
      </c>
      <c r="H442" s="245">
        <f t="shared" si="199"/>
        <v>1</v>
      </c>
      <c r="I442" s="121">
        <f t="shared" si="200"/>
        <v>1.03</v>
      </c>
      <c r="J442" s="121">
        <f t="shared" si="201"/>
        <v>1.03</v>
      </c>
      <c r="K442" s="120">
        <f t="shared" si="202"/>
        <v>0</v>
      </c>
      <c r="L442" s="120">
        <f t="shared" si="203"/>
        <v>0</v>
      </c>
      <c r="M442" s="246">
        <f t="shared" si="204"/>
        <v>0</v>
      </c>
      <c r="N442" s="121">
        <f t="shared" si="205"/>
        <v>1.03</v>
      </c>
      <c r="O442" s="246">
        <f t="shared" si="206"/>
        <v>1</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87">
        <v>41</v>
      </c>
      <c r="B443" s="242">
        <f t="shared" si="213"/>
        <v>46874</v>
      </c>
      <c r="C443" s="243">
        <f t="shared" si="194"/>
        <v>46904</v>
      </c>
      <c r="D443" s="120">
        <f t="shared" si="195"/>
        <v>31</v>
      </c>
      <c r="E443" s="120">
        <f t="shared" si="196"/>
        <v>5</v>
      </c>
      <c r="F443" s="275">
        <f t="shared" si="197"/>
        <v>46889.5</v>
      </c>
      <c r="G443" s="120">
        <f t="shared" si="198"/>
        <v>24340</v>
      </c>
      <c r="H443" s="245">
        <f t="shared" si="199"/>
        <v>1</v>
      </c>
      <c r="I443" s="121">
        <f t="shared" si="200"/>
        <v>1.03</v>
      </c>
      <c r="J443" s="121">
        <f t="shared" si="201"/>
        <v>1.03</v>
      </c>
      <c r="K443" s="120">
        <f t="shared" si="202"/>
        <v>0</v>
      </c>
      <c r="L443" s="120">
        <f t="shared" si="203"/>
        <v>0</v>
      </c>
      <c r="M443" s="246">
        <f t="shared" si="204"/>
        <v>0</v>
      </c>
      <c r="N443" s="121">
        <f t="shared" si="205"/>
        <v>1.03</v>
      </c>
      <c r="O443" s="246">
        <f t="shared" si="206"/>
        <v>1</v>
      </c>
      <c r="P443" s="121">
        <f t="shared" si="207"/>
        <v>0</v>
      </c>
      <c r="Q443" s="121">
        <f t="shared" si="208"/>
        <v>0</v>
      </c>
      <c r="R443" s="121">
        <f t="shared" si="209"/>
        <v>0.625</v>
      </c>
      <c r="S443" s="121" t="str">
        <f t="shared" si="210"/>
        <v/>
      </c>
      <c r="T443" s="121" t="str">
        <f t="shared" si="211"/>
        <v/>
      </c>
      <c r="U443" s="121">
        <f t="shared" si="212"/>
        <v>1.03</v>
      </c>
    </row>
    <row r="444" spans="1:21" x14ac:dyDescent="0.3">
      <c r="A444" s="187">
        <v>42</v>
      </c>
      <c r="B444" s="242">
        <f t="shared" si="213"/>
        <v>46905</v>
      </c>
      <c r="C444" s="243">
        <f t="shared" si="194"/>
        <v>46934</v>
      </c>
      <c r="D444" s="120">
        <f t="shared" si="195"/>
        <v>30</v>
      </c>
      <c r="E444" s="120">
        <f t="shared" si="196"/>
        <v>6</v>
      </c>
      <c r="F444" s="275">
        <f t="shared" si="197"/>
        <v>46920</v>
      </c>
      <c r="G444" s="120">
        <f t="shared" si="198"/>
        <v>24341</v>
      </c>
      <c r="H444" s="245">
        <f t="shared" si="199"/>
        <v>1</v>
      </c>
      <c r="I444" s="121">
        <f t="shared" si="200"/>
        <v>1.03</v>
      </c>
      <c r="J444" s="121">
        <f t="shared" si="201"/>
        <v>1.03</v>
      </c>
      <c r="K444" s="120">
        <f t="shared" si="202"/>
        <v>0</v>
      </c>
      <c r="L444" s="120">
        <f t="shared" si="203"/>
        <v>0</v>
      </c>
      <c r="M444" s="246">
        <f t="shared" si="204"/>
        <v>0</v>
      </c>
      <c r="N444" s="121">
        <f t="shared" si="205"/>
        <v>1.03</v>
      </c>
      <c r="O444" s="246">
        <f t="shared" si="206"/>
        <v>1</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87">
        <v>43</v>
      </c>
      <c r="B445" s="242">
        <f t="shared" si="213"/>
        <v>46935</v>
      </c>
      <c r="C445" s="243">
        <f t="shared" si="194"/>
        <v>46965</v>
      </c>
      <c r="D445" s="120">
        <f t="shared" si="195"/>
        <v>31</v>
      </c>
      <c r="E445" s="120">
        <f t="shared" si="196"/>
        <v>7</v>
      </c>
      <c r="F445" s="275">
        <f t="shared" si="197"/>
        <v>46950.5</v>
      </c>
      <c r="G445" s="120">
        <f t="shared" si="198"/>
        <v>24342</v>
      </c>
      <c r="H445" s="245">
        <f t="shared" si="199"/>
        <v>1</v>
      </c>
      <c r="I445" s="121">
        <f t="shared" si="200"/>
        <v>1.03</v>
      </c>
      <c r="J445" s="121">
        <f t="shared" si="201"/>
        <v>1.03</v>
      </c>
      <c r="K445" s="120">
        <f t="shared" si="202"/>
        <v>0</v>
      </c>
      <c r="L445" s="120">
        <f t="shared" si="203"/>
        <v>0</v>
      </c>
      <c r="M445" s="246">
        <f t="shared" si="204"/>
        <v>0</v>
      </c>
      <c r="N445" s="121">
        <f t="shared" si="205"/>
        <v>1.03</v>
      </c>
      <c r="O445" s="246">
        <f t="shared" si="206"/>
        <v>1</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87">
        <v>44</v>
      </c>
      <c r="B446" s="242">
        <f t="shared" si="213"/>
        <v>46966</v>
      </c>
      <c r="C446" s="243">
        <f t="shared" si="194"/>
        <v>46996</v>
      </c>
      <c r="D446" s="120">
        <f t="shared" si="195"/>
        <v>31</v>
      </c>
      <c r="E446" s="120">
        <f t="shared" si="196"/>
        <v>8</v>
      </c>
      <c r="F446" s="275">
        <f t="shared" si="197"/>
        <v>46981.5</v>
      </c>
      <c r="G446" s="120">
        <f t="shared" si="198"/>
        <v>24343</v>
      </c>
      <c r="H446" s="245">
        <f t="shared" si="199"/>
        <v>1</v>
      </c>
      <c r="I446" s="121">
        <f t="shared" si="200"/>
        <v>1.03</v>
      </c>
      <c r="J446" s="121">
        <f t="shared" si="201"/>
        <v>1.03</v>
      </c>
      <c r="K446" s="120">
        <f t="shared" si="202"/>
        <v>0</v>
      </c>
      <c r="L446" s="120">
        <f t="shared" si="203"/>
        <v>0</v>
      </c>
      <c r="M446" s="246">
        <f t="shared" si="204"/>
        <v>0</v>
      </c>
      <c r="N446" s="121">
        <f t="shared" si="205"/>
        <v>1.03</v>
      </c>
      <c r="O446" s="246">
        <f t="shared" si="206"/>
        <v>1</v>
      </c>
      <c r="P446" s="121">
        <f t="shared" si="207"/>
        <v>0</v>
      </c>
      <c r="Q446" s="121">
        <f t="shared" si="208"/>
        <v>0</v>
      </c>
      <c r="R446" s="121">
        <f t="shared" si="209"/>
        <v>0.375</v>
      </c>
      <c r="S446" s="121" t="str">
        <f t="shared" si="210"/>
        <v/>
      </c>
      <c r="T446" s="121" t="str">
        <f t="shared" si="211"/>
        <v/>
      </c>
      <c r="U446" s="121">
        <f t="shared" si="212"/>
        <v>1.03</v>
      </c>
    </row>
    <row r="447" spans="1:21" x14ac:dyDescent="0.3">
      <c r="A447" s="187">
        <v>45</v>
      </c>
      <c r="B447" s="242">
        <f t="shared" si="213"/>
        <v>46997</v>
      </c>
      <c r="C447" s="243">
        <f t="shared" si="194"/>
        <v>47026</v>
      </c>
      <c r="D447" s="120">
        <f t="shared" si="195"/>
        <v>30</v>
      </c>
      <c r="E447" s="120">
        <f t="shared" si="196"/>
        <v>9</v>
      </c>
      <c r="F447" s="275">
        <f t="shared" si="197"/>
        <v>47012</v>
      </c>
      <c r="G447" s="120">
        <f t="shared" si="198"/>
        <v>24344</v>
      </c>
      <c r="H447" s="245">
        <f t="shared" si="199"/>
        <v>1</v>
      </c>
      <c r="I447" s="121">
        <f t="shared" si="200"/>
        <v>1.03</v>
      </c>
      <c r="J447" s="121">
        <f t="shared" si="201"/>
        <v>1.03</v>
      </c>
      <c r="K447" s="120">
        <f t="shared" si="202"/>
        <v>0</v>
      </c>
      <c r="L447" s="120">
        <f t="shared" si="203"/>
        <v>0</v>
      </c>
      <c r="M447" s="246">
        <f t="shared" si="204"/>
        <v>0</v>
      </c>
      <c r="N447" s="121">
        <f t="shared" si="205"/>
        <v>1.03</v>
      </c>
      <c r="O447" s="246">
        <f t="shared" si="206"/>
        <v>1</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87">
        <v>46</v>
      </c>
      <c r="B448" s="242">
        <f t="shared" si="213"/>
        <v>47027</v>
      </c>
      <c r="C448" s="243">
        <f t="shared" si="194"/>
        <v>47057</v>
      </c>
      <c r="D448" s="120">
        <f t="shared" si="195"/>
        <v>31</v>
      </c>
      <c r="E448" s="120">
        <f t="shared" si="196"/>
        <v>10</v>
      </c>
      <c r="F448" s="275">
        <f t="shared" si="197"/>
        <v>47042.5</v>
      </c>
      <c r="G448" s="120">
        <f t="shared" si="198"/>
        <v>24345</v>
      </c>
      <c r="H448" s="245">
        <f t="shared" si="199"/>
        <v>1</v>
      </c>
      <c r="I448" s="121">
        <f t="shared" si="200"/>
        <v>1.03</v>
      </c>
      <c r="J448" s="121">
        <f t="shared" si="201"/>
        <v>1.03</v>
      </c>
      <c r="K448" s="120">
        <f t="shared" si="202"/>
        <v>0</v>
      </c>
      <c r="L448" s="120">
        <f t="shared" si="203"/>
        <v>0</v>
      </c>
      <c r="M448" s="246">
        <f t="shared" si="204"/>
        <v>0</v>
      </c>
      <c r="N448" s="121">
        <f t="shared" si="205"/>
        <v>1.03</v>
      </c>
      <c r="O448" s="246">
        <f t="shared" si="206"/>
        <v>1</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87">
        <v>47</v>
      </c>
      <c r="B449" s="242">
        <f t="shared" si="213"/>
        <v>47058</v>
      </c>
      <c r="C449" s="243">
        <f t="shared" si="194"/>
        <v>47087</v>
      </c>
      <c r="D449" s="120">
        <f t="shared" si="195"/>
        <v>30</v>
      </c>
      <c r="E449" s="120">
        <f t="shared" si="196"/>
        <v>11</v>
      </c>
      <c r="F449" s="275">
        <f t="shared" si="197"/>
        <v>47073</v>
      </c>
      <c r="G449" s="120">
        <f t="shared" si="198"/>
        <v>24346</v>
      </c>
      <c r="H449" s="245">
        <f t="shared" si="199"/>
        <v>1</v>
      </c>
      <c r="I449" s="121">
        <f t="shared" si="200"/>
        <v>1.03</v>
      </c>
      <c r="J449" s="121">
        <f t="shared" si="201"/>
        <v>1.03</v>
      </c>
      <c r="K449" s="120">
        <f t="shared" si="202"/>
        <v>0</v>
      </c>
      <c r="L449" s="120">
        <f t="shared" si="203"/>
        <v>0</v>
      </c>
      <c r="M449" s="246">
        <f t="shared" si="204"/>
        <v>0</v>
      </c>
      <c r="N449" s="121">
        <f t="shared" si="205"/>
        <v>1.03</v>
      </c>
      <c r="O449" s="246">
        <f t="shared" si="206"/>
        <v>1</v>
      </c>
      <c r="P449" s="121">
        <f t="shared" si="207"/>
        <v>0</v>
      </c>
      <c r="Q449" s="121">
        <f t="shared" si="208"/>
        <v>0</v>
      </c>
      <c r="R449" s="121">
        <f t="shared" si="209"/>
        <v>0.125</v>
      </c>
      <c r="S449" s="121" t="str">
        <f t="shared" si="210"/>
        <v/>
      </c>
      <c r="T449" s="121" t="str">
        <f t="shared" si="211"/>
        <v/>
      </c>
      <c r="U449" s="121">
        <f t="shared" si="212"/>
        <v>1.03</v>
      </c>
    </row>
    <row r="450" spans="1:21" x14ac:dyDescent="0.3">
      <c r="A450" s="187">
        <v>48</v>
      </c>
      <c r="B450" s="242">
        <f t="shared" si="213"/>
        <v>47088</v>
      </c>
      <c r="C450" s="243">
        <f t="shared" si="194"/>
        <v>47118</v>
      </c>
      <c r="D450" s="120">
        <f t="shared" si="195"/>
        <v>31</v>
      </c>
      <c r="E450" s="120">
        <f t="shared" si="196"/>
        <v>12</v>
      </c>
      <c r="F450" s="275">
        <f t="shared" si="197"/>
        <v>47103.5</v>
      </c>
      <c r="G450" s="120">
        <f t="shared" si="198"/>
        <v>24347</v>
      </c>
      <c r="H450" s="245">
        <f t="shared" si="199"/>
        <v>1</v>
      </c>
      <c r="I450" s="121">
        <f t="shared" si="200"/>
        <v>1.03</v>
      </c>
      <c r="J450" s="121">
        <f t="shared" si="201"/>
        <v>1.03</v>
      </c>
      <c r="K450" s="120">
        <f t="shared" si="202"/>
        <v>0</v>
      </c>
      <c r="L450" s="120">
        <f t="shared" si="203"/>
        <v>0</v>
      </c>
      <c r="M450" s="246">
        <f t="shared" si="204"/>
        <v>0</v>
      </c>
      <c r="N450" s="121">
        <f t="shared" si="205"/>
        <v>1.03</v>
      </c>
      <c r="O450" s="246">
        <f t="shared" si="206"/>
        <v>1</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1651</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24">
        <f>SUMPRODUCT($H$403:$H$450,$Q$403:$Q$450,$O$403:$O$450)/SUMPRODUCT($H$403:$H$450,$Q$403:$Q$450)</f>
        <v>0.99199580598103554</v>
      </c>
      <c r="G451" s="224">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24">
        <f>IF(N(INDEX(lr_mind,8))=0,1,INDEX(lr_mind,8))</f>
        <v>1</v>
      </c>
      <c r="G454" s="224">
        <f>IF(N(INDEX(lr_m0,8))=0,1,INDEX(lr_m0,8))</f>
        <v>0.99</v>
      </c>
      <c r="H454" s="74">
        <f>IF(N(INDEX(lr_m0asof,8))=0,DATE(nr_PlanYear-1,10,1),INDEX(lr_m0asof,8))</f>
        <v>46295</v>
      </c>
      <c r="I454" s="224">
        <f>IF(N(INDEX(lr_m1,8))=0,1,INDEX(lr_m1,8))</f>
        <v>0.98</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214">EOMONTH($B457,0)</f>
        <v>45688</v>
      </c>
      <c r="D457" s="120">
        <f t="shared" ref="D457:D504" si="215">$C457-$B457+1</f>
        <v>31</v>
      </c>
      <c r="E457" s="120">
        <f t="shared" ref="E457:E504" si="216">MONTH($B457)</f>
        <v>1</v>
      </c>
      <c r="F457" s="275">
        <f t="shared" ref="F457:F504" si="217">($B457+$C457+1)/2</f>
        <v>45673.5</v>
      </c>
      <c r="G457" s="120">
        <f t="shared" ref="G457:G504" si="218">YEAR($B457)*12+MONTH($B457)-1</f>
        <v>24300</v>
      </c>
      <c r="H457" s="245">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46">
        <f t="shared" ref="M457:M504" si="224">IF($K457=0,0,MIN(1,$L457/$D457))</f>
        <v>0</v>
      </c>
      <c r="N457" s="121">
        <f t="shared" ref="N457:N504" si="225">IF($K457=0,$J457,(1-$M457)*$I457+$M457*$J457)</f>
        <v>1</v>
      </c>
      <c r="O457" s="246">
        <f t="shared" ref="O457:O504" si="226">IF($F457&lt;$B$455,$E$455+$I$455*($F457-$A$455),IF($F457&lt;$C$455,$F$455+$J$455*($F457-$B$455),$G$455+$K$455*($F457-$C$455)))</f>
        <v>1.0036214442013129</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87">
        <v>2</v>
      </c>
      <c r="B458" s="242">
        <f t="shared" ref="B458:B504" si="233">EDATE($B457,1)</f>
        <v>45689</v>
      </c>
      <c r="C458" s="243">
        <f t="shared" si="214"/>
        <v>45716</v>
      </c>
      <c r="D458" s="120">
        <f t="shared" si="215"/>
        <v>28</v>
      </c>
      <c r="E458" s="120">
        <f t="shared" si="216"/>
        <v>2</v>
      </c>
      <c r="F458" s="275">
        <f t="shared" si="217"/>
        <v>45703</v>
      </c>
      <c r="G458" s="120">
        <f t="shared" si="218"/>
        <v>24301</v>
      </c>
      <c r="H458" s="245">
        <f t="shared" si="219"/>
        <v>1</v>
      </c>
      <c r="I458" s="121">
        <f t="shared" si="220"/>
        <v>1</v>
      </c>
      <c r="J458" s="121">
        <f t="shared" si="221"/>
        <v>1</v>
      </c>
      <c r="K458" s="120">
        <f t="shared" si="222"/>
        <v>0</v>
      </c>
      <c r="L458" s="120">
        <f t="shared" si="223"/>
        <v>0</v>
      </c>
      <c r="M458" s="246">
        <f t="shared" si="224"/>
        <v>0</v>
      </c>
      <c r="N458" s="121">
        <f t="shared" si="225"/>
        <v>1</v>
      </c>
      <c r="O458" s="246">
        <f t="shared" si="226"/>
        <v>1.002975929978118</v>
      </c>
      <c r="P458" s="121">
        <f t="shared" si="227"/>
        <v>0.125</v>
      </c>
      <c r="Q458" s="121">
        <f t="shared" si="228"/>
        <v>0</v>
      </c>
      <c r="R458" s="121">
        <f t="shared" si="229"/>
        <v>0</v>
      </c>
      <c r="S458" s="121" t="str">
        <f t="shared" si="230"/>
        <v/>
      </c>
      <c r="T458" s="121" t="str">
        <f t="shared" si="231"/>
        <v/>
      </c>
      <c r="U458" s="121">
        <f t="shared" si="232"/>
        <v>1</v>
      </c>
    </row>
    <row r="459" spans="1:21" x14ac:dyDescent="0.3">
      <c r="A459" s="187">
        <v>3</v>
      </c>
      <c r="B459" s="242">
        <f t="shared" si="233"/>
        <v>45717</v>
      </c>
      <c r="C459" s="243">
        <f t="shared" si="214"/>
        <v>45747</v>
      </c>
      <c r="D459" s="120">
        <f t="shared" si="215"/>
        <v>31</v>
      </c>
      <c r="E459" s="120">
        <f t="shared" si="216"/>
        <v>3</v>
      </c>
      <c r="F459" s="275">
        <f t="shared" si="217"/>
        <v>45732.5</v>
      </c>
      <c r="G459" s="120">
        <f t="shared" si="218"/>
        <v>24302</v>
      </c>
      <c r="H459" s="245">
        <f t="shared" si="219"/>
        <v>1</v>
      </c>
      <c r="I459" s="121">
        <f t="shared" si="220"/>
        <v>1</v>
      </c>
      <c r="J459" s="121">
        <f t="shared" si="221"/>
        <v>1</v>
      </c>
      <c r="K459" s="120">
        <f t="shared" si="222"/>
        <v>0</v>
      </c>
      <c r="L459" s="120">
        <f t="shared" si="223"/>
        <v>0</v>
      </c>
      <c r="M459" s="246">
        <f t="shared" si="224"/>
        <v>0</v>
      </c>
      <c r="N459" s="121">
        <f t="shared" si="225"/>
        <v>1</v>
      </c>
      <c r="O459" s="246">
        <f t="shared" si="226"/>
        <v>1.0023304157549233</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87">
        <v>4</v>
      </c>
      <c r="B460" s="242">
        <f t="shared" si="233"/>
        <v>45748</v>
      </c>
      <c r="C460" s="243">
        <f t="shared" si="214"/>
        <v>45777</v>
      </c>
      <c r="D460" s="120">
        <f t="shared" si="215"/>
        <v>30</v>
      </c>
      <c r="E460" s="120">
        <f t="shared" si="216"/>
        <v>4</v>
      </c>
      <c r="F460" s="275">
        <f t="shared" si="217"/>
        <v>45763</v>
      </c>
      <c r="G460" s="120">
        <f t="shared" si="218"/>
        <v>24303</v>
      </c>
      <c r="H460" s="245">
        <f t="shared" si="219"/>
        <v>1</v>
      </c>
      <c r="I460" s="121">
        <f t="shared" si="220"/>
        <v>1</v>
      </c>
      <c r="J460" s="121">
        <f t="shared" si="221"/>
        <v>1</v>
      </c>
      <c r="K460" s="120">
        <f t="shared" si="222"/>
        <v>0</v>
      </c>
      <c r="L460" s="120">
        <f t="shared" si="223"/>
        <v>0</v>
      </c>
      <c r="M460" s="246">
        <f t="shared" si="224"/>
        <v>0</v>
      </c>
      <c r="N460" s="121">
        <f t="shared" si="225"/>
        <v>1</v>
      </c>
      <c r="O460" s="246">
        <f t="shared" si="226"/>
        <v>1.0016630196936542</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87">
        <v>5</v>
      </c>
      <c r="B461" s="242">
        <f t="shared" si="233"/>
        <v>45778</v>
      </c>
      <c r="C461" s="243">
        <f t="shared" si="214"/>
        <v>45808</v>
      </c>
      <c r="D461" s="120">
        <f t="shared" si="215"/>
        <v>31</v>
      </c>
      <c r="E461" s="120">
        <f t="shared" si="216"/>
        <v>5</v>
      </c>
      <c r="F461" s="275">
        <f t="shared" si="217"/>
        <v>45793.5</v>
      </c>
      <c r="G461" s="120">
        <f t="shared" si="218"/>
        <v>24304</v>
      </c>
      <c r="H461" s="245">
        <f t="shared" si="219"/>
        <v>1</v>
      </c>
      <c r="I461" s="121">
        <f t="shared" si="220"/>
        <v>1</v>
      </c>
      <c r="J461" s="121">
        <f t="shared" si="221"/>
        <v>1</v>
      </c>
      <c r="K461" s="120">
        <f t="shared" si="222"/>
        <v>0</v>
      </c>
      <c r="L461" s="120">
        <f t="shared" si="223"/>
        <v>0</v>
      </c>
      <c r="M461" s="246">
        <f t="shared" si="224"/>
        <v>0</v>
      </c>
      <c r="N461" s="121">
        <f t="shared" si="225"/>
        <v>1</v>
      </c>
      <c r="O461" s="246">
        <f t="shared" si="226"/>
        <v>1.0009956236323851</v>
      </c>
      <c r="P461" s="121">
        <f t="shared" si="227"/>
        <v>0.375</v>
      </c>
      <c r="Q461" s="121">
        <f t="shared" si="228"/>
        <v>0</v>
      </c>
      <c r="R461" s="121">
        <f t="shared" si="229"/>
        <v>0</v>
      </c>
      <c r="S461" s="121" t="str">
        <f t="shared" si="230"/>
        <v/>
      </c>
      <c r="T461" s="121" t="str">
        <f t="shared" si="231"/>
        <v/>
      </c>
      <c r="U461" s="121">
        <f t="shared" si="232"/>
        <v>1</v>
      </c>
    </row>
    <row r="462" spans="1:21" x14ac:dyDescent="0.3">
      <c r="A462" s="187">
        <v>6</v>
      </c>
      <c r="B462" s="242">
        <f t="shared" si="233"/>
        <v>45809</v>
      </c>
      <c r="C462" s="243">
        <f t="shared" si="214"/>
        <v>45838</v>
      </c>
      <c r="D462" s="120">
        <f t="shared" si="215"/>
        <v>30</v>
      </c>
      <c r="E462" s="120">
        <f t="shared" si="216"/>
        <v>6</v>
      </c>
      <c r="F462" s="275">
        <f t="shared" si="217"/>
        <v>45824</v>
      </c>
      <c r="G462" s="120">
        <f t="shared" si="218"/>
        <v>24305</v>
      </c>
      <c r="H462" s="245">
        <f t="shared" si="219"/>
        <v>1</v>
      </c>
      <c r="I462" s="121">
        <f t="shared" si="220"/>
        <v>1</v>
      </c>
      <c r="J462" s="121">
        <f t="shared" si="221"/>
        <v>1</v>
      </c>
      <c r="K462" s="120">
        <f t="shared" si="222"/>
        <v>0</v>
      </c>
      <c r="L462" s="120">
        <f t="shared" si="223"/>
        <v>0</v>
      </c>
      <c r="M462" s="246">
        <f t="shared" si="224"/>
        <v>0</v>
      </c>
      <c r="N462" s="121">
        <f t="shared" si="225"/>
        <v>1</v>
      </c>
      <c r="O462" s="246">
        <f t="shared" si="226"/>
        <v>1.0003282275711158</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87">
        <v>7</v>
      </c>
      <c r="B463" s="242">
        <f t="shared" si="233"/>
        <v>45839</v>
      </c>
      <c r="C463" s="243">
        <f t="shared" si="214"/>
        <v>45869</v>
      </c>
      <c r="D463" s="120">
        <f t="shared" si="215"/>
        <v>31</v>
      </c>
      <c r="E463" s="120">
        <f t="shared" si="216"/>
        <v>7</v>
      </c>
      <c r="F463" s="275">
        <f t="shared" si="217"/>
        <v>45854.5</v>
      </c>
      <c r="G463" s="120">
        <f t="shared" si="218"/>
        <v>24306</v>
      </c>
      <c r="H463" s="245">
        <f t="shared" si="219"/>
        <v>1</v>
      </c>
      <c r="I463" s="121">
        <f t="shared" si="220"/>
        <v>1</v>
      </c>
      <c r="J463" s="121">
        <f t="shared" si="221"/>
        <v>1</v>
      </c>
      <c r="K463" s="120">
        <f t="shared" si="222"/>
        <v>0</v>
      </c>
      <c r="L463" s="120">
        <f t="shared" si="223"/>
        <v>0</v>
      </c>
      <c r="M463" s="246">
        <f t="shared" si="224"/>
        <v>0</v>
      </c>
      <c r="N463" s="121">
        <f t="shared" si="225"/>
        <v>1</v>
      </c>
      <c r="O463" s="246">
        <f t="shared" si="226"/>
        <v>0.99966083150984675</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87">
        <v>8</v>
      </c>
      <c r="B464" s="242">
        <f t="shared" si="233"/>
        <v>45870</v>
      </c>
      <c r="C464" s="243">
        <f t="shared" si="214"/>
        <v>45900</v>
      </c>
      <c r="D464" s="120">
        <f t="shared" si="215"/>
        <v>31</v>
      </c>
      <c r="E464" s="120">
        <f t="shared" si="216"/>
        <v>8</v>
      </c>
      <c r="F464" s="275">
        <f t="shared" si="217"/>
        <v>45885.5</v>
      </c>
      <c r="G464" s="120">
        <f t="shared" si="218"/>
        <v>24307</v>
      </c>
      <c r="H464" s="245">
        <f t="shared" si="219"/>
        <v>1</v>
      </c>
      <c r="I464" s="121">
        <f t="shared" si="220"/>
        <v>1</v>
      </c>
      <c r="J464" s="121">
        <f t="shared" si="221"/>
        <v>1</v>
      </c>
      <c r="K464" s="120">
        <f t="shared" si="222"/>
        <v>0</v>
      </c>
      <c r="L464" s="120">
        <f t="shared" si="223"/>
        <v>0</v>
      </c>
      <c r="M464" s="246">
        <f t="shared" si="224"/>
        <v>0</v>
      </c>
      <c r="N464" s="121">
        <f t="shared" si="225"/>
        <v>1</v>
      </c>
      <c r="O464" s="246">
        <f t="shared" si="226"/>
        <v>0.99898249452954047</v>
      </c>
      <c r="P464" s="121">
        <f t="shared" si="227"/>
        <v>0.625</v>
      </c>
      <c r="Q464" s="121">
        <f t="shared" si="228"/>
        <v>0</v>
      </c>
      <c r="R464" s="121">
        <f t="shared" si="229"/>
        <v>0</v>
      </c>
      <c r="S464" s="121" t="str">
        <f t="shared" si="230"/>
        <v/>
      </c>
      <c r="T464" s="121" t="str">
        <f t="shared" si="231"/>
        <v/>
      </c>
      <c r="U464" s="121">
        <f t="shared" si="232"/>
        <v>1</v>
      </c>
    </row>
    <row r="465" spans="1:21" x14ac:dyDescent="0.3">
      <c r="A465" s="187">
        <v>9</v>
      </c>
      <c r="B465" s="242">
        <f t="shared" si="233"/>
        <v>45901</v>
      </c>
      <c r="C465" s="243">
        <f t="shared" si="214"/>
        <v>45930</v>
      </c>
      <c r="D465" s="120">
        <f t="shared" si="215"/>
        <v>30</v>
      </c>
      <c r="E465" s="120">
        <f t="shared" si="216"/>
        <v>9</v>
      </c>
      <c r="F465" s="275">
        <f t="shared" si="217"/>
        <v>45916</v>
      </c>
      <c r="G465" s="120">
        <f t="shared" si="218"/>
        <v>24308</v>
      </c>
      <c r="H465" s="245">
        <f t="shared" si="219"/>
        <v>1</v>
      </c>
      <c r="I465" s="121">
        <f t="shared" si="220"/>
        <v>1</v>
      </c>
      <c r="J465" s="121">
        <f t="shared" si="221"/>
        <v>1</v>
      </c>
      <c r="K465" s="120">
        <f t="shared" si="222"/>
        <v>0</v>
      </c>
      <c r="L465" s="120">
        <f t="shared" si="223"/>
        <v>0</v>
      </c>
      <c r="M465" s="246">
        <f t="shared" si="224"/>
        <v>0</v>
      </c>
      <c r="N465" s="121">
        <f t="shared" si="225"/>
        <v>1</v>
      </c>
      <c r="O465" s="246">
        <f t="shared" si="226"/>
        <v>0.99831509846827127</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87">
        <v>10</v>
      </c>
      <c r="B466" s="242">
        <f t="shared" si="233"/>
        <v>45931</v>
      </c>
      <c r="C466" s="243">
        <f t="shared" si="214"/>
        <v>45961</v>
      </c>
      <c r="D466" s="120">
        <f t="shared" si="215"/>
        <v>31</v>
      </c>
      <c r="E466" s="120">
        <f t="shared" si="216"/>
        <v>10</v>
      </c>
      <c r="F466" s="275">
        <f t="shared" si="217"/>
        <v>45946.5</v>
      </c>
      <c r="G466" s="120">
        <f t="shared" si="218"/>
        <v>24309</v>
      </c>
      <c r="H466" s="245">
        <f t="shared" si="219"/>
        <v>1</v>
      </c>
      <c r="I466" s="121">
        <f t="shared" si="220"/>
        <v>1</v>
      </c>
      <c r="J466" s="121">
        <f t="shared" si="221"/>
        <v>1</v>
      </c>
      <c r="K466" s="120">
        <f t="shared" si="222"/>
        <v>0</v>
      </c>
      <c r="L466" s="120">
        <f t="shared" si="223"/>
        <v>0</v>
      </c>
      <c r="M466" s="246">
        <f t="shared" si="224"/>
        <v>0</v>
      </c>
      <c r="N466" s="121">
        <f t="shared" si="225"/>
        <v>1</v>
      </c>
      <c r="O466" s="246">
        <f t="shared" si="226"/>
        <v>0.99764770240700218</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87">
        <v>11</v>
      </c>
      <c r="B467" s="242">
        <f t="shared" si="233"/>
        <v>45962</v>
      </c>
      <c r="C467" s="243">
        <f t="shared" si="214"/>
        <v>45991</v>
      </c>
      <c r="D467" s="120">
        <f t="shared" si="215"/>
        <v>30</v>
      </c>
      <c r="E467" s="120">
        <f t="shared" si="216"/>
        <v>11</v>
      </c>
      <c r="F467" s="275">
        <f t="shared" si="217"/>
        <v>45977</v>
      </c>
      <c r="G467" s="120">
        <f t="shared" si="218"/>
        <v>24310</v>
      </c>
      <c r="H467" s="245">
        <f t="shared" si="219"/>
        <v>1</v>
      </c>
      <c r="I467" s="121">
        <f t="shared" si="220"/>
        <v>1</v>
      </c>
      <c r="J467" s="121">
        <f t="shared" si="221"/>
        <v>1</v>
      </c>
      <c r="K467" s="120">
        <f t="shared" si="222"/>
        <v>0</v>
      </c>
      <c r="L467" s="120">
        <f t="shared" si="223"/>
        <v>0</v>
      </c>
      <c r="M467" s="246">
        <f t="shared" si="224"/>
        <v>0</v>
      </c>
      <c r="N467" s="121">
        <f t="shared" si="225"/>
        <v>1</v>
      </c>
      <c r="O467" s="246">
        <f t="shared" si="226"/>
        <v>0.99698030634573298</v>
      </c>
      <c r="P467" s="121">
        <f t="shared" si="227"/>
        <v>0.875</v>
      </c>
      <c r="Q467" s="121">
        <f t="shared" si="228"/>
        <v>0</v>
      </c>
      <c r="R467" s="121">
        <f t="shared" si="229"/>
        <v>0</v>
      </c>
      <c r="S467" s="121" t="str">
        <f t="shared" si="230"/>
        <v/>
      </c>
      <c r="T467" s="121" t="str">
        <f t="shared" si="231"/>
        <v/>
      </c>
      <c r="U467" s="121">
        <f t="shared" si="232"/>
        <v>1</v>
      </c>
    </row>
    <row r="468" spans="1:21" x14ac:dyDescent="0.3">
      <c r="A468" s="187">
        <v>12</v>
      </c>
      <c r="B468" s="242">
        <f t="shared" si="233"/>
        <v>45992</v>
      </c>
      <c r="C468" s="243">
        <f t="shared" si="214"/>
        <v>46022</v>
      </c>
      <c r="D468" s="120">
        <f t="shared" si="215"/>
        <v>31</v>
      </c>
      <c r="E468" s="120">
        <f t="shared" si="216"/>
        <v>12</v>
      </c>
      <c r="F468" s="275">
        <f t="shared" si="217"/>
        <v>46007.5</v>
      </c>
      <c r="G468" s="120">
        <f t="shared" si="218"/>
        <v>24311</v>
      </c>
      <c r="H468" s="245">
        <f t="shared" si="219"/>
        <v>1</v>
      </c>
      <c r="I468" s="121">
        <f t="shared" si="220"/>
        <v>1</v>
      </c>
      <c r="J468" s="121">
        <f t="shared" si="221"/>
        <v>1</v>
      </c>
      <c r="K468" s="120">
        <f t="shared" si="222"/>
        <v>0</v>
      </c>
      <c r="L468" s="120">
        <f t="shared" si="223"/>
        <v>0</v>
      </c>
      <c r="M468" s="246">
        <f t="shared" si="224"/>
        <v>0</v>
      </c>
      <c r="N468" s="121">
        <f t="shared" si="225"/>
        <v>1</v>
      </c>
      <c r="O468" s="246">
        <f t="shared" si="226"/>
        <v>0.99631291028446389</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87">
        <v>13</v>
      </c>
      <c r="B469" s="242">
        <f t="shared" si="233"/>
        <v>46023</v>
      </c>
      <c r="C469" s="243">
        <f t="shared" si="214"/>
        <v>46053</v>
      </c>
      <c r="D469" s="120">
        <f t="shared" si="215"/>
        <v>31</v>
      </c>
      <c r="E469" s="120">
        <f t="shared" si="216"/>
        <v>1</v>
      </c>
      <c r="F469" s="275">
        <f t="shared" si="217"/>
        <v>46038.5</v>
      </c>
      <c r="G469" s="120">
        <f t="shared" si="218"/>
        <v>24312</v>
      </c>
      <c r="H469" s="245">
        <f t="shared" si="219"/>
        <v>1</v>
      </c>
      <c r="I469" s="121">
        <f t="shared" si="220"/>
        <v>1</v>
      </c>
      <c r="J469" s="121">
        <f t="shared" si="221"/>
        <v>1</v>
      </c>
      <c r="K469" s="120">
        <f t="shared" si="222"/>
        <v>0</v>
      </c>
      <c r="L469" s="120">
        <f t="shared" si="223"/>
        <v>0</v>
      </c>
      <c r="M469" s="246">
        <f t="shared" si="224"/>
        <v>0</v>
      </c>
      <c r="N469" s="121">
        <f t="shared" si="225"/>
        <v>1</v>
      </c>
      <c r="O469" s="246">
        <f t="shared" si="226"/>
        <v>0.9956345733041575</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87">
        <v>14</v>
      </c>
      <c r="B470" s="242">
        <f t="shared" si="233"/>
        <v>46054</v>
      </c>
      <c r="C470" s="243">
        <f t="shared" si="214"/>
        <v>46081</v>
      </c>
      <c r="D470" s="120">
        <f t="shared" si="215"/>
        <v>28</v>
      </c>
      <c r="E470" s="120">
        <f t="shared" si="216"/>
        <v>2</v>
      </c>
      <c r="F470" s="275">
        <f t="shared" si="217"/>
        <v>46068</v>
      </c>
      <c r="G470" s="120">
        <f t="shared" si="218"/>
        <v>24313</v>
      </c>
      <c r="H470" s="245">
        <f t="shared" si="219"/>
        <v>1</v>
      </c>
      <c r="I470" s="121">
        <f t="shared" si="220"/>
        <v>1</v>
      </c>
      <c r="J470" s="121">
        <f t="shared" si="221"/>
        <v>1</v>
      </c>
      <c r="K470" s="120">
        <f t="shared" si="222"/>
        <v>0</v>
      </c>
      <c r="L470" s="120">
        <f t="shared" si="223"/>
        <v>0</v>
      </c>
      <c r="M470" s="246">
        <f t="shared" si="224"/>
        <v>0</v>
      </c>
      <c r="N470" s="121">
        <f t="shared" si="225"/>
        <v>1</v>
      </c>
      <c r="O470" s="246">
        <f t="shared" si="226"/>
        <v>0.9949890590809628</v>
      </c>
      <c r="P470" s="121">
        <f t="shared" si="227"/>
        <v>0.875</v>
      </c>
      <c r="Q470" s="121">
        <f t="shared" si="228"/>
        <v>0.125</v>
      </c>
      <c r="R470" s="121">
        <f t="shared" si="229"/>
        <v>0</v>
      </c>
      <c r="S470" s="121" t="str">
        <f t="shared" si="230"/>
        <v/>
      </c>
      <c r="T470" s="121" t="str">
        <f t="shared" si="231"/>
        <v/>
      </c>
      <c r="U470" s="121">
        <f t="shared" si="232"/>
        <v>1</v>
      </c>
    </row>
    <row r="471" spans="1:21" x14ac:dyDescent="0.3">
      <c r="A471" s="187">
        <v>15</v>
      </c>
      <c r="B471" s="242">
        <f t="shared" si="233"/>
        <v>46082</v>
      </c>
      <c r="C471" s="243">
        <f t="shared" si="214"/>
        <v>46112</v>
      </c>
      <c r="D471" s="120">
        <f t="shared" si="215"/>
        <v>31</v>
      </c>
      <c r="E471" s="120">
        <f t="shared" si="216"/>
        <v>3</v>
      </c>
      <c r="F471" s="275">
        <f t="shared" si="217"/>
        <v>46097.5</v>
      </c>
      <c r="G471" s="120">
        <f t="shared" si="218"/>
        <v>24314</v>
      </c>
      <c r="H471" s="245">
        <f t="shared" si="219"/>
        <v>1</v>
      </c>
      <c r="I471" s="121">
        <f t="shared" si="220"/>
        <v>1</v>
      </c>
      <c r="J471" s="121">
        <f t="shared" si="221"/>
        <v>1</v>
      </c>
      <c r="K471" s="120">
        <f t="shared" si="222"/>
        <v>0</v>
      </c>
      <c r="L471" s="120">
        <f t="shared" si="223"/>
        <v>0</v>
      </c>
      <c r="M471" s="246">
        <f t="shared" si="224"/>
        <v>0</v>
      </c>
      <c r="N471" s="121">
        <f t="shared" si="225"/>
        <v>1</v>
      </c>
      <c r="O471" s="246">
        <f t="shared" si="226"/>
        <v>0.99434354485776799</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87">
        <v>16</v>
      </c>
      <c r="B472" s="242">
        <f t="shared" si="233"/>
        <v>46113</v>
      </c>
      <c r="C472" s="243">
        <f t="shared" si="214"/>
        <v>46142</v>
      </c>
      <c r="D472" s="120">
        <f t="shared" si="215"/>
        <v>30</v>
      </c>
      <c r="E472" s="120">
        <f t="shared" si="216"/>
        <v>4</v>
      </c>
      <c r="F472" s="275">
        <f t="shared" si="217"/>
        <v>46128</v>
      </c>
      <c r="G472" s="120">
        <f t="shared" si="218"/>
        <v>24315</v>
      </c>
      <c r="H472" s="245">
        <f t="shared" si="219"/>
        <v>1</v>
      </c>
      <c r="I472" s="121">
        <f t="shared" si="220"/>
        <v>1</v>
      </c>
      <c r="J472" s="121">
        <f t="shared" si="221"/>
        <v>1</v>
      </c>
      <c r="K472" s="120">
        <f t="shared" si="222"/>
        <v>0</v>
      </c>
      <c r="L472" s="120">
        <f t="shared" si="223"/>
        <v>0</v>
      </c>
      <c r="M472" s="246">
        <f t="shared" si="224"/>
        <v>0</v>
      </c>
      <c r="N472" s="121">
        <f t="shared" si="225"/>
        <v>1</v>
      </c>
      <c r="O472" s="246">
        <f t="shared" si="226"/>
        <v>0.9936761487964989</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87">
        <v>17</v>
      </c>
      <c r="B473" s="242">
        <f t="shared" si="233"/>
        <v>46143</v>
      </c>
      <c r="C473" s="243">
        <f t="shared" si="214"/>
        <v>46173</v>
      </c>
      <c r="D473" s="120">
        <f t="shared" si="215"/>
        <v>31</v>
      </c>
      <c r="E473" s="120">
        <f t="shared" si="216"/>
        <v>5</v>
      </c>
      <c r="F473" s="275">
        <f t="shared" si="217"/>
        <v>46158.5</v>
      </c>
      <c r="G473" s="120">
        <f t="shared" si="218"/>
        <v>24316</v>
      </c>
      <c r="H473" s="245">
        <f t="shared" si="219"/>
        <v>1</v>
      </c>
      <c r="I473" s="121">
        <f t="shared" si="220"/>
        <v>1</v>
      </c>
      <c r="J473" s="121">
        <f t="shared" si="221"/>
        <v>1</v>
      </c>
      <c r="K473" s="120">
        <f t="shared" si="222"/>
        <v>0</v>
      </c>
      <c r="L473" s="120">
        <f t="shared" si="223"/>
        <v>0</v>
      </c>
      <c r="M473" s="246">
        <f t="shared" si="224"/>
        <v>0</v>
      </c>
      <c r="N473" s="121">
        <f t="shared" si="225"/>
        <v>1</v>
      </c>
      <c r="O473" s="246">
        <f t="shared" si="226"/>
        <v>0.9930087527352297</v>
      </c>
      <c r="P473" s="121">
        <f t="shared" si="227"/>
        <v>0.625</v>
      </c>
      <c r="Q473" s="121">
        <f t="shared" si="228"/>
        <v>0.375</v>
      </c>
      <c r="R473" s="121">
        <f t="shared" si="229"/>
        <v>0</v>
      </c>
      <c r="S473" s="121" t="str">
        <f t="shared" si="230"/>
        <v/>
      </c>
      <c r="T473" s="121" t="str">
        <f t="shared" si="231"/>
        <v/>
      </c>
      <c r="U473" s="121">
        <f t="shared" si="232"/>
        <v>1</v>
      </c>
    </row>
    <row r="474" spans="1:21" x14ac:dyDescent="0.3">
      <c r="A474" s="187">
        <v>18</v>
      </c>
      <c r="B474" s="242">
        <f t="shared" si="233"/>
        <v>46174</v>
      </c>
      <c r="C474" s="243">
        <f t="shared" si="214"/>
        <v>46203</v>
      </c>
      <c r="D474" s="120">
        <f t="shared" si="215"/>
        <v>30</v>
      </c>
      <c r="E474" s="120">
        <f t="shared" si="216"/>
        <v>6</v>
      </c>
      <c r="F474" s="275">
        <f t="shared" si="217"/>
        <v>46189</v>
      </c>
      <c r="G474" s="120">
        <f t="shared" si="218"/>
        <v>24317</v>
      </c>
      <c r="H474" s="245">
        <f t="shared" si="219"/>
        <v>1</v>
      </c>
      <c r="I474" s="121">
        <f t="shared" si="220"/>
        <v>1</v>
      </c>
      <c r="J474" s="121">
        <f t="shared" si="221"/>
        <v>1</v>
      </c>
      <c r="K474" s="120">
        <f t="shared" si="222"/>
        <v>0</v>
      </c>
      <c r="L474" s="120">
        <f t="shared" si="223"/>
        <v>0</v>
      </c>
      <c r="M474" s="246">
        <f t="shared" si="224"/>
        <v>0</v>
      </c>
      <c r="N474" s="121">
        <f t="shared" si="225"/>
        <v>1</v>
      </c>
      <c r="O474" s="246">
        <f t="shared" si="226"/>
        <v>0.99234135667396062</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87">
        <v>19</v>
      </c>
      <c r="B475" s="242">
        <f t="shared" si="233"/>
        <v>46204</v>
      </c>
      <c r="C475" s="243">
        <f t="shared" si="214"/>
        <v>46234</v>
      </c>
      <c r="D475" s="120">
        <f t="shared" si="215"/>
        <v>31</v>
      </c>
      <c r="E475" s="120">
        <f t="shared" si="216"/>
        <v>7</v>
      </c>
      <c r="F475" s="275">
        <f t="shared" si="217"/>
        <v>46219.5</v>
      </c>
      <c r="G475" s="120">
        <f t="shared" si="218"/>
        <v>24318</v>
      </c>
      <c r="H475" s="245">
        <f t="shared" si="219"/>
        <v>1</v>
      </c>
      <c r="I475" s="121">
        <f t="shared" si="220"/>
        <v>1</v>
      </c>
      <c r="J475" s="121">
        <f t="shared" si="221"/>
        <v>1</v>
      </c>
      <c r="K475" s="120">
        <f t="shared" si="222"/>
        <v>0</v>
      </c>
      <c r="L475" s="120">
        <f t="shared" si="223"/>
        <v>0</v>
      </c>
      <c r="M475" s="246">
        <f t="shared" si="224"/>
        <v>0</v>
      </c>
      <c r="N475" s="121">
        <f t="shared" si="225"/>
        <v>1</v>
      </c>
      <c r="O475" s="246">
        <f t="shared" si="226"/>
        <v>0.99167396061269142</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87">
        <v>20</v>
      </c>
      <c r="B476" s="242">
        <f t="shared" si="233"/>
        <v>46235</v>
      </c>
      <c r="C476" s="243">
        <f t="shared" si="214"/>
        <v>46265</v>
      </c>
      <c r="D476" s="120">
        <f t="shared" si="215"/>
        <v>31</v>
      </c>
      <c r="E476" s="120">
        <f t="shared" si="216"/>
        <v>8</v>
      </c>
      <c r="F476" s="275">
        <f t="shared" si="217"/>
        <v>46250.5</v>
      </c>
      <c r="G476" s="120">
        <f t="shared" si="218"/>
        <v>24319</v>
      </c>
      <c r="H476" s="245">
        <f t="shared" si="219"/>
        <v>1</v>
      </c>
      <c r="I476" s="121">
        <f t="shared" si="220"/>
        <v>1</v>
      </c>
      <c r="J476" s="121">
        <f t="shared" si="221"/>
        <v>1.04</v>
      </c>
      <c r="K476" s="120">
        <f t="shared" si="222"/>
        <v>1</v>
      </c>
      <c r="L476" s="120">
        <f t="shared" si="223"/>
        <v>31</v>
      </c>
      <c r="M476" s="246">
        <f t="shared" si="224"/>
        <v>1</v>
      </c>
      <c r="N476" s="121">
        <f t="shared" si="225"/>
        <v>1.04</v>
      </c>
      <c r="O476" s="246">
        <f t="shared" si="226"/>
        <v>0.99099562363238514</v>
      </c>
      <c r="P476" s="121">
        <f t="shared" si="227"/>
        <v>0.375</v>
      </c>
      <c r="Q476" s="121">
        <f t="shared" si="228"/>
        <v>0.625</v>
      </c>
      <c r="R476" s="121">
        <f t="shared" si="229"/>
        <v>0</v>
      </c>
      <c r="S476" s="121" t="str">
        <f t="shared" si="230"/>
        <v/>
      </c>
      <c r="T476" s="121" t="str">
        <f t="shared" si="231"/>
        <v/>
      </c>
      <c r="U476" s="121">
        <f t="shared" si="232"/>
        <v>1.04</v>
      </c>
    </row>
    <row r="477" spans="1:21" x14ac:dyDescent="0.3">
      <c r="A477" s="187">
        <v>21</v>
      </c>
      <c r="B477" s="242">
        <f t="shared" si="233"/>
        <v>46266</v>
      </c>
      <c r="C477" s="243">
        <f t="shared" si="214"/>
        <v>46295</v>
      </c>
      <c r="D477" s="120">
        <f t="shared" si="215"/>
        <v>30</v>
      </c>
      <c r="E477" s="120">
        <f t="shared" si="216"/>
        <v>9</v>
      </c>
      <c r="F477" s="275">
        <f t="shared" si="217"/>
        <v>46281</v>
      </c>
      <c r="G477" s="120">
        <f t="shared" si="218"/>
        <v>24320</v>
      </c>
      <c r="H477" s="245">
        <f t="shared" si="219"/>
        <v>1</v>
      </c>
      <c r="I477" s="121">
        <f t="shared" si="220"/>
        <v>1.04</v>
      </c>
      <c r="J477" s="121">
        <f t="shared" si="221"/>
        <v>1.04</v>
      </c>
      <c r="K477" s="120">
        <f t="shared" si="222"/>
        <v>0</v>
      </c>
      <c r="L477" s="120">
        <f t="shared" si="223"/>
        <v>0</v>
      </c>
      <c r="M477" s="246">
        <f t="shared" si="224"/>
        <v>0</v>
      </c>
      <c r="N477" s="121">
        <f t="shared" si="225"/>
        <v>1.04</v>
      </c>
      <c r="O477" s="246">
        <f t="shared" si="226"/>
        <v>0.99032822757111594</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87">
        <v>22</v>
      </c>
      <c r="B478" s="242">
        <f t="shared" si="233"/>
        <v>46296</v>
      </c>
      <c r="C478" s="243">
        <f t="shared" si="214"/>
        <v>46326</v>
      </c>
      <c r="D478" s="120">
        <f t="shared" si="215"/>
        <v>31</v>
      </c>
      <c r="E478" s="120">
        <f t="shared" si="216"/>
        <v>10</v>
      </c>
      <c r="F478" s="275">
        <f t="shared" si="217"/>
        <v>46311.5</v>
      </c>
      <c r="G478" s="120">
        <f t="shared" si="218"/>
        <v>24321</v>
      </c>
      <c r="H478" s="245">
        <f t="shared" si="219"/>
        <v>1</v>
      </c>
      <c r="I478" s="121">
        <f t="shared" si="220"/>
        <v>1.04</v>
      </c>
      <c r="J478" s="121">
        <f t="shared" si="221"/>
        <v>1.04</v>
      </c>
      <c r="K478" s="120">
        <f t="shared" si="222"/>
        <v>0</v>
      </c>
      <c r="L478" s="120">
        <f t="shared" si="223"/>
        <v>0</v>
      </c>
      <c r="M478" s="246">
        <f t="shared" si="224"/>
        <v>0</v>
      </c>
      <c r="N478" s="121">
        <f t="shared" si="225"/>
        <v>1.04</v>
      </c>
      <c r="O478" s="246">
        <f t="shared" si="226"/>
        <v>0.98966083150984685</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87">
        <v>23</v>
      </c>
      <c r="B479" s="242">
        <f t="shared" si="233"/>
        <v>46327</v>
      </c>
      <c r="C479" s="243">
        <f t="shared" si="214"/>
        <v>46356</v>
      </c>
      <c r="D479" s="120">
        <f t="shared" si="215"/>
        <v>30</v>
      </c>
      <c r="E479" s="120">
        <f t="shared" si="216"/>
        <v>11</v>
      </c>
      <c r="F479" s="275">
        <f t="shared" si="217"/>
        <v>46342</v>
      </c>
      <c r="G479" s="120">
        <f t="shared" si="218"/>
        <v>24322</v>
      </c>
      <c r="H479" s="245">
        <f t="shared" si="219"/>
        <v>1</v>
      </c>
      <c r="I479" s="121">
        <f t="shared" si="220"/>
        <v>1.04</v>
      </c>
      <c r="J479" s="121">
        <f t="shared" si="221"/>
        <v>1.04</v>
      </c>
      <c r="K479" s="120">
        <f t="shared" si="222"/>
        <v>0</v>
      </c>
      <c r="L479" s="120">
        <f t="shared" si="223"/>
        <v>0</v>
      </c>
      <c r="M479" s="246">
        <f t="shared" si="224"/>
        <v>0</v>
      </c>
      <c r="N479" s="121">
        <f t="shared" si="225"/>
        <v>1.04</v>
      </c>
      <c r="O479" s="246">
        <f t="shared" si="226"/>
        <v>0.98899343544857765</v>
      </c>
      <c r="P479" s="121">
        <f t="shared" si="227"/>
        <v>0.125</v>
      </c>
      <c r="Q479" s="121">
        <f t="shared" si="228"/>
        <v>0.875</v>
      </c>
      <c r="R479" s="121">
        <f t="shared" si="229"/>
        <v>0</v>
      </c>
      <c r="S479" s="121" t="str">
        <f t="shared" si="230"/>
        <v/>
      </c>
      <c r="T479" s="121" t="str">
        <f t="shared" si="231"/>
        <v/>
      </c>
      <c r="U479" s="121">
        <f t="shared" si="232"/>
        <v>1.04</v>
      </c>
    </row>
    <row r="480" spans="1:21" x14ac:dyDescent="0.3">
      <c r="A480" s="187">
        <v>24</v>
      </c>
      <c r="B480" s="242">
        <f t="shared" si="233"/>
        <v>46357</v>
      </c>
      <c r="C480" s="243">
        <f t="shared" si="214"/>
        <v>46387</v>
      </c>
      <c r="D480" s="120">
        <f t="shared" si="215"/>
        <v>31</v>
      </c>
      <c r="E480" s="120">
        <f t="shared" si="216"/>
        <v>12</v>
      </c>
      <c r="F480" s="275">
        <f t="shared" si="217"/>
        <v>46372.5</v>
      </c>
      <c r="G480" s="120">
        <f t="shared" si="218"/>
        <v>24323</v>
      </c>
      <c r="H480" s="245">
        <f t="shared" si="219"/>
        <v>1</v>
      </c>
      <c r="I480" s="121">
        <f t="shared" si="220"/>
        <v>1.04</v>
      </c>
      <c r="J480" s="121">
        <f t="shared" si="221"/>
        <v>1.04</v>
      </c>
      <c r="K480" s="120">
        <f t="shared" si="222"/>
        <v>0</v>
      </c>
      <c r="L480" s="120">
        <f t="shared" si="223"/>
        <v>0</v>
      </c>
      <c r="M480" s="246">
        <f t="shared" si="224"/>
        <v>0</v>
      </c>
      <c r="N480" s="121">
        <f t="shared" si="225"/>
        <v>1.04</v>
      </c>
      <c r="O480" s="246">
        <f t="shared" si="226"/>
        <v>0.98832603938730856</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87">
        <v>25</v>
      </c>
      <c r="B481" s="242">
        <f t="shared" si="233"/>
        <v>46388</v>
      </c>
      <c r="C481" s="243">
        <f t="shared" si="214"/>
        <v>46418</v>
      </c>
      <c r="D481" s="120">
        <f t="shared" si="215"/>
        <v>31</v>
      </c>
      <c r="E481" s="120">
        <f t="shared" si="216"/>
        <v>1</v>
      </c>
      <c r="F481" s="275">
        <f t="shared" si="217"/>
        <v>46403.5</v>
      </c>
      <c r="G481" s="120">
        <f t="shared" si="218"/>
        <v>24324</v>
      </c>
      <c r="H481" s="245">
        <f t="shared" si="219"/>
        <v>1</v>
      </c>
      <c r="I481" s="121">
        <f t="shared" si="220"/>
        <v>1.04</v>
      </c>
      <c r="J481" s="121">
        <f t="shared" si="221"/>
        <v>1.04</v>
      </c>
      <c r="K481" s="120">
        <f t="shared" si="222"/>
        <v>0</v>
      </c>
      <c r="L481" s="120">
        <f t="shared" si="223"/>
        <v>0</v>
      </c>
      <c r="M481" s="246">
        <f t="shared" si="224"/>
        <v>0</v>
      </c>
      <c r="N481" s="121">
        <f t="shared" si="225"/>
        <v>1.04</v>
      </c>
      <c r="O481" s="246">
        <f t="shared" si="226"/>
        <v>0.98764770240700217</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87">
        <v>26</v>
      </c>
      <c r="B482" s="242">
        <f t="shared" si="233"/>
        <v>46419</v>
      </c>
      <c r="C482" s="243">
        <f t="shared" si="214"/>
        <v>46446</v>
      </c>
      <c r="D482" s="120">
        <f t="shared" si="215"/>
        <v>28</v>
      </c>
      <c r="E482" s="120">
        <f t="shared" si="216"/>
        <v>2</v>
      </c>
      <c r="F482" s="275">
        <f t="shared" si="217"/>
        <v>46433</v>
      </c>
      <c r="G482" s="120">
        <f t="shared" si="218"/>
        <v>24325</v>
      </c>
      <c r="H482" s="245">
        <f t="shared" si="219"/>
        <v>1</v>
      </c>
      <c r="I482" s="121">
        <f t="shared" si="220"/>
        <v>1.04</v>
      </c>
      <c r="J482" s="121">
        <f t="shared" si="221"/>
        <v>1.04</v>
      </c>
      <c r="K482" s="120">
        <f t="shared" si="222"/>
        <v>0</v>
      </c>
      <c r="L482" s="120">
        <f t="shared" si="223"/>
        <v>0</v>
      </c>
      <c r="M482" s="246">
        <f t="shared" si="224"/>
        <v>0</v>
      </c>
      <c r="N482" s="121">
        <f t="shared" si="225"/>
        <v>1.04</v>
      </c>
      <c r="O482" s="246">
        <f t="shared" si="226"/>
        <v>0.98700218818380747</v>
      </c>
      <c r="P482" s="121">
        <f t="shared" si="227"/>
        <v>0</v>
      </c>
      <c r="Q482" s="121">
        <f t="shared" si="228"/>
        <v>0.875</v>
      </c>
      <c r="R482" s="121">
        <f t="shared" si="229"/>
        <v>0.125</v>
      </c>
      <c r="S482" s="121" t="str">
        <f t="shared" si="230"/>
        <v/>
      </c>
      <c r="T482" s="121" t="str">
        <f t="shared" si="231"/>
        <v/>
      </c>
      <c r="U482" s="121">
        <f t="shared" si="232"/>
        <v>1.04</v>
      </c>
    </row>
    <row r="483" spans="1:21" x14ac:dyDescent="0.3">
      <c r="A483" s="187">
        <v>27</v>
      </c>
      <c r="B483" s="242">
        <f t="shared" si="233"/>
        <v>46447</v>
      </c>
      <c r="C483" s="243">
        <f t="shared" si="214"/>
        <v>46477</v>
      </c>
      <c r="D483" s="120">
        <f t="shared" si="215"/>
        <v>31</v>
      </c>
      <c r="E483" s="120">
        <f t="shared" si="216"/>
        <v>3</v>
      </c>
      <c r="F483" s="275">
        <f t="shared" si="217"/>
        <v>46462.5</v>
      </c>
      <c r="G483" s="120">
        <f t="shared" si="218"/>
        <v>24326</v>
      </c>
      <c r="H483" s="245">
        <f t="shared" si="219"/>
        <v>1</v>
      </c>
      <c r="I483" s="121">
        <f t="shared" si="220"/>
        <v>1.04</v>
      </c>
      <c r="J483" s="121">
        <f t="shared" si="221"/>
        <v>1.04</v>
      </c>
      <c r="K483" s="120">
        <f t="shared" si="222"/>
        <v>0</v>
      </c>
      <c r="L483" s="120">
        <f t="shared" si="223"/>
        <v>0</v>
      </c>
      <c r="M483" s="246">
        <f t="shared" si="224"/>
        <v>0</v>
      </c>
      <c r="N483" s="121">
        <f t="shared" si="225"/>
        <v>1.04</v>
      </c>
      <c r="O483" s="246">
        <f t="shared" si="226"/>
        <v>0.98635667396061266</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87">
        <v>28</v>
      </c>
      <c r="B484" s="242">
        <f t="shared" si="233"/>
        <v>46478</v>
      </c>
      <c r="C484" s="243">
        <f t="shared" si="214"/>
        <v>46507</v>
      </c>
      <c r="D484" s="120">
        <f t="shared" si="215"/>
        <v>30</v>
      </c>
      <c r="E484" s="120">
        <f t="shared" si="216"/>
        <v>4</v>
      </c>
      <c r="F484" s="275">
        <f t="shared" si="217"/>
        <v>46493</v>
      </c>
      <c r="G484" s="120">
        <f t="shared" si="218"/>
        <v>24327</v>
      </c>
      <c r="H484" s="245">
        <f t="shared" si="219"/>
        <v>1</v>
      </c>
      <c r="I484" s="121">
        <f t="shared" si="220"/>
        <v>1.04</v>
      </c>
      <c r="J484" s="121">
        <f t="shared" si="221"/>
        <v>1.04</v>
      </c>
      <c r="K484" s="120">
        <f t="shared" si="222"/>
        <v>0</v>
      </c>
      <c r="L484" s="120">
        <f t="shared" si="223"/>
        <v>0</v>
      </c>
      <c r="M484" s="246">
        <f t="shared" si="224"/>
        <v>0</v>
      </c>
      <c r="N484" s="121">
        <f t="shared" si="225"/>
        <v>1.04</v>
      </c>
      <c r="O484" s="246">
        <f t="shared" si="226"/>
        <v>0.98568927789934357</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87">
        <v>29</v>
      </c>
      <c r="B485" s="242">
        <f t="shared" si="233"/>
        <v>46508</v>
      </c>
      <c r="C485" s="243">
        <f t="shared" si="214"/>
        <v>46538</v>
      </c>
      <c r="D485" s="120">
        <f t="shared" si="215"/>
        <v>31</v>
      </c>
      <c r="E485" s="120">
        <f t="shared" si="216"/>
        <v>5</v>
      </c>
      <c r="F485" s="275">
        <f t="shared" si="217"/>
        <v>46523.5</v>
      </c>
      <c r="G485" s="120">
        <f t="shared" si="218"/>
        <v>24328</v>
      </c>
      <c r="H485" s="245">
        <f t="shared" si="219"/>
        <v>1</v>
      </c>
      <c r="I485" s="121">
        <f t="shared" si="220"/>
        <v>1.04</v>
      </c>
      <c r="J485" s="121">
        <f t="shared" si="221"/>
        <v>1.04</v>
      </c>
      <c r="K485" s="120">
        <f t="shared" si="222"/>
        <v>0</v>
      </c>
      <c r="L485" s="120">
        <f t="shared" si="223"/>
        <v>0</v>
      </c>
      <c r="M485" s="246">
        <f t="shared" si="224"/>
        <v>0</v>
      </c>
      <c r="N485" s="121">
        <f t="shared" si="225"/>
        <v>1.04</v>
      </c>
      <c r="O485" s="246">
        <f t="shared" si="226"/>
        <v>0.98502188183807438</v>
      </c>
      <c r="P485" s="121">
        <f t="shared" si="227"/>
        <v>0</v>
      </c>
      <c r="Q485" s="121">
        <f t="shared" si="228"/>
        <v>0.625</v>
      </c>
      <c r="R485" s="121">
        <f t="shared" si="229"/>
        <v>0.375</v>
      </c>
      <c r="S485" s="121" t="str">
        <f t="shared" si="230"/>
        <v/>
      </c>
      <c r="T485" s="121" t="str">
        <f t="shared" si="231"/>
        <v/>
      </c>
      <c r="U485" s="121">
        <f t="shared" si="232"/>
        <v>1.04</v>
      </c>
    </row>
    <row r="486" spans="1:21" x14ac:dyDescent="0.3">
      <c r="A486" s="187">
        <v>30</v>
      </c>
      <c r="B486" s="242">
        <f t="shared" si="233"/>
        <v>46539</v>
      </c>
      <c r="C486" s="243">
        <f t="shared" si="214"/>
        <v>46568</v>
      </c>
      <c r="D486" s="120">
        <f t="shared" si="215"/>
        <v>30</v>
      </c>
      <c r="E486" s="120">
        <f t="shared" si="216"/>
        <v>6</v>
      </c>
      <c r="F486" s="275">
        <f t="shared" si="217"/>
        <v>46554</v>
      </c>
      <c r="G486" s="120">
        <f t="shared" si="218"/>
        <v>24329</v>
      </c>
      <c r="H486" s="245">
        <f t="shared" si="219"/>
        <v>1</v>
      </c>
      <c r="I486" s="121">
        <f t="shared" si="220"/>
        <v>1.04</v>
      </c>
      <c r="J486" s="121">
        <f t="shared" si="221"/>
        <v>1.04</v>
      </c>
      <c r="K486" s="120">
        <f t="shared" si="222"/>
        <v>0</v>
      </c>
      <c r="L486" s="120">
        <f t="shared" si="223"/>
        <v>0</v>
      </c>
      <c r="M486" s="246">
        <f t="shared" si="224"/>
        <v>0</v>
      </c>
      <c r="N486" s="121">
        <f t="shared" si="225"/>
        <v>1.04</v>
      </c>
      <c r="O486" s="246">
        <f t="shared" si="226"/>
        <v>0.98435448577680529</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87">
        <v>31</v>
      </c>
      <c r="B487" s="242">
        <f t="shared" si="233"/>
        <v>46569</v>
      </c>
      <c r="C487" s="243">
        <f t="shared" si="214"/>
        <v>46599</v>
      </c>
      <c r="D487" s="120">
        <f t="shared" si="215"/>
        <v>31</v>
      </c>
      <c r="E487" s="120">
        <f t="shared" si="216"/>
        <v>7</v>
      </c>
      <c r="F487" s="275">
        <f t="shared" si="217"/>
        <v>46584.5</v>
      </c>
      <c r="G487" s="120">
        <f t="shared" si="218"/>
        <v>24330</v>
      </c>
      <c r="H487" s="245">
        <f t="shared" si="219"/>
        <v>1</v>
      </c>
      <c r="I487" s="121">
        <f t="shared" si="220"/>
        <v>1.04</v>
      </c>
      <c r="J487" s="121">
        <f t="shared" si="221"/>
        <v>1.04</v>
      </c>
      <c r="K487" s="120">
        <f t="shared" si="222"/>
        <v>0</v>
      </c>
      <c r="L487" s="120">
        <f t="shared" si="223"/>
        <v>0</v>
      </c>
      <c r="M487" s="246">
        <f t="shared" si="224"/>
        <v>0</v>
      </c>
      <c r="N487" s="121">
        <f t="shared" si="225"/>
        <v>1.04</v>
      </c>
      <c r="O487" s="246">
        <f t="shared" si="226"/>
        <v>0.98368708971553609</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87">
        <v>32</v>
      </c>
      <c r="B488" s="242">
        <f t="shared" si="233"/>
        <v>46600</v>
      </c>
      <c r="C488" s="243">
        <f t="shared" si="214"/>
        <v>46630</v>
      </c>
      <c r="D488" s="120">
        <f t="shared" si="215"/>
        <v>31</v>
      </c>
      <c r="E488" s="120">
        <f t="shared" si="216"/>
        <v>8</v>
      </c>
      <c r="F488" s="275">
        <f t="shared" si="217"/>
        <v>46615.5</v>
      </c>
      <c r="G488" s="120">
        <f t="shared" si="218"/>
        <v>24331</v>
      </c>
      <c r="H488" s="245">
        <f t="shared" si="219"/>
        <v>1</v>
      </c>
      <c r="I488" s="121">
        <f t="shared" si="220"/>
        <v>1.04</v>
      </c>
      <c r="J488" s="121">
        <f t="shared" si="221"/>
        <v>1.04</v>
      </c>
      <c r="K488" s="120">
        <f t="shared" si="222"/>
        <v>0</v>
      </c>
      <c r="L488" s="120">
        <f t="shared" si="223"/>
        <v>0</v>
      </c>
      <c r="M488" s="246">
        <f t="shared" si="224"/>
        <v>0</v>
      </c>
      <c r="N488" s="121">
        <f t="shared" si="225"/>
        <v>1.04</v>
      </c>
      <c r="O488" s="246">
        <f t="shared" si="226"/>
        <v>0.9830087527352297</v>
      </c>
      <c r="P488" s="121">
        <f t="shared" si="227"/>
        <v>0</v>
      </c>
      <c r="Q488" s="121">
        <f t="shared" si="228"/>
        <v>0.375</v>
      </c>
      <c r="R488" s="121">
        <f t="shared" si="229"/>
        <v>0.625</v>
      </c>
      <c r="S488" s="121" t="str">
        <f t="shared" si="230"/>
        <v/>
      </c>
      <c r="T488" s="121" t="str">
        <f t="shared" si="231"/>
        <v/>
      </c>
      <c r="U488" s="121">
        <f t="shared" si="232"/>
        <v>1.04</v>
      </c>
    </row>
    <row r="489" spans="1:21" x14ac:dyDescent="0.3">
      <c r="A489" s="187">
        <v>33</v>
      </c>
      <c r="B489" s="242">
        <f t="shared" si="233"/>
        <v>46631</v>
      </c>
      <c r="C489" s="243">
        <f t="shared" si="214"/>
        <v>46660</v>
      </c>
      <c r="D489" s="120">
        <f t="shared" si="215"/>
        <v>30</v>
      </c>
      <c r="E489" s="120">
        <f t="shared" si="216"/>
        <v>9</v>
      </c>
      <c r="F489" s="275">
        <f t="shared" si="217"/>
        <v>46646</v>
      </c>
      <c r="G489" s="120">
        <f t="shared" si="218"/>
        <v>24332</v>
      </c>
      <c r="H489" s="245">
        <f t="shared" si="219"/>
        <v>1</v>
      </c>
      <c r="I489" s="121">
        <f t="shared" si="220"/>
        <v>1.04</v>
      </c>
      <c r="J489" s="121">
        <f t="shared" si="221"/>
        <v>1.04</v>
      </c>
      <c r="K489" s="120">
        <f t="shared" si="222"/>
        <v>0</v>
      </c>
      <c r="L489" s="120">
        <f t="shared" si="223"/>
        <v>0</v>
      </c>
      <c r="M489" s="246">
        <f t="shared" si="224"/>
        <v>0</v>
      </c>
      <c r="N489" s="121">
        <f t="shared" si="225"/>
        <v>1.04</v>
      </c>
      <c r="O489" s="246">
        <f t="shared" si="226"/>
        <v>0.98234135667396061</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87">
        <v>34</v>
      </c>
      <c r="B490" s="242">
        <f t="shared" si="233"/>
        <v>46661</v>
      </c>
      <c r="C490" s="243">
        <f t="shared" si="214"/>
        <v>46691</v>
      </c>
      <c r="D490" s="120">
        <f t="shared" si="215"/>
        <v>31</v>
      </c>
      <c r="E490" s="120">
        <f t="shared" si="216"/>
        <v>10</v>
      </c>
      <c r="F490" s="275">
        <f t="shared" si="217"/>
        <v>46676.5</v>
      </c>
      <c r="G490" s="120">
        <f t="shared" si="218"/>
        <v>24333</v>
      </c>
      <c r="H490" s="245">
        <f t="shared" si="219"/>
        <v>1</v>
      </c>
      <c r="I490" s="121">
        <f t="shared" si="220"/>
        <v>1.04</v>
      </c>
      <c r="J490" s="121">
        <f t="shared" si="221"/>
        <v>1.04</v>
      </c>
      <c r="K490" s="120">
        <f t="shared" si="222"/>
        <v>0</v>
      </c>
      <c r="L490" s="120">
        <f t="shared" si="223"/>
        <v>0</v>
      </c>
      <c r="M490" s="246">
        <f t="shared" si="224"/>
        <v>0</v>
      </c>
      <c r="N490" s="121">
        <f t="shared" si="225"/>
        <v>1.04</v>
      </c>
      <c r="O490" s="246">
        <f t="shared" si="226"/>
        <v>0.98167396061269141</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87">
        <v>35</v>
      </c>
      <c r="B491" s="242">
        <f t="shared" si="233"/>
        <v>46692</v>
      </c>
      <c r="C491" s="243">
        <f t="shared" si="214"/>
        <v>46721</v>
      </c>
      <c r="D491" s="120">
        <f t="shared" si="215"/>
        <v>30</v>
      </c>
      <c r="E491" s="120">
        <f t="shared" si="216"/>
        <v>11</v>
      </c>
      <c r="F491" s="275">
        <f t="shared" si="217"/>
        <v>46707</v>
      </c>
      <c r="G491" s="120">
        <f t="shared" si="218"/>
        <v>24334</v>
      </c>
      <c r="H491" s="245">
        <f t="shared" si="219"/>
        <v>1</v>
      </c>
      <c r="I491" s="121">
        <f t="shared" si="220"/>
        <v>1.04</v>
      </c>
      <c r="J491" s="121">
        <f t="shared" si="221"/>
        <v>1.04</v>
      </c>
      <c r="K491" s="120">
        <f t="shared" si="222"/>
        <v>0</v>
      </c>
      <c r="L491" s="120">
        <f t="shared" si="223"/>
        <v>0</v>
      </c>
      <c r="M491" s="246">
        <f t="shared" si="224"/>
        <v>0</v>
      </c>
      <c r="N491" s="121">
        <f t="shared" si="225"/>
        <v>1.04</v>
      </c>
      <c r="O491" s="246">
        <f t="shared" si="226"/>
        <v>0.98100656455142232</v>
      </c>
      <c r="P491" s="121">
        <f t="shared" si="227"/>
        <v>0</v>
      </c>
      <c r="Q491" s="121">
        <f t="shared" si="228"/>
        <v>0.125</v>
      </c>
      <c r="R491" s="121">
        <f t="shared" si="229"/>
        <v>0.875</v>
      </c>
      <c r="S491" s="121" t="str">
        <f t="shared" si="230"/>
        <v/>
      </c>
      <c r="T491" s="121" t="str">
        <f t="shared" si="231"/>
        <v/>
      </c>
      <c r="U491" s="121">
        <f t="shared" si="232"/>
        <v>1.04</v>
      </c>
    </row>
    <row r="492" spans="1:21" x14ac:dyDescent="0.3">
      <c r="A492" s="187">
        <v>36</v>
      </c>
      <c r="B492" s="242">
        <f t="shared" si="233"/>
        <v>46722</v>
      </c>
      <c r="C492" s="243">
        <f t="shared" si="214"/>
        <v>46752</v>
      </c>
      <c r="D492" s="120">
        <f t="shared" si="215"/>
        <v>31</v>
      </c>
      <c r="E492" s="120">
        <f t="shared" si="216"/>
        <v>12</v>
      </c>
      <c r="F492" s="275">
        <f t="shared" si="217"/>
        <v>46737.5</v>
      </c>
      <c r="G492" s="120">
        <f t="shared" si="218"/>
        <v>24335</v>
      </c>
      <c r="H492" s="245">
        <f t="shared" si="219"/>
        <v>1</v>
      </c>
      <c r="I492" s="121">
        <f t="shared" si="220"/>
        <v>1.04</v>
      </c>
      <c r="J492" s="121">
        <f t="shared" si="221"/>
        <v>1.04</v>
      </c>
      <c r="K492" s="120">
        <f t="shared" si="222"/>
        <v>0</v>
      </c>
      <c r="L492" s="120">
        <f t="shared" si="223"/>
        <v>0</v>
      </c>
      <c r="M492" s="246">
        <f t="shared" si="224"/>
        <v>0</v>
      </c>
      <c r="N492" s="121">
        <f t="shared" si="225"/>
        <v>1.04</v>
      </c>
      <c r="O492" s="246">
        <f t="shared" si="226"/>
        <v>0.98033916849015312</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87">
        <v>37</v>
      </c>
      <c r="B493" s="242">
        <f t="shared" si="233"/>
        <v>46753</v>
      </c>
      <c r="C493" s="243">
        <f t="shared" si="214"/>
        <v>46783</v>
      </c>
      <c r="D493" s="120">
        <f t="shared" si="215"/>
        <v>31</v>
      </c>
      <c r="E493" s="120">
        <f t="shared" si="216"/>
        <v>1</v>
      </c>
      <c r="F493" s="275">
        <f t="shared" si="217"/>
        <v>46768.5</v>
      </c>
      <c r="G493" s="120">
        <f t="shared" si="218"/>
        <v>24336</v>
      </c>
      <c r="H493" s="245">
        <f t="shared" si="219"/>
        <v>1</v>
      </c>
      <c r="I493" s="121">
        <f t="shared" si="220"/>
        <v>1.04</v>
      </c>
      <c r="J493" s="121">
        <f t="shared" si="221"/>
        <v>1.04</v>
      </c>
      <c r="K493" s="120">
        <f t="shared" si="222"/>
        <v>0</v>
      </c>
      <c r="L493" s="120">
        <f t="shared" si="223"/>
        <v>0</v>
      </c>
      <c r="M493" s="246">
        <f t="shared" si="224"/>
        <v>0</v>
      </c>
      <c r="N493" s="121">
        <f t="shared" si="225"/>
        <v>1.04</v>
      </c>
      <c r="O493" s="246">
        <f t="shared" si="226"/>
        <v>0.98</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87">
        <v>38</v>
      </c>
      <c r="B494" s="242">
        <f t="shared" si="233"/>
        <v>46784</v>
      </c>
      <c r="C494" s="243">
        <f t="shared" si="214"/>
        <v>46812</v>
      </c>
      <c r="D494" s="120">
        <f t="shared" si="215"/>
        <v>29</v>
      </c>
      <c r="E494" s="120">
        <f t="shared" si="216"/>
        <v>2</v>
      </c>
      <c r="F494" s="275">
        <f t="shared" si="217"/>
        <v>46798.5</v>
      </c>
      <c r="G494" s="120">
        <f t="shared" si="218"/>
        <v>24337</v>
      </c>
      <c r="H494" s="245">
        <f t="shared" si="219"/>
        <v>1</v>
      </c>
      <c r="I494" s="121">
        <f t="shared" si="220"/>
        <v>1.04</v>
      </c>
      <c r="J494" s="121">
        <f t="shared" si="221"/>
        <v>1.04</v>
      </c>
      <c r="K494" s="120">
        <f t="shared" si="222"/>
        <v>0</v>
      </c>
      <c r="L494" s="120">
        <f t="shared" si="223"/>
        <v>0</v>
      </c>
      <c r="M494" s="246">
        <f t="shared" si="224"/>
        <v>0</v>
      </c>
      <c r="N494" s="121">
        <f t="shared" si="225"/>
        <v>1.04</v>
      </c>
      <c r="O494" s="246">
        <f t="shared" si="226"/>
        <v>0.98</v>
      </c>
      <c r="P494" s="121">
        <f t="shared" si="227"/>
        <v>0</v>
      </c>
      <c r="Q494" s="121">
        <f t="shared" si="228"/>
        <v>0</v>
      </c>
      <c r="R494" s="121">
        <f t="shared" si="229"/>
        <v>0.875</v>
      </c>
      <c r="S494" s="121" t="str">
        <f t="shared" si="230"/>
        <v/>
      </c>
      <c r="T494" s="121" t="str">
        <f t="shared" si="231"/>
        <v/>
      </c>
      <c r="U494" s="121">
        <f t="shared" si="232"/>
        <v>1.04</v>
      </c>
    </row>
    <row r="495" spans="1:21" x14ac:dyDescent="0.3">
      <c r="A495" s="187">
        <v>39</v>
      </c>
      <c r="B495" s="242">
        <f t="shared" si="233"/>
        <v>46813</v>
      </c>
      <c r="C495" s="243">
        <f t="shared" si="214"/>
        <v>46843</v>
      </c>
      <c r="D495" s="120">
        <f t="shared" si="215"/>
        <v>31</v>
      </c>
      <c r="E495" s="120">
        <f t="shared" si="216"/>
        <v>3</v>
      </c>
      <c r="F495" s="275">
        <f t="shared" si="217"/>
        <v>46828.5</v>
      </c>
      <c r="G495" s="120">
        <f t="shared" si="218"/>
        <v>24338</v>
      </c>
      <c r="H495" s="245">
        <f t="shared" si="219"/>
        <v>1</v>
      </c>
      <c r="I495" s="121">
        <f t="shared" si="220"/>
        <v>1.04</v>
      </c>
      <c r="J495" s="121">
        <f t="shared" si="221"/>
        <v>1.04</v>
      </c>
      <c r="K495" s="120">
        <f t="shared" si="222"/>
        <v>0</v>
      </c>
      <c r="L495" s="120">
        <f t="shared" si="223"/>
        <v>0</v>
      </c>
      <c r="M495" s="246">
        <f t="shared" si="224"/>
        <v>0</v>
      </c>
      <c r="N495" s="121">
        <f t="shared" si="225"/>
        <v>1.04</v>
      </c>
      <c r="O495" s="246">
        <f t="shared" si="226"/>
        <v>0.98</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87">
        <v>40</v>
      </c>
      <c r="B496" s="242">
        <f t="shared" si="233"/>
        <v>46844</v>
      </c>
      <c r="C496" s="243">
        <f t="shared" si="214"/>
        <v>46873</v>
      </c>
      <c r="D496" s="120">
        <f t="shared" si="215"/>
        <v>30</v>
      </c>
      <c r="E496" s="120">
        <f t="shared" si="216"/>
        <v>4</v>
      </c>
      <c r="F496" s="275">
        <f t="shared" si="217"/>
        <v>46859</v>
      </c>
      <c r="G496" s="120">
        <f t="shared" si="218"/>
        <v>24339</v>
      </c>
      <c r="H496" s="245">
        <f t="shared" si="219"/>
        <v>1</v>
      </c>
      <c r="I496" s="121">
        <f t="shared" si="220"/>
        <v>1.04</v>
      </c>
      <c r="J496" s="121">
        <f t="shared" si="221"/>
        <v>1.04</v>
      </c>
      <c r="K496" s="120">
        <f t="shared" si="222"/>
        <v>0</v>
      </c>
      <c r="L496" s="120">
        <f t="shared" si="223"/>
        <v>0</v>
      </c>
      <c r="M496" s="246">
        <f t="shared" si="224"/>
        <v>0</v>
      </c>
      <c r="N496" s="121">
        <f t="shared" si="225"/>
        <v>1.04</v>
      </c>
      <c r="O496" s="246">
        <f t="shared" si="226"/>
        <v>0.98</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87">
        <v>41</v>
      </c>
      <c r="B497" s="242">
        <f t="shared" si="233"/>
        <v>46874</v>
      </c>
      <c r="C497" s="243">
        <f t="shared" si="214"/>
        <v>46904</v>
      </c>
      <c r="D497" s="120">
        <f t="shared" si="215"/>
        <v>31</v>
      </c>
      <c r="E497" s="120">
        <f t="shared" si="216"/>
        <v>5</v>
      </c>
      <c r="F497" s="275">
        <f t="shared" si="217"/>
        <v>46889.5</v>
      </c>
      <c r="G497" s="120">
        <f t="shared" si="218"/>
        <v>24340</v>
      </c>
      <c r="H497" s="245">
        <f t="shared" si="219"/>
        <v>1</v>
      </c>
      <c r="I497" s="121">
        <f t="shared" si="220"/>
        <v>1.04</v>
      </c>
      <c r="J497" s="121">
        <f t="shared" si="221"/>
        <v>1.04</v>
      </c>
      <c r="K497" s="120">
        <f t="shared" si="222"/>
        <v>0</v>
      </c>
      <c r="L497" s="120">
        <f t="shared" si="223"/>
        <v>0</v>
      </c>
      <c r="M497" s="246">
        <f t="shared" si="224"/>
        <v>0</v>
      </c>
      <c r="N497" s="121">
        <f t="shared" si="225"/>
        <v>1.04</v>
      </c>
      <c r="O497" s="246">
        <f t="shared" si="226"/>
        <v>0.98</v>
      </c>
      <c r="P497" s="121">
        <f t="shared" si="227"/>
        <v>0</v>
      </c>
      <c r="Q497" s="121">
        <f t="shared" si="228"/>
        <v>0</v>
      </c>
      <c r="R497" s="121">
        <f t="shared" si="229"/>
        <v>0.625</v>
      </c>
      <c r="S497" s="121" t="str">
        <f t="shared" si="230"/>
        <v/>
      </c>
      <c r="T497" s="121" t="str">
        <f t="shared" si="231"/>
        <v/>
      </c>
      <c r="U497" s="121">
        <f t="shared" si="232"/>
        <v>1.04</v>
      </c>
    </row>
    <row r="498" spans="1:21" x14ac:dyDescent="0.3">
      <c r="A498" s="187">
        <v>42</v>
      </c>
      <c r="B498" s="242">
        <f t="shared" si="233"/>
        <v>46905</v>
      </c>
      <c r="C498" s="243">
        <f t="shared" si="214"/>
        <v>46934</v>
      </c>
      <c r="D498" s="120">
        <f t="shared" si="215"/>
        <v>30</v>
      </c>
      <c r="E498" s="120">
        <f t="shared" si="216"/>
        <v>6</v>
      </c>
      <c r="F498" s="275">
        <f t="shared" si="217"/>
        <v>46920</v>
      </c>
      <c r="G498" s="120">
        <f t="shared" si="218"/>
        <v>24341</v>
      </c>
      <c r="H498" s="245">
        <f t="shared" si="219"/>
        <v>1</v>
      </c>
      <c r="I498" s="121">
        <f t="shared" si="220"/>
        <v>1.04</v>
      </c>
      <c r="J498" s="121">
        <f t="shared" si="221"/>
        <v>1.04</v>
      </c>
      <c r="K498" s="120">
        <f t="shared" si="222"/>
        <v>0</v>
      </c>
      <c r="L498" s="120">
        <f t="shared" si="223"/>
        <v>0</v>
      </c>
      <c r="M498" s="246">
        <f t="shared" si="224"/>
        <v>0</v>
      </c>
      <c r="N498" s="121">
        <f t="shared" si="225"/>
        <v>1.04</v>
      </c>
      <c r="O498" s="246">
        <f t="shared" si="226"/>
        <v>0.98</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87">
        <v>43</v>
      </c>
      <c r="B499" s="242">
        <f t="shared" si="233"/>
        <v>46935</v>
      </c>
      <c r="C499" s="243">
        <f t="shared" si="214"/>
        <v>46965</v>
      </c>
      <c r="D499" s="120">
        <f t="shared" si="215"/>
        <v>31</v>
      </c>
      <c r="E499" s="120">
        <f t="shared" si="216"/>
        <v>7</v>
      </c>
      <c r="F499" s="275">
        <f t="shared" si="217"/>
        <v>46950.5</v>
      </c>
      <c r="G499" s="120">
        <f t="shared" si="218"/>
        <v>24342</v>
      </c>
      <c r="H499" s="245">
        <f t="shared" si="219"/>
        <v>1</v>
      </c>
      <c r="I499" s="121">
        <f t="shared" si="220"/>
        <v>1.04</v>
      </c>
      <c r="J499" s="121">
        <f t="shared" si="221"/>
        <v>1.04</v>
      </c>
      <c r="K499" s="120">
        <f t="shared" si="222"/>
        <v>0</v>
      </c>
      <c r="L499" s="120">
        <f t="shared" si="223"/>
        <v>0</v>
      </c>
      <c r="M499" s="246">
        <f t="shared" si="224"/>
        <v>0</v>
      </c>
      <c r="N499" s="121">
        <f t="shared" si="225"/>
        <v>1.04</v>
      </c>
      <c r="O499" s="246">
        <f t="shared" si="226"/>
        <v>0.98</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87">
        <v>44</v>
      </c>
      <c r="B500" s="242">
        <f t="shared" si="233"/>
        <v>46966</v>
      </c>
      <c r="C500" s="243">
        <f t="shared" si="214"/>
        <v>46996</v>
      </c>
      <c r="D500" s="120">
        <f t="shared" si="215"/>
        <v>31</v>
      </c>
      <c r="E500" s="120">
        <f t="shared" si="216"/>
        <v>8</v>
      </c>
      <c r="F500" s="275">
        <f t="shared" si="217"/>
        <v>46981.5</v>
      </c>
      <c r="G500" s="120">
        <f t="shared" si="218"/>
        <v>24343</v>
      </c>
      <c r="H500" s="245">
        <f t="shared" si="219"/>
        <v>1</v>
      </c>
      <c r="I500" s="121">
        <f t="shared" si="220"/>
        <v>1.04</v>
      </c>
      <c r="J500" s="121">
        <f t="shared" si="221"/>
        <v>1.04</v>
      </c>
      <c r="K500" s="120">
        <f t="shared" si="222"/>
        <v>0</v>
      </c>
      <c r="L500" s="120">
        <f t="shared" si="223"/>
        <v>0</v>
      </c>
      <c r="M500" s="246">
        <f t="shared" si="224"/>
        <v>0</v>
      </c>
      <c r="N500" s="121">
        <f t="shared" si="225"/>
        <v>1.04</v>
      </c>
      <c r="O500" s="246">
        <f t="shared" si="226"/>
        <v>0.98</v>
      </c>
      <c r="P500" s="121">
        <f t="shared" si="227"/>
        <v>0</v>
      </c>
      <c r="Q500" s="121">
        <f t="shared" si="228"/>
        <v>0</v>
      </c>
      <c r="R500" s="121">
        <f t="shared" si="229"/>
        <v>0.375</v>
      </c>
      <c r="S500" s="121" t="str">
        <f t="shared" si="230"/>
        <v/>
      </c>
      <c r="T500" s="121" t="str">
        <f t="shared" si="231"/>
        <v/>
      </c>
      <c r="U500" s="121">
        <f t="shared" si="232"/>
        <v>1.04</v>
      </c>
    </row>
    <row r="501" spans="1:21" x14ac:dyDescent="0.3">
      <c r="A501" s="187">
        <v>45</v>
      </c>
      <c r="B501" s="242">
        <f t="shared" si="233"/>
        <v>46997</v>
      </c>
      <c r="C501" s="243">
        <f t="shared" si="214"/>
        <v>47026</v>
      </c>
      <c r="D501" s="120">
        <f t="shared" si="215"/>
        <v>30</v>
      </c>
      <c r="E501" s="120">
        <f t="shared" si="216"/>
        <v>9</v>
      </c>
      <c r="F501" s="275">
        <f t="shared" si="217"/>
        <v>47012</v>
      </c>
      <c r="G501" s="120">
        <f t="shared" si="218"/>
        <v>24344</v>
      </c>
      <c r="H501" s="245">
        <f t="shared" si="219"/>
        <v>1</v>
      </c>
      <c r="I501" s="121">
        <f t="shared" si="220"/>
        <v>1.04</v>
      </c>
      <c r="J501" s="121">
        <f t="shared" si="221"/>
        <v>1.04</v>
      </c>
      <c r="K501" s="120">
        <f t="shared" si="222"/>
        <v>0</v>
      </c>
      <c r="L501" s="120">
        <f t="shared" si="223"/>
        <v>0</v>
      </c>
      <c r="M501" s="246">
        <f t="shared" si="224"/>
        <v>0</v>
      </c>
      <c r="N501" s="121">
        <f t="shared" si="225"/>
        <v>1.04</v>
      </c>
      <c r="O501" s="246">
        <f t="shared" si="226"/>
        <v>0.98</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87">
        <v>46</v>
      </c>
      <c r="B502" s="242">
        <f t="shared" si="233"/>
        <v>47027</v>
      </c>
      <c r="C502" s="243">
        <f t="shared" si="214"/>
        <v>47057</v>
      </c>
      <c r="D502" s="120">
        <f t="shared" si="215"/>
        <v>31</v>
      </c>
      <c r="E502" s="120">
        <f t="shared" si="216"/>
        <v>10</v>
      </c>
      <c r="F502" s="275">
        <f t="shared" si="217"/>
        <v>47042.5</v>
      </c>
      <c r="G502" s="120">
        <f t="shared" si="218"/>
        <v>24345</v>
      </c>
      <c r="H502" s="245">
        <f t="shared" si="219"/>
        <v>1</v>
      </c>
      <c r="I502" s="121">
        <f t="shared" si="220"/>
        <v>1.04</v>
      </c>
      <c r="J502" s="121">
        <f t="shared" si="221"/>
        <v>1.04</v>
      </c>
      <c r="K502" s="120">
        <f t="shared" si="222"/>
        <v>0</v>
      </c>
      <c r="L502" s="120">
        <f t="shared" si="223"/>
        <v>0</v>
      </c>
      <c r="M502" s="246">
        <f t="shared" si="224"/>
        <v>0</v>
      </c>
      <c r="N502" s="121">
        <f t="shared" si="225"/>
        <v>1.04</v>
      </c>
      <c r="O502" s="246">
        <f t="shared" si="226"/>
        <v>0.98</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87">
        <v>47</v>
      </c>
      <c r="B503" s="242">
        <f t="shared" si="233"/>
        <v>47058</v>
      </c>
      <c r="C503" s="243">
        <f t="shared" si="214"/>
        <v>47087</v>
      </c>
      <c r="D503" s="120">
        <f t="shared" si="215"/>
        <v>30</v>
      </c>
      <c r="E503" s="120">
        <f t="shared" si="216"/>
        <v>11</v>
      </c>
      <c r="F503" s="275">
        <f t="shared" si="217"/>
        <v>47073</v>
      </c>
      <c r="G503" s="120">
        <f t="shared" si="218"/>
        <v>24346</v>
      </c>
      <c r="H503" s="245">
        <f t="shared" si="219"/>
        <v>1</v>
      </c>
      <c r="I503" s="121">
        <f t="shared" si="220"/>
        <v>1.04</v>
      </c>
      <c r="J503" s="121">
        <f t="shared" si="221"/>
        <v>1.04</v>
      </c>
      <c r="K503" s="120">
        <f t="shared" si="222"/>
        <v>0</v>
      </c>
      <c r="L503" s="120">
        <f t="shared" si="223"/>
        <v>0</v>
      </c>
      <c r="M503" s="246">
        <f t="shared" si="224"/>
        <v>0</v>
      </c>
      <c r="N503" s="121">
        <f t="shared" si="225"/>
        <v>1.04</v>
      </c>
      <c r="O503" s="246">
        <f t="shared" si="226"/>
        <v>0.98</v>
      </c>
      <c r="P503" s="121">
        <f t="shared" si="227"/>
        <v>0</v>
      </c>
      <c r="Q503" s="121">
        <f t="shared" si="228"/>
        <v>0</v>
      </c>
      <c r="R503" s="121">
        <f t="shared" si="229"/>
        <v>0.125</v>
      </c>
      <c r="S503" s="121" t="str">
        <f t="shared" si="230"/>
        <v/>
      </c>
      <c r="T503" s="121" t="str">
        <f t="shared" si="231"/>
        <v/>
      </c>
      <c r="U503" s="121">
        <f t="shared" si="232"/>
        <v>1.04</v>
      </c>
    </row>
    <row r="504" spans="1:21" x14ac:dyDescent="0.3">
      <c r="A504" s="187">
        <v>48</v>
      </c>
      <c r="B504" s="242">
        <f t="shared" si="233"/>
        <v>47088</v>
      </c>
      <c r="C504" s="243">
        <f t="shared" si="214"/>
        <v>47118</v>
      </c>
      <c r="D504" s="120">
        <f t="shared" si="215"/>
        <v>31</v>
      </c>
      <c r="E504" s="120">
        <f t="shared" si="216"/>
        <v>12</v>
      </c>
      <c r="F504" s="275">
        <f t="shared" si="217"/>
        <v>47103.5</v>
      </c>
      <c r="G504" s="120">
        <f t="shared" si="218"/>
        <v>24347</v>
      </c>
      <c r="H504" s="245">
        <f t="shared" si="219"/>
        <v>1</v>
      </c>
      <c r="I504" s="121">
        <f t="shared" si="220"/>
        <v>1.04</v>
      </c>
      <c r="J504" s="121">
        <f t="shared" si="221"/>
        <v>1.04</v>
      </c>
      <c r="K504" s="120">
        <f t="shared" si="222"/>
        <v>0</v>
      </c>
      <c r="L504" s="120">
        <f t="shared" si="223"/>
        <v>0</v>
      </c>
      <c r="M504" s="246">
        <f t="shared" si="224"/>
        <v>0</v>
      </c>
      <c r="N504" s="121">
        <f t="shared" si="225"/>
        <v>1.04</v>
      </c>
      <c r="O504" s="246">
        <f t="shared" si="226"/>
        <v>0.98</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1651</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24">
        <f>SUMPRODUCT($H$457:$H$504,$Q$457:$Q$504,$O$457:$O$504)/SUMPRODUCT($H$457:$H$504,$Q$457:$Q$504)</f>
        <v>0.98800419401896411</v>
      </c>
      <c r="G505" s="224">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row>
    <row r="508" spans="1:21" x14ac:dyDescent="0.3">
      <c r="A508" s="6" t="str">
        <f>INDEX(lr_key,9)</f>
        <v>ABD|KY</v>
      </c>
      <c r="B508" s="6" t="str">
        <f>INDEX(lr_state,9)</f>
        <v>KY</v>
      </c>
      <c r="C508" s="75">
        <f>nr_TermMonths</f>
        <v>12</v>
      </c>
      <c r="D508" s="75">
        <f>IF(COUNTIF(se_state,$B508)=0,0,MATCH($B508,se_state,0))</f>
        <v>0</v>
      </c>
      <c r="E508" s="70">
        <f>IF($D508=0,0,INDEX(se_sum,$D508))</f>
        <v>0</v>
      </c>
      <c r="F508" s="224">
        <f>IF(N(INDEX(lr_mind,9))=0,1,INDEX(lr_mind,9))</f>
        <v>1</v>
      </c>
      <c r="G508" s="224">
        <f>IF(N(INDEX(lr_m0,9))=0,1,INDEX(lr_m0,9))</f>
        <v>0.99</v>
      </c>
      <c r="H508" s="74">
        <f>IF(N(INDEX(lr_m0asof,9))=0,DATE(nr_PlanYear-1,10,1),INDEX(lr_m0asof,9))</f>
        <v>46295</v>
      </c>
      <c r="I508" s="224">
        <f>IF(N(INDEX(lr_m1,9))=0,1,INDEX(lr_m1,9))</f>
        <v>0.995</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34">EOMONTH($B511,0)</f>
        <v>45688</v>
      </c>
      <c r="D511" s="120">
        <f t="shared" ref="D511:D558" si="235">$C511-$B511+1</f>
        <v>31</v>
      </c>
      <c r="E511" s="120">
        <f t="shared" ref="E511:E558" si="236">MONTH($B511)</f>
        <v>1</v>
      </c>
      <c r="F511" s="275">
        <f t="shared" ref="F511:F558" si="237">($B511+$C511+1)/2</f>
        <v>45673.5</v>
      </c>
      <c r="G511" s="120">
        <f t="shared" ref="G511:G558" si="238">YEAR($B511)*12+MONTH($B511)-1</f>
        <v>24300</v>
      </c>
      <c r="H511" s="245">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46">
        <f t="shared" ref="M511:M558" si="244">IF($K511=0,0,MIN(1,$L511/$D511))</f>
        <v>0</v>
      </c>
      <c r="N511" s="121">
        <f t="shared" ref="N511:N558" si="245">IF($K511=0,$J511,(1-$M511)*$I511+$M511*$J511)</f>
        <v>1</v>
      </c>
      <c r="O511" s="246">
        <f t="shared" ref="O511:O558" si="246">IF($F511&lt;$B$509,$E$509+$I$509*($F511-$A$509),IF($F511&lt;$C$509,$F$509+$J$509*($F511-$B$509),$G$509+$K$509*($F511-$C$509)))</f>
        <v>0.98318927789934352</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87">
        <v>2</v>
      </c>
      <c r="B512" s="242">
        <f t="shared" ref="B512:B558" si="253">EDATE($B511,1)</f>
        <v>45689</v>
      </c>
      <c r="C512" s="243">
        <f t="shared" si="234"/>
        <v>45716</v>
      </c>
      <c r="D512" s="120">
        <f t="shared" si="235"/>
        <v>28</v>
      </c>
      <c r="E512" s="120">
        <f t="shared" si="236"/>
        <v>2</v>
      </c>
      <c r="F512" s="275">
        <f t="shared" si="237"/>
        <v>45703</v>
      </c>
      <c r="G512" s="120">
        <f t="shared" si="238"/>
        <v>24301</v>
      </c>
      <c r="H512" s="245">
        <f t="shared" si="239"/>
        <v>1</v>
      </c>
      <c r="I512" s="121">
        <f t="shared" si="240"/>
        <v>1</v>
      </c>
      <c r="J512" s="121">
        <f t="shared" si="241"/>
        <v>1</v>
      </c>
      <c r="K512" s="120">
        <f t="shared" si="242"/>
        <v>0</v>
      </c>
      <c r="L512" s="120">
        <f t="shared" si="243"/>
        <v>0</v>
      </c>
      <c r="M512" s="246">
        <f t="shared" si="244"/>
        <v>0</v>
      </c>
      <c r="N512" s="121">
        <f t="shared" si="245"/>
        <v>1</v>
      </c>
      <c r="O512" s="246">
        <f t="shared" si="246"/>
        <v>0.98351203501094098</v>
      </c>
      <c r="P512" s="121">
        <f t="shared" si="247"/>
        <v>0.125</v>
      </c>
      <c r="Q512" s="121">
        <f t="shared" si="248"/>
        <v>0</v>
      </c>
      <c r="R512" s="121">
        <f t="shared" si="249"/>
        <v>0</v>
      </c>
      <c r="S512" s="121" t="str">
        <f t="shared" si="250"/>
        <v/>
      </c>
      <c r="T512" s="121" t="str">
        <f t="shared" si="251"/>
        <v/>
      </c>
      <c r="U512" s="121">
        <f t="shared" si="252"/>
        <v>1</v>
      </c>
    </row>
    <row r="513" spans="1:21" x14ac:dyDescent="0.3">
      <c r="A513" s="187">
        <v>3</v>
      </c>
      <c r="B513" s="242">
        <f t="shared" si="253"/>
        <v>45717</v>
      </c>
      <c r="C513" s="243">
        <f t="shared" si="234"/>
        <v>45747</v>
      </c>
      <c r="D513" s="120">
        <f t="shared" si="235"/>
        <v>31</v>
      </c>
      <c r="E513" s="120">
        <f t="shared" si="236"/>
        <v>3</v>
      </c>
      <c r="F513" s="275">
        <f t="shared" si="237"/>
        <v>45732.5</v>
      </c>
      <c r="G513" s="120">
        <f t="shared" si="238"/>
        <v>24302</v>
      </c>
      <c r="H513" s="245">
        <f t="shared" si="239"/>
        <v>1</v>
      </c>
      <c r="I513" s="121">
        <f t="shared" si="240"/>
        <v>1</v>
      </c>
      <c r="J513" s="121">
        <f t="shared" si="241"/>
        <v>1</v>
      </c>
      <c r="K513" s="120">
        <f t="shared" si="242"/>
        <v>0</v>
      </c>
      <c r="L513" s="120">
        <f t="shared" si="243"/>
        <v>0</v>
      </c>
      <c r="M513" s="246">
        <f t="shared" si="244"/>
        <v>0</v>
      </c>
      <c r="N513" s="121">
        <f t="shared" si="245"/>
        <v>1</v>
      </c>
      <c r="O513" s="246">
        <f t="shared" si="246"/>
        <v>0.98383479212253833</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87">
        <v>4</v>
      </c>
      <c r="B514" s="242">
        <f t="shared" si="253"/>
        <v>45748</v>
      </c>
      <c r="C514" s="243">
        <f t="shared" si="234"/>
        <v>45777</v>
      </c>
      <c r="D514" s="120">
        <f t="shared" si="235"/>
        <v>30</v>
      </c>
      <c r="E514" s="120">
        <f t="shared" si="236"/>
        <v>4</v>
      </c>
      <c r="F514" s="275">
        <f t="shared" si="237"/>
        <v>45763</v>
      </c>
      <c r="G514" s="120">
        <f t="shared" si="238"/>
        <v>24303</v>
      </c>
      <c r="H514" s="245">
        <f t="shared" si="239"/>
        <v>1</v>
      </c>
      <c r="I514" s="121">
        <f t="shared" si="240"/>
        <v>1</v>
      </c>
      <c r="J514" s="121">
        <f t="shared" si="241"/>
        <v>1</v>
      </c>
      <c r="K514" s="120">
        <f t="shared" si="242"/>
        <v>0</v>
      </c>
      <c r="L514" s="120">
        <f t="shared" si="243"/>
        <v>0</v>
      </c>
      <c r="M514" s="246">
        <f t="shared" si="244"/>
        <v>0</v>
      </c>
      <c r="N514" s="121">
        <f t="shared" si="245"/>
        <v>1</v>
      </c>
      <c r="O514" s="246">
        <f t="shared" si="246"/>
        <v>0.98416849015317287</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87">
        <v>5</v>
      </c>
      <c r="B515" s="242">
        <f t="shared" si="253"/>
        <v>45778</v>
      </c>
      <c r="C515" s="243">
        <f t="shared" si="234"/>
        <v>45808</v>
      </c>
      <c r="D515" s="120">
        <f t="shared" si="235"/>
        <v>31</v>
      </c>
      <c r="E515" s="120">
        <f t="shared" si="236"/>
        <v>5</v>
      </c>
      <c r="F515" s="275">
        <f t="shared" si="237"/>
        <v>45793.5</v>
      </c>
      <c r="G515" s="120">
        <f t="shared" si="238"/>
        <v>24304</v>
      </c>
      <c r="H515" s="245">
        <f t="shared" si="239"/>
        <v>1</v>
      </c>
      <c r="I515" s="121">
        <f t="shared" si="240"/>
        <v>1</v>
      </c>
      <c r="J515" s="121">
        <f t="shared" si="241"/>
        <v>1</v>
      </c>
      <c r="K515" s="120">
        <f t="shared" si="242"/>
        <v>0</v>
      </c>
      <c r="L515" s="120">
        <f t="shared" si="243"/>
        <v>0</v>
      </c>
      <c r="M515" s="246">
        <f t="shared" si="244"/>
        <v>0</v>
      </c>
      <c r="N515" s="121">
        <f t="shared" si="245"/>
        <v>1</v>
      </c>
      <c r="O515" s="246">
        <f t="shared" si="246"/>
        <v>0.98450218818380741</v>
      </c>
      <c r="P515" s="121">
        <f t="shared" si="247"/>
        <v>0.375</v>
      </c>
      <c r="Q515" s="121">
        <f t="shared" si="248"/>
        <v>0</v>
      </c>
      <c r="R515" s="121">
        <f t="shared" si="249"/>
        <v>0</v>
      </c>
      <c r="S515" s="121" t="str">
        <f t="shared" si="250"/>
        <v/>
      </c>
      <c r="T515" s="121" t="str">
        <f t="shared" si="251"/>
        <v/>
      </c>
      <c r="U515" s="121">
        <f t="shared" si="252"/>
        <v>1</v>
      </c>
    </row>
    <row r="516" spans="1:21" x14ac:dyDescent="0.3">
      <c r="A516" s="187">
        <v>6</v>
      </c>
      <c r="B516" s="242">
        <f t="shared" si="253"/>
        <v>45809</v>
      </c>
      <c r="C516" s="243">
        <f t="shared" si="234"/>
        <v>45838</v>
      </c>
      <c r="D516" s="120">
        <f t="shared" si="235"/>
        <v>30</v>
      </c>
      <c r="E516" s="120">
        <f t="shared" si="236"/>
        <v>6</v>
      </c>
      <c r="F516" s="275">
        <f t="shared" si="237"/>
        <v>45824</v>
      </c>
      <c r="G516" s="120">
        <f t="shared" si="238"/>
        <v>24305</v>
      </c>
      <c r="H516" s="245">
        <f t="shared" si="239"/>
        <v>1</v>
      </c>
      <c r="I516" s="121">
        <f t="shared" si="240"/>
        <v>1</v>
      </c>
      <c r="J516" s="121">
        <f t="shared" si="241"/>
        <v>1</v>
      </c>
      <c r="K516" s="120">
        <f t="shared" si="242"/>
        <v>0</v>
      </c>
      <c r="L516" s="120">
        <f t="shared" si="243"/>
        <v>0</v>
      </c>
      <c r="M516" s="246">
        <f t="shared" si="244"/>
        <v>0</v>
      </c>
      <c r="N516" s="121">
        <f t="shared" si="245"/>
        <v>1</v>
      </c>
      <c r="O516" s="246">
        <f t="shared" si="246"/>
        <v>0.98483588621444207</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87">
        <v>7</v>
      </c>
      <c r="B517" s="242">
        <f t="shared" si="253"/>
        <v>45839</v>
      </c>
      <c r="C517" s="243">
        <f t="shared" si="234"/>
        <v>45869</v>
      </c>
      <c r="D517" s="120">
        <f t="shared" si="235"/>
        <v>31</v>
      </c>
      <c r="E517" s="120">
        <f t="shared" si="236"/>
        <v>7</v>
      </c>
      <c r="F517" s="275">
        <f t="shared" si="237"/>
        <v>45854.5</v>
      </c>
      <c r="G517" s="120">
        <f t="shared" si="238"/>
        <v>24306</v>
      </c>
      <c r="H517" s="245">
        <f t="shared" si="239"/>
        <v>1</v>
      </c>
      <c r="I517" s="121">
        <f t="shared" si="240"/>
        <v>1</v>
      </c>
      <c r="J517" s="121">
        <f t="shared" si="241"/>
        <v>1</v>
      </c>
      <c r="K517" s="120">
        <f t="shared" si="242"/>
        <v>0</v>
      </c>
      <c r="L517" s="120">
        <f t="shared" si="243"/>
        <v>0</v>
      </c>
      <c r="M517" s="246">
        <f t="shared" si="244"/>
        <v>0</v>
      </c>
      <c r="N517" s="121">
        <f t="shared" si="245"/>
        <v>1</v>
      </c>
      <c r="O517" s="246">
        <f t="shared" si="246"/>
        <v>0.98516958424507661</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87">
        <v>8</v>
      </c>
      <c r="B518" s="242">
        <f t="shared" si="253"/>
        <v>45870</v>
      </c>
      <c r="C518" s="243">
        <f t="shared" si="234"/>
        <v>45900</v>
      </c>
      <c r="D518" s="120">
        <f t="shared" si="235"/>
        <v>31</v>
      </c>
      <c r="E518" s="120">
        <f t="shared" si="236"/>
        <v>8</v>
      </c>
      <c r="F518" s="275">
        <f t="shared" si="237"/>
        <v>45885.5</v>
      </c>
      <c r="G518" s="120">
        <f t="shared" si="238"/>
        <v>24307</v>
      </c>
      <c r="H518" s="245">
        <f t="shared" si="239"/>
        <v>1</v>
      </c>
      <c r="I518" s="121">
        <f t="shared" si="240"/>
        <v>1</v>
      </c>
      <c r="J518" s="121">
        <f t="shared" si="241"/>
        <v>1</v>
      </c>
      <c r="K518" s="120">
        <f t="shared" si="242"/>
        <v>0</v>
      </c>
      <c r="L518" s="120">
        <f t="shared" si="243"/>
        <v>0</v>
      </c>
      <c r="M518" s="246">
        <f t="shared" si="244"/>
        <v>0</v>
      </c>
      <c r="N518" s="121">
        <f t="shared" si="245"/>
        <v>1</v>
      </c>
      <c r="O518" s="246">
        <f t="shared" si="246"/>
        <v>0.98550875273522975</v>
      </c>
      <c r="P518" s="121">
        <f t="shared" si="247"/>
        <v>0.625</v>
      </c>
      <c r="Q518" s="121">
        <f t="shared" si="248"/>
        <v>0</v>
      </c>
      <c r="R518" s="121">
        <f t="shared" si="249"/>
        <v>0</v>
      </c>
      <c r="S518" s="121" t="str">
        <f t="shared" si="250"/>
        <v/>
      </c>
      <c r="T518" s="121" t="str">
        <f t="shared" si="251"/>
        <v/>
      </c>
      <c r="U518" s="121">
        <f t="shared" si="252"/>
        <v>1</v>
      </c>
    </row>
    <row r="519" spans="1:21" x14ac:dyDescent="0.3">
      <c r="A519" s="187">
        <v>9</v>
      </c>
      <c r="B519" s="242">
        <f t="shared" si="253"/>
        <v>45901</v>
      </c>
      <c r="C519" s="243">
        <f t="shared" si="234"/>
        <v>45930</v>
      </c>
      <c r="D519" s="120">
        <f t="shared" si="235"/>
        <v>30</v>
      </c>
      <c r="E519" s="120">
        <f t="shared" si="236"/>
        <v>9</v>
      </c>
      <c r="F519" s="275">
        <f t="shared" si="237"/>
        <v>45916</v>
      </c>
      <c r="G519" s="120">
        <f t="shared" si="238"/>
        <v>24308</v>
      </c>
      <c r="H519" s="245">
        <f t="shared" si="239"/>
        <v>1</v>
      </c>
      <c r="I519" s="121">
        <f t="shared" si="240"/>
        <v>1</v>
      </c>
      <c r="J519" s="121">
        <f t="shared" si="241"/>
        <v>1</v>
      </c>
      <c r="K519" s="120">
        <f t="shared" si="242"/>
        <v>0</v>
      </c>
      <c r="L519" s="120">
        <f t="shared" si="243"/>
        <v>0</v>
      </c>
      <c r="M519" s="246">
        <f t="shared" si="244"/>
        <v>0</v>
      </c>
      <c r="N519" s="121">
        <f t="shared" si="245"/>
        <v>1</v>
      </c>
      <c r="O519" s="246">
        <f t="shared" si="246"/>
        <v>0.9858424507658643</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87">
        <v>10</v>
      </c>
      <c r="B520" s="242">
        <f t="shared" si="253"/>
        <v>45931</v>
      </c>
      <c r="C520" s="243">
        <f t="shared" si="234"/>
        <v>45961</v>
      </c>
      <c r="D520" s="120">
        <f t="shared" si="235"/>
        <v>31</v>
      </c>
      <c r="E520" s="120">
        <f t="shared" si="236"/>
        <v>10</v>
      </c>
      <c r="F520" s="275">
        <f t="shared" si="237"/>
        <v>45946.5</v>
      </c>
      <c r="G520" s="120">
        <f t="shared" si="238"/>
        <v>24309</v>
      </c>
      <c r="H520" s="245">
        <f t="shared" si="239"/>
        <v>1</v>
      </c>
      <c r="I520" s="121">
        <f t="shared" si="240"/>
        <v>1</v>
      </c>
      <c r="J520" s="121">
        <f t="shared" si="241"/>
        <v>1</v>
      </c>
      <c r="K520" s="120">
        <f t="shared" si="242"/>
        <v>0</v>
      </c>
      <c r="L520" s="120">
        <f t="shared" si="243"/>
        <v>0</v>
      </c>
      <c r="M520" s="246">
        <f t="shared" si="244"/>
        <v>0</v>
      </c>
      <c r="N520" s="121">
        <f t="shared" si="245"/>
        <v>1</v>
      </c>
      <c r="O520" s="246">
        <f t="shared" si="246"/>
        <v>0.98617614879649895</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87">
        <v>11</v>
      </c>
      <c r="B521" s="242">
        <f t="shared" si="253"/>
        <v>45962</v>
      </c>
      <c r="C521" s="243">
        <f t="shared" si="234"/>
        <v>45991</v>
      </c>
      <c r="D521" s="120">
        <f t="shared" si="235"/>
        <v>30</v>
      </c>
      <c r="E521" s="120">
        <f t="shared" si="236"/>
        <v>11</v>
      </c>
      <c r="F521" s="275">
        <f t="shared" si="237"/>
        <v>45977</v>
      </c>
      <c r="G521" s="120">
        <f t="shared" si="238"/>
        <v>24310</v>
      </c>
      <c r="H521" s="245">
        <f t="shared" si="239"/>
        <v>1</v>
      </c>
      <c r="I521" s="121">
        <f t="shared" si="240"/>
        <v>1</v>
      </c>
      <c r="J521" s="121">
        <f t="shared" si="241"/>
        <v>1</v>
      </c>
      <c r="K521" s="120">
        <f t="shared" si="242"/>
        <v>0</v>
      </c>
      <c r="L521" s="120">
        <f t="shared" si="243"/>
        <v>0</v>
      </c>
      <c r="M521" s="246">
        <f t="shared" si="244"/>
        <v>0</v>
      </c>
      <c r="N521" s="121">
        <f t="shared" si="245"/>
        <v>1</v>
      </c>
      <c r="O521" s="246">
        <f t="shared" si="246"/>
        <v>0.9865098468271335</v>
      </c>
      <c r="P521" s="121">
        <f t="shared" si="247"/>
        <v>0.875</v>
      </c>
      <c r="Q521" s="121">
        <f t="shared" si="248"/>
        <v>0</v>
      </c>
      <c r="R521" s="121">
        <f t="shared" si="249"/>
        <v>0</v>
      </c>
      <c r="S521" s="121" t="str">
        <f t="shared" si="250"/>
        <v/>
      </c>
      <c r="T521" s="121" t="str">
        <f t="shared" si="251"/>
        <v/>
      </c>
      <c r="U521" s="121">
        <f t="shared" si="252"/>
        <v>1</v>
      </c>
    </row>
    <row r="522" spans="1:21" x14ac:dyDescent="0.3">
      <c r="A522" s="187">
        <v>12</v>
      </c>
      <c r="B522" s="242">
        <f t="shared" si="253"/>
        <v>45992</v>
      </c>
      <c r="C522" s="243">
        <f t="shared" si="234"/>
        <v>46022</v>
      </c>
      <c r="D522" s="120">
        <f t="shared" si="235"/>
        <v>31</v>
      </c>
      <c r="E522" s="120">
        <f t="shared" si="236"/>
        <v>12</v>
      </c>
      <c r="F522" s="275">
        <f t="shared" si="237"/>
        <v>46007.5</v>
      </c>
      <c r="G522" s="120">
        <f t="shared" si="238"/>
        <v>24311</v>
      </c>
      <c r="H522" s="245">
        <f t="shared" si="239"/>
        <v>1</v>
      </c>
      <c r="I522" s="121">
        <f t="shared" si="240"/>
        <v>1</v>
      </c>
      <c r="J522" s="121">
        <f t="shared" si="241"/>
        <v>1</v>
      </c>
      <c r="K522" s="120">
        <f t="shared" si="242"/>
        <v>0</v>
      </c>
      <c r="L522" s="120">
        <f t="shared" si="243"/>
        <v>0</v>
      </c>
      <c r="M522" s="246">
        <f t="shared" si="244"/>
        <v>0</v>
      </c>
      <c r="N522" s="121">
        <f t="shared" si="245"/>
        <v>1</v>
      </c>
      <c r="O522" s="246">
        <f t="shared" si="246"/>
        <v>0.98684354485776804</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87">
        <v>13</v>
      </c>
      <c r="B523" s="242">
        <f t="shared" si="253"/>
        <v>46023</v>
      </c>
      <c r="C523" s="243">
        <f t="shared" si="234"/>
        <v>46053</v>
      </c>
      <c r="D523" s="120">
        <f t="shared" si="235"/>
        <v>31</v>
      </c>
      <c r="E523" s="120">
        <f t="shared" si="236"/>
        <v>1</v>
      </c>
      <c r="F523" s="275">
        <f t="shared" si="237"/>
        <v>46038.5</v>
      </c>
      <c r="G523" s="120">
        <f t="shared" si="238"/>
        <v>24312</v>
      </c>
      <c r="H523" s="245">
        <f t="shared" si="239"/>
        <v>1</v>
      </c>
      <c r="I523" s="121">
        <f t="shared" si="240"/>
        <v>1</v>
      </c>
      <c r="J523" s="121">
        <f t="shared" si="241"/>
        <v>1</v>
      </c>
      <c r="K523" s="120">
        <f t="shared" si="242"/>
        <v>0</v>
      </c>
      <c r="L523" s="120">
        <f t="shared" si="243"/>
        <v>0</v>
      </c>
      <c r="M523" s="246">
        <f t="shared" si="244"/>
        <v>0</v>
      </c>
      <c r="N523" s="121">
        <f t="shared" si="245"/>
        <v>1</v>
      </c>
      <c r="O523" s="246">
        <f t="shared" si="246"/>
        <v>0.98718271334792118</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87">
        <v>14</v>
      </c>
      <c r="B524" s="242">
        <f t="shared" si="253"/>
        <v>46054</v>
      </c>
      <c r="C524" s="243">
        <f t="shared" si="234"/>
        <v>46081</v>
      </c>
      <c r="D524" s="120">
        <f t="shared" si="235"/>
        <v>28</v>
      </c>
      <c r="E524" s="120">
        <f t="shared" si="236"/>
        <v>2</v>
      </c>
      <c r="F524" s="275">
        <f t="shared" si="237"/>
        <v>46068</v>
      </c>
      <c r="G524" s="120">
        <f t="shared" si="238"/>
        <v>24313</v>
      </c>
      <c r="H524" s="245">
        <f t="shared" si="239"/>
        <v>1</v>
      </c>
      <c r="I524" s="121">
        <f t="shared" si="240"/>
        <v>1</v>
      </c>
      <c r="J524" s="121">
        <f t="shared" si="241"/>
        <v>1</v>
      </c>
      <c r="K524" s="120">
        <f t="shared" si="242"/>
        <v>0</v>
      </c>
      <c r="L524" s="120">
        <f t="shared" si="243"/>
        <v>0</v>
      </c>
      <c r="M524" s="246">
        <f t="shared" si="244"/>
        <v>0</v>
      </c>
      <c r="N524" s="121">
        <f t="shared" si="245"/>
        <v>1</v>
      </c>
      <c r="O524" s="246">
        <f t="shared" si="246"/>
        <v>0.98750547045951864</v>
      </c>
      <c r="P524" s="121">
        <f t="shared" si="247"/>
        <v>0.875</v>
      </c>
      <c r="Q524" s="121">
        <f t="shared" si="248"/>
        <v>0.125</v>
      </c>
      <c r="R524" s="121">
        <f t="shared" si="249"/>
        <v>0</v>
      </c>
      <c r="S524" s="121" t="str">
        <f t="shared" si="250"/>
        <v/>
      </c>
      <c r="T524" s="121" t="str">
        <f t="shared" si="251"/>
        <v/>
      </c>
      <c r="U524" s="121">
        <f t="shared" si="252"/>
        <v>1</v>
      </c>
    </row>
    <row r="525" spans="1:21" x14ac:dyDescent="0.3">
      <c r="A525" s="187">
        <v>15</v>
      </c>
      <c r="B525" s="242">
        <f t="shared" si="253"/>
        <v>46082</v>
      </c>
      <c r="C525" s="243">
        <f t="shared" si="234"/>
        <v>46112</v>
      </c>
      <c r="D525" s="120">
        <f t="shared" si="235"/>
        <v>31</v>
      </c>
      <c r="E525" s="120">
        <f t="shared" si="236"/>
        <v>3</v>
      </c>
      <c r="F525" s="275">
        <f t="shared" si="237"/>
        <v>46097.5</v>
      </c>
      <c r="G525" s="120">
        <f t="shared" si="238"/>
        <v>24314</v>
      </c>
      <c r="H525" s="245">
        <f t="shared" si="239"/>
        <v>1</v>
      </c>
      <c r="I525" s="121">
        <f t="shared" si="240"/>
        <v>1</v>
      </c>
      <c r="J525" s="121">
        <f t="shared" si="241"/>
        <v>1</v>
      </c>
      <c r="K525" s="120">
        <f t="shared" si="242"/>
        <v>0</v>
      </c>
      <c r="L525" s="120">
        <f t="shared" si="243"/>
        <v>0</v>
      </c>
      <c r="M525" s="246">
        <f t="shared" si="244"/>
        <v>0</v>
      </c>
      <c r="N525" s="121">
        <f t="shared" si="245"/>
        <v>1</v>
      </c>
      <c r="O525" s="246">
        <f t="shared" si="246"/>
        <v>0.98782822757111599</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87">
        <v>16</v>
      </c>
      <c r="B526" s="242">
        <f t="shared" si="253"/>
        <v>46113</v>
      </c>
      <c r="C526" s="243">
        <f t="shared" si="234"/>
        <v>46142</v>
      </c>
      <c r="D526" s="120">
        <f t="shared" si="235"/>
        <v>30</v>
      </c>
      <c r="E526" s="120">
        <f t="shared" si="236"/>
        <v>4</v>
      </c>
      <c r="F526" s="275">
        <f t="shared" si="237"/>
        <v>46128</v>
      </c>
      <c r="G526" s="120">
        <f t="shared" si="238"/>
        <v>24315</v>
      </c>
      <c r="H526" s="245">
        <f t="shared" si="239"/>
        <v>1</v>
      </c>
      <c r="I526" s="121">
        <f t="shared" si="240"/>
        <v>1</v>
      </c>
      <c r="J526" s="121">
        <f t="shared" si="241"/>
        <v>1</v>
      </c>
      <c r="K526" s="120">
        <f t="shared" si="242"/>
        <v>0</v>
      </c>
      <c r="L526" s="120">
        <f t="shared" si="243"/>
        <v>0</v>
      </c>
      <c r="M526" s="246">
        <f t="shared" si="244"/>
        <v>0</v>
      </c>
      <c r="N526" s="121">
        <f t="shared" si="245"/>
        <v>1</v>
      </c>
      <c r="O526" s="246">
        <f t="shared" si="246"/>
        <v>0.98816192560175053</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87">
        <v>17</v>
      </c>
      <c r="B527" s="242">
        <f t="shared" si="253"/>
        <v>46143</v>
      </c>
      <c r="C527" s="243">
        <f t="shared" si="234"/>
        <v>46173</v>
      </c>
      <c r="D527" s="120">
        <f t="shared" si="235"/>
        <v>31</v>
      </c>
      <c r="E527" s="120">
        <f t="shared" si="236"/>
        <v>5</v>
      </c>
      <c r="F527" s="275">
        <f t="shared" si="237"/>
        <v>46158.5</v>
      </c>
      <c r="G527" s="120">
        <f t="shared" si="238"/>
        <v>24316</v>
      </c>
      <c r="H527" s="245">
        <f t="shared" si="239"/>
        <v>1</v>
      </c>
      <c r="I527" s="121">
        <f t="shared" si="240"/>
        <v>1</v>
      </c>
      <c r="J527" s="121">
        <f t="shared" si="241"/>
        <v>1</v>
      </c>
      <c r="K527" s="120">
        <f t="shared" si="242"/>
        <v>0</v>
      </c>
      <c r="L527" s="120">
        <f t="shared" si="243"/>
        <v>0</v>
      </c>
      <c r="M527" s="246">
        <f t="shared" si="244"/>
        <v>0</v>
      </c>
      <c r="N527" s="121">
        <f t="shared" si="245"/>
        <v>1</v>
      </c>
      <c r="O527" s="246">
        <f t="shared" si="246"/>
        <v>0.98849562363238508</v>
      </c>
      <c r="P527" s="121">
        <f t="shared" si="247"/>
        <v>0.625</v>
      </c>
      <c r="Q527" s="121">
        <f t="shared" si="248"/>
        <v>0.375</v>
      </c>
      <c r="R527" s="121">
        <f t="shared" si="249"/>
        <v>0</v>
      </c>
      <c r="S527" s="121" t="str">
        <f t="shared" si="250"/>
        <v/>
      </c>
      <c r="T527" s="121" t="str">
        <f t="shared" si="251"/>
        <v/>
      </c>
      <c r="U527" s="121">
        <f t="shared" si="252"/>
        <v>1</v>
      </c>
    </row>
    <row r="528" spans="1:21" x14ac:dyDescent="0.3">
      <c r="A528" s="187">
        <v>18</v>
      </c>
      <c r="B528" s="242">
        <f t="shared" si="253"/>
        <v>46174</v>
      </c>
      <c r="C528" s="243">
        <f t="shared" si="234"/>
        <v>46203</v>
      </c>
      <c r="D528" s="120">
        <f t="shared" si="235"/>
        <v>30</v>
      </c>
      <c r="E528" s="120">
        <f t="shared" si="236"/>
        <v>6</v>
      </c>
      <c r="F528" s="275">
        <f t="shared" si="237"/>
        <v>46189</v>
      </c>
      <c r="G528" s="120">
        <f t="shared" si="238"/>
        <v>24317</v>
      </c>
      <c r="H528" s="245">
        <f t="shared" si="239"/>
        <v>1</v>
      </c>
      <c r="I528" s="121">
        <f t="shared" si="240"/>
        <v>1</v>
      </c>
      <c r="J528" s="121">
        <f t="shared" si="241"/>
        <v>1</v>
      </c>
      <c r="K528" s="120">
        <f t="shared" si="242"/>
        <v>0</v>
      </c>
      <c r="L528" s="120">
        <f t="shared" si="243"/>
        <v>0</v>
      </c>
      <c r="M528" s="246">
        <f t="shared" si="244"/>
        <v>0</v>
      </c>
      <c r="N528" s="121">
        <f t="shared" si="245"/>
        <v>1</v>
      </c>
      <c r="O528" s="246">
        <f t="shared" si="246"/>
        <v>0.98882932166301973</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87">
        <v>19</v>
      </c>
      <c r="B529" s="242">
        <f t="shared" si="253"/>
        <v>46204</v>
      </c>
      <c r="C529" s="243">
        <f t="shared" si="234"/>
        <v>46234</v>
      </c>
      <c r="D529" s="120">
        <f t="shared" si="235"/>
        <v>31</v>
      </c>
      <c r="E529" s="120">
        <f t="shared" si="236"/>
        <v>7</v>
      </c>
      <c r="F529" s="275">
        <f t="shared" si="237"/>
        <v>46219.5</v>
      </c>
      <c r="G529" s="120">
        <f t="shared" si="238"/>
        <v>24318</v>
      </c>
      <c r="H529" s="245">
        <f t="shared" si="239"/>
        <v>1</v>
      </c>
      <c r="I529" s="121">
        <f t="shared" si="240"/>
        <v>1</v>
      </c>
      <c r="J529" s="121">
        <f t="shared" si="241"/>
        <v>1</v>
      </c>
      <c r="K529" s="120">
        <f t="shared" si="242"/>
        <v>0</v>
      </c>
      <c r="L529" s="120">
        <f t="shared" si="243"/>
        <v>0</v>
      </c>
      <c r="M529" s="246">
        <f t="shared" si="244"/>
        <v>0</v>
      </c>
      <c r="N529" s="121">
        <f t="shared" si="245"/>
        <v>1</v>
      </c>
      <c r="O529" s="246">
        <f t="shared" si="246"/>
        <v>0.98916301969365428</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87">
        <v>20</v>
      </c>
      <c r="B530" s="242">
        <f t="shared" si="253"/>
        <v>46235</v>
      </c>
      <c r="C530" s="243">
        <f t="shared" si="234"/>
        <v>46265</v>
      </c>
      <c r="D530" s="120">
        <f t="shared" si="235"/>
        <v>31</v>
      </c>
      <c r="E530" s="120">
        <f t="shared" si="236"/>
        <v>8</v>
      </c>
      <c r="F530" s="275">
        <f t="shared" si="237"/>
        <v>46250.5</v>
      </c>
      <c r="G530" s="120">
        <f t="shared" si="238"/>
        <v>24319</v>
      </c>
      <c r="H530" s="245">
        <f t="shared" si="239"/>
        <v>1</v>
      </c>
      <c r="I530" s="121">
        <f t="shared" si="240"/>
        <v>1</v>
      </c>
      <c r="J530" s="121">
        <f t="shared" si="241"/>
        <v>1</v>
      </c>
      <c r="K530" s="120">
        <f t="shared" si="242"/>
        <v>0</v>
      </c>
      <c r="L530" s="120">
        <f t="shared" si="243"/>
        <v>0</v>
      </c>
      <c r="M530" s="246">
        <f t="shared" si="244"/>
        <v>0</v>
      </c>
      <c r="N530" s="121">
        <f t="shared" si="245"/>
        <v>1</v>
      </c>
      <c r="O530" s="246">
        <f t="shared" si="246"/>
        <v>0.98950218818380742</v>
      </c>
      <c r="P530" s="121">
        <f t="shared" si="247"/>
        <v>0.375</v>
      </c>
      <c r="Q530" s="121">
        <f t="shared" si="248"/>
        <v>0.625</v>
      </c>
      <c r="R530" s="121">
        <f t="shared" si="249"/>
        <v>0</v>
      </c>
      <c r="S530" s="121" t="str">
        <f t="shared" si="250"/>
        <v/>
      </c>
      <c r="T530" s="121" t="str">
        <f t="shared" si="251"/>
        <v/>
      </c>
      <c r="U530" s="121">
        <f t="shared" si="252"/>
        <v>1</v>
      </c>
    </row>
    <row r="531" spans="1:21" x14ac:dyDescent="0.3">
      <c r="A531" s="187">
        <v>21</v>
      </c>
      <c r="B531" s="242">
        <f t="shared" si="253"/>
        <v>46266</v>
      </c>
      <c r="C531" s="243">
        <f t="shared" si="234"/>
        <v>46295</v>
      </c>
      <c r="D531" s="120">
        <f t="shared" si="235"/>
        <v>30</v>
      </c>
      <c r="E531" s="120">
        <f t="shared" si="236"/>
        <v>9</v>
      </c>
      <c r="F531" s="275">
        <f t="shared" si="237"/>
        <v>46281</v>
      </c>
      <c r="G531" s="120">
        <f t="shared" si="238"/>
        <v>24320</v>
      </c>
      <c r="H531" s="245">
        <f t="shared" si="239"/>
        <v>1</v>
      </c>
      <c r="I531" s="121">
        <f t="shared" si="240"/>
        <v>1</v>
      </c>
      <c r="J531" s="121">
        <f t="shared" si="241"/>
        <v>1</v>
      </c>
      <c r="K531" s="120">
        <f t="shared" si="242"/>
        <v>0</v>
      </c>
      <c r="L531" s="120">
        <f t="shared" si="243"/>
        <v>0</v>
      </c>
      <c r="M531" s="246">
        <f t="shared" si="244"/>
        <v>0</v>
      </c>
      <c r="N531" s="121">
        <f t="shared" si="245"/>
        <v>1</v>
      </c>
      <c r="O531" s="246">
        <f t="shared" si="246"/>
        <v>0.98983588621444196</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87">
        <v>22</v>
      </c>
      <c r="B532" s="242">
        <f t="shared" si="253"/>
        <v>46296</v>
      </c>
      <c r="C532" s="243">
        <f t="shared" si="234"/>
        <v>46326</v>
      </c>
      <c r="D532" s="120">
        <f t="shared" si="235"/>
        <v>31</v>
      </c>
      <c r="E532" s="120">
        <f t="shared" si="236"/>
        <v>10</v>
      </c>
      <c r="F532" s="275">
        <f t="shared" si="237"/>
        <v>46311.5</v>
      </c>
      <c r="G532" s="120">
        <f t="shared" si="238"/>
        <v>24321</v>
      </c>
      <c r="H532" s="245">
        <f t="shared" si="239"/>
        <v>1</v>
      </c>
      <c r="I532" s="121">
        <f t="shared" si="240"/>
        <v>1</v>
      </c>
      <c r="J532" s="121">
        <f t="shared" si="241"/>
        <v>1</v>
      </c>
      <c r="K532" s="120">
        <f t="shared" si="242"/>
        <v>0</v>
      </c>
      <c r="L532" s="120">
        <f t="shared" si="243"/>
        <v>0</v>
      </c>
      <c r="M532" s="246">
        <f t="shared" si="244"/>
        <v>0</v>
      </c>
      <c r="N532" s="121">
        <f t="shared" si="245"/>
        <v>1</v>
      </c>
      <c r="O532" s="246">
        <f t="shared" si="246"/>
        <v>0.99016958424507662</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87">
        <v>23</v>
      </c>
      <c r="B533" s="242">
        <f t="shared" si="253"/>
        <v>46327</v>
      </c>
      <c r="C533" s="243">
        <f t="shared" si="234"/>
        <v>46356</v>
      </c>
      <c r="D533" s="120">
        <f t="shared" si="235"/>
        <v>30</v>
      </c>
      <c r="E533" s="120">
        <f t="shared" si="236"/>
        <v>11</v>
      </c>
      <c r="F533" s="275">
        <f t="shared" si="237"/>
        <v>46342</v>
      </c>
      <c r="G533" s="120">
        <f t="shared" si="238"/>
        <v>24322</v>
      </c>
      <c r="H533" s="245">
        <f t="shared" si="239"/>
        <v>1</v>
      </c>
      <c r="I533" s="121">
        <f t="shared" si="240"/>
        <v>1</v>
      </c>
      <c r="J533" s="121">
        <f t="shared" si="241"/>
        <v>1</v>
      </c>
      <c r="K533" s="120">
        <f t="shared" si="242"/>
        <v>0</v>
      </c>
      <c r="L533" s="120">
        <f t="shared" si="243"/>
        <v>0</v>
      </c>
      <c r="M533" s="246">
        <f t="shared" si="244"/>
        <v>0</v>
      </c>
      <c r="N533" s="121">
        <f t="shared" si="245"/>
        <v>1</v>
      </c>
      <c r="O533" s="246">
        <f t="shared" si="246"/>
        <v>0.99050328227571116</v>
      </c>
      <c r="P533" s="121">
        <f t="shared" si="247"/>
        <v>0.125</v>
      </c>
      <c r="Q533" s="121">
        <f t="shared" si="248"/>
        <v>0.875</v>
      </c>
      <c r="R533" s="121">
        <f t="shared" si="249"/>
        <v>0</v>
      </c>
      <c r="S533" s="121" t="str">
        <f t="shared" si="250"/>
        <v/>
      </c>
      <c r="T533" s="121" t="str">
        <f t="shared" si="251"/>
        <v/>
      </c>
      <c r="U533" s="121">
        <f t="shared" si="252"/>
        <v>1</v>
      </c>
    </row>
    <row r="534" spans="1:21" x14ac:dyDescent="0.3">
      <c r="A534" s="187">
        <v>24</v>
      </c>
      <c r="B534" s="242">
        <f t="shared" si="253"/>
        <v>46357</v>
      </c>
      <c r="C534" s="243">
        <f t="shared" si="234"/>
        <v>46387</v>
      </c>
      <c r="D534" s="120">
        <f t="shared" si="235"/>
        <v>31</v>
      </c>
      <c r="E534" s="120">
        <f t="shared" si="236"/>
        <v>12</v>
      </c>
      <c r="F534" s="275">
        <f t="shared" si="237"/>
        <v>46372.5</v>
      </c>
      <c r="G534" s="120">
        <f t="shared" si="238"/>
        <v>24323</v>
      </c>
      <c r="H534" s="245">
        <f t="shared" si="239"/>
        <v>1</v>
      </c>
      <c r="I534" s="121">
        <f t="shared" si="240"/>
        <v>1</v>
      </c>
      <c r="J534" s="121">
        <f t="shared" si="241"/>
        <v>1</v>
      </c>
      <c r="K534" s="120">
        <f t="shared" si="242"/>
        <v>0</v>
      </c>
      <c r="L534" s="120">
        <f t="shared" si="243"/>
        <v>0</v>
      </c>
      <c r="M534" s="246">
        <f t="shared" si="244"/>
        <v>0</v>
      </c>
      <c r="N534" s="121">
        <f t="shared" si="245"/>
        <v>1</v>
      </c>
      <c r="O534" s="246">
        <f t="shared" si="246"/>
        <v>0.9908369803063457</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87">
        <v>25</v>
      </c>
      <c r="B535" s="242">
        <f t="shared" si="253"/>
        <v>46388</v>
      </c>
      <c r="C535" s="243">
        <f t="shared" si="234"/>
        <v>46418</v>
      </c>
      <c r="D535" s="120">
        <f t="shared" si="235"/>
        <v>31</v>
      </c>
      <c r="E535" s="120">
        <f t="shared" si="236"/>
        <v>1</v>
      </c>
      <c r="F535" s="275">
        <f t="shared" si="237"/>
        <v>46403.5</v>
      </c>
      <c r="G535" s="120">
        <f t="shared" si="238"/>
        <v>24324</v>
      </c>
      <c r="H535" s="245">
        <f t="shared" si="239"/>
        <v>1</v>
      </c>
      <c r="I535" s="121">
        <f t="shared" si="240"/>
        <v>1</v>
      </c>
      <c r="J535" s="121">
        <f t="shared" si="241"/>
        <v>1</v>
      </c>
      <c r="K535" s="120">
        <f t="shared" si="242"/>
        <v>0</v>
      </c>
      <c r="L535" s="120">
        <f t="shared" si="243"/>
        <v>0</v>
      </c>
      <c r="M535" s="246">
        <f t="shared" si="244"/>
        <v>0</v>
      </c>
      <c r="N535" s="121">
        <f t="shared" si="245"/>
        <v>1</v>
      </c>
      <c r="O535" s="246">
        <f t="shared" si="246"/>
        <v>0.99117614879649885</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87">
        <v>26</v>
      </c>
      <c r="B536" s="242">
        <f t="shared" si="253"/>
        <v>46419</v>
      </c>
      <c r="C536" s="243">
        <f t="shared" si="234"/>
        <v>46446</v>
      </c>
      <c r="D536" s="120">
        <f t="shared" si="235"/>
        <v>28</v>
      </c>
      <c r="E536" s="120">
        <f t="shared" si="236"/>
        <v>2</v>
      </c>
      <c r="F536" s="275">
        <f t="shared" si="237"/>
        <v>46433</v>
      </c>
      <c r="G536" s="120">
        <f t="shared" si="238"/>
        <v>24325</v>
      </c>
      <c r="H536" s="245">
        <f t="shared" si="239"/>
        <v>1</v>
      </c>
      <c r="I536" s="121">
        <f t="shared" si="240"/>
        <v>1</v>
      </c>
      <c r="J536" s="121">
        <f t="shared" si="241"/>
        <v>1</v>
      </c>
      <c r="K536" s="120">
        <f t="shared" si="242"/>
        <v>0</v>
      </c>
      <c r="L536" s="120">
        <f t="shared" si="243"/>
        <v>0</v>
      </c>
      <c r="M536" s="246">
        <f t="shared" si="244"/>
        <v>0</v>
      </c>
      <c r="N536" s="121">
        <f t="shared" si="245"/>
        <v>1</v>
      </c>
      <c r="O536" s="246">
        <f t="shared" si="246"/>
        <v>0.99149890590809631</v>
      </c>
      <c r="P536" s="121">
        <f t="shared" si="247"/>
        <v>0</v>
      </c>
      <c r="Q536" s="121">
        <f t="shared" si="248"/>
        <v>0.875</v>
      </c>
      <c r="R536" s="121">
        <f t="shared" si="249"/>
        <v>0.125</v>
      </c>
      <c r="S536" s="121" t="str">
        <f t="shared" si="250"/>
        <v/>
      </c>
      <c r="T536" s="121" t="str">
        <f t="shared" si="251"/>
        <v/>
      </c>
      <c r="U536" s="121">
        <f t="shared" si="252"/>
        <v>1</v>
      </c>
    </row>
    <row r="537" spans="1:21" x14ac:dyDescent="0.3">
      <c r="A537" s="187">
        <v>27</v>
      </c>
      <c r="B537" s="242">
        <f t="shared" si="253"/>
        <v>46447</v>
      </c>
      <c r="C537" s="243">
        <f t="shared" si="234"/>
        <v>46477</v>
      </c>
      <c r="D537" s="120">
        <f t="shared" si="235"/>
        <v>31</v>
      </c>
      <c r="E537" s="120">
        <f t="shared" si="236"/>
        <v>3</v>
      </c>
      <c r="F537" s="275">
        <f t="shared" si="237"/>
        <v>46462.5</v>
      </c>
      <c r="G537" s="120">
        <f t="shared" si="238"/>
        <v>24326</v>
      </c>
      <c r="H537" s="245">
        <f t="shared" si="239"/>
        <v>1</v>
      </c>
      <c r="I537" s="121">
        <f t="shared" si="240"/>
        <v>1</v>
      </c>
      <c r="J537" s="121">
        <f t="shared" si="241"/>
        <v>1</v>
      </c>
      <c r="K537" s="120">
        <f t="shared" si="242"/>
        <v>0</v>
      </c>
      <c r="L537" s="120">
        <f t="shared" si="243"/>
        <v>0</v>
      </c>
      <c r="M537" s="246">
        <f t="shared" si="244"/>
        <v>0</v>
      </c>
      <c r="N537" s="121">
        <f t="shared" si="245"/>
        <v>1</v>
      </c>
      <c r="O537" s="246">
        <f t="shared" si="246"/>
        <v>0.99182166301969366</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87">
        <v>28</v>
      </c>
      <c r="B538" s="242">
        <f t="shared" si="253"/>
        <v>46478</v>
      </c>
      <c r="C538" s="243">
        <f t="shared" si="234"/>
        <v>46507</v>
      </c>
      <c r="D538" s="120">
        <f t="shared" si="235"/>
        <v>30</v>
      </c>
      <c r="E538" s="120">
        <f t="shared" si="236"/>
        <v>4</v>
      </c>
      <c r="F538" s="275">
        <f t="shared" si="237"/>
        <v>46493</v>
      </c>
      <c r="G538" s="120">
        <f t="shared" si="238"/>
        <v>24327</v>
      </c>
      <c r="H538" s="245">
        <f t="shared" si="239"/>
        <v>1</v>
      </c>
      <c r="I538" s="121">
        <f t="shared" si="240"/>
        <v>1</v>
      </c>
      <c r="J538" s="121">
        <f t="shared" si="241"/>
        <v>1</v>
      </c>
      <c r="K538" s="120">
        <f t="shared" si="242"/>
        <v>0</v>
      </c>
      <c r="L538" s="120">
        <f t="shared" si="243"/>
        <v>0</v>
      </c>
      <c r="M538" s="246">
        <f t="shared" si="244"/>
        <v>0</v>
      </c>
      <c r="N538" s="121">
        <f t="shared" si="245"/>
        <v>1</v>
      </c>
      <c r="O538" s="246">
        <f t="shared" si="246"/>
        <v>0.9921553610503282</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87">
        <v>29</v>
      </c>
      <c r="B539" s="242">
        <f t="shared" si="253"/>
        <v>46508</v>
      </c>
      <c r="C539" s="243">
        <f t="shared" si="234"/>
        <v>46538</v>
      </c>
      <c r="D539" s="120">
        <f t="shared" si="235"/>
        <v>31</v>
      </c>
      <c r="E539" s="120">
        <f t="shared" si="236"/>
        <v>5</v>
      </c>
      <c r="F539" s="275">
        <f t="shared" si="237"/>
        <v>46523.5</v>
      </c>
      <c r="G539" s="120">
        <f t="shared" si="238"/>
        <v>24328</v>
      </c>
      <c r="H539" s="245">
        <f t="shared" si="239"/>
        <v>1</v>
      </c>
      <c r="I539" s="121">
        <f t="shared" si="240"/>
        <v>1</v>
      </c>
      <c r="J539" s="121">
        <f t="shared" si="241"/>
        <v>1</v>
      </c>
      <c r="K539" s="120">
        <f t="shared" si="242"/>
        <v>0</v>
      </c>
      <c r="L539" s="120">
        <f t="shared" si="243"/>
        <v>0</v>
      </c>
      <c r="M539" s="246">
        <f t="shared" si="244"/>
        <v>0</v>
      </c>
      <c r="N539" s="121">
        <f t="shared" si="245"/>
        <v>1</v>
      </c>
      <c r="O539" s="246">
        <f t="shared" si="246"/>
        <v>0.99248905908096274</v>
      </c>
      <c r="P539" s="121">
        <f t="shared" si="247"/>
        <v>0</v>
      </c>
      <c r="Q539" s="121">
        <f t="shared" si="248"/>
        <v>0.625</v>
      </c>
      <c r="R539" s="121">
        <f t="shared" si="249"/>
        <v>0.375</v>
      </c>
      <c r="S539" s="121" t="str">
        <f t="shared" si="250"/>
        <v/>
      </c>
      <c r="T539" s="121" t="str">
        <f t="shared" si="251"/>
        <v/>
      </c>
      <c r="U539" s="121">
        <f t="shared" si="252"/>
        <v>1</v>
      </c>
    </row>
    <row r="540" spans="1:21" x14ac:dyDescent="0.3">
      <c r="A540" s="187">
        <v>30</v>
      </c>
      <c r="B540" s="242">
        <f t="shared" si="253"/>
        <v>46539</v>
      </c>
      <c r="C540" s="243">
        <f t="shared" si="234"/>
        <v>46568</v>
      </c>
      <c r="D540" s="120">
        <f t="shared" si="235"/>
        <v>30</v>
      </c>
      <c r="E540" s="120">
        <f t="shared" si="236"/>
        <v>6</v>
      </c>
      <c r="F540" s="275">
        <f t="shared" si="237"/>
        <v>46554</v>
      </c>
      <c r="G540" s="120">
        <f t="shared" si="238"/>
        <v>24329</v>
      </c>
      <c r="H540" s="245">
        <f t="shared" si="239"/>
        <v>1</v>
      </c>
      <c r="I540" s="121">
        <f t="shared" si="240"/>
        <v>1</v>
      </c>
      <c r="J540" s="121">
        <f t="shared" si="241"/>
        <v>1</v>
      </c>
      <c r="K540" s="120">
        <f t="shared" si="242"/>
        <v>0</v>
      </c>
      <c r="L540" s="120">
        <f t="shared" si="243"/>
        <v>0</v>
      </c>
      <c r="M540" s="246">
        <f t="shared" si="244"/>
        <v>0</v>
      </c>
      <c r="N540" s="121">
        <f t="shared" si="245"/>
        <v>1</v>
      </c>
      <c r="O540" s="246">
        <f t="shared" si="246"/>
        <v>0.9928227571115974</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87">
        <v>31</v>
      </c>
      <c r="B541" s="242">
        <f t="shared" si="253"/>
        <v>46569</v>
      </c>
      <c r="C541" s="243">
        <f t="shared" si="234"/>
        <v>46599</v>
      </c>
      <c r="D541" s="120">
        <f t="shared" si="235"/>
        <v>31</v>
      </c>
      <c r="E541" s="120">
        <f t="shared" si="236"/>
        <v>7</v>
      </c>
      <c r="F541" s="275">
        <f t="shared" si="237"/>
        <v>46584.5</v>
      </c>
      <c r="G541" s="120">
        <f t="shared" si="238"/>
        <v>24330</v>
      </c>
      <c r="H541" s="245">
        <f t="shared" si="239"/>
        <v>1</v>
      </c>
      <c r="I541" s="121">
        <f t="shared" si="240"/>
        <v>1</v>
      </c>
      <c r="J541" s="121">
        <f t="shared" si="241"/>
        <v>1</v>
      </c>
      <c r="K541" s="120">
        <f t="shared" si="242"/>
        <v>0</v>
      </c>
      <c r="L541" s="120">
        <f t="shared" si="243"/>
        <v>0</v>
      </c>
      <c r="M541" s="246">
        <f t="shared" si="244"/>
        <v>0</v>
      </c>
      <c r="N541" s="121">
        <f t="shared" si="245"/>
        <v>1</v>
      </c>
      <c r="O541" s="246">
        <f t="shared" si="246"/>
        <v>0.99315645514223194</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87">
        <v>32</v>
      </c>
      <c r="B542" s="242">
        <f t="shared" si="253"/>
        <v>46600</v>
      </c>
      <c r="C542" s="243">
        <f t="shared" si="234"/>
        <v>46630</v>
      </c>
      <c r="D542" s="120">
        <f t="shared" si="235"/>
        <v>31</v>
      </c>
      <c r="E542" s="120">
        <f t="shared" si="236"/>
        <v>8</v>
      </c>
      <c r="F542" s="275">
        <f t="shared" si="237"/>
        <v>46615.5</v>
      </c>
      <c r="G542" s="120">
        <f t="shared" si="238"/>
        <v>24331</v>
      </c>
      <c r="H542" s="245">
        <f t="shared" si="239"/>
        <v>1</v>
      </c>
      <c r="I542" s="121">
        <f t="shared" si="240"/>
        <v>1</v>
      </c>
      <c r="J542" s="121">
        <f t="shared" si="241"/>
        <v>1</v>
      </c>
      <c r="K542" s="120">
        <f t="shared" si="242"/>
        <v>0</v>
      </c>
      <c r="L542" s="120">
        <f t="shared" si="243"/>
        <v>0</v>
      </c>
      <c r="M542" s="246">
        <f t="shared" si="244"/>
        <v>0</v>
      </c>
      <c r="N542" s="121">
        <f t="shared" si="245"/>
        <v>1</v>
      </c>
      <c r="O542" s="246">
        <f t="shared" si="246"/>
        <v>0.99349562363238508</v>
      </c>
      <c r="P542" s="121">
        <f t="shared" si="247"/>
        <v>0</v>
      </c>
      <c r="Q542" s="121">
        <f t="shared" si="248"/>
        <v>0.375</v>
      </c>
      <c r="R542" s="121">
        <f t="shared" si="249"/>
        <v>0.625</v>
      </c>
      <c r="S542" s="121" t="str">
        <f t="shared" si="250"/>
        <v/>
      </c>
      <c r="T542" s="121" t="str">
        <f t="shared" si="251"/>
        <v/>
      </c>
      <c r="U542" s="121">
        <f t="shared" si="252"/>
        <v>1</v>
      </c>
    </row>
    <row r="543" spans="1:21" x14ac:dyDescent="0.3">
      <c r="A543" s="187">
        <v>33</v>
      </c>
      <c r="B543" s="242">
        <f t="shared" si="253"/>
        <v>46631</v>
      </c>
      <c r="C543" s="243">
        <f t="shared" si="234"/>
        <v>46660</v>
      </c>
      <c r="D543" s="120">
        <f t="shared" si="235"/>
        <v>30</v>
      </c>
      <c r="E543" s="120">
        <f t="shared" si="236"/>
        <v>9</v>
      </c>
      <c r="F543" s="275">
        <f t="shared" si="237"/>
        <v>46646</v>
      </c>
      <c r="G543" s="120">
        <f t="shared" si="238"/>
        <v>24332</v>
      </c>
      <c r="H543" s="245">
        <f t="shared" si="239"/>
        <v>1</v>
      </c>
      <c r="I543" s="121">
        <f t="shared" si="240"/>
        <v>1</v>
      </c>
      <c r="J543" s="121">
        <f t="shared" si="241"/>
        <v>1</v>
      </c>
      <c r="K543" s="120">
        <f t="shared" si="242"/>
        <v>0</v>
      </c>
      <c r="L543" s="120">
        <f t="shared" si="243"/>
        <v>0</v>
      </c>
      <c r="M543" s="246">
        <f t="shared" si="244"/>
        <v>0</v>
      </c>
      <c r="N543" s="121">
        <f t="shared" si="245"/>
        <v>1</v>
      </c>
      <c r="O543" s="246">
        <f t="shared" si="246"/>
        <v>0.99382932166301974</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87">
        <v>34</v>
      </c>
      <c r="B544" s="242">
        <f t="shared" si="253"/>
        <v>46661</v>
      </c>
      <c r="C544" s="243">
        <f t="shared" si="234"/>
        <v>46691</v>
      </c>
      <c r="D544" s="120">
        <f t="shared" si="235"/>
        <v>31</v>
      </c>
      <c r="E544" s="120">
        <f t="shared" si="236"/>
        <v>10</v>
      </c>
      <c r="F544" s="275">
        <f t="shared" si="237"/>
        <v>46676.5</v>
      </c>
      <c r="G544" s="120">
        <f t="shared" si="238"/>
        <v>24333</v>
      </c>
      <c r="H544" s="245">
        <f t="shared" si="239"/>
        <v>1</v>
      </c>
      <c r="I544" s="121">
        <f t="shared" si="240"/>
        <v>1</v>
      </c>
      <c r="J544" s="121">
        <f t="shared" si="241"/>
        <v>1</v>
      </c>
      <c r="K544" s="120">
        <f t="shared" si="242"/>
        <v>0</v>
      </c>
      <c r="L544" s="120">
        <f t="shared" si="243"/>
        <v>0</v>
      </c>
      <c r="M544" s="246">
        <f t="shared" si="244"/>
        <v>0</v>
      </c>
      <c r="N544" s="121">
        <f t="shared" si="245"/>
        <v>1</v>
      </c>
      <c r="O544" s="246">
        <f t="shared" si="246"/>
        <v>0.99416301969365428</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87">
        <v>35</v>
      </c>
      <c r="B545" s="242">
        <f t="shared" si="253"/>
        <v>46692</v>
      </c>
      <c r="C545" s="243">
        <f t="shared" si="234"/>
        <v>46721</v>
      </c>
      <c r="D545" s="120">
        <f t="shared" si="235"/>
        <v>30</v>
      </c>
      <c r="E545" s="120">
        <f t="shared" si="236"/>
        <v>11</v>
      </c>
      <c r="F545" s="275">
        <f t="shared" si="237"/>
        <v>46707</v>
      </c>
      <c r="G545" s="120">
        <f t="shared" si="238"/>
        <v>24334</v>
      </c>
      <c r="H545" s="245">
        <f t="shared" si="239"/>
        <v>1</v>
      </c>
      <c r="I545" s="121">
        <f t="shared" si="240"/>
        <v>1</v>
      </c>
      <c r="J545" s="121">
        <f t="shared" si="241"/>
        <v>1</v>
      </c>
      <c r="K545" s="120">
        <f t="shared" si="242"/>
        <v>0</v>
      </c>
      <c r="L545" s="120">
        <f t="shared" si="243"/>
        <v>0</v>
      </c>
      <c r="M545" s="246">
        <f t="shared" si="244"/>
        <v>0</v>
      </c>
      <c r="N545" s="121">
        <f t="shared" si="245"/>
        <v>1</v>
      </c>
      <c r="O545" s="246">
        <f t="shared" si="246"/>
        <v>0.99449671772428883</v>
      </c>
      <c r="P545" s="121">
        <f t="shared" si="247"/>
        <v>0</v>
      </c>
      <c r="Q545" s="121">
        <f t="shared" si="248"/>
        <v>0.125</v>
      </c>
      <c r="R545" s="121">
        <f t="shared" si="249"/>
        <v>0.875</v>
      </c>
      <c r="S545" s="121" t="str">
        <f t="shared" si="250"/>
        <v/>
      </c>
      <c r="T545" s="121" t="str">
        <f t="shared" si="251"/>
        <v/>
      </c>
      <c r="U545" s="121">
        <f t="shared" si="252"/>
        <v>1</v>
      </c>
    </row>
    <row r="546" spans="1:21" x14ac:dyDescent="0.3">
      <c r="A546" s="187">
        <v>36</v>
      </c>
      <c r="B546" s="242">
        <f t="shared" si="253"/>
        <v>46722</v>
      </c>
      <c r="C546" s="243">
        <f t="shared" si="234"/>
        <v>46752</v>
      </c>
      <c r="D546" s="120">
        <f t="shared" si="235"/>
        <v>31</v>
      </c>
      <c r="E546" s="120">
        <f t="shared" si="236"/>
        <v>12</v>
      </c>
      <c r="F546" s="275">
        <f t="shared" si="237"/>
        <v>46737.5</v>
      </c>
      <c r="G546" s="120">
        <f t="shared" si="238"/>
        <v>24335</v>
      </c>
      <c r="H546" s="245">
        <f t="shared" si="239"/>
        <v>1</v>
      </c>
      <c r="I546" s="121">
        <f t="shared" si="240"/>
        <v>1</v>
      </c>
      <c r="J546" s="121">
        <f t="shared" si="241"/>
        <v>1</v>
      </c>
      <c r="K546" s="120">
        <f t="shared" si="242"/>
        <v>0</v>
      </c>
      <c r="L546" s="120">
        <f t="shared" si="243"/>
        <v>0</v>
      </c>
      <c r="M546" s="246">
        <f t="shared" si="244"/>
        <v>0</v>
      </c>
      <c r="N546" s="121">
        <f t="shared" si="245"/>
        <v>1</v>
      </c>
      <c r="O546" s="246">
        <f t="shared" si="246"/>
        <v>0.99483041575492337</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87">
        <v>37</v>
      </c>
      <c r="B547" s="242">
        <f t="shared" si="253"/>
        <v>46753</v>
      </c>
      <c r="C547" s="243">
        <f t="shared" si="234"/>
        <v>46783</v>
      </c>
      <c r="D547" s="120">
        <f t="shared" si="235"/>
        <v>31</v>
      </c>
      <c r="E547" s="120">
        <f t="shared" si="236"/>
        <v>1</v>
      </c>
      <c r="F547" s="275">
        <f t="shared" si="237"/>
        <v>46768.5</v>
      </c>
      <c r="G547" s="120">
        <f t="shared" si="238"/>
        <v>24336</v>
      </c>
      <c r="H547" s="245">
        <f t="shared" si="239"/>
        <v>1</v>
      </c>
      <c r="I547" s="121">
        <f t="shared" si="240"/>
        <v>1</v>
      </c>
      <c r="J547" s="121">
        <f t="shared" si="241"/>
        <v>1</v>
      </c>
      <c r="K547" s="120">
        <f t="shared" si="242"/>
        <v>0</v>
      </c>
      <c r="L547" s="120">
        <f t="shared" si="243"/>
        <v>0</v>
      </c>
      <c r="M547" s="246">
        <f t="shared" si="244"/>
        <v>0</v>
      </c>
      <c r="N547" s="121">
        <f t="shared" si="245"/>
        <v>1</v>
      </c>
      <c r="O547" s="246">
        <f t="shared" si="246"/>
        <v>0.995</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87">
        <v>38</v>
      </c>
      <c r="B548" s="242">
        <f t="shared" si="253"/>
        <v>46784</v>
      </c>
      <c r="C548" s="243">
        <f t="shared" si="234"/>
        <v>46812</v>
      </c>
      <c r="D548" s="120">
        <f t="shared" si="235"/>
        <v>29</v>
      </c>
      <c r="E548" s="120">
        <f t="shared" si="236"/>
        <v>2</v>
      </c>
      <c r="F548" s="275">
        <f t="shared" si="237"/>
        <v>46798.5</v>
      </c>
      <c r="G548" s="120">
        <f t="shared" si="238"/>
        <v>24337</v>
      </c>
      <c r="H548" s="245">
        <f t="shared" si="239"/>
        <v>1</v>
      </c>
      <c r="I548" s="121">
        <f t="shared" si="240"/>
        <v>1</v>
      </c>
      <c r="J548" s="121">
        <f t="shared" si="241"/>
        <v>1</v>
      </c>
      <c r="K548" s="120">
        <f t="shared" si="242"/>
        <v>0</v>
      </c>
      <c r="L548" s="120">
        <f t="shared" si="243"/>
        <v>0</v>
      </c>
      <c r="M548" s="246">
        <f t="shared" si="244"/>
        <v>0</v>
      </c>
      <c r="N548" s="121">
        <f t="shared" si="245"/>
        <v>1</v>
      </c>
      <c r="O548" s="246">
        <f t="shared" si="246"/>
        <v>0.995</v>
      </c>
      <c r="P548" s="121">
        <f t="shared" si="247"/>
        <v>0</v>
      </c>
      <c r="Q548" s="121">
        <f t="shared" si="248"/>
        <v>0</v>
      </c>
      <c r="R548" s="121">
        <f t="shared" si="249"/>
        <v>0.875</v>
      </c>
      <c r="S548" s="121" t="str">
        <f t="shared" si="250"/>
        <v/>
      </c>
      <c r="T548" s="121" t="str">
        <f t="shared" si="251"/>
        <v/>
      </c>
      <c r="U548" s="121">
        <f t="shared" si="252"/>
        <v>1</v>
      </c>
    </row>
    <row r="549" spans="1:21" x14ac:dyDescent="0.3">
      <c r="A549" s="187">
        <v>39</v>
      </c>
      <c r="B549" s="242">
        <f t="shared" si="253"/>
        <v>46813</v>
      </c>
      <c r="C549" s="243">
        <f t="shared" si="234"/>
        <v>46843</v>
      </c>
      <c r="D549" s="120">
        <f t="shared" si="235"/>
        <v>31</v>
      </c>
      <c r="E549" s="120">
        <f t="shared" si="236"/>
        <v>3</v>
      </c>
      <c r="F549" s="275">
        <f t="shared" si="237"/>
        <v>46828.5</v>
      </c>
      <c r="G549" s="120">
        <f t="shared" si="238"/>
        <v>24338</v>
      </c>
      <c r="H549" s="245">
        <f t="shared" si="239"/>
        <v>1</v>
      </c>
      <c r="I549" s="121">
        <f t="shared" si="240"/>
        <v>1</v>
      </c>
      <c r="J549" s="121">
        <f t="shared" si="241"/>
        <v>1</v>
      </c>
      <c r="K549" s="120">
        <f t="shared" si="242"/>
        <v>0</v>
      </c>
      <c r="L549" s="120">
        <f t="shared" si="243"/>
        <v>0</v>
      </c>
      <c r="M549" s="246">
        <f t="shared" si="244"/>
        <v>0</v>
      </c>
      <c r="N549" s="121">
        <f t="shared" si="245"/>
        <v>1</v>
      </c>
      <c r="O549" s="246">
        <f t="shared" si="246"/>
        <v>0.995</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87">
        <v>40</v>
      </c>
      <c r="B550" s="242">
        <f t="shared" si="253"/>
        <v>46844</v>
      </c>
      <c r="C550" s="243">
        <f t="shared" si="234"/>
        <v>46873</v>
      </c>
      <c r="D550" s="120">
        <f t="shared" si="235"/>
        <v>30</v>
      </c>
      <c r="E550" s="120">
        <f t="shared" si="236"/>
        <v>4</v>
      </c>
      <c r="F550" s="275">
        <f t="shared" si="237"/>
        <v>46859</v>
      </c>
      <c r="G550" s="120">
        <f t="shared" si="238"/>
        <v>24339</v>
      </c>
      <c r="H550" s="245">
        <f t="shared" si="239"/>
        <v>1</v>
      </c>
      <c r="I550" s="121">
        <f t="shared" si="240"/>
        <v>1</v>
      </c>
      <c r="J550" s="121">
        <f t="shared" si="241"/>
        <v>1</v>
      </c>
      <c r="K550" s="120">
        <f t="shared" si="242"/>
        <v>0</v>
      </c>
      <c r="L550" s="120">
        <f t="shared" si="243"/>
        <v>0</v>
      </c>
      <c r="M550" s="246">
        <f t="shared" si="244"/>
        <v>0</v>
      </c>
      <c r="N550" s="121">
        <f t="shared" si="245"/>
        <v>1</v>
      </c>
      <c r="O550" s="246">
        <f t="shared" si="246"/>
        <v>0.995</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87">
        <v>41</v>
      </c>
      <c r="B551" s="242">
        <f t="shared" si="253"/>
        <v>46874</v>
      </c>
      <c r="C551" s="243">
        <f t="shared" si="234"/>
        <v>46904</v>
      </c>
      <c r="D551" s="120">
        <f t="shared" si="235"/>
        <v>31</v>
      </c>
      <c r="E551" s="120">
        <f t="shared" si="236"/>
        <v>5</v>
      </c>
      <c r="F551" s="275">
        <f t="shared" si="237"/>
        <v>46889.5</v>
      </c>
      <c r="G551" s="120">
        <f t="shared" si="238"/>
        <v>24340</v>
      </c>
      <c r="H551" s="245">
        <f t="shared" si="239"/>
        <v>1</v>
      </c>
      <c r="I551" s="121">
        <f t="shared" si="240"/>
        <v>1</v>
      </c>
      <c r="J551" s="121">
        <f t="shared" si="241"/>
        <v>1</v>
      </c>
      <c r="K551" s="120">
        <f t="shared" si="242"/>
        <v>0</v>
      </c>
      <c r="L551" s="120">
        <f t="shared" si="243"/>
        <v>0</v>
      </c>
      <c r="M551" s="246">
        <f t="shared" si="244"/>
        <v>0</v>
      </c>
      <c r="N551" s="121">
        <f t="shared" si="245"/>
        <v>1</v>
      </c>
      <c r="O551" s="246">
        <f t="shared" si="246"/>
        <v>0.995</v>
      </c>
      <c r="P551" s="121">
        <f t="shared" si="247"/>
        <v>0</v>
      </c>
      <c r="Q551" s="121">
        <f t="shared" si="248"/>
        <v>0</v>
      </c>
      <c r="R551" s="121">
        <f t="shared" si="249"/>
        <v>0.625</v>
      </c>
      <c r="S551" s="121" t="str">
        <f t="shared" si="250"/>
        <v/>
      </c>
      <c r="T551" s="121" t="str">
        <f t="shared" si="251"/>
        <v/>
      </c>
      <c r="U551" s="121">
        <f t="shared" si="252"/>
        <v>1</v>
      </c>
    </row>
    <row r="552" spans="1:21" x14ac:dyDescent="0.3">
      <c r="A552" s="187">
        <v>42</v>
      </c>
      <c r="B552" s="242">
        <f t="shared" si="253"/>
        <v>46905</v>
      </c>
      <c r="C552" s="243">
        <f t="shared" si="234"/>
        <v>46934</v>
      </c>
      <c r="D552" s="120">
        <f t="shared" si="235"/>
        <v>30</v>
      </c>
      <c r="E552" s="120">
        <f t="shared" si="236"/>
        <v>6</v>
      </c>
      <c r="F552" s="275">
        <f t="shared" si="237"/>
        <v>46920</v>
      </c>
      <c r="G552" s="120">
        <f t="shared" si="238"/>
        <v>24341</v>
      </c>
      <c r="H552" s="245">
        <f t="shared" si="239"/>
        <v>1</v>
      </c>
      <c r="I552" s="121">
        <f t="shared" si="240"/>
        <v>1</v>
      </c>
      <c r="J552" s="121">
        <f t="shared" si="241"/>
        <v>1</v>
      </c>
      <c r="K552" s="120">
        <f t="shared" si="242"/>
        <v>0</v>
      </c>
      <c r="L552" s="120">
        <f t="shared" si="243"/>
        <v>0</v>
      </c>
      <c r="M552" s="246">
        <f t="shared" si="244"/>
        <v>0</v>
      </c>
      <c r="N552" s="121">
        <f t="shared" si="245"/>
        <v>1</v>
      </c>
      <c r="O552" s="246">
        <f t="shared" si="246"/>
        <v>0.995</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87">
        <v>43</v>
      </c>
      <c r="B553" s="242">
        <f t="shared" si="253"/>
        <v>46935</v>
      </c>
      <c r="C553" s="243">
        <f t="shared" si="234"/>
        <v>46965</v>
      </c>
      <c r="D553" s="120">
        <f t="shared" si="235"/>
        <v>31</v>
      </c>
      <c r="E553" s="120">
        <f t="shared" si="236"/>
        <v>7</v>
      </c>
      <c r="F553" s="275">
        <f t="shared" si="237"/>
        <v>46950.5</v>
      </c>
      <c r="G553" s="120">
        <f t="shared" si="238"/>
        <v>24342</v>
      </c>
      <c r="H553" s="245">
        <f t="shared" si="239"/>
        <v>1</v>
      </c>
      <c r="I553" s="121">
        <f t="shared" si="240"/>
        <v>1</v>
      </c>
      <c r="J553" s="121">
        <f t="shared" si="241"/>
        <v>1</v>
      </c>
      <c r="K553" s="120">
        <f t="shared" si="242"/>
        <v>0</v>
      </c>
      <c r="L553" s="120">
        <f t="shared" si="243"/>
        <v>0</v>
      </c>
      <c r="M553" s="246">
        <f t="shared" si="244"/>
        <v>0</v>
      </c>
      <c r="N553" s="121">
        <f t="shared" si="245"/>
        <v>1</v>
      </c>
      <c r="O553" s="246">
        <f t="shared" si="246"/>
        <v>0.995</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87">
        <v>44</v>
      </c>
      <c r="B554" s="242">
        <f t="shared" si="253"/>
        <v>46966</v>
      </c>
      <c r="C554" s="243">
        <f t="shared" si="234"/>
        <v>46996</v>
      </c>
      <c r="D554" s="120">
        <f t="shared" si="235"/>
        <v>31</v>
      </c>
      <c r="E554" s="120">
        <f t="shared" si="236"/>
        <v>8</v>
      </c>
      <c r="F554" s="275">
        <f t="shared" si="237"/>
        <v>46981.5</v>
      </c>
      <c r="G554" s="120">
        <f t="shared" si="238"/>
        <v>24343</v>
      </c>
      <c r="H554" s="245">
        <f t="shared" si="239"/>
        <v>1</v>
      </c>
      <c r="I554" s="121">
        <f t="shared" si="240"/>
        <v>1</v>
      </c>
      <c r="J554" s="121">
        <f t="shared" si="241"/>
        <v>1</v>
      </c>
      <c r="K554" s="120">
        <f t="shared" si="242"/>
        <v>0</v>
      </c>
      <c r="L554" s="120">
        <f t="shared" si="243"/>
        <v>0</v>
      </c>
      <c r="M554" s="246">
        <f t="shared" si="244"/>
        <v>0</v>
      </c>
      <c r="N554" s="121">
        <f t="shared" si="245"/>
        <v>1</v>
      </c>
      <c r="O554" s="246">
        <f t="shared" si="246"/>
        <v>0.995</v>
      </c>
      <c r="P554" s="121">
        <f t="shared" si="247"/>
        <v>0</v>
      </c>
      <c r="Q554" s="121">
        <f t="shared" si="248"/>
        <v>0</v>
      </c>
      <c r="R554" s="121">
        <f t="shared" si="249"/>
        <v>0.375</v>
      </c>
      <c r="S554" s="121" t="str">
        <f t="shared" si="250"/>
        <v/>
      </c>
      <c r="T554" s="121" t="str">
        <f t="shared" si="251"/>
        <v/>
      </c>
      <c r="U554" s="121">
        <f t="shared" si="252"/>
        <v>1</v>
      </c>
    </row>
    <row r="555" spans="1:21" x14ac:dyDescent="0.3">
      <c r="A555" s="187">
        <v>45</v>
      </c>
      <c r="B555" s="242">
        <f t="shared" si="253"/>
        <v>46997</v>
      </c>
      <c r="C555" s="243">
        <f t="shared" si="234"/>
        <v>47026</v>
      </c>
      <c r="D555" s="120">
        <f t="shared" si="235"/>
        <v>30</v>
      </c>
      <c r="E555" s="120">
        <f t="shared" si="236"/>
        <v>9</v>
      </c>
      <c r="F555" s="275">
        <f t="shared" si="237"/>
        <v>47012</v>
      </c>
      <c r="G555" s="120">
        <f t="shared" si="238"/>
        <v>24344</v>
      </c>
      <c r="H555" s="245">
        <f t="shared" si="239"/>
        <v>1</v>
      </c>
      <c r="I555" s="121">
        <f t="shared" si="240"/>
        <v>1</v>
      </c>
      <c r="J555" s="121">
        <f t="shared" si="241"/>
        <v>1</v>
      </c>
      <c r="K555" s="120">
        <f t="shared" si="242"/>
        <v>0</v>
      </c>
      <c r="L555" s="120">
        <f t="shared" si="243"/>
        <v>0</v>
      </c>
      <c r="M555" s="246">
        <f t="shared" si="244"/>
        <v>0</v>
      </c>
      <c r="N555" s="121">
        <f t="shared" si="245"/>
        <v>1</v>
      </c>
      <c r="O555" s="246">
        <f t="shared" si="246"/>
        <v>0.995</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87">
        <v>46</v>
      </c>
      <c r="B556" s="242">
        <f t="shared" si="253"/>
        <v>47027</v>
      </c>
      <c r="C556" s="243">
        <f t="shared" si="234"/>
        <v>47057</v>
      </c>
      <c r="D556" s="120">
        <f t="shared" si="235"/>
        <v>31</v>
      </c>
      <c r="E556" s="120">
        <f t="shared" si="236"/>
        <v>10</v>
      </c>
      <c r="F556" s="275">
        <f t="shared" si="237"/>
        <v>47042.5</v>
      </c>
      <c r="G556" s="120">
        <f t="shared" si="238"/>
        <v>24345</v>
      </c>
      <c r="H556" s="245">
        <f t="shared" si="239"/>
        <v>1</v>
      </c>
      <c r="I556" s="121">
        <f t="shared" si="240"/>
        <v>1</v>
      </c>
      <c r="J556" s="121">
        <f t="shared" si="241"/>
        <v>1</v>
      </c>
      <c r="K556" s="120">
        <f t="shared" si="242"/>
        <v>0</v>
      </c>
      <c r="L556" s="120">
        <f t="shared" si="243"/>
        <v>0</v>
      </c>
      <c r="M556" s="246">
        <f t="shared" si="244"/>
        <v>0</v>
      </c>
      <c r="N556" s="121">
        <f t="shared" si="245"/>
        <v>1</v>
      </c>
      <c r="O556" s="246">
        <f t="shared" si="246"/>
        <v>0.995</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87">
        <v>47</v>
      </c>
      <c r="B557" s="242">
        <f t="shared" si="253"/>
        <v>47058</v>
      </c>
      <c r="C557" s="243">
        <f t="shared" si="234"/>
        <v>47087</v>
      </c>
      <c r="D557" s="120">
        <f t="shared" si="235"/>
        <v>30</v>
      </c>
      <c r="E557" s="120">
        <f t="shared" si="236"/>
        <v>11</v>
      </c>
      <c r="F557" s="275">
        <f t="shared" si="237"/>
        <v>47073</v>
      </c>
      <c r="G557" s="120">
        <f t="shared" si="238"/>
        <v>24346</v>
      </c>
      <c r="H557" s="245">
        <f t="shared" si="239"/>
        <v>1</v>
      </c>
      <c r="I557" s="121">
        <f t="shared" si="240"/>
        <v>1</v>
      </c>
      <c r="J557" s="121">
        <f t="shared" si="241"/>
        <v>1</v>
      </c>
      <c r="K557" s="120">
        <f t="shared" si="242"/>
        <v>0</v>
      </c>
      <c r="L557" s="120">
        <f t="shared" si="243"/>
        <v>0</v>
      </c>
      <c r="M557" s="246">
        <f t="shared" si="244"/>
        <v>0</v>
      </c>
      <c r="N557" s="121">
        <f t="shared" si="245"/>
        <v>1</v>
      </c>
      <c r="O557" s="246">
        <f t="shared" si="246"/>
        <v>0.995</v>
      </c>
      <c r="P557" s="121">
        <f t="shared" si="247"/>
        <v>0</v>
      </c>
      <c r="Q557" s="121">
        <f t="shared" si="248"/>
        <v>0</v>
      </c>
      <c r="R557" s="121">
        <f t="shared" si="249"/>
        <v>0.125</v>
      </c>
      <c r="S557" s="121" t="str">
        <f t="shared" si="250"/>
        <v/>
      </c>
      <c r="T557" s="121" t="str">
        <f t="shared" si="251"/>
        <v/>
      </c>
      <c r="U557" s="121">
        <f t="shared" si="252"/>
        <v>1</v>
      </c>
    </row>
    <row r="558" spans="1:21" x14ac:dyDescent="0.3">
      <c r="A558" s="187">
        <v>48</v>
      </c>
      <c r="B558" s="242">
        <f t="shared" si="253"/>
        <v>47088</v>
      </c>
      <c r="C558" s="243">
        <f t="shared" si="234"/>
        <v>47118</v>
      </c>
      <c r="D558" s="120">
        <f t="shared" si="235"/>
        <v>31</v>
      </c>
      <c r="E558" s="120">
        <f t="shared" si="236"/>
        <v>12</v>
      </c>
      <c r="F558" s="275">
        <f t="shared" si="237"/>
        <v>47103.5</v>
      </c>
      <c r="G558" s="120">
        <f t="shared" si="238"/>
        <v>24347</v>
      </c>
      <c r="H558" s="245">
        <f t="shared" si="239"/>
        <v>1</v>
      </c>
      <c r="I558" s="121">
        <f t="shared" si="240"/>
        <v>1</v>
      </c>
      <c r="J558" s="121">
        <f t="shared" si="241"/>
        <v>1</v>
      </c>
      <c r="K558" s="120">
        <f t="shared" si="242"/>
        <v>0</v>
      </c>
      <c r="L558" s="120">
        <f t="shared" si="243"/>
        <v>0</v>
      </c>
      <c r="M558" s="246">
        <f t="shared" si="244"/>
        <v>0</v>
      </c>
      <c r="N558" s="121">
        <f t="shared" si="245"/>
        <v>1</v>
      </c>
      <c r="O558" s="246">
        <f t="shared" si="246"/>
        <v>0.995</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1651</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0.99099790299051793</v>
      </c>
      <c r="G559" s="224">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12</v>
      </c>
      <c r="D562" s="75">
        <f>IF(COUNTIF(se_state,$B562)=0,0,MATCH($B562,se_state,0))</f>
        <v>0</v>
      </c>
      <c r="E562" s="70">
        <f>IF($D562=0,0,INDEX(se_sum,$D562))</f>
        <v>0</v>
      </c>
      <c r="F562" s="224">
        <f>IF(N(INDEX(lr_mind,10))=0,1,INDEX(lr_mind,10))</f>
        <v>1</v>
      </c>
      <c r="G562" s="224">
        <f>IF(N(INDEX(lr_m0,10))=0,1,INDEX(lr_m0,10))</f>
        <v>0.99</v>
      </c>
      <c r="H562" s="74">
        <f>IF(N(INDEX(lr_m0asof,10))=0,DATE(nr_PlanYear-1,10,1),INDEX(lr_m0asof,10))</f>
        <v>46295</v>
      </c>
      <c r="I562" s="224">
        <f>IF(N(INDEX(lr_m1,10))=0,1,INDEX(lr_m1,10))</f>
        <v>1.01</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54">EOMONTH($B565,0)</f>
        <v>45688</v>
      </c>
      <c r="D565" s="120">
        <f t="shared" ref="D565:D612" si="255">$C565-$B565+1</f>
        <v>31</v>
      </c>
      <c r="E565" s="120">
        <f t="shared" ref="E565:E612" si="256">MONTH($B565)</f>
        <v>1</v>
      </c>
      <c r="F565" s="275">
        <f t="shared" ref="F565:F612" si="257">($B565+$C565+1)/2</f>
        <v>45673.5</v>
      </c>
      <c r="G565" s="120">
        <f t="shared" ref="G565:G612" si="258">YEAR($B565)*12+MONTH($B565)-1</f>
        <v>24300</v>
      </c>
      <c r="H565" s="245">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46">
        <f t="shared" ref="M565:M612" si="264">IF($K565=0,0,MIN(1,$L565/$D565))</f>
        <v>0</v>
      </c>
      <c r="N565" s="121">
        <f t="shared" ref="N565:N612" si="265">IF($K565=0,$J565,(1-$M565)*$I565+$M565*$J565)</f>
        <v>1</v>
      </c>
      <c r="O565" s="246">
        <f t="shared" ref="O565:O612" si="266">IF($F565&lt;$B$563,$E$563+$I$563*($F565-$A$563),IF($F565&lt;$C$563,$F$563+$J$563*($F565-$B$563),$G$563+$K$563*($F565-$C$563)))</f>
        <v>0.96275711159737409</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87">
        <v>2</v>
      </c>
      <c r="B566" s="242">
        <f t="shared" ref="B566:B612" si="273">EDATE($B565,1)</f>
        <v>45689</v>
      </c>
      <c r="C566" s="243">
        <f t="shared" si="254"/>
        <v>45716</v>
      </c>
      <c r="D566" s="120">
        <f t="shared" si="255"/>
        <v>28</v>
      </c>
      <c r="E566" s="120">
        <f t="shared" si="256"/>
        <v>2</v>
      </c>
      <c r="F566" s="275">
        <f t="shared" si="257"/>
        <v>45703</v>
      </c>
      <c r="G566" s="120">
        <f t="shared" si="258"/>
        <v>24301</v>
      </c>
      <c r="H566" s="245">
        <f t="shared" si="259"/>
        <v>1</v>
      </c>
      <c r="I566" s="121">
        <f t="shared" si="260"/>
        <v>1</v>
      </c>
      <c r="J566" s="121">
        <f t="shared" si="261"/>
        <v>1</v>
      </c>
      <c r="K566" s="120">
        <f t="shared" si="262"/>
        <v>0</v>
      </c>
      <c r="L566" s="120">
        <f t="shared" si="263"/>
        <v>0</v>
      </c>
      <c r="M566" s="246">
        <f t="shared" si="264"/>
        <v>0</v>
      </c>
      <c r="N566" s="121">
        <f t="shared" si="265"/>
        <v>1</v>
      </c>
      <c r="O566" s="246">
        <f t="shared" si="266"/>
        <v>0.9640481400437636</v>
      </c>
      <c r="P566" s="121">
        <f t="shared" si="267"/>
        <v>0.125</v>
      </c>
      <c r="Q566" s="121">
        <f t="shared" si="268"/>
        <v>0</v>
      </c>
      <c r="R566" s="121">
        <f t="shared" si="269"/>
        <v>0</v>
      </c>
      <c r="S566" s="121" t="str">
        <f t="shared" si="270"/>
        <v/>
      </c>
      <c r="T566" s="121" t="str">
        <f t="shared" si="271"/>
        <v/>
      </c>
      <c r="U566" s="121">
        <f t="shared" si="272"/>
        <v>1</v>
      </c>
    </row>
    <row r="567" spans="1:21" x14ac:dyDescent="0.3">
      <c r="A567" s="187">
        <v>3</v>
      </c>
      <c r="B567" s="242">
        <f t="shared" si="273"/>
        <v>45717</v>
      </c>
      <c r="C567" s="243">
        <f t="shared" si="254"/>
        <v>45747</v>
      </c>
      <c r="D567" s="120">
        <f t="shared" si="255"/>
        <v>31</v>
      </c>
      <c r="E567" s="120">
        <f t="shared" si="256"/>
        <v>3</v>
      </c>
      <c r="F567" s="275">
        <f t="shared" si="257"/>
        <v>45732.5</v>
      </c>
      <c r="G567" s="120">
        <f t="shared" si="258"/>
        <v>24302</v>
      </c>
      <c r="H567" s="245">
        <f t="shared" si="259"/>
        <v>1</v>
      </c>
      <c r="I567" s="121">
        <f t="shared" si="260"/>
        <v>1</v>
      </c>
      <c r="J567" s="121">
        <f t="shared" si="261"/>
        <v>1</v>
      </c>
      <c r="K567" s="120">
        <f t="shared" si="262"/>
        <v>0</v>
      </c>
      <c r="L567" s="120">
        <f t="shared" si="263"/>
        <v>0</v>
      </c>
      <c r="M567" s="246">
        <f t="shared" si="264"/>
        <v>0</v>
      </c>
      <c r="N567" s="121">
        <f t="shared" si="265"/>
        <v>1</v>
      </c>
      <c r="O567" s="246">
        <f t="shared" si="266"/>
        <v>0.96533916849015311</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87">
        <v>4</v>
      </c>
      <c r="B568" s="242">
        <f t="shared" si="273"/>
        <v>45748</v>
      </c>
      <c r="C568" s="243">
        <f t="shared" si="254"/>
        <v>45777</v>
      </c>
      <c r="D568" s="120">
        <f t="shared" si="255"/>
        <v>30</v>
      </c>
      <c r="E568" s="120">
        <f t="shared" si="256"/>
        <v>4</v>
      </c>
      <c r="F568" s="275">
        <f t="shared" si="257"/>
        <v>45763</v>
      </c>
      <c r="G568" s="120">
        <f t="shared" si="258"/>
        <v>24303</v>
      </c>
      <c r="H568" s="245">
        <f t="shared" si="259"/>
        <v>1</v>
      </c>
      <c r="I568" s="121">
        <f t="shared" si="260"/>
        <v>1</v>
      </c>
      <c r="J568" s="121">
        <f t="shared" si="261"/>
        <v>1</v>
      </c>
      <c r="K568" s="120">
        <f t="shared" si="262"/>
        <v>0</v>
      </c>
      <c r="L568" s="120">
        <f t="shared" si="263"/>
        <v>0</v>
      </c>
      <c r="M568" s="246">
        <f t="shared" si="264"/>
        <v>0</v>
      </c>
      <c r="N568" s="121">
        <f t="shared" si="265"/>
        <v>1</v>
      </c>
      <c r="O568" s="246">
        <f t="shared" si="266"/>
        <v>0.9666739606126914</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87">
        <v>5</v>
      </c>
      <c r="B569" s="242">
        <f t="shared" si="273"/>
        <v>45778</v>
      </c>
      <c r="C569" s="243">
        <f t="shared" si="254"/>
        <v>45808</v>
      </c>
      <c r="D569" s="120">
        <f t="shared" si="255"/>
        <v>31</v>
      </c>
      <c r="E569" s="120">
        <f t="shared" si="256"/>
        <v>5</v>
      </c>
      <c r="F569" s="275">
        <f t="shared" si="257"/>
        <v>45793.5</v>
      </c>
      <c r="G569" s="120">
        <f t="shared" si="258"/>
        <v>24304</v>
      </c>
      <c r="H569" s="245">
        <f t="shared" si="259"/>
        <v>1</v>
      </c>
      <c r="I569" s="121">
        <f t="shared" si="260"/>
        <v>1</v>
      </c>
      <c r="J569" s="121">
        <f t="shared" si="261"/>
        <v>1</v>
      </c>
      <c r="K569" s="120">
        <f t="shared" si="262"/>
        <v>0</v>
      </c>
      <c r="L569" s="120">
        <f t="shared" si="263"/>
        <v>0</v>
      </c>
      <c r="M569" s="246">
        <f t="shared" si="264"/>
        <v>0</v>
      </c>
      <c r="N569" s="121">
        <f t="shared" si="265"/>
        <v>1</v>
      </c>
      <c r="O569" s="246">
        <f t="shared" si="266"/>
        <v>0.96800875273522968</v>
      </c>
      <c r="P569" s="121">
        <f t="shared" si="267"/>
        <v>0.375</v>
      </c>
      <c r="Q569" s="121">
        <f t="shared" si="268"/>
        <v>0</v>
      </c>
      <c r="R569" s="121">
        <f t="shared" si="269"/>
        <v>0</v>
      </c>
      <c r="S569" s="121" t="str">
        <f t="shared" si="270"/>
        <v/>
      </c>
      <c r="T569" s="121" t="str">
        <f t="shared" si="271"/>
        <v/>
      </c>
      <c r="U569" s="121">
        <f t="shared" si="272"/>
        <v>1</v>
      </c>
    </row>
    <row r="570" spans="1:21" x14ac:dyDescent="0.3">
      <c r="A570" s="187">
        <v>6</v>
      </c>
      <c r="B570" s="242">
        <f t="shared" si="273"/>
        <v>45809</v>
      </c>
      <c r="C570" s="243">
        <f t="shared" si="254"/>
        <v>45838</v>
      </c>
      <c r="D570" s="120">
        <f t="shared" si="255"/>
        <v>30</v>
      </c>
      <c r="E570" s="120">
        <f t="shared" si="256"/>
        <v>6</v>
      </c>
      <c r="F570" s="275">
        <f t="shared" si="257"/>
        <v>45824</v>
      </c>
      <c r="G570" s="120">
        <f t="shared" si="258"/>
        <v>24305</v>
      </c>
      <c r="H570" s="245">
        <f t="shared" si="259"/>
        <v>1</v>
      </c>
      <c r="I570" s="121">
        <f t="shared" si="260"/>
        <v>1</v>
      </c>
      <c r="J570" s="121">
        <f t="shared" si="261"/>
        <v>1</v>
      </c>
      <c r="K570" s="120">
        <f t="shared" si="262"/>
        <v>0</v>
      </c>
      <c r="L570" s="120">
        <f t="shared" si="263"/>
        <v>0</v>
      </c>
      <c r="M570" s="246">
        <f t="shared" si="264"/>
        <v>0</v>
      </c>
      <c r="N570" s="121">
        <f t="shared" si="265"/>
        <v>1</v>
      </c>
      <c r="O570" s="246">
        <f t="shared" si="266"/>
        <v>0.96934354485776797</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87">
        <v>7</v>
      </c>
      <c r="B571" s="242">
        <f t="shared" si="273"/>
        <v>45839</v>
      </c>
      <c r="C571" s="243">
        <f t="shared" si="254"/>
        <v>45869</v>
      </c>
      <c r="D571" s="120">
        <f t="shared" si="255"/>
        <v>31</v>
      </c>
      <c r="E571" s="120">
        <f t="shared" si="256"/>
        <v>7</v>
      </c>
      <c r="F571" s="275">
        <f t="shared" si="257"/>
        <v>45854.5</v>
      </c>
      <c r="G571" s="120">
        <f t="shared" si="258"/>
        <v>24306</v>
      </c>
      <c r="H571" s="245">
        <f t="shared" si="259"/>
        <v>1</v>
      </c>
      <c r="I571" s="121">
        <f t="shared" si="260"/>
        <v>1</v>
      </c>
      <c r="J571" s="121">
        <f t="shared" si="261"/>
        <v>1</v>
      </c>
      <c r="K571" s="120">
        <f t="shared" si="262"/>
        <v>0</v>
      </c>
      <c r="L571" s="120">
        <f t="shared" si="263"/>
        <v>0</v>
      </c>
      <c r="M571" s="246">
        <f t="shared" si="264"/>
        <v>0</v>
      </c>
      <c r="N571" s="121">
        <f t="shared" si="265"/>
        <v>1</v>
      </c>
      <c r="O571" s="246">
        <f t="shared" si="266"/>
        <v>0.97067833698030626</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87">
        <v>8</v>
      </c>
      <c r="B572" s="242">
        <f t="shared" si="273"/>
        <v>45870</v>
      </c>
      <c r="C572" s="243">
        <f t="shared" si="254"/>
        <v>45900</v>
      </c>
      <c r="D572" s="120">
        <f t="shared" si="255"/>
        <v>31</v>
      </c>
      <c r="E572" s="120">
        <f t="shared" si="256"/>
        <v>8</v>
      </c>
      <c r="F572" s="275">
        <f t="shared" si="257"/>
        <v>45885.5</v>
      </c>
      <c r="G572" s="120">
        <f t="shared" si="258"/>
        <v>24307</v>
      </c>
      <c r="H572" s="245">
        <f t="shared" si="259"/>
        <v>1</v>
      </c>
      <c r="I572" s="121">
        <f t="shared" si="260"/>
        <v>1</v>
      </c>
      <c r="J572" s="121">
        <f t="shared" si="261"/>
        <v>1</v>
      </c>
      <c r="K572" s="120">
        <f t="shared" si="262"/>
        <v>0</v>
      </c>
      <c r="L572" s="120">
        <f t="shared" si="263"/>
        <v>0</v>
      </c>
      <c r="M572" s="246">
        <f t="shared" si="264"/>
        <v>0</v>
      </c>
      <c r="N572" s="121">
        <f t="shared" si="265"/>
        <v>1</v>
      </c>
      <c r="O572" s="246">
        <f t="shared" si="266"/>
        <v>0.97203501094091893</v>
      </c>
      <c r="P572" s="121">
        <f t="shared" si="267"/>
        <v>0.625</v>
      </c>
      <c r="Q572" s="121">
        <f t="shared" si="268"/>
        <v>0</v>
      </c>
      <c r="R572" s="121">
        <f t="shared" si="269"/>
        <v>0</v>
      </c>
      <c r="S572" s="121" t="str">
        <f t="shared" si="270"/>
        <v/>
      </c>
      <c r="T572" s="121" t="str">
        <f t="shared" si="271"/>
        <v/>
      </c>
      <c r="U572" s="121">
        <f t="shared" si="272"/>
        <v>1</v>
      </c>
    </row>
    <row r="573" spans="1:21" x14ac:dyDescent="0.3">
      <c r="A573" s="187">
        <v>9</v>
      </c>
      <c r="B573" s="242">
        <f t="shared" si="273"/>
        <v>45901</v>
      </c>
      <c r="C573" s="243">
        <f t="shared" si="254"/>
        <v>45930</v>
      </c>
      <c r="D573" s="120">
        <f t="shared" si="255"/>
        <v>30</v>
      </c>
      <c r="E573" s="120">
        <f t="shared" si="256"/>
        <v>9</v>
      </c>
      <c r="F573" s="275">
        <f t="shared" si="257"/>
        <v>45916</v>
      </c>
      <c r="G573" s="120">
        <f t="shared" si="258"/>
        <v>24308</v>
      </c>
      <c r="H573" s="245">
        <f t="shared" si="259"/>
        <v>1</v>
      </c>
      <c r="I573" s="121">
        <f t="shared" si="260"/>
        <v>1</v>
      </c>
      <c r="J573" s="121">
        <f t="shared" si="261"/>
        <v>1</v>
      </c>
      <c r="K573" s="120">
        <f t="shared" si="262"/>
        <v>0</v>
      </c>
      <c r="L573" s="120">
        <f t="shared" si="263"/>
        <v>0</v>
      </c>
      <c r="M573" s="246">
        <f t="shared" si="264"/>
        <v>0</v>
      </c>
      <c r="N573" s="121">
        <f t="shared" si="265"/>
        <v>1</v>
      </c>
      <c r="O573" s="246">
        <f t="shared" si="266"/>
        <v>0.97336980306345722</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87">
        <v>10</v>
      </c>
      <c r="B574" s="242">
        <f t="shared" si="273"/>
        <v>45931</v>
      </c>
      <c r="C574" s="243">
        <f t="shared" si="254"/>
        <v>45961</v>
      </c>
      <c r="D574" s="120">
        <f t="shared" si="255"/>
        <v>31</v>
      </c>
      <c r="E574" s="120">
        <f t="shared" si="256"/>
        <v>10</v>
      </c>
      <c r="F574" s="275">
        <f t="shared" si="257"/>
        <v>45946.5</v>
      </c>
      <c r="G574" s="120">
        <f t="shared" si="258"/>
        <v>24309</v>
      </c>
      <c r="H574" s="245">
        <f t="shared" si="259"/>
        <v>1</v>
      </c>
      <c r="I574" s="121">
        <f t="shared" si="260"/>
        <v>1</v>
      </c>
      <c r="J574" s="121">
        <f t="shared" si="261"/>
        <v>1</v>
      </c>
      <c r="K574" s="120">
        <f t="shared" si="262"/>
        <v>0</v>
      </c>
      <c r="L574" s="120">
        <f t="shared" si="263"/>
        <v>0</v>
      </c>
      <c r="M574" s="246">
        <f t="shared" si="264"/>
        <v>0</v>
      </c>
      <c r="N574" s="121">
        <f t="shared" si="265"/>
        <v>1</v>
      </c>
      <c r="O574" s="246">
        <f t="shared" si="266"/>
        <v>0.97470459518599561</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87">
        <v>11</v>
      </c>
      <c r="B575" s="242">
        <f t="shared" si="273"/>
        <v>45962</v>
      </c>
      <c r="C575" s="243">
        <f t="shared" si="254"/>
        <v>45991</v>
      </c>
      <c r="D575" s="120">
        <f t="shared" si="255"/>
        <v>30</v>
      </c>
      <c r="E575" s="120">
        <f t="shared" si="256"/>
        <v>11</v>
      </c>
      <c r="F575" s="275">
        <f t="shared" si="257"/>
        <v>45977</v>
      </c>
      <c r="G575" s="120">
        <f t="shared" si="258"/>
        <v>24310</v>
      </c>
      <c r="H575" s="245">
        <f t="shared" si="259"/>
        <v>1</v>
      </c>
      <c r="I575" s="121">
        <f t="shared" si="260"/>
        <v>1</v>
      </c>
      <c r="J575" s="121">
        <f t="shared" si="261"/>
        <v>1</v>
      </c>
      <c r="K575" s="120">
        <f t="shared" si="262"/>
        <v>0</v>
      </c>
      <c r="L575" s="120">
        <f t="shared" si="263"/>
        <v>0</v>
      </c>
      <c r="M575" s="246">
        <f t="shared" si="264"/>
        <v>0</v>
      </c>
      <c r="N575" s="121">
        <f t="shared" si="265"/>
        <v>1</v>
      </c>
      <c r="O575" s="246">
        <f t="shared" si="266"/>
        <v>0.9760393873085339</v>
      </c>
      <c r="P575" s="121">
        <f t="shared" si="267"/>
        <v>0.875</v>
      </c>
      <c r="Q575" s="121">
        <f t="shared" si="268"/>
        <v>0</v>
      </c>
      <c r="R575" s="121">
        <f t="shared" si="269"/>
        <v>0</v>
      </c>
      <c r="S575" s="121" t="str">
        <f t="shared" si="270"/>
        <v/>
      </c>
      <c r="T575" s="121" t="str">
        <f t="shared" si="271"/>
        <v/>
      </c>
      <c r="U575" s="121">
        <f t="shared" si="272"/>
        <v>1</v>
      </c>
    </row>
    <row r="576" spans="1:21" x14ac:dyDescent="0.3">
      <c r="A576" s="187">
        <v>12</v>
      </c>
      <c r="B576" s="242">
        <f t="shared" si="273"/>
        <v>45992</v>
      </c>
      <c r="C576" s="243">
        <f t="shared" si="254"/>
        <v>46022</v>
      </c>
      <c r="D576" s="120">
        <f t="shared" si="255"/>
        <v>31</v>
      </c>
      <c r="E576" s="120">
        <f t="shared" si="256"/>
        <v>12</v>
      </c>
      <c r="F576" s="275">
        <f t="shared" si="257"/>
        <v>46007.5</v>
      </c>
      <c r="G576" s="120">
        <f t="shared" si="258"/>
        <v>24311</v>
      </c>
      <c r="H576" s="245">
        <f t="shared" si="259"/>
        <v>1</v>
      </c>
      <c r="I576" s="121">
        <f t="shared" si="260"/>
        <v>1</v>
      </c>
      <c r="J576" s="121">
        <f t="shared" si="261"/>
        <v>1</v>
      </c>
      <c r="K576" s="120">
        <f t="shared" si="262"/>
        <v>0</v>
      </c>
      <c r="L576" s="120">
        <f t="shared" si="263"/>
        <v>0</v>
      </c>
      <c r="M576" s="246">
        <f t="shared" si="264"/>
        <v>0</v>
      </c>
      <c r="N576" s="121">
        <f t="shared" si="265"/>
        <v>1</v>
      </c>
      <c r="O576" s="246">
        <f t="shared" si="266"/>
        <v>0.97737417943107219</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87">
        <v>13</v>
      </c>
      <c r="B577" s="242">
        <f t="shared" si="273"/>
        <v>46023</v>
      </c>
      <c r="C577" s="243">
        <f t="shared" si="254"/>
        <v>46053</v>
      </c>
      <c r="D577" s="120">
        <f t="shared" si="255"/>
        <v>31</v>
      </c>
      <c r="E577" s="120">
        <f t="shared" si="256"/>
        <v>1</v>
      </c>
      <c r="F577" s="275">
        <f t="shared" si="257"/>
        <v>46038.5</v>
      </c>
      <c r="G577" s="120">
        <f t="shared" si="258"/>
        <v>24312</v>
      </c>
      <c r="H577" s="245">
        <f t="shared" si="259"/>
        <v>1</v>
      </c>
      <c r="I577" s="121">
        <f t="shared" si="260"/>
        <v>1</v>
      </c>
      <c r="J577" s="121">
        <f t="shared" si="261"/>
        <v>1</v>
      </c>
      <c r="K577" s="120">
        <f t="shared" si="262"/>
        <v>0</v>
      </c>
      <c r="L577" s="120">
        <f t="shared" si="263"/>
        <v>0</v>
      </c>
      <c r="M577" s="246">
        <f t="shared" si="264"/>
        <v>0</v>
      </c>
      <c r="N577" s="121">
        <f t="shared" si="265"/>
        <v>1</v>
      </c>
      <c r="O577" s="246">
        <f t="shared" si="266"/>
        <v>0.97873085339168486</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87">
        <v>14</v>
      </c>
      <c r="B578" s="242">
        <f t="shared" si="273"/>
        <v>46054</v>
      </c>
      <c r="C578" s="243">
        <f t="shared" si="254"/>
        <v>46081</v>
      </c>
      <c r="D578" s="120">
        <f t="shared" si="255"/>
        <v>28</v>
      </c>
      <c r="E578" s="120">
        <f t="shared" si="256"/>
        <v>2</v>
      </c>
      <c r="F578" s="275">
        <f t="shared" si="257"/>
        <v>46068</v>
      </c>
      <c r="G578" s="120">
        <f t="shared" si="258"/>
        <v>24313</v>
      </c>
      <c r="H578" s="245">
        <f t="shared" si="259"/>
        <v>1</v>
      </c>
      <c r="I578" s="121">
        <f t="shared" si="260"/>
        <v>1</v>
      </c>
      <c r="J578" s="121">
        <f t="shared" si="261"/>
        <v>1</v>
      </c>
      <c r="K578" s="120">
        <f t="shared" si="262"/>
        <v>0</v>
      </c>
      <c r="L578" s="120">
        <f t="shared" si="263"/>
        <v>0</v>
      </c>
      <c r="M578" s="246">
        <f t="shared" si="264"/>
        <v>0</v>
      </c>
      <c r="N578" s="121">
        <f t="shared" si="265"/>
        <v>1</v>
      </c>
      <c r="O578" s="246">
        <f t="shared" si="266"/>
        <v>0.98002188183807437</v>
      </c>
      <c r="P578" s="121">
        <f t="shared" si="267"/>
        <v>0.875</v>
      </c>
      <c r="Q578" s="121">
        <f t="shared" si="268"/>
        <v>0.125</v>
      </c>
      <c r="R578" s="121">
        <f t="shared" si="269"/>
        <v>0</v>
      </c>
      <c r="S578" s="121" t="str">
        <f t="shared" si="270"/>
        <v/>
      </c>
      <c r="T578" s="121" t="str">
        <f t="shared" si="271"/>
        <v/>
      </c>
      <c r="U578" s="121">
        <f t="shared" si="272"/>
        <v>1</v>
      </c>
    </row>
    <row r="579" spans="1:21" x14ac:dyDescent="0.3">
      <c r="A579" s="187">
        <v>15</v>
      </c>
      <c r="B579" s="242">
        <f t="shared" si="273"/>
        <v>46082</v>
      </c>
      <c r="C579" s="243">
        <f t="shared" si="254"/>
        <v>46112</v>
      </c>
      <c r="D579" s="120">
        <f t="shared" si="255"/>
        <v>31</v>
      </c>
      <c r="E579" s="120">
        <f t="shared" si="256"/>
        <v>3</v>
      </c>
      <c r="F579" s="275">
        <f t="shared" si="257"/>
        <v>46097.5</v>
      </c>
      <c r="G579" s="120">
        <f t="shared" si="258"/>
        <v>24314</v>
      </c>
      <c r="H579" s="245">
        <f t="shared" si="259"/>
        <v>1</v>
      </c>
      <c r="I579" s="121">
        <f t="shared" si="260"/>
        <v>1</v>
      </c>
      <c r="J579" s="121">
        <f t="shared" si="261"/>
        <v>1</v>
      </c>
      <c r="K579" s="120">
        <f t="shared" si="262"/>
        <v>0</v>
      </c>
      <c r="L579" s="120">
        <f t="shared" si="263"/>
        <v>0</v>
      </c>
      <c r="M579" s="246">
        <f t="shared" si="264"/>
        <v>0</v>
      </c>
      <c r="N579" s="121">
        <f t="shared" si="265"/>
        <v>1</v>
      </c>
      <c r="O579" s="246">
        <f t="shared" si="266"/>
        <v>0.98131291028446388</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87">
        <v>16</v>
      </c>
      <c r="B580" s="242">
        <f t="shared" si="273"/>
        <v>46113</v>
      </c>
      <c r="C580" s="243">
        <f t="shared" si="254"/>
        <v>46142</v>
      </c>
      <c r="D580" s="120">
        <f t="shared" si="255"/>
        <v>30</v>
      </c>
      <c r="E580" s="120">
        <f t="shared" si="256"/>
        <v>4</v>
      </c>
      <c r="F580" s="275">
        <f t="shared" si="257"/>
        <v>46128</v>
      </c>
      <c r="G580" s="120">
        <f t="shared" si="258"/>
        <v>24315</v>
      </c>
      <c r="H580" s="245">
        <f t="shared" si="259"/>
        <v>1</v>
      </c>
      <c r="I580" s="121">
        <f t="shared" si="260"/>
        <v>1</v>
      </c>
      <c r="J580" s="121">
        <f t="shared" si="261"/>
        <v>1</v>
      </c>
      <c r="K580" s="120">
        <f t="shared" si="262"/>
        <v>0</v>
      </c>
      <c r="L580" s="120">
        <f t="shared" si="263"/>
        <v>0</v>
      </c>
      <c r="M580" s="246">
        <f t="shared" si="264"/>
        <v>0</v>
      </c>
      <c r="N580" s="121">
        <f t="shared" si="265"/>
        <v>1</v>
      </c>
      <c r="O580" s="246">
        <f t="shared" si="266"/>
        <v>0.98264770240700217</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87">
        <v>17</v>
      </c>
      <c r="B581" s="242">
        <f t="shared" si="273"/>
        <v>46143</v>
      </c>
      <c r="C581" s="243">
        <f t="shared" si="254"/>
        <v>46173</v>
      </c>
      <c r="D581" s="120">
        <f t="shared" si="255"/>
        <v>31</v>
      </c>
      <c r="E581" s="120">
        <f t="shared" si="256"/>
        <v>5</v>
      </c>
      <c r="F581" s="275">
        <f t="shared" si="257"/>
        <v>46158.5</v>
      </c>
      <c r="G581" s="120">
        <f t="shared" si="258"/>
        <v>24316</v>
      </c>
      <c r="H581" s="245">
        <f t="shared" si="259"/>
        <v>1</v>
      </c>
      <c r="I581" s="121">
        <f t="shared" si="260"/>
        <v>1</v>
      </c>
      <c r="J581" s="121">
        <f t="shared" si="261"/>
        <v>1</v>
      </c>
      <c r="K581" s="120">
        <f t="shared" si="262"/>
        <v>0</v>
      </c>
      <c r="L581" s="120">
        <f t="shared" si="263"/>
        <v>0</v>
      </c>
      <c r="M581" s="246">
        <f t="shared" si="264"/>
        <v>0</v>
      </c>
      <c r="N581" s="121">
        <f t="shared" si="265"/>
        <v>1</v>
      </c>
      <c r="O581" s="246">
        <f t="shared" si="266"/>
        <v>0.98398249452954045</v>
      </c>
      <c r="P581" s="121">
        <f t="shared" si="267"/>
        <v>0.625</v>
      </c>
      <c r="Q581" s="121">
        <f t="shared" si="268"/>
        <v>0.375</v>
      </c>
      <c r="R581" s="121">
        <f t="shared" si="269"/>
        <v>0</v>
      </c>
      <c r="S581" s="121" t="str">
        <f t="shared" si="270"/>
        <v/>
      </c>
      <c r="T581" s="121" t="str">
        <f t="shared" si="271"/>
        <v/>
      </c>
      <c r="U581" s="121">
        <f t="shared" si="272"/>
        <v>1</v>
      </c>
    </row>
    <row r="582" spans="1:21" x14ac:dyDescent="0.3">
      <c r="A582" s="187">
        <v>18</v>
      </c>
      <c r="B582" s="242">
        <f t="shared" si="273"/>
        <v>46174</v>
      </c>
      <c r="C582" s="243">
        <f t="shared" si="254"/>
        <v>46203</v>
      </c>
      <c r="D582" s="120">
        <f t="shared" si="255"/>
        <v>30</v>
      </c>
      <c r="E582" s="120">
        <f t="shared" si="256"/>
        <v>6</v>
      </c>
      <c r="F582" s="275">
        <f t="shared" si="257"/>
        <v>46189</v>
      </c>
      <c r="G582" s="120">
        <f t="shared" si="258"/>
        <v>24317</v>
      </c>
      <c r="H582" s="245">
        <f t="shared" si="259"/>
        <v>1</v>
      </c>
      <c r="I582" s="121">
        <f t="shared" si="260"/>
        <v>1</v>
      </c>
      <c r="J582" s="121">
        <f t="shared" si="261"/>
        <v>1</v>
      </c>
      <c r="K582" s="120">
        <f t="shared" si="262"/>
        <v>0</v>
      </c>
      <c r="L582" s="120">
        <f t="shared" si="263"/>
        <v>0</v>
      </c>
      <c r="M582" s="246">
        <f t="shared" si="264"/>
        <v>0</v>
      </c>
      <c r="N582" s="121">
        <f t="shared" si="265"/>
        <v>1</v>
      </c>
      <c r="O582" s="246">
        <f t="shared" si="266"/>
        <v>0.98531728665207874</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87">
        <v>19</v>
      </c>
      <c r="B583" s="242">
        <f t="shared" si="273"/>
        <v>46204</v>
      </c>
      <c r="C583" s="243">
        <f t="shared" si="254"/>
        <v>46234</v>
      </c>
      <c r="D583" s="120">
        <f t="shared" si="255"/>
        <v>31</v>
      </c>
      <c r="E583" s="120">
        <f t="shared" si="256"/>
        <v>7</v>
      </c>
      <c r="F583" s="275">
        <f t="shared" si="257"/>
        <v>46219.5</v>
      </c>
      <c r="G583" s="120">
        <f t="shared" si="258"/>
        <v>24318</v>
      </c>
      <c r="H583" s="245">
        <f t="shared" si="259"/>
        <v>1</v>
      </c>
      <c r="I583" s="121">
        <f t="shared" si="260"/>
        <v>1</v>
      </c>
      <c r="J583" s="121">
        <f t="shared" si="261"/>
        <v>1</v>
      </c>
      <c r="K583" s="120">
        <f t="shared" si="262"/>
        <v>0</v>
      </c>
      <c r="L583" s="120">
        <f t="shared" si="263"/>
        <v>0</v>
      </c>
      <c r="M583" s="246">
        <f t="shared" si="264"/>
        <v>0</v>
      </c>
      <c r="N583" s="121">
        <f t="shared" si="265"/>
        <v>1</v>
      </c>
      <c r="O583" s="246">
        <f t="shared" si="266"/>
        <v>0.98665207877461703</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87">
        <v>20</v>
      </c>
      <c r="B584" s="242">
        <f t="shared" si="273"/>
        <v>46235</v>
      </c>
      <c r="C584" s="243">
        <f t="shared" si="254"/>
        <v>46265</v>
      </c>
      <c r="D584" s="120">
        <f t="shared" si="255"/>
        <v>31</v>
      </c>
      <c r="E584" s="120">
        <f t="shared" si="256"/>
        <v>8</v>
      </c>
      <c r="F584" s="275">
        <f t="shared" si="257"/>
        <v>46250.5</v>
      </c>
      <c r="G584" s="120">
        <f t="shared" si="258"/>
        <v>24319</v>
      </c>
      <c r="H584" s="245">
        <f t="shared" si="259"/>
        <v>1</v>
      </c>
      <c r="I584" s="121">
        <f t="shared" si="260"/>
        <v>1</v>
      </c>
      <c r="J584" s="121">
        <f t="shared" si="261"/>
        <v>1</v>
      </c>
      <c r="K584" s="120">
        <f t="shared" si="262"/>
        <v>0</v>
      </c>
      <c r="L584" s="120">
        <f t="shared" si="263"/>
        <v>0</v>
      </c>
      <c r="M584" s="246">
        <f t="shared" si="264"/>
        <v>0</v>
      </c>
      <c r="N584" s="121">
        <f t="shared" si="265"/>
        <v>1</v>
      </c>
      <c r="O584" s="246">
        <f t="shared" si="266"/>
        <v>0.9880087527352297</v>
      </c>
      <c r="P584" s="121">
        <f t="shared" si="267"/>
        <v>0.375</v>
      </c>
      <c r="Q584" s="121">
        <f t="shared" si="268"/>
        <v>0.625</v>
      </c>
      <c r="R584" s="121">
        <f t="shared" si="269"/>
        <v>0</v>
      </c>
      <c r="S584" s="121" t="str">
        <f t="shared" si="270"/>
        <v/>
      </c>
      <c r="T584" s="121" t="str">
        <f t="shared" si="271"/>
        <v/>
      </c>
      <c r="U584" s="121">
        <f t="shared" si="272"/>
        <v>1</v>
      </c>
    </row>
    <row r="585" spans="1:21" x14ac:dyDescent="0.3">
      <c r="A585" s="187">
        <v>21</v>
      </c>
      <c r="B585" s="242">
        <f t="shared" si="273"/>
        <v>46266</v>
      </c>
      <c r="C585" s="243">
        <f t="shared" si="254"/>
        <v>46295</v>
      </c>
      <c r="D585" s="120">
        <f t="shared" si="255"/>
        <v>30</v>
      </c>
      <c r="E585" s="120">
        <f t="shared" si="256"/>
        <v>9</v>
      </c>
      <c r="F585" s="275">
        <f t="shared" si="257"/>
        <v>46281</v>
      </c>
      <c r="G585" s="120">
        <f t="shared" si="258"/>
        <v>24320</v>
      </c>
      <c r="H585" s="245">
        <f t="shared" si="259"/>
        <v>1</v>
      </c>
      <c r="I585" s="121">
        <f t="shared" si="260"/>
        <v>1</v>
      </c>
      <c r="J585" s="121">
        <f t="shared" si="261"/>
        <v>1</v>
      </c>
      <c r="K585" s="120">
        <f t="shared" si="262"/>
        <v>0</v>
      </c>
      <c r="L585" s="120">
        <f t="shared" si="263"/>
        <v>0</v>
      </c>
      <c r="M585" s="246">
        <f t="shared" si="264"/>
        <v>0</v>
      </c>
      <c r="N585" s="121">
        <f t="shared" si="265"/>
        <v>1</v>
      </c>
      <c r="O585" s="246">
        <f t="shared" si="266"/>
        <v>0.98934354485776799</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87">
        <v>22</v>
      </c>
      <c r="B586" s="242">
        <f t="shared" si="273"/>
        <v>46296</v>
      </c>
      <c r="C586" s="243">
        <f t="shared" si="254"/>
        <v>46326</v>
      </c>
      <c r="D586" s="120">
        <f t="shared" si="255"/>
        <v>31</v>
      </c>
      <c r="E586" s="120">
        <f t="shared" si="256"/>
        <v>10</v>
      </c>
      <c r="F586" s="275">
        <f t="shared" si="257"/>
        <v>46311.5</v>
      </c>
      <c r="G586" s="120">
        <f t="shared" si="258"/>
        <v>24321</v>
      </c>
      <c r="H586" s="245">
        <f t="shared" si="259"/>
        <v>1</v>
      </c>
      <c r="I586" s="121">
        <f t="shared" si="260"/>
        <v>1</v>
      </c>
      <c r="J586" s="121">
        <f t="shared" si="261"/>
        <v>1.06</v>
      </c>
      <c r="K586" s="120">
        <f t="shared" si="262"/>
        <v>1</v>
      </c>
      <c r="L586" s="120">
        <f t="shared" si="263"/>
        <v>31</v>
      </c>
      <c r="M586" s="246">
        <f t="shared" si="264"/>
        <v>1</v>
      </c>
      <c r="N586" s="121">
        <f t="shared" si="265"/>
        <v>1.06</v>
      </c>
      <c r="O586" s="246">
        <f t="shared" si="266"/>
        <v>0.99067833698030638</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87">
        <v>23</v>
      </c>
      <c r="B587" s="242">
        <f t="shared" si="273"/>
        <v>46327</v>
      </c>
      <c r="C587" s="243">
        <f t="shared" si="254"/>
        <v>46356</v>
      </c>
      <c r="D587" s="120">
        <f t="shared" si="255"/>
        <v>30</v>
      </c>
      <c r="E587" s="120">
        <f t="shared" si="256"/>
        <v>11</v>
      </c>
      <c r="F587" s="275">
        <f t="shared" si="257"/>
        <v>46342</v>
      </c>
      <c r="G587" s="120">
        <f t="shared" si="258"/>
        <v>24322</v>
      </c>
      <c r="H587" s="245">
        <f t="shared" si="259"/>
        <v>1</v>
      </c>
      <c r="I587" s="121">
        <f t="shared" si="260"/>
        <v>1.06</v>
      </c>
      <c r="J587" s="121">
        <f t="shared" si="261"/>
        <v>1.06</v>
      </c>
      <c r="K587" s="120">
        <f t="shared" si="262"/>
        <v>0</v>
      </c>
      <c r="L587" s="120">
        <f t="shared" si="263"/>
        <v>0</v>
      </c>
      <c r="M587" s="246">
        <f t="shared" si="264"/>
        <v>0</v>
      </c>
      <c r="N587" s="121">
        <f t="shared" si="265"/>
        <v>1.06</v>
      </c>
      <c r="O587" s="246">
        <f t="shared" si="266"/>
        <v>0.99201312910284467</v>
      </c>
      <c r="P587" s="121">
        <f t="shared" si="267"/>
        <v>0.125</v>
      </c>
      <c r="Q587" s="121">
        <f t="shared" si="268"/>
        <v>0.875</v>
      </c>
      <c r="R587" s="121">
        <f t="shared" si="269"/>
        <v>0</v>
      </c>
      <c r="S587" s="121" t="str">
        <f t="shared" si="270"/>
        <v/>
      </c>
      <c r="T587" s="121" t="str">
        <f t="shared" si="271"/>
        <v/>
      </c>
      <c r="U587" s="121">
        <f t="shared" si="272"/>
        <v>1.06</v>
      </c>
    </row>
    <row r="588" spans="1:21" x14ac:dyDescent="0.3">
      <c r="A588" s="187">
        <v>24</v>
      </c>
      <c r="B588" s="242">
        <f t="shared" si="273"/>
        <v>46357</v>
      </c>
      <c r="C588" s="243">
        <f t="shared" si="254"/>
        <v>46387</v>
      </c>
      <c r="D588" s="120">
        <f t="shared" si="255"/>
        <v>31</v>
      </c>
      <c r="E588" s="120">
        <f t="shared" si="256"/>
        <v>12</v>
      </c>
      <c r="F588" s="275">
        <f t="shared" si="257"/>
        <v>46372.5</v>
      </c>
      <c r="G588" s="120">
        <f t="shared" si="258"/>
        <v>24323</v>
      </c>
      <c r="H588" s="245">
        <f t="shared" si="259"/>
        <v>1</v>
      </c>
      <c r="I588" s="121">
        <f t="shared" si="260"/>
        <v>1.06</v>
      </c>
      <c r="J588" s="121">
        <f t="shared" si="261"/>
        <v>1.06</v>
      </c>
      <c r="K588" s="120">
        <f t="shared" si="262"/>
        <v>0</v>
      </c>
      <c r="L588" s="120">
        <f t="shared" si="263"/>
        <v>0</v>
      </c>
      <c r="M588" s="246">
        <f t="shared" si="264"/>
        <v>0</v>
      </c>
      <c r="N588" s="121">
        <f t="shared" si="265"/>
        <v>1.06</v>
      </c>
      <c r="O588" s="246">
        <f t="shared" si="266"/>
        <v>0.99334792122538296</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87">
        <v>25</v>
      </c>
      <c r="B589" s="242">
        <f t="shared" si="273"/>
        <v>46388</v>
      </c>
      <c r="C589" s="243">
        <f t="shared" si="254"/>
        <v>46418</v>
      </c>
      <c r="D589" s="120">
        <f t="shared" si="255"/>
        <v>31</v>
      </c>
      <c r="E589" s="120">
        <f t="shared" si="256"/>
        <v>1</v>
      </c>
      <c r="F589" s="275">
        <f t="shared" si="257"/>
        <v>46403.5</v>
      </c>
      <c r="G589" s="120">
        <f t="shared" si="258"/>
        <v>24324</v>
      </c>
      <c r="H589" s="245">
        <f t="shared" si="259"/>
        <v>1</v>
      </c>
      <c r="I589" s="121">
        <f t="shared" si="260"/>
        <v>1.06</v>
      </c>
      <c r="J589" s="121">
        <f t="shared" si="261"/>
        <v>1.06</v>
      </c>
      <c r="K589" s="120">
        <f t="shared" si="262"/>
        <v>0</v>
      </c>
      <c r="L589" s="120">
        <f t="shared" si="263"/>
        <v>0</v>
      </c>
      <c r="M589" s="246">
        <f t="shared" si="264"/>
        <v>0</v>
      </c>
      <c r="N589" s="121">
        <f t="shared" si="265"/>
        <v>1.06</v>
      </c>
      <c r="O589" s="246">
        <f t="shared" si="266"/>
        <v>0.99470459518599563</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87">
        <v>26</v>
      </c>
      <c r="B590" s="242">
        <f t="shared" si="273"/>
        <v>46419</v>
      </c>
      <c r="C590" s="243">
        <f t="shared" si="254"/>
        <v>46446</v>
      </c>
      <c r="D590" s="120">
        <f t="shared" si="255"/>
        <v>28</v>
      </c>
      <c r="E590" s="120">
        <f t="shared" si="256"/>
        <v>2</v>
      </c>
      <c r="F590" s="275">
        <f t="shared" si="257"/>
        <v>46433</v>
      </c>
      <c r="G590" s="120">
        <f t="shared" si="258"/>
        <v>24325</v>
      </c>
      <c r="H590" s="245">
        <f t="shared" si="259"/>
        <v>1</v>
      </c>
      <c r="I590" s="121">
        <f t="shared" si="260"/>
        <v>1.06</v>
      </c>
      <c r="J590" s="121">
        <f t="shared" si="261"/>
        <v>1.06</v>
      </c>
      <c r="K590" s="120">
        <f t="shared" si="262"/>
        <v>0</v>
      </c>
      <c r="L590" s="120">
        <f t="shared" si="263"/>
        <v>0</v>
      </c>
      <c r="M590" s="246">
        <f t="shared" si="264"/>
        <v>0</v>
      </c>
      <c r="N590" s="121">
        <f t="shared" si="265"/>
        <v>1.06</v>
      </c>
      <c r="O590" s="246">
        <f t="shared" si="266"/>
        <v>0.99599562363238514</v>
      </c>
      <c r="P590" s="121">
        <f t="shared" si="267"/>
        <v>0</v>
      </c>
      <c r="Q590" s="121">
        <f t="shared" si="268"/>
        <v>0.875</v>
      </c>
      <c r="R590" s="121">
        <f t="shared" si="269"/>
        <v>0.125</v>
      </c>
      <c r="S590" s="121" t="str">
        <f t="shared" si="270"/>
        <v/>
      </c>
      <c r="T590" s="121" t="str">
        <f t="shared" si="271"/>
        <v/>
      </c>
      <c r="U590" s="121">
        <f t="shared" si="272"/>
        <v>1.06</v>
      </c>
    </row>
    <row r="591" spans="1:21" x14ac:dyDescent="0.3">
      <c r="A591" s="187">
        <v>27</v>
      </c>
      <c r="B591" s="242">
        <f t="shared" si="273"/>
        <v>46447</v>
      </c>
      <c r="C591" s="243">
        <f t="shared" si="254"/>
        <v>46477</v>
      </c>
      <c r="D591" s="120">
        <f t="shared" si="255"/>
        <v>31</v>
      </c>
      <c r="E591" s="120">
        <f t="shared" si="256"/>
        <v>3</v>
      </c>
      <c r="F591" s="275">
        <f t="shared" si="257"/>
        <v>46462.5</v>
      </c>
      <c r="G591" s="120">
        <f t="shared" si="258"/>
        <v>24326</v>
      </c>
      <c r="H591" s="245">
        <f t="shared" si="259"/>
        <v>1</v>
      </c>
      <c r="I591" s="121">
        <f t="shared" si="260"/>
        <v>1.06</v>
      </c>
      <c r="J591" s="121">
        <f t="shared" si="261"/>
        <v>1.06</v>
      </c>
      <c r="K591" s="120">
        <f t="shared" si="262"/>
        <v>0</v>
      </c>
      <c r="L591" s="120">
        <f t="shared" si="263"/>
        <v>0</v>
      </c>
      <c r="M591" s="246">
        <f t="shared" si="264"/>
        <v>0</v>
      </c>
      <c r="N591" s="121">
        <f t="shared" si="265"/>
        <v>1.06</v>
      </c>
      <c r="O591" s="246">
        <f t="shared" si="266"/>
        <v>0.99728665207877465</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87">
        <v>28</v>
      </c>
      <c r="B592" s="242">
        <f t="shared" si="273"/>
        <v>46478</v>
      </c>
      <c r="C592" s="243">
        <f t="shared" si="254"/>
        <v>46507</v>
      </c>
      <c r="D592" s="120">
        <f t="shared" si="255"/>
        <v>30</v>
      </c>
      <c r="E592" s="120">
        <f t="shared" si="256"/>
        <v>4</v>
      </c>
      <c r="F592" s="275">
        <f t="shared" si="257"/>
        <v>46493</v>
      </c>
      <c r="G592" s="120">
        <f t="shared" si="258"/>
        <v>24327</v>
      </c>
      <c r="H592" s="245">
        <f t="shared" si="259"/>
        <v>1</v>
      </c>
      <c r="I592" s="121">
        <f t="shared" si="260"/>
        <v>1.06</v>
      </c>
      <c r="J592" s="121">
        <f t="shared" si="261"/>
        <v>1.06</v>
      </c>
      <c r="K592" s="120">
        <f t="shared" si="262"/>
        <v>0</v>
      </c>
      <c r="L592" s="120">
        <f t="shared" si="263"/>
        <v>0</v>
      </c>
      <c r="M592" s="246">
        <f t="shared" si="264"/>
        <v>0</v>
      </c>
      <c r="N592" s="121">
        <f t="shared" si="265"/>
        <v>1.06</v>
      </c>
      <c r="O592" s="246">
        <f t="shared" si="266"/>
        <v>0.99862144420131294</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87">
        <v>29</v>
      </c>
      <c r="B593" s="242">
        <f t="shared" si="273"/>
        <v>46508</v>
      </c>
      <c r="C593" s="243">
        <f t="shared" si="254"/>
        <v>46538</v>
      </c>
      <c r="D593" s="120">
        <f t="shared" si="255"/>
        <v>31</v>
      </c>
      <c r="E593" s="120">
        <f t="shared" si="256"/>
        <v>5</v>
      </c>
      <c r="F593" s="275">
        <f t="shared" si="257"/>
        <v>46523.5</v>
      </c>
      <c r="G593" s="120">
        <f t="shared" si="258"/>
        <v>24328</v>
      </c>
      <c r="H593" s="245">
        <f t="shared" si="259"/>
        <v>1</v>
      </c>
      <c r="I593" s="121">
        <f t="shared" si="260"/>
        <v>1.06</v>
      </c>
      <c r="J593" s="121">
        <f t="shared" si="261"/>
        <v>1.06</v>
      </c>
      <c r="K593" s="120">
        <f t="shared" si="262"/>
        <v>0</v>
      </c>
      <c r="L593" s="120">
        <f t="shared" si="263"/>
        <v>0</v>
      </c>
      <c r="M593" s="246">
        <f t="shared" si="264"/>
        <v>0</v>
      </c>
      <c r="N593" s="121">
        <f t="shared" si="265"/>
        <v>1.06</v>
      </c>
      <c r="O593" s="246">
        <f t="shared" si="266"/>
        <v>0.99995623632385122</v>
      </c>
      <c r="P593" s="121">
        <f t="shared" si="267"/>
        <v>0</v>
      </c>
      <c r="Q593" s="121">
        <f t="shared" si="268"/>
        <v>0.625</v>
      </c>
      <c r="R593" s="121">
        <f t="shared" si="269"/>
        <v>0.375</v>
      </c>
      <c r="S593" s="121" t="str">
        <f t="shared" si="270"/>
        <v/>
      </c>
      <c r="T593" s="121" t="str">
        <f t="shared" si="271"/>
        <v/>
      </c>
      <c r="U593" s="121">
        <f t="shared" si="272"/>
        <v>1.06</v>
      </c>
    </row>
    <row r="594" spans="1:21" x14ac:dyDescent="0.3">
      <c r="A594" s="187">
        <v>30</v>
      </c>
      <c r="B594" s="242">
        <f t="shared" si="273"/>
        <v>46539</v>
      </c>
      <c r="C594" s="243">
        <f t="shared" si="254"/>
        <v>46568</v>
      </c>
      <c r="D594" s="120">
        <f t="shared" si="255"/>
        <v>30</v>
      </c>
      <c r="E594" s="120">
        <f t="shared" si="256"/>
        <v>6</v>
      </c>
      <c r="F594" s="275">
        <f t="shared" si="257"/>
        <v>46554</v>
      </c>
      <c r="G594" s="120">
        <f t="shared" si="258"/>
        <v>24329</v>
      </c>
      <c r="H594" s="245">
        <f t="shared" si="259"/>
        <v>1</v>
      </c>
      <c r="I594" s="121">
        <f t="shared" si="260"/>
        <v>1.06</v>
      </c>
      <c r="J594" s="121">
        <f t="shared" si="261"/>
        <v>1.06</v>
      </c>
      <c r="K594" s="120">
        <f t="shared" si="262"/>
        <v>0</v>
      </c>
      <c r="L594" s="120">
        <f t="shared" si="263"/>
        <v>0</v>
      </c>
      <c r="M594" s="246">
        <f t="shared" si="264"/>
        <v>0</v>
      </c>
      <c r="N594" s="121">
        <f t="shared" si="265"/>
        <v>1.06</v>
      </c>
      <c r="O594" s="246">
        <f t="shared" si="266"/>
        <v>1.0012910284463894</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87">
        <v>31</v>
      </c>
      <c r="B595" s="242">
        <f t="shared" si="273"/>
        <v>46569</v>
      </c>
      <c r="C595" s="243">
        <f t="shared" si="254"/>
        <v>46599</v>
      </c>
      <c r="D595" s="120">
        <f t="shared" si="255"/>
        <v>31</v>
      </c>
      <c r="E595" s="120">
        <f t="shared" si="256"/>
        <v>7</v>
      </c>
      <c r="F595" s="275">
        <f t="shared" si="257"/>
        <v>46584.5</v>
      </c>
      <c r="G595" s="120">
        <f t="shared" si="258"/>
        <v>24330</v>
      </c>
      <c r="H595" s="245">
        <f t="shared" si="259"/>
        <v>1</v>
      </c>
      <c r="I595" s="121">
        <f t="shared" si="260"/>
        <v>1.06</v>
      </c>
      <c r="J595" s="121">
        <f t="shared" si="261"/>
        <v>1.06</v>
      </c>
      <c r="K595" s="120">
        <f t="shared" si="262"/>
        <v>0</v>
      </c>
      <c r="L595" s="120">
        <f t="shared" si="263"/>
        <v>0</v>
      </c>
      <c r="M595" s="246">
        <f t="shared" si="264"/>
        <v>0</v>
      </c>
      <c r="N595" s="121">
        <f t="shared" si="265"/>
        <v>1.06</v>
      </c>
      <c r="O595" s="246">
        <f t="shared" si="266"/>
        <v>1.0026258205689278</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87">
        <v>32</v>
      </c>
      <c r="B596" s="242">
        <f t="shared" si="273"/>
        <v>46600</v>
      </c>
      <c r="C596" s="243">
        <f t="shared" si="254"/>
        <v>46630</v>
      </c>
      <c r="D596" s="120">
        <f t="shared" si="255"/>
        <v>31</v>
      </c>
      <c r="E596" s="120">
        <f t="shared" si="256"/>
        <v>8</v>
      </c>
      <c r="F596" s="275">
        <f t="shared" si="257"/>
        <v>46615.5</v>
      </c>
      <c r="G596" s="120">
        <f t="shared" si="258"/>
        <v>24331</v>
      </c>
      <c r="H596" s="245">
        <f t="shared" si="259"/>
        <v>1</v>
      </c>
      <c r="I596" s="121">
        <f t="shared" si="260"/>
        <v>1.06</v>
      </c>
      <c r="J596" s="121">
        <f t="shared" si="261"/>
        <v>1.06</v>
      </c>
      <c r="K596" s="120">
        <f t="shared" si="262"/>
        <v>0</v>
      </c>
      <c r="L596" s="120">
        <f t="shared" si="263"/>
        <v>0</v>
      </c>
      <c r="M596" s="246">
        <f t="shared" si="264"/>
        <v>0</v>
      </c>
      <c r="N596" s="121">
        <f t="shared" si="265"/>
        <v>1.06</v>
      </c>
      <c r="O596" s="246">
        <f t="shared" si="266"/>
        <v>1.0039824945295406</v>
      </c>
      <c r="P596" s="121">
        <f t="shared" si="267"/>
        <v>0</v>
      </c>
      <c r="Q596" s="121">
        <f t="shared" si="268"/>
        <v>0.375</v>
      </c>
      <c r="R596" s="121">
        <f t="shared" si="269"/>
        <v>0.625</v>
      </c>
      <c r="S596" s="121" t="str">
        <f t="shared" si="270"/>
        <v/>
      </c>
      <c r="T596" s="121" t="str">
        <f t="shared" si="271"/>
        <v/>
      </c>
      <c r="U596" s="121">
        <f t="shared" si="272"/>
        <v>1.06</v>
      </c>
    </row>
    <row r="597" spans="1:21" x14ac:dyDescent="0.3">
      <c r="A597" s="187">
        <v>33</v>
      </c>
      <c r="B597" s="242">
        <f t="shared" si="273"/>
        <v>46631</v>
      </c>
      <c r="C597" s="243">
        <f t="shared" si="254"/>
        <v>46660</v>
      </c>
      <c r="D597" s="120">
        <f t="shared" si="255"/>
        <v>30</v>
      </c>
      <c r="E597" s="120">
        <f t="shared" si="256"/>
        <v>9</v>
      </c>
      <c r="F597" s="275">
        <f t="shared" si="257"/>
        <v>46646</v>
      </c>
      <c r="G597" s="120">
        <f t="shared" si="258"/>
        <v>24332</v>
      </c>
      <c r="H597" s="245">
        <f t="shared" si="259"/>
        <v>1</v>
      </c>
      <c r="I597" s="121">
        <f t="shared" si="260"/>
        <v>1.06</v>
      </c>
      <c r="J597" s="121">
        <f t="shared" si="261"/>
        <v>1.06</v>
      </c>
      <c r="K597" s="120">
        <f t="shared" si="262"/>
        <v>0</v>
      </c>
      <c r="L597" s="120">
        <f t="shared" si="263"/>
        <v>0</v>
      </c>
      <c r="M597" s="246">
        <f t="shared" si="264"/>
        <v>0</v>
      </c>
      <c r="N597" s="121">
        <f t="shared" si="265"/>
        <v>1.06</v>
      </c>
      <c r="O597" s="246">
        <f t="shared" si="266"/>
        <v>1.0053172866520788</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87">
        <v>34</v>
      </c>
      <c r="B598" s="242">
        <f t="shared" si="273"/>
        <v>46661</v>
      </c>
      <c r="C598" s="243">
        <f t="shared" si="254"/>
        <v>46691</v>
      </c>
      <c r="D598" s="120">
        <f t="shared" si="255"/>
        <v>31</v>
      </c>
      <c r="E598" s="120">
        <f t="shared" si="256"/>
        <v>10</v>
      </c>
      <c r="F598" s="275">
        <f t="shared" si="257"/>
        <v>46676.5</v>
      </c>
      <c r="G598" s="120">
        <f t="shared" si="258"/>
        <v>24333</v>
      </c>
      <c r="H598" s="245">
        <f t="shared" si="259"/>
        <v>1</v>
      </c>
      <c r="I598" s="121">
        <f t="shared" si="260"/>
        <v>1.06</v>
      </c>
      <c r="J598" s="121">
        <f t="shared" si="261"/>
        <v>1.1024</v>
      </c>
      <c r="K598" s="120">
        <f t="shared" si="262"/>
        <v>1</v>
      </c>
      <c r="L598" s="120">
        <f t="shared" si="263"/>
        <v>31</v>
      </c>
      <c r="M598" s="246">
        <f t="shared" si="264"/>
        <v>1</v>
      </c>
      <c r="N598" s="121">
        <f t="shared" si="265"/>
        <v>1.1024</v>
      </c>
      <c r="O598" s="246">
        <f t="shared" si="266"/>
        <v>1.0066520787746172</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87">
        <v>35</v>
      </c>
      <c r="B599" s="242">
        <f t="shared" si="273"/>
        <v>46692</v>
      </c>
      <c r="C599" s="243">
        <f t="shared" si="254"/>
        <v>46721</v>
      </c>
      <c r="D599" s="120">
        <f t="shared" si="255"/>
        <v>30</v>
      </c>
      <c r="E599" s="120">
        <f t="shared" si="256"/>
        <v>11</v>
      </c>
      <c r="F599" s="275">
        <f t="shared" si="257"/>
        <v>46707</v>
      </c>
      <c r="G599" s="120">
        <f t="shared" si="258"/>
        <v>24334</v>
      </c>
      <c r="H599" s="245">
        <f t="shared" si="259"/>
        <v>1</v>
      </c>
      <c r="I599" s="121">
        <f t="shared" si="260"/>
        <v>1.1024</v>
      </c>
      <c r="J599" s="121">
        <f t="shared" si="261"/>
        <v>1.1024</v>
      </c>
      <c r="K599" s="120">
        <f t="shared" si="262"/>
        <v>0</v>
      </c>
      <c r="L599" s="120">
        <f t="shared" si="263"/>
        <v>0</v>
      </c>
      <c r="M599" s="246">
        <f t="shared" si="264"/>
        <v>0</v>
      </c>
      <c r="N599" s="121">
        <f t="shared" si="265"/>
        <v>1.1024</v>
      </c>
      <c r="O599" s="246">
        <f t="shared" si="266"/>
        <v>1.0079868708971553</v>
      </c>
      <c r="P599" s="121">
        <f t="shared" si="267"/>
        <v>0</v>
      </c>
      <c r="Q599" s="121">
        <f t="shared" si="268"/>
        <v>0.125</v>
      </c>
      <c r="R599" s="121">
        <f t="shared" si="269"/>
        <v>0.875</v>
      </c>
      <c r="S599" s="121" t="str">
        <f t="shared" si="270"/>
        <v/>
      </c>
      <c r="T599" s="121" t="str">
        <f t="shared" si="271"/>
        <v/>
      </c>
      <c r="U599" s="121">
        <f t="shared" si="272"/>
        <v>1.1024</v>
      </c>
    </row>
    <row r="600" spans="1:21" x14ac:dyDescent="0.3">
      <c r="A600" s="187">
        <v>36</v>
      </c>
      <c r="B600" s="242">
        <f t="shared" si="273"/>
        <v>46722</v>
      </c>
      <c r="C600" s="243">
        <f t="shared" si="254"/>
        <v>46752</v>
      </c>
      <c r="D600" s="120">
        <f t="shared" si="255"/>
        <v>31</v>
      </c>
      <c r="E600" s="120">
        <f t="shared" si="256"/>
        <v>12</v>
      </c>
      <c r="F600" s="275">
        <f t="shared" si="257"/>
        <v>46737.5</v>
      </c>
      <c r="G600" s="120">
        <f t="shared" si="258"/>
        <v>24335</v>
      </c>
      <c r="H600" s="245">
        <f t="shared" si="259"/>
        <v>1</v>
      </c>
      <c r="I600" s="121">
        <f t="shared" si="260"/>
        <v>1.1024</v>
      </c>
      <c r="J600" s="121">
        <f t="shared" si="261"/>
        <v>1.1024</v>
      </c>
      <c r="K600" s="120">
        <f t="shared" si="262"/>
        <v>0</v>
      </c>
      <c r="L600" s="120">
        <f t="shared" si="263"/>
        <v>0</v>
      </c>
      <c r="M600" s="246">
        <f t="shared" si="264"/>
        <v>0</v>
      </c>
      <c r="N600" s="121">
        <f t="shared" si="265"/>
        <v>1.1024</v>
      </c>
      <c r="O600" s="246">
        <f t="shared" si="266"/>
        <v>1.0093216630196937</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87">
        <v>37</v>
      </c>
      <c r="B601" s="242">
        <f t="shared" si="273"/>
        <v>46753</v>
      </c>
      <c r="C601" s="243">
        <f t="shared" si="254"/>
        <v>46783</v>
      </c>
      <c r="D601" s="120">
        <f t="shared" si="255"/>
        <v>31</v>
      </c>
      <c r="E601" s="120">
        <f t="shared" si="256"/>
        <v>1</v>
      </c>
      <c r="F601" s="275">
        <f t="shared" si="257"/>
        <v>46768.5</v>
      </c>
      <c r="G601" s="120">
        <f t="shared" si="258"/>
        <v>24336</v>
      </c>
      <c r="H601" s="245">
        <f t="shared" si="259"/>
        <v>1</v>
      </c>
      <c r="I601" s="121">
        <f t="shared" si="260"/>
        <v>1.1024</v>
      </c>
      <c r="J601" s="121">
        <f t="shared" si="261"/>
        <v>1.1024</v>
      </c>
      <c r="K601" s="120">
        <f t="shared" si="262"/>
        <v>0</v>
      </c>
      <c r="L601" s="120">
        <f t="shared" si="263"/>
        <v>0</v>
      </c>
      <c r="M601" s="246">
        <f t="shared" si="264"/>
        <v>0</v>
      </c>
      <c r="N601" s="121">
        <f t="shared" si="265"/>
        <v>1.1024</v>
      </c>
      <c r="O601" s="246">
        <f t="shared" si="266"/>
        <v>1.01</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87">
        <v>38</v>
      </c>
      <c r="B602" s="242">
        <f t="shared" si="273"/>
        <v>46784</v>
      </c>
      <c r="C602" s="243">
        <f t="shared" si="254"/>
        <v>46812</v>
      </c>
      <c r="D602" s="120">
        <f t="shared" si="255"/>
        <v>29</v>
      </c>
      <c r="E602" s="120">
        <f t="shared" si="256"/>
        <v>2</v>
      </c>
      <c r="F602" s="275">
        <f t="shared" si="257"/>
        <v>46798.5</v>
      </c>
      <c r="G602" s="120">
        <f t="shared" si="258"/>
        <v>24337</v>
      </c>
      <c r="H602" s="245">
        <f t="shared" si="259"/>
        <v>1</v>
      </c>
      <c r="I602" s="121">
        <f t="shared" si="260"/>
        <v>1.1024</v>
      </c>
      <c r="J602" s="121">
        <f t="shared" si="261"/>
        <v>1.1024</v>
      </c>
      <c r="K602" s="120">
        <f t="shared" si="262"/>
        <v>0</v>
      </c>
      <c r="L602" s="120">
        <f t="shared" si="263"/>
        <v>0</v>
      </c>
      <c r="M602" s="246">
        <f t="shared" si="264"/>
        <v>0</v>
      </c>
      <c r="N602" s="121">
        <f t="shared" si="265"/>
        <v>1.1024</v>
      </c>
      <c r="O602" s="246">
        <f t="shared" si="266"/>
        <v>1.01</v>
      </c>
      <c r="P602" s="121">
        <f t="shared" si="267"/>
        <v>0</v>
      </c>
      <c r="Q602" s="121">
        <f t="shared" si="268"/>
        <v>0</v>
      </c>
      <c r="R602" s="121">
        <f t="shared" si="269"/>
        <v>0.875</v>
      </c>
      <c r="S602" s="121" t="str">
        <f t="shared" si="270"/>
        <v/>
      </c>
      <c r="T602" s="121" t="str">
        <f t="shared" si="271"/>
        <v/>
      </c>
      <c r="U602" s="121">
        <f t="shared" si="272"/>
        <v>1.1024</v>
      </c>
    </row>
    <row r="603" spans="1:21" x14ac:dyDescent="0.3">
      <c r="A603" s="187">
        <v>39</v>
      </c>
      <c r="B603" s="242">
        <f t="shared" si="273"/>
        <v>46813</v>
      </c>
      <c r="C603" s="243">
        <f t="shared" si="254"/>
        <v>46843</v>
      </c>
      <c r="D603" s="120">
        <f t="shared" si="255"/>
        <v>31</v>
      </c>
      <c r="E603" s="120">
        <f t="shared" si="256"/>
        <v>3</v>
      </c>
      <c r="F603" s="275">
        <f t="shared" si="257"/>
        <v>46828.5</v>
      </c>
      <c r="G603" s="120">
        <f t="shared" si="258"/>
        <v>24338</v>
      </c>
      <c r="H603" s="245">
        <f t="shared" si="259"/>
        <v>1</v>
      </c>
      <c r="I603" s="121">
        <f t="shared" si="260"/>
        <v>1.1024</v>
      </c>
      <c r="J603" s="121">
        <f t="shared" si="261"/>
        <v>1.1024</v>
      </c>
      <c r="K603" s="120">
        <f t="shared" si="262"/>
        <v>0</v>
      </c>
      <c r="L603" s="120">
        <f t="shared" si="263"/>
        <v>0</v>
      </c>
      <c r="M603" s="246">
        <f t="shared" si="264"/>
        <v>0</v>
      </c>
      <c r="N603" s="121">
        <f t="shared" si="265"/>
        <v>1.1024</v>
      </c>
      <c r="O603" s="246">
        <f t="shared" si="266"/>
        <v>1.01</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87">
        <v>40</v>
      </c>
      <c r="B604" s="242">
        <f t="shared" si="273"/>
        <v>46844</v>
      </c>
      <c r="C604" s="243">
        <f t="shared" si="254"/>
        <v>46873</v>
      </c>
      <c r="D604" s="120">
        <f t="shared" si="255"/>
        <v>30</v>
      </c>
      <c r="E604" s="120">
        <f t="shared" si="256"/>
        <v>4</v>
      </c>
      <c r="F604" s="275">
        <f t="shared" si="257"/>
        <v>46859</v>
      </c>
      <c r="G604" s="120">
        <f t="shared" si="258"/>
        <v>24339</v>
      </c>
      <c r="H604" s="245">
        <f t="shared" si="259"/>
        <v>1</v>
      </c>
      <c r="I604" s="121">
        <f t="shared" si="260"/>
        <v>1.1024</v>
      </c>
      <c r="J604" s="121">
        <f t="shared" si="261"/>
        <v>1.1024</v>
      </c>
      <c r="K604" s="120">
        <f t="shared" si="262"/>
        <v>0</v>
      </c>
      <c r="L604" s="120">
        <f t="shared" si="263"/>
        <v>0</v>
      </c>
      <c r="M604" s="246">
        <f t="shared" si="264"/>
        <v>0</v>
      </c>
      <c r="N604" s="121">
        <f t="shared" si="265"/>
        <v>1.1024</v>
      </c>
      <c r="O604" s="246">
        <f t="shared" si="266"/>
        <v>1.01</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87">
        <v>41</v>
      </c>
      <c r="B605" s="242">
        <f t="shared" si="273"/>
        <v>46874</v>
      </c>
      <c r="C605" s="243">
        <f t="shared" si="254"/>
        <v>46904</v>
      </c>
      <c r="D605" s="120">
        <f t="shared" si="255"/>
        <v>31</v>
      </c>
      <c r="E605" s="120">
        <f t="shared" si="256"/>
        <v>5</v>
      </c>
      <c r="F605" s="275">
        <f t="shared" si="257"/>
        <v>46889.5</v>
      </c>
      <c r="G605" s="120">
        <f t="shared" si="258"/>
        <v>24340</v>
      </c>
      <c r="H605" s="245">
        <f t="shared" si="259"/>
        <v>1</v>
      </c>
      <c r="I605" s="121">
        <f t="shared" si="260"/>
        <v>1.1024</v>
      </c>
      <c r="J605" s="121">
        <f t="shared" si="261"/>
        <v>1.1024</v>
      </c>
      <c r="K605" s="120">
        <f t="shared" si="262"/>
        <v>0</v>
      </c>
      <c r="L605" s="120">
        <f t="shared" si="263"/>
        <v>0</v>
      </c>
      <c r="M605" s="246">
        <f t="shared" si="264"/>
        <v>0</v>
      </c>
      <c r="N605" s="121">
        <f t="shared" si="265"/>
        <v>1.1024</v>
      </c>
      <c r="O605" s="246">
        <f t="shared" si="266"/>
        <v>1.01</v>
      </c>
      <c r="P605" s="121">
        <f t="shared" si="267"/>
        <v>0</v>
      </c>
      <c r="Q605" s="121">
        <f t="shared" si="268"/>
        <v>0</v>
      </c>
      <c r="R605" s="121">
        <f t="shared" si="269"/>
        <v>0.625</v>
      </c>
      <c r="S605" s="121" t="str">
        <f t="shared" si="270"/>
        <v/>
      </c>
      <c r="T605" s="121" t="str">
        <f t="shared" si="271"/>
        <v/>
      </c>
      <c r="U605" s="121">
        <f t="shared" si="272"/>
        <v>1.1024</v>
      </c>
    </row>
    <row r="606" spans="1:21" x14ac:dyDescent="0.3">
      <c r="A606" s="187">
        <v>42</v>
      </c>
      <c r="B606" s="242">
        <f t="shared" si="273"/>
        <v>46905</v>
      </c>
      <c r="C606" s="243">
        <f t="shared" si="254"/>
        <v>46934</v>
      </c>
      <c r="D606" s="120">
        <f t="shared" si="255"/>
        <v>30</v>
      </c>
      <c r="E606" s="120">
        <f t="shared" si="256"/>
        <v>6</v>
      </c>
      <c r="F606" s="275">
        <f t="shared" si="257"/>
        <v>46920</v>
      </c>
      <c r="G606" s="120">
        <f t="shared" si="258"/>
        <v>24341</v>
      </c>
      <c r="H606" s="245">
        <f t="shared" si="259"/>
        <v>1</v>
      </c>
      <c r="I606" s="121">
        <f t="shared" si="260"/>
        <v>1.1024</v>
      </c>
      <c r="J606" s="121">
        <f t="shared" si="261"/>
        <v>1.1024</v>
      </c>
      <c r="K606" s="120">
        <f t="shared" si="262"/>
        <v>0</v>
      </c>
      <c r="L606" s="120">
        <f t="shared" si="263"/>
        <v>0</v>
      </c>
      <c r="M606" s="246">
        <f t="shared" si="264"/>
        <v>0</v>
      </c>
      <c r="N606" s="121">
        <f t="shared" si="265"/>
        <v>1.1024</v>
      </c>
      <c r="O606" s="246">
        <f t="shared" si="266"/>
        <v>1.01</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87">
        <v>43</v>
      </c>
      <c r="B607" s="242">
        <f t="shared" si="273"/>
        <v>46935</v>
      </c>
      <c r="C607" s="243">
        <f t="shared" si="254"/>
        <v>46965</v>
      </c>
      <c r="D607" s="120">
        <f t="shared" si="255"/>
        <v>31</v>
      </c>
      <c r="E607" s="120">
        <f t="shared" si="256"/>
        <v>7</v>
      </c>
      <c r="F607" s="275">
        <f t="shared" si="257"/>
        <v>46950.5</v>
      </c>
      <c r="G607" s="120">
        <f t="shared" si="258"/>
        <v>24342</v>
      </c>
      <c r="H607" s="245">
        <f t="shared" si="259"/>
        <v>1</v>
      </c>
      <c r="I607" s="121">
        <f t="shared" si="260"/>
        <v>1.1024</v>
      </c>
      <c r="J607" s="121">
        <f t="shared" si="261"/>
        <v>1.1024</v>
      </c>
      <c r="K607" s="120">
        <f t="shared" si="262"/>
        <v>0</v>
      </c>
      <c r="L607" s="120">
        <f t="shared" si="263"/>
        <v>0</v>
      </c>
      <c r="M607" s="246">
        <f t="shared" si="264"/>
        <v>0</v>
      </c>
      <c r="N607" s="121">
        <f t="shared" si="265"/>
        <v>1.1024</v>
      </c>
      <c r="O607" s="246">
        <f t="shared" si="266"/>
        <v>1.01</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87">
        <v>44</v>
      </c>
      <c r="B608" s="242">
        <f t="shared" si="273"/>
        <v>46966</v>
      </c>
      <c r="C608" s="243">
        <f t="shared" si="254"/>
        <v>46996</v>
      </c>
      <c r="D608" s="120">
        <f t="shared" si="255"/>
        <v>31</v>
      </c>
      <c r="E608" s="120">
        <f t="shared" si="256"/>
        <v>8</v>
      </c>
      <c r="F608" s="275">
        <f t="shared" si="257"/>
        <v>46981.5</v>
      </c>
      <c r="G608" s="120">
        <f t="shared" si="258"/>
        <v>24343</v>
      </c>
      <c r="H608" s="245">
        <f t="shared" si="259"/>
        <v>1</v>
      </c>
      <c r="I608" s="121">
        <f t="shared" si="260"/>
        <v>1.1024</v>
      </c>
      <c r="J608" s="121">
        <f t="shared" si="261"/>
        <v>1.1024</v>
      </c>
      <c r="K608" s="120">
        <f t="shared" si="262"/>
        <v>0</v>
      </c>
      <c r="L608" s="120">
        <f t="shared" si="263"/>
        <v>0</v>
      </c>
      <c r="M608" s="246">
        <f t="shared" si="264"/>
        <v>0</v>
      </c>
      <c r="N608" s="121">
        <f t="shared" si="265"/>
        <v>1.1024</v>
      </c>
      <c r="O608" s="246">
        <f t="shared" si="266"/>
        <v>1.01</v>
      </c>
      <c r="P608" s="121">
        <f t="shared" si="267"/>
        <v>0</v>
      </c>
      <c r="Q608" s="121">
        <f t="shared" si="268"/>
        <v>0</v>
      </c>
      <c r="R608" s="121">
        <f t="shared" si="269"/>
        <v>0.375</v>
      </c>
      <c r="S608" s="121" t="str">
        <f t="shared" si="270"/>
        <v/>
      </c>
      <c r="T608" s="121" t="str">
        <f t="shared" si="271"/>
        <v/>
      </c>
      <c r="U608" s="121">
        <f t="shared" si="272"/>
        <v>1.1024</v>
      </c>
    </row>
    <row r="609" spans="1:21" x14ac:dyDescent="0.3">
      <c r="A609" s="187">
        <v>45</v>
      </c>
      <c r="B609" s="242">
        <f t="shared" si="273"/>
        <v>46997</v>
      </c>
      <c r="C609" s="243">
        <f t="shared" si="254"/>
        <v>47026</v>
      </c>
      <c r="D609" s="120">
        <f t="shared" si="255"/>
        <v>30</v>
      </c>
      <c r="E609" s="120">
        <f t="shared" si="256"/>
        <v>9</v>
      </c>
      <c r="F609" s="275">
        <f t="shared" si="257"/>
        <v>47012</v>
      </c>
      <c r="G609" s="120">
        <f t="shared" si="258"/>
        <v>24344</v>
      </c>
      <c r="H609" s="245">
        <f t="shared" si="259"/>
        <v>1</v>
      </c>
      <c r="I609" s="121">
        <f t="shared" si="260"/>
        <v>1.1024</v>
      </c>
      <c r="J609" s="121">
        <f t="shared" si="261"/>
        <v>1.1024</v>
      </c>
      <c r="K609" s="120">
        <f t="shared" si="262"/>
        <v>0</v>
      </c>
      <c r="L609" s="120">
        <f t="shared" si="263"/>
        <v>0</v>
      </c>
      <c r="M609" s="246">
        <f t="shared" si="264"/>
        <v>0</v>
      </c>
      <c r="N609" s="121">
        <f t="shared" si="265"/>
        <v>1.1024</v>
      </c>
      <c r="O609" s="246">
        <f t="shared" si="266"/>
        <v>1.01</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87">
        <v>46</v>
      </c>
      <c r="B610" s="242">
        <f t="shared" si="273"/>
        <v>47027</v>
      </c>
      <c r="C610" s="243">
        <f t="shared" si="254"/>
        <v>47057</v>
      </c>
      <c r="D610" s="120">
        <f t="shared" si="255"/>
        <v>31</v>
      </c>
      <c r="E610" s="120">
        <f t="shared" si="256"/>
        <v>10</v>
      </c>
      <c r="F610" s="275">
        <f t="shared" si="257"/>
        <v>47042.5</v>
      </c>
      <c r="G610" s="120">
        <f t="shared" si="258"/>
        <v>24345</v>
      </c>
      <c r="H610" s="245">
        <f t="shared" si="259"/>
        <v>1</v>
      </c>
      <c r="I610" s="121">
        <f t="shared" si="260"/>
        <v>1.1024</v>
      </c>
      <c r="J610" s="121">
        <f t="shared" si="261"/>
        <v>1.1024</v>
      </c>
      <c r="K610" s="120">
        <f t="shared" si="262"/>
        <v>0</v>
      </c>
      <c r="L610" s="120">
        <f t="shared" si="263"/>
        <v>0</v>
      </c>
      <c r="M610" s="246">
        <f t="shared" si="264"/>
        <v>0</v>
      </c>
      <c r="N610" s="121">
        <f t="shared" si="265"/>
        <v>1.1024</v>
      </c>
      <c r="O610" s="246">
        <f t="shared" si="266"/>
        <v>1.01</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87">
        <v>47</v>
      </c>
      <c r="B611" s="242">
        <f t="shared" si="273"/>
        <v>47058</v>
      </c>
      <c r="C611" s="243">
        <f t="shared" si="254"/>
        <v>47087</v>
      </c>
      <c r="D611" s="120">
        <f t="shared" si="255"/>
        <v>30</v>
      </c>
      <c r="E611" s="120">
        <f t="shared" si="256"/>
        <v>11</v>
      </c>
      <c r="F611" s="275">
        <f t="shared" si="257"/>
        <v>47073</v>
      </c>
      <c r="G611" s="120">
        <f t="shared" si="258"/>
        <v>24346</v>
      </c>
      <c r="H611" s="245">
        <f t="shared" si="259"/>
        <v>1</v>
      </c>
      <c r="I611" s="121">
        <f t="shared" si="260"/>
        <v>1.1024</v>
      </c>
      <c r="J611" s="121">
        <f t="shared" si="261"/>
        <v>1.1024</v>
      </c>
      <c r="K611" s="120">
        <f t="shared" si="262"/>
        <v>0</v>
      </c>
      <c r="L611" s="120">
        <f t="shared" si="263"/>
        <v>0</v>
      </c>
      <c r="M611" s="246">
        <f t="shared" si="264"/>
        <v>0</v>
      </c>
      <c r="N611" s="121">
        <f t="shared" si="265"/>
        <v>1.1024</v>
      </c>
      <c r="O611" s="246">
        <f t="shared" si="266"/>
        <v>1.01</v>
      </c>
      <c r="P611" s="121">
        <f t="shared" si="267"/>
        <v>0</v>
      </c>
      <c r="Q611" s="121">
        <f t="shared" si="268"/>
        <v>0</v>
      </c>
      <c r="R611" s="121">
        <f t="shared" si="269"/>
        <v>0.125</v>
      </c>
      <c r="S611" s="121" t="str">
        <f t="shared" si="270"/>
        <v/>
      </c>
      <c r="T611" s="121" t="str">
        <f t="shared" si="271"/>
        <v/>
      </c>
      <c r="U611" s="121">
        <f t="shared" si="272"/>
        <v>1.1024</v>
      </c>
    </row>
    <row r="612" spans="1:21" x14ac:dyDescent="0.3">
      <c r="A612" s="187">
        <v>48</v>
      </c>
      <c r="B612" s="242">
        <f t="shared" si="273"/>
        <v>47088</v>
      </c>
      <c r="C612" s="243">
        <f t="shared" si="254"/>
        <v>47118</v>
      </c>
      <c r="D612" s="120">
        <f t="shared" si="255"/>
        <v>31</v>
      </c>
      <c r="E612" s="120">
        <f t="shared" si="256"/>
        <v>12</v>
      </c>
      <c r="F612" s="275">
        <f t="shared" si="257"/>
        <v>47103.5</v>
      </c>
      <c r="G612" s="120">
        <f t="shared" si="258"/>
        <v>24347</v>
      </c>
      <c r="H612" s="245">
        <f t="shared" si="259"/>
        <v>1</v>
      </c>
      <c r="I612" s="121">
        <f t="shared" si="260"/>
        <v>1.1024</v>
      </c>
      <c r="J612" s="121">
        <f t="shared" si="261"/>
        <v>1.1024</v>
      </c>
      <c r="K612" s="120">
        <f t="shared" si="262"/>
        <v>0</v>
      </c>
      <c r="L612" s="120">
        <f t="shared" si="263"/>
        <v>0</v>
      </c>
      <c r="M612" s="246">
        <f t="shared" si="264"/>
        <v>0</v>
      </c>
      <c r="N612" s="121">
        <f t="shared" si="265"/>
        <v>1.1024</v>
      </c>
      <c r="O612" s="246">
        <f t="shared" si="266"/>
        <v>1.01</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1651</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24">
        <f>SUMPRODUCT($H$565:$H$612,$Q$565:$Q$612,$O$565:$O$612)/SUMPRODUCT($H$565:$H$612,$Q$565:$Q$612)</f>
        <v>0.99399161196207142</v>
      </c>
      <c r="G613" s="224">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row>
    <row r="616" spans="1:21" x14ac:dyDescent="0.3">
      <c r="A616" s="6" t="str">
        <f>INDEX(lr_key,11)</f>
        <v>ABD|MI</v>
      </c>
      <c r="B616" s="6" t="str">
        <f>INDEX(lr_state,11)</f>
        <v>MI</v>
      </c>
      <c r="C616" s="75">
        <f>nr_TermMonths</f>
        <v>12</v>
      </c>
      <c r="D616" s="75">
        <f>IF(COUNTIF(se_state,$B616)=0,0,MATCH($B616,se_state,0))</f>
        <v>0</v>
      </c>
      <c r="E616" s="70">
        <f>IF($D616=0,0,INDEX(se_sum,$D616))</f>
        <v>0</v>
      </c>
      <c r="F616" s="224">
        <f>IF(N(INDEX(lr_mind,11))=0,1,INDEX(lr_mind,11))</f>
        <v>1</v>
      </c>
      <c r="G616" s="224">
        <f>IF(N(INDEX(lr_m0,11))=0,1,INDEX(lr_m0,11))</f>
        <v>0.99</v>
      </c>
      <c r="H616" s="74">
        <f>IF(N(INDEX(lr_m0asof,11))=0,DATE(nr_PlanYear-1,10,1),INDEX(lr_m0asof,11))</f>
        <v>46295</v>
      </c>
      <c r="I616" s="224">
        <f>IF(N(INDEX(lr_m1,11))=0,1,INDEX(lr_m1,11))</f>
        <v>0.99</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74">EOMONTH($B619,0)</f>
        <v>45688</v>
      </c>
      <c r="D619" s="120">
        <f t="shared" ref="D619:D666" si="275">$C619-$B619+1</f>
        <v>31</v>
      </c>
      <c r="E619" s="120">
        <f t="shared" ref="E619:E666" si="276">MONTH($B619)</f>
        <v>1</v>
      </c>
      <c r="F619" s="275">
        <f t="shared" ref="F619:F666" si="277">($B619+$C619+1)/2</f>
        <v>45673.5</v>
      </c>
      <c r="G619" s="120">
        <f t="shared" ref="G619:G666" si="278">YEAR($B619)*12+MONTH($B619)-1</f>
        <v>24300</v>
      </c>
      <c r="H619" s="245">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46">
        <f t="shared" ref="M619:M666" si="284">IF($K619=0,0,MIN(1,$L619/$D619))</f>
        <v>0</v>
      </c>
      <c r="N619" s="121">
        <f t="shared" ref="N619:N666" si="285">IF($K619=0,$J619,(1-$M619)*$I619+$M619*$J619)</f>
        <v>1</v>
      </c>
      <c r="O619" s="246">
        <f t="shared" ref="O619:O666" si="286">IF($F619&lt;$B$617,$E$617+$I$617*($F619-$A$617),IF($F619&lt;$C$617,$F$617+$J$617*($F619-$B$617),$G$617+$K$617*($F619-$C$617)))</f>
        <v>0.99</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87">
        <v>2</v>
      </c>
      <c r="B620" s="242">
        <f t="shared" ref="B620:B666" si="293">EDATE($B619,1)</f>
        <v>45689</v>
      </c>
      <c r="C620" s="243">
        <f t="shared" si="274"/>
        <v>45716</v>
      </c>
      <c r="D620" s="120">
        <f t="shared" si="275"/>
        <v>28</v>
      </c>
      <c r="E620" s="120">
        <f t="shared" si="276"/>
        <v>2</v>
      </c>
      <c r="F620" s="275">
        <f t="shared" si="277"/>
        <v>45703</v>
      </c>
      <c r="G620" s="120">
        <f t="shared" si="278"/>
        <v>24301</v>
      </c>
      <c r="H620" s="245">
        <f t="shared" si="279"/>
        <v>1</v>
      </c>
      <c r="I620" s="121">
        <f t="shared" si="280"/>
        <v>1</v>
      </c>
      <c r="J620" s="121">
        <f t="shared" si="281"/>
        <v>1</v>
      </c>
      <c r="K620" s="120">
        <f t="shared" si="282"/>
        <v>0</v>
      </c>
      <c r="L620" s="120">
        <f t="shared" si="283"/>
        <v>0</v>
      </c>
      <c r="M620" s="246">
        <f t="shared" si="284"/>
        <v>0</v>
      </c>
      <c r="N620" s="121">
        <f t="shared" si="285"/>
        <v>1</v>
      </c>
      <c r="O620" s="246">
        <f t="shared" si="286"/>
        <v>0.99</v>
      </c>
      <c r="P620" s="121">
        <f t="shared" si="287"/>
        <v>0.125</v>
      </c>
      <c r="Q620" s="121">
        <f t="shared" si="288"/>
        <v>0</v>
      </c>
      <c r="R620" s="121">
        <f t="shared" si="289"/>
        <v>0</v>
      </c>
      <c r="S620" s="121" t="str">
        <f t="shared" si="290"/>
        <v/>
      </c>
      <c r="T620" s="121" t="str">
        <f t="shared" si="291"/>
        <v/>
      </c>
      <c r="U620" s="121">
        <f t="shared" si="292"/>
        <v>1</v>
      </c>
    </row>
    <row r="621" spans="1:21" x14ac:dyDescent="0.3">
      <c r="A621" s="187">
        <v>3</v>
      </c>
      <c r="B621" s="242">
        <f t="shared" si="293"/>
        <v>45717</v>
      </c>
      <c r="C621" s="243">
        <f t="shared" si="274"/>
        <v>45747</v>
      </c>
      <c r="D621" s="120">
        <f t="shared" si="275"/>
        <v>31</v>
      </c>
      <c r="E621" s="120">
        <f t="shared" si="276"/>
        <v>3</v>
      </c>
      <c r="F621" s="275">
        <f t="shared" si="277"/>
        <v>45732.5</v>
      </c>
      <c r="G621" s="120">
        <f t="shared" si="278"/>
        <v>24302</v>
      </c>
      <c r="H621" s="245">
        <f t="shared" si="279"/>
        <v>1</v>
      </c>
      <c r="I621" s="121">
        <f t="shared" si="280"/>
        <v>1</v>
      </c>
      <c r="J621" s="121">
        <f t="shared" si="281"/>
        <v>1</v>
      </c>
      <c r="K621" s="120">
        <f t="shared" si="282"/>
        <v>0</v>
      </c>
      <c r="L621" s="120">
        <f t="shared" si="283"/>
        <v>0</v>
      </c>
      <c r="M621" s="246">
        <f t="shared" si="284"/>
        <v>0</v>
      </c>
      <c r="N621" s="121">
        <f t="shared" si="285"/>
        <v>1</v>
      </c>
      <c r="O621" s="246">
        <f t="shared" si="286"/>
        <v>0.99</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87">
        <v>4</v>
      </c>
      <c r="B622" s="242">
        <f t="shared" si="293"/>
        <v>45748</v>
      </c>
      <c r="C622" s="243">
        <f t="shared" si="274"/>
        <v>45777</v>
      </c>
      <c r="D622" s="120">
        <f t="shared" si="275"/>
        <v>30</v>
      </c>
      <c r="E622" s="120">
        <f t="shared" si="276"/>
        <v>4</v>
      </c>
      <c r="F622" s="275">
        <f t="shared" si="277"/>
        <v>45763</v>
      </c>
      <c r="G622" s="120">
        <f t="shared" si="278"/>
        <v>24303</v>
      </c>
      <c r="H622" s="245">
        <f t="shared" si="279"/>
        <v>1</v>
      </c>
      <c r="I622" s="121">
        <f t="shared" si="280"/>
        <v>1</v>
      </c>
      <c r="J622" s="121">
        <f t="shared" si="281"/>
        <v>1</v>
      </c>
      <c r="K622" s="120">
        <f t="shared" si="282"/>
        <v>0</v>
      </c>
      <c r="L622" s="120">
        <f t="shared" si="283"/>
        <v>0</v>
      </c>
      <c r="M622" s="246">
        <f t="shared" si="284"/>
        <v>0</v>
      </c>
      <c r="N622" s="121">
        <f t="shared" si="285"/>
        <v>1</v>
      </c>
      <c r="O622" s="246">
        <f t="shared" si="286"/>
        <v>0.99</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87">
        <v>5</v>
      </c>
      <c r="B623" s="242">
        <f t="shared" si="293"/>
        <v>45778</v>
      </c>
      <c r="C623" s="243">
        <f t="shared" si="274"/>
        <v>45808</v>
      </c>
      <c r="D623" s="120">
        <f t="shared" si="275"/>
        <v>31</v>
      </c>
      <c r="E623" s="120">
        <f t="shared" si="276"/>
        <v>5</v>
      </c>
      <c r="F623" s="275">
        <f t="shared" si="277"/>
        <v>45793.5</v>
      </c>
      <c r="G623" s="120">
        <f t="shared" si="278"/>
        <v>24304</v>
      </c>
      <c r="H623" s="245">
        <f t="shared" si="279"/>
        <v>1</v>
      </c>
      <c r="I623" s="121">
        <f t="shared" si="280"/>
        <v>1</v>
      </c>
      <c r="J623" s="121">
        <f t="shared" si="281"/>
        <v>1</v>
      </c>
      <c r="K623" s="120">
        <f t="shared" si="282"/>
        <v>0</v>
      </c>
      <c r="L623" s="120">
        <f t="shared" si="283"/>
        <v>0</v>
      </c>
      <c r="M623" s="246">
        <f t="shared" si="284"/>
        <v>0</v>
      </c>
      <c r="N623" s="121">
        <f t="shared" si="285"/>
        <v>1</v>
      </c>
      <c r="O623" s="246">
        <f t="shared" si="286"/>
        <v>0.99</v>
      </c>
      <c r="P623" s="121">
        <f t="shared" si="287"/>
        <v>0.375</v>
      </c>
      <c r="Q623" s="121">
        <f t="shared" si="288"/>
        <v>0</v>
      </c>
      <c r="R623" s="121">
        <f t="shared" si="289"/>
        <v>0</v>
      </c>
      <c r="S623" s="121" t="str">
        <f t="shared" si="290"/>
        <v/>
      </c>
      <c r="T623" s="121" t="str">
        <f t="shared" si="291"/>
        <v/>
      </c>
      <c r="U623" s="121">
        <f t="shared" si="292"/>
        <v>1</v>
      </c>
    </row>
    <row r="624" spans="1:21" x14ac:dyDescent="0.3">
      <c r="A624" s="187">
        <v>6</v>
      </c>
      <c r="B624" s="242">
        <f t="shared" si="293"/>
        <v>45809</v>
      </c>
      <c r="C624" s="243">
        <f t="shared" si="274"/>
        <v>45838</v>
      </c>
      <c r="D624" s="120">
        <f t="shared" si="275"/>
        <v>30</v>
      </c>
      <c r="E624" s="120">
        <f t="shared" si="276"/>
        <v>6</v>
      </c>
      <c r="F624" s="275">
        <f t="shared" si="277"/>
        <v>45824</v>
      </c>
      <c r="G624" s="120">
        <f t="shared" si="278"/>
        <v>24305</v>
      </c>
      <c r="H624" s="245">
        <f t="shared" si="279"/>
        <v>1</v>
      </c>
      <c r="I624" s="121">
        <f t="shared" si="280"/>
        <v>1</v>
      </c>
      <c r="J624" s="121">
        <f t="shared" si="281"/>
        <v>1</v>
      </c>
      <c r="K624" s="120">
        <f t="shared" si="282"/>
        <v>0</v>
      </c>
      <c r="L624" s="120">
        <f t="shared" si="283"/>
        <v>0</v>
      </c>
      <c r="M624" s="246">
        <f t="shared" si="284"/>
        <v>0</v>
      </c>
      <c r="N624" s="121">
        <f t="shared" si="285"/>
        <v>1</v>
      </c>
      <c r="O624" s="246">
        <f t="shared" si="286"/>
        <v>0.99</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87">
        <v>7</v>
      </c>
      <c r="B625" s="242">
        <f t="shared" si="293"/>
        <v>45839</v>
      </c>
      <c r="C625" s="243">
        <f t="shared" si="274"/>
        <v>45869</v>
      </c>
      <c r="D625" s="120">
        <f t="shared" si="275"/>
        <v>31</v>
      </c>
      <c r="E625" s="120">
        <f t="shared" si="276"/>
        <v>7</v>
      </c>
      <c r="F625" s="275">
        <f t="shared" si="277"/>
        <v>45854.5</v>
      </c>
      <c r="G625" s="120">
        <f t="shared" si="278"/>
        <v>24306</v>
      </c>
      <c r="H625" s="245">
        <f t="shared" si="279"/>
        <v>1</v>
      </c>
      <c r="I625" s="121">
        <f t="shared" si="280"/>
        <v>1</v>
      </c>
      <c r="J625" s="121">
        <f t="shared" si="281"/>
        <v>1</v>
      </c>
      <c r="K625" s="120">
        <f t="shared" si="282"/>
        <v>0</v>
      </c>
      <c r="L625" s="120">
        <f t="shared" si="283"/>
        <v>0</v>
      </c>
      <c r="M625" s="246">
        <f t="shared" si="284"/>
        <v>0</v>
      </c>
      <c r="N625" s="121">
        <f t="shared" si="285"/>
        <v>1</v>
      </c>
      <c r="O625" s="246">
        <f t="shared" si="286"/>
        <v>0.99</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87">
        <v>8</v>
      </c>
      <c r="B626" s="242">
        <f t="shared" si="293"/>
        <v>45870</v>
      </c>
      <c r="C626" s="243">
        <f t="shared" si="274"/>
        <v>45900</v>
      </c>
      <c r="D626" s="120">
        <f t="shared" si="275"/>
        <v>31</v>
      </c>
      <c r="E626" s="120">
        <f t="shared" si="276"/>
        <v>8</v>
      </c>
      <c r="F626" s="275">
        <f t="shared" si="277"/>
        <v>45885.5</v>
      </c>
      <c r="G626" s="120">
        <f t="shared" si="278"/>
        <v>24307</v>
      </c>
      <c r="H626" s="245">
        <f t="shared" si="279"/>
        <v>1</v>
      </c>
      <c r="I626" s="121">
        <f t="shared" si="280"/>
        <v>1</v>
      </c>
      <c r="J626" s="121">
        <f t="shared" si="281"/>
        <v>1</v>
      </c>
      <c r="K626" s="120">
        <f t="shared" si="282"/>
        <v>0</v>
      </c>
      <c r="L626" s="120">
        <f t="shared" si="283"/>
        <v>0</v>
      </c>
      <c r="M626" s="246">
        <f t="shared" si="284"/>
        <v>0</v>
      </c>
      <c r="N626" s="121">
        <f t="shared" si="285"/>
        <v>1</v>
      </c>
      <c r="O626" s="246">
        <f t="shared" si="286"/>
        <v>0.99</v>
      </c>
      <c r="P626" s="121">
        <f t="shared" si="287"/>
        <v>0.625</v>
      </c>
      <c r="Q626" s="121">
        <f t="shared" si="288"/>
        <v>0</v>
      </c>
      <c r="R626" s="121">
        <f t="shared" si="289"/>
        <v>0</v>
      </c>
      <c r="S626" s="121" t="str">
        <f t="shared" si="290"/>
        <v/>
      </c>
      <c r="T626" s="121" t="str">
        <f t="shared" si="291"/>
        <v/>
      </c>
      <c r="U626" s="121">
        <f t="shared" si="292"/>
        <v>1</v>
      </c>
    </row>
    <row r="627" spans="1:21" x14ac:dyDescent="0.3">
      <c r="A627" s="187">
        <v>9</v>
      </c>
      <c r="B627" s="242">
        <f t="shared" si="293"/>
        <v>45901</v>
      </c>
      <c r="C627" s="243">
        <f t="shared" si="274"/>
        <v>45930</v>
      </c>
      <c r="D627" s="120">
        <f t="shared" si="275"/>
        <v>30</v>
      </c>
      <c r="E627" s="120">
        <f t="shared" si="276"/>
        <v>9</v>
      </c>
      <c r="F627" s="275">
        <f t="shared" si="277"/>
        <v>45916</v>
      </c>
      <c r="G627" s="120">
        <f t="shared" si="278"/>
        <v>24308</v>
      </c>
      <c r="H627" s="245">
        <f t="shared" si="279"/>
        <v>1</v>
      </c>
      <c r="I627" s="121">
        <f t="shared" si="280"/>
        <v>1</v>
      </c>
      <c r="J627" s="121">
        <f t="shared" si="281"/>
        <v>1</v>
      </c>
      <c r="K627" s="120">
        <f t="shared" si="282"/>
        <v>0</v>
      </c>
      <c r="L627" s="120">
        <f t="shared" si="283"/>
        <v>0</v>
      </c>
      <c r="M627" s="246">
        <f t="shared" si="284"/>
        <v>0</v>
      </c>
      <c r="N627" s="121">
        <f t="shared" si="285"/>
        <v>1</v>
      </c>
      <c r="O627" s="246">
        <f t="shared" si="286"/>
        <v>0.99</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87">
        <v>10</v>
      </c>
      <c r="B628" s="242">
        <f t="shared" si="293"/>
        <v>45931</v>
      </c>
      <c r="C628" s="243">
        <f t="shared" si="274"/>
        <v>45961</v>
      </c>
      <c r="D628" s="120">
        <f t="shared" si="275"/>
        <v>31</v>
      </c>
      <c r="E628" s="120">
        <f t="shared" si="276"/>
        <v>10</v>
      </c>
      <c r="F628" s="275">
        <f t="shared" si="277"/>
        <v>45946.5</v>
      </c>
      <c r="G628" s="120">
        <f t="shared" si="278"/>
        <v>24309</v>
      </c>
      <c r="H628" s="245">
        <f t="shared" si="279"/>
        <v>1</v>
      </c>
      <c r="I628" s="121">
        <f t="shared" si="280"/>
        <v>1</v>
      </c>
      <c r="J628" s="121">
        <f t="shared" si="281"/>
        <v>1</v>
      </c>
      <c r="K628" s="120">
        <f t="shared" si="282"/>
        <v>0</v>
      </c>
      <c r="L628" s="120">
        <f t="shared" si="283"/>
        <v>0</v>
      </c>
      <c r="M628" s="246">
        <f t="shared" si="284"/>
        <v>0</v>
      </c>
      <c r="N628" s="121">
        <f t="shared" si="285"/>
        <v>1</v>
      </c>
      <c r="O628" s="246">
        <f t="shared" si="286"/>
        <v>0.99</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87">
        <v>11</v>
      </c>
      <c r="B629" s="242">
        <f t="shared" si="293"/>
        <v>45962</v>
      </c>
      <c r="C629" s="243">
        <f t="shared" si="274"/>
        <v>45991</v>
      </c>
      <c r="D629" s="120">
        <f t="shared" si="275"/>
        <v>30</v>
      </c>
      <c r="E629" s="120">
        <f t="shared" si="276"/>
        <v>11</v>
      </c>
      <c r="F629" s="275">
        <f t="shared" si="277"/>
        <v>45977</v>
      </c>
      <c r="G629" s="120">
        <f t="shared" si="278"/>
        <v>24310</v>
      </c>
      <c r="H629" s="245">
        <f t="shared" si="279"/>
        <v>1</v>
      </c>
      <c r="I629" s="121">
        <f t="shared" si="280"/>
        <v>1</v>
      </c>
      <c r="J629" s="121">
        <f t="shared" si="281"/>
        <v>1</v>
      </c>
      <c r="K629" s="120">
        <f t="shared" si="282"/>
        <v>0</v>
      </c>
      <c r="L629" s="120">
        <f t="shared" si="283"/>
        <v>0</v>
      </c>
      <c r="M629" s="246">
        <f t="shared" si="284"/>
        <v>0</v>
      </c>
      <c r="N629" s="121">
        <f t="shared" si="285"/>
        <v>1</v>
      </c>
      <c r="O629" s="246">
        <f t="shared" si="286"/>
        <v>0.99</v>
      </c>
      <c r="P629" s="121">
        <f t="shared" si="287"/>
        <v>0.875</v>
      </c>
      <c r="Q629" s="121">
        <f t="shared" si="288"/>
        <v>0</v>
      </c>
      <c r="R629" s="121">
        <f t="shared" si="289"/>
        <v>0</v>
      </c>
      <c r="S629" s="121" t="str">
        <f t="shared" si="290"/>
        <v/>
      </c>
      <c r="T629" s="121" t="str">
        <f t="shared" si="291"/>
        <v/>
      </c>
      <c r="U629" s="121">
        <f t="shared" si="292"/>
        <v>1</v>
      </c>
    </row>
    <row r="630" spans="1:21" x14ac:dyDescent="0.3">
      <c r="A630" s="187">
        <v>12</v>
      </c>
      <c r="B630" s="242">
        <f t="shared" si="293"/>
        <v>45992</v>
      </c>
      <c r="C630" s="243">
        <f t="shared" si="274"/>
        <v>46022</v>
      </c>
      <c r="D630" s="120">
        <f t="shared" si="275"/>
        <v>31</v>
      </c>
      <c r="E630" s="120">
        <f t="shared" si="276"/>
        <v>12</v>
      </c>
      <c r="F630" s="275">
        <f t="shared" si="277"/>
        <v>46007.5</v>
      </c>
      <c r="G630" s="120">
        <f t="shared" si="278"/>
        <v>24311</v>
      </c>
      <c r="H630" s="245">
        <f t="shared" si="279"/>
        <v>1</v>
      </c>
      <c r="I630" s="121">
        <f t="shared" si="280"/>
        <v>1</v>
      </c>
      <c r="J630" s="121">
        <f t="shared" si="281"/>
        <v>1</v>
      </c>
      <c r="K630" s="120">
        <f t="shared" si="282"/>
        <v>0</v>
      </c>
      <c r="L630" s="120">
        <f t="shared" si="283"/>
        <v>0</v>
      </c>
      <c r="M630" s="246">
        <f t="shared" si="284"/>
        <v>0</v>
      </c>
      <c r="N630" s="121">
        <f t="shared" si="285"/>
        <v>1</v>
      </c>
      <c r="O630" s="246">
        <f t="shared" si="286"/>
        <v>0.99</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87">
        <v>13</v>
      </c>
      <c r="B631" s="242">
        <f t="shared" si="293"/>
        <v>46023</v>
      </c>
      <c r="C631" s="243">
        <f t="shared" si="274"/>
        <v>46053</v>
      </c>
      <c r="D631" s="120">
        <f t="shared" si="275"/>
        <v>31</v>
      </c>
      <c r="E631" s="120">
        <f t="shared" si="276"/>
        <v>1</v>
      </c>
      <c r="F631" s="275">
        <f t="shared" si="277"/>
        <v>46038.5</v>
      </c>
      <c r="G631" s="120">
        <f t="shared" si="278"/>
        <v>24312</v>
      </c>
      <c r="H631" s="245">
        <f t="shared" si="279"/>
        <v>1</v>
      </c>
      <c r="I631" s="121">
        <f t="shared" si="280"/>
        <v>1</v>
      </c>
      <c r="J631" s="121">
        <f t="shared" si="281"/>
        <v>1</v>
      </c>
      <c r="K631" s="120">
        <f t="shared" si="282"/>
        <v>0</v>
      </c>
      <c r="L631" s="120">
        <f t="shared" si="283"/>
        <v>0</v>
      </c>
      <c r="M631" s="246">
        <f t="shared" si="284"/>
        <v>0</v>
      </c>
      <c r="N631" s="121">
        <f t="shared" si="285"/>
        <v>1</v>
      </c>
      <c r="O631" s="246">
        <f t="shared" si="286"/>
        <v>0.99</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87">
        <v>14</v>
      </c>
      <c r="B632" s="242">
        <f t="shared" si="293"/>
        <v>46054</v>
      </c>
      <c r="C632" s="243">
        <f t="shared" si="274"/>
        <v>46081</v>
      </c>
      <c r="D632" s="120">
        <f t="shared" si="275"/>
        <v>28</v>
      </c>
      <c r="E632" s="120">
        <f t="shared" si="276"/>
        <v>2</v>
      </c>
      <c r="F632" s="275">
        <f t="shared" si="277"/>
        <v>46068</v>
      </c>
      <c r="G632" s="120">
        <f t="shared" si="278"/>
        <v>24313</v>
      </c>
      <c r="H632" s="245">
        <f t="shared" si="279"/>
        <v>1</v>
      </c>
      <c r="I632" s="121">
        <f t="shared" si="280"/>
        <v>1</v>
      </c>
      <c r="J632" s="121">
        <f t="shared" si="281"/>
        <v>1</v>
      </c>
      <c r="K632" s="120">
        <f t="shared" si="282"/>
        <v>0</v>
      </c>
      <c r="L632" s="120">
        <f t="shared" si="283"/>
        <v>0</v>
      </c>
      <c r="M632" s="246">
        <f t="shared" si="284"/>
        <v>0</v>
      </c>
      <c r="N632" s="121">
        <f t="shared" si="285"/>
        <v>1</v>
      </c>
      <c r="O632" s="246">
        <f t="shared" si="286"/>
        <v>0.99</v>
      </c>
      <c r="P632" s="121">
        <f t="shared" si="287"/>
        <v>0.875</v>
      </c>
      <c r="Q632" s="121">
        <f t="shared" si="288"/>
        <v>0.125</v>
      </c>
      <c r="R632" s="121">
        <f t="shared" si="289"/>
        <v>0</v>
      </c>
      <c r="S632" s="121" t="str">
        <f t="shared" si="290"/>
        <v/>
      </c>
      <c r="T632" s="121" t="str">
        <f t="shared" si="291"/>
        <v/>
      </c>
      <c r="U632" s="121">
        <f t="shared" si="292"/>
        <v>1</v>
      </c>
    </row>
    <row r="633" spans="1:21" x14ac:dyDescent="0.3">
      <c r="A633" s="187">
        <v>15</v>
      </c>
      <c r="B633" s="242">
        <f t="shared" si="293"/>
        <v>46082</v>
      </c>
      <c r="C633" s="243">
        <f t="shared" si="274"/>
        <v>46112</v>
      </c>
      <c r="D633" s="120">
        <f t="shared" si="275"/>
        <v>31</v>
      </c>
      <c r="E633" s="120">
        <f t="shared" si="276"/>
        <v>3</v>
      </c>
      <c r="F633" s="275">
        <f t="shared" si="277"/>
        <v>46097.5</v>
      </c>
      <c r="G633" s="120">
        <f t="shared" si="278"/>
        <v>24314</v>
      </c>
      <c r="H633" s="245">
        <f t="shared" si="279"/>
        <v>1</v>
      </c>
      <c r="I633" s="121">
        <f t="shared" si="280"/>
        <v>1</v>
      </c>
      <c r="J633" s="121">
        <f t="shared" si="281"/>
        <v>1</v>
      </c>
      <c r="K633" s="120">
        <f t="shared" si="282"/>
        <v>0</v>
      </c>
      <c r="L633" s="120">
        <f t="shared" si="283"/>
        <v>0</v>
      </c>
      <c r="M633" s="246">
        <f t="shared" si="284"/>
        <v>0</v>
      </c>
      <c r="N633" s="121">
        <f t="shared" si="285"/>
        <v>1</v>
      </c>
      <c r="O633" s="246">
        <f t="shared" si="286"/>
        <v>0.99</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87">
        <v>16</v>
      </c>
      <c r="B634" s="242">
        <f t="shared" si="293"/>
        <v>46113</v>
      </c>
      <c r="C634" s="243">
        <f t="shared" si="274"/>
        <v>46142</v>
      </c>
      <c r="D634" s="120">
        <f t="shared" si="275"/>
        <v>30</v>
      </c>
      <c r="E634" s="120">
        <f t="shared" si="276"/>
        <v>4</v>
      </c>
      <c r="F634" s="275">
        <f t="shared" si="277"/>
        <v>46128</v>
      </c>
      <c r="G634" s="120">
        <f t="shared" si="278"/>
        <v>24315</v>
      </c>
      <c r="H634" s="245">
        <f t="shared" si="279"/>
        <v>1</v>
      </c>
      <c r="I634" s="121">
        <f t="shared" si="280"/>
        <v>1</v>
      </c>
      <c r="J634" s="121">
        <f t="shared" si="281"/>
        <v>1</v>
      </c>
      <c r="K634" s="120">
        <f t="shared" si="282"/>
        <v>0</v>
      </c>
      <c r="L634" s="120">
        <f t="shared" si="283"/>
        <v>0</v>
      </c>
      <c r="M634" s="246">
        <f t="shared" si="284"/>
        <v>0</v>
      </c>
      <c r="N634" s="121">
        <f t="shared" si="285"/>
        <v>1</v>
      </c>
      <c r="O634" s="246">
        <f t="shared" si="286"/>
        <v>0.99</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87">
        <v>17</v>
      </c>
      <c r="B635" s="242">
        <f t="shared" si="293"/>
        <v>46143</v>
      </c>
      <c r="C635" s="243">
        <f t="shared" si="274"/>
        <v>46173</v>
      </c>
      <c r="D635" s="120">
        <f t="shared" si="275"/>
        <v>31</v>
      </c>
      <c r="E635" s="120">
        <f t="shared" si="276"/>
        <v>5</v>
      </c>
      <c r="F635" s="275">
        <f t="shared" si="277"/>
        <v>46158.5</v>
      </c>
      <c r="G635" s="120">
        <f t="shared" si="278"/>
        <v>24316</v>
      </c>
      <c r="H635" s="245">
        <f t="shared" si="279"/>
        <v>1</v>
      </c>
      <c r="I635" s="121">
        <f t="shared" si="280"/>
        <v>1</v>
      </c>
      <c r="J635" s="121">
        <f t="shared" si="281"/>
        <v>1</v>
      </c>
      <c r="K635" s="120">
        <f t="shared" si="282"/>
        <v>0</v>
      </c>
      <c r="L635" s="120">
        <f t="shared" si="283"/>
        <v>0</v>
      </c>
      <c r="M635" s="246">
        <f t="shared" si="284"/>
        <v>0</v>
      </c>
      <c r="N635" s="121">
        <f t="shared" si="285"/>
        <v>1</v>
      </c>
      <c r="O635" s="246">
        <f t="shared" si="286"/>
        <v>0.99</v>
      </c>
      <c r="P635" s="121">
        <f t="shared" si="287"/>
        <v>0.625</v>
      </c>
      <c r="Q635" s="121">
        <f t="shared" si="288"/>
        <v>0.375</v>
      </c>
      <c r="R635" s="121">
        <f t="shared" si="289"/>
        <v>0</v>
      </c>
      <c r="S635" s="121" t="str">
        <f t="shared" si="290"/>
        <v/>
      </c>
      <c r="T635" s="121" t="str">
        <f t="shared" si="291"/>
        <v/>
      </c>
      <c r="U635" s="121">
        <f t="shared" si="292"/>
        <v>1</v>
      </c>
    </row>
    <row r="636" spans="1:21" x14ac:dyDescent="0.3">
      <c r="A636" s="187">
        <v>18</v>
      </c>
      <c r="B636" s="242">
        <f t="shared" si="293"/>
        <v>46174</v>
      </c>
      <c r="C636" s="243">
        <f t="shared" si="274"/>
        <v>46203</v>
      </c>
      <c r="D636" s="120">
        <f t="shared" si="275"/>
        <v>30</v>
      </c>
      <c r="E636" s="120">
        <f t="shared" si="276"/>
        <v>6</v>
      </c>
      <c r="F636" s="275">
        <f t="shared" si="277"/>
        <v>46189</v>
      </c>
      <c r="G636" s="120">
        <f t="shared" si="278"/>
        <v>24317</v>
      </c>
      <c r="H636" s="245">
        <f t="shared" si="279"/>
        <v>1</v>
      </c>
      <c r="I636" s="121">
        <f t="shared" si="280"/>
        <v>1</v>
      </c>
      <c r="J636" s="121">
        <f t="shared" si="281"/>
        <v>1</v>
      </c>
      <c r="K636" s="120">
        <f t="shared" si="282"/>
        <v>0</v>
      </c>
      <c r="L636" s="120">
        <f t="shared" si="283"/>
        <v>0</v>
      </c>
      <c r="M636" s="246">
        <f t="shared" si="284"/>
        <v>0</v>
      </c>
      <c r="N636" s="121">
        <f t="shared" si="285"/>
        <v>1</v>
      </c>
      <c r="O636" s="246">
        <f t="shared" si="286"/>
        <v>0.99</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87">
        <v>19</v>
      </c>
      <c r="B637" s="242">
        <f t="shared" si="293"/>
        <v>46204</v>
      </c>
      <c r="C637" s="243">
        <f t="shared" si="274"/>
        <v>46234</v>
      </c>
      <c r="D637" s="120">
        <f t="shared" si="275"/>
        <v>31</v>
      </c>
      <c r="E637" s="120">
        <f t="shared" si="276"/>
        <v>7</v>
      </c>
      <c r="F637" s="275">
        <f t="shared" si="277"/>
        <v>46219.5</v>
      </c>
      <c r="G637" s="120">
        <f t="shared" si="278"/>
        <v>24318</v>
      </c>
      <c r="H637" s="245">
        <f t="shared" si="279"/>
        <v>1</v>
      </c>
      <c r="I637" s="121">
        <f t="shared" si="280"/>
        <v>1</v>
      </c>
      <c r="J637" s="121">
        <f t="shared" si="281"/>
        <v>1</v>
      </c>
      <c r="K637" s="120">
        <f t="shared" si="282"/>
        <v>0</v>
      </c>
      <c r="L637" s="120">
        <f t="shared" si="283"/>
        <v>0</v>
      </c>
      <c r="M637" s="246">
        <f t="shared" si="284"/>
        <v>0</v>
      </c>
      <c r="N637" s="121">
        <f t="shared" si="285"/>
        <v>1</v>
      </c>
      <c r="O637" s="246">
        <f t="shared" si="286"/>
        <v>0.99</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87">
        <v>20</v>
      </c>
      <c r="B638" s="242">
        <f t="shared" si="293"/>
        <v>46235</v>
      </c>
      <c r="C638" s="243">
        <f t="shared" si="274"/>
        <v>46265</v>
      </c>
      <c r="D638" s="120">
        <f t="shared" si="275"/>
        <v>31</v>
      </c>
      <c r="E638" s="120">
        <f t="shared" si="276"/>
        <v>8</v>
      </c>
      <c r="F638" s="275">
        <f t="shared" si="277"/>
        <v>46250.5</v>
      </c>
      <c r="G638" s="120">
        <f t="shared" si="278"/>
        <v>24319</v>
      </c>
      <c r="H638" s="245">
        <f t="shared" si="279"/>
        <v>1</v>
      </c>
      <c r="I638" s="121">
        <f t="shared" si="280"/>
        <v>1</v>
      </c>
      <c r="J638" s="121">
        <f t="shared" si="281"/>
        <v>1</v>
      </c>
      <c r="K638" s="120">
        <f t="shared" si="282"/>
        <v>0</v>
      </c>
      <c r="L638" s="120">
        <f t="shared" si="283"/>
        <v>0</v>
      </c>
      <c r="M638" s="246">
        <f t="shared" si="284"/>
        <v>0</v>
      </c>
      <c r="N638" s="121">
        <f t="shared" si="285"/>
        <v>1</v>
      </c>
      <c r="O638" s="246">
        <f t="shared" si="286"/>
        <v>0.99</v>
      </c>
      <c r="P638" s="121">
        <f t="shared" si="287"/>
        <v>0.375</v>
      </c>
      <c r="Q638" s="121">
        <f t="shared" si="288"/>
        <v>0.625</v>
      </c>
      <c r="R638" s="121">
        <f t="shared" si="289"/>
        <v>0</v>
      </c>
      <c r="S638" s="121" t="str">
        <f t="shared" si="290"/>
        <v/>
      </c>
      <c r="T638" s="121" t="str">
        <f t="shared" si="291"/>
        <v/>
      </c>
      <c r="U638" s="121">
        <f t="shared" si="292"/>
        <v>1</v>
      </c>
    </row>
    <row r="639" spans="1:21" x14ac:dyDescent="0.3">
      <c r="A639" s="187">
        <v>21</v>
      </c>
      <c r="B639" s="242">
        <f t="shared" si="293"/>
        <v>46266</v>
      </c>
      <c r="C639" s="243">
        <f t="shared" si="274"/>
        <v>46295</v>
      </c>
      <c r="D639" s="120">
        <f t="shared" si="275"/>
        <v>30</v>
      </c>
      <c r="E639" s="120">
        <f t="shared" si="276"/>
        <v>9</v>
      </c>
      <c r="F639" s="275">
        <f t="shared" si="277"/>
        <v>46281</v>
      </c>
      <c r="G639" s="120">
        <f t="shared" si="278"/>
        <v>24320</v>
      </c>
      <c r="H639" s="245">
        <f t="shared" si="279"/>
        <v>1</v>
      </c>
      <c r="I639" s="121">
        <f t="shared" si="280"/>
        <v>1</v>
      </c>
      <c r="J639" s="121">
        <f t="shared" si="281"/>
        <v>1</v>
      </c>
      <c r="K639" s="120">
        <f t="shared" si="282"/>
        <v>0</v>
      </c>
      <c r="L639" s="120">
        <f t="shared" si="283"/>
        <v>0</v>
      </c>
      <c r="M639" s="246">
        <f t="shared" si="284"/>
        <v>0</v>
      </c>
      <c r="N639" s="121">
        <f t="shared" si="285"/>
        <v>1</v>
      </c>
      <c r="O639" s="246">
        <f t="shared" si="286"/>
        <v>0.99</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87">
        <v>22</v>
      </c>
      <c r="B640" s="242">
        <f t="shared" si="293"/>
        <v>46296</v>
      </c>
      <c r="C640" s="243">
        <f t="shared" si="274"/>
        <v>46326</v>
      </c>
      <c r="D640" s="120">
        <f t="shared" si="275"/>
        <v>31</v>
      </c>
      <c r="E640" s="120">
        <f t="shared" si="276"/>
        <v>10</v>
      </c>
      <c r="F640" s="275">
        <f t="shared" si="277"/>
        <v>46311.5</v>
      </c>
      <c r="G640" s="120">
        <f t="shared" si="278"/>
        <v>24321</v>
      </c>
      <c r="H640" s="245">
        <f t="shared" si="279"/>
        <v>1</v>
      </c>
      <c r="I640" s="121">
        <f t="shared" si="280"/>
        <v>1</v>
      </c>
      <c r="J640" s="121">
        <f t="shared" si="281"/>
        <v>1</v>
      </c>
      <c r="K640" s="120">
        <f t="shared" si="282"/>
        <v>0</v>
      </c>
      <c r="L640" s="120">
        <f t="shared" si="283"/>
        <v>0</v>
      </c>
      <c r="M640" s="246">
        <f t="shared" si="284"/>
        <v>0</v>
      </c>
      <c r="N640" s="121">
        <f t="shared" si="285"/>
        <v>1</v>
      </c>
      <c r="O640" s="246">
        <f t="shared" si="286"/>
        <v>0.99</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87">
        <v>23</v>
      </c>
      <c r="B641" s="242">
        <f t="shared" si="293"/>
        <v>46327</v>
      </c>
      <c r="C641" s="243">
        <f t="shared" si="274"/>
        <v>46356</v>
      </c>
      <c r="D641" s="120">
        <f t="shared" si="275"/>
        <v>30</v>
      </c>
      <c r="E641" s="120">
        <f t="shared" si="276"/>
        <v>11</v>
      </c>
      <c r="F641" s="275">
        <f t="shared" si="277"/>
        <v>46342</v>
      </c>
      <c r="G641" s="120">
        <f t="shared" si="278"/>
        <v>24322</v>
      </c>
      <c r="H641" s="245">
        <f t="shared" si="279"/>
        <v>1</v>
      </c>
      <c r="I641" s="121">
        <f t="shared" si="280"/>
        <v>1</v>
      </c>
      <c r="J641" s="121">
        <f t="shared" si="281"/>
        <v>1.02</v>
      </c>
      <c r="K641" s="120">
        <f t="shared" si="282"/>
        <v>1</v>
      </c>
      <c r="L641" s="120">
        <f t="shared" si="283"/>
        <v>30</v>
      </c>
      <c r="M641" s="246">
        <f t="shared" si="284"/>
        <v>1</v>
      </c>
      <c r="N641" s="121">
        <f t="shared" si="285"/>
        <v>1.02</v>
      </c>
      <c r="O641" s="246">
        <f t="shared" si="286"/>
        <v>0.99</v>
      </c>
      <c r="P641" s="121">
        <f t="shared" si="287"/>
        <v>0.125</v>
      </c>
      <c r="Q641" s="121">
        <f t="shared" si="288"/>
        <v>0.875</v>
      </c>
      <c r="R641" s="121">
        <f t="shared" si="289"/>
        <v>0</v>
      </c>
      <c r="S641" s="121" t="str">
        <f t="shared" si="290"/>
        <v/>
      </c>
      <c r="T641" s="121" t="str">
        <f t="shared" si="291"/>
        <v/>
      </c>
      <c r="U641" s="121">
        <f t="shared" si="292"/>
        <v>1.02</v>
      </c>
    </row>
    <row r="642" spans="1:21" x14ac:dyDescent="0.3">
      <c r="A642" s="187">
        <v>24</v>
      </c>
      <c r="B642" s="242">
        <f t="shared" si="293"/>
        <v>46357</v>
      </c>
      <c r="C642" s="243">
        <f t="shared" si="274"/>
        <v>46387</v>
      </c>
      <c r="D642" s="120">
        <f t="shared" si="275"/>
        <v>31</v>
      </c>
      <c r="E642" s="120">
        <f t="shared" si="276"/>
        <v>12</v>
      </c>
      <c r="F642" s="275">
        <f t="shared" si="277"/>
        <v>46372.5</v>
      </c>
      <c r="G642" s="120">
        <f t="shared" si="278"/>
        <v>24323</v>
      </c>
      <c r="H642" s="245">
        <f t="shared" si="279"/>
        <v>1</v>
      </c>
      <c r="I642" s="121">
        <f t="shared" si="280"/>
        <v>1.02</v>
      </c>
      <c r="J642" s="121">
        <f t="shared" si="281"/>
        <v>1.02</v>
      </c>
      <c r="K642" s="120">
        <f t="shared" si="282"/>
        <v>0</v>
      </c>
      <c r="L642" s="120">
        <f t="shared" si="283"/>
        <v>0</v>
      </c>
      <c r="M642" s="246">
        <f t="shared" si="284"/>
        <v>0</v>
      </c>
      <c r="N642" s="121">
        <f t="shared" si="285"/>
        <v>1.02</v>
      </c>
      <c r="O642" s="246">
        <f t="shared" si="286"/>
        <v>0.99</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87">
        <v>25</v>
      </c>
      <c r="B643" s="242">
        <f t="shared" si="293"/>
        <v>46388</v>
      </c>
      <c r="C643" s="243">
        <f t="shared" si="274"/>
        <v>46418</v>
      </c>
      <c r="D643" s="120">
        <f t="shared" si="275"/>
        <v>31</v>
      </c>
      <c r="E643" s="120">
        <f t="shared" si="276"/>
        <v>1</v>
      </c>
      <c r="F643" s="275">
        <f t="shared" si="277"/>
        <v>46403.5</v>
      </c>
      <c r="G643" s="120">
        <f t="shared" si="278"/>
        <v>24324</v>
      </c>
      <c r="H643" s="245">
        <f t="shared" si="279"/>
        <v>1</v>
      </c>
      <c r="I643" s="121">
        <f t="shared" si="280"/>
        <v>1.02</v>
      </c>
      <c r="J643" s="121">
        <f t="shared" si="281"/>
        <v>1.02</v>
      </c>
      <c r="K643" s="120">
        <f t="shared" si="282"/>
        <v>0</v>
      </c>
      <c r="L643" s="120">
        <f t="shared" si="283"/>
        <v>0</v>
      </c>
      <c r="M643" s="246">
        <f t="shared" si="284"/>
        <v>0</v>
      </c>
      <c r="N643" s="121">
        <f t="shared" si="285"/>
        <v>1.02</v>
      </c>
      <c r="O643" s="246">
        <f t="shared" si="286"/>
        <v>0.99</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87">
        <v>26</v>
      </c>
      <c r="B644" s="242">
        <f t="shared" si="293"/>
        <v>46419</v>
      </c>
      <c r="C644" s="243">
        <f t="shared" si="274"/>
        <v>46446</v>
      </c>
      <c r="D644" s="120">
        <f t="shared" si="275"/>
        <v>28</v>
      </c>
      <c r="E644" s="120">
        <f t="shared" si="276"/>
        <v>2</v>
      </c>
      <c r="F644" s="275">
        <f t="shared" si="277"/>
        <v>46433</v>
      </c>
      <c r="G644" s="120">
        <f t="shared" si="278"/>
        <v>24325</v>
      </c>
      <c r="H644" s="245">
        <f t="shared" si="279"/>
        <v>1</v>
      </c>
      <c r="I644" s="121">
        <f t="shared" si="280"/>
        <v>1.02</v>
      </c>
      <c r="J644" s="121">
        <f t="shared" si="281"/>
        <v>1.02</v>
      </c>
      <c r="K644" s="120">
        <f t="shared" si="282"/>
        <v>0</v>
      </c>
      <c r="L644" s="120">
        <f t="shared" si="283"/>
        <v>0</v>
      </c>
      <c r="M644" s="246">
        <f t="shared" si="284"/>
        <v>0</v>
      </c>
      <c r="N644" s="121">
        <f t="shared" si="285"/>
        <v>1.02</v>
      </c>
      <c r="O644" s="246">
        <f t="shared" si="286"/>
        <v>0.99</v>
      </c>
      <c r="P644" s="121">
        <f t="shared" si="287"/>
        <v>0</v>
      </c>
      <c r="Q644" s="121">
        <f t="shared" si="288"/>
        <v>0.875</v>
      </c>
      <c r="R644" s="121">
        <f t="shared" si="289"/>
        <v>0.125</v>
      </c>
      <c r="S644" s="121" t="str">
        <f t="shared" si="290"/>
        <v/>
      </c>
      <c r="T644" s="121" t="str">
        <f t="shared" si="291"/>
        <v/>
      </c>
      <c r="U644" s="121">
        <f t="shared" si="292"/>
        <v>1.02</v>
      </c>
    </row>
    <row r="645" spans="1:21" x14ac:dyDescent="0.3">
      <c r="A645" s="187">
        <v>27</v>
      </c>
      <c r="B645" s="242">
        <f t="shared" si="293"/>
        <v>46447</v>
      </c>
      <c r="C645" s="243">
        <f t="shared" si="274"/>
        <v>46477</v>
      </c>
      <c r="D645" s="120">
        <f t="shared" si="275"/>
        <v>31</v>
      </c>
      <c r="E645" s="120">
        <f t="shared" si="276"/>
        <v>3</v>
      </c>
      <c r="F645" s="275">
        <f t="shared" si="277"/>
        <v>46462.5</v>
      </c>
      <c r="G645" s="120">
        <f t="shared" si="278"/>
        <v>24326</v>
      </c>
      <c r="H645" s="245">
        <f t="shared" si="279"/>
        <v>1</v>
      </c>
      <c r="I645" s="121">
        <f t="shared" si="280"/>
        <v>1.02</v>
      </c>
      <c r="J645" s="121">
        <f t="shared" si="281"/>
        <v>1.02</v>
      </c>
      <c r="K645" s="120">
        <f t="shared" si="282"/>
        <v>0</v>
      </c>
      <c r="L645" s="120">
        <f t="shared" si="283"/>
        <v>0</v>
      </c>
      <c r="M645" s="246">
        <f t="shared" si="284"/>
        <v>0</v>
      </c>
      <c r="N645" s="121">
        <f t="shared" si="285"/>
        <v>1.02</v>
      </c>
      <c r="O645" s="246">
        <f t="shared" si="286"/>
        <v>0.99</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87">
        <v>28</v>
      </c>
      <c r="B646" s="242">
        <f t="shared" si="293"/>
        <v>46478</v>
      </c>
      <c r="C646" s="243">
        <f t="shared" si="274"/>
        <v>46507</v>
      </c>
      <c r="D646" s="120">
        <f t="shared" si="275"/>
        <v>30</v>
      </c>
      <c r="E646" s="120">
        <f t="shared" si="276"/>
        <v>4</v>
      </c>
      <c r="F646" s="275">
        <f t="shared" si="277"/>
        <v>46493</v>
      </c>
      <c r="G646" s="120">
        <f t="shared" si="278"/>
        <v>24327</v>
      </c>
      <c r="H646" s="245">
        <f t="shared" si="279"/>
        <v>1</v>
      </c>
      <c r="I646" s="121">
        <f t="shared" si="280"/>
        <v>1.02</v>
      </c>
      <c r="J646" s="121">
        <f t="shared" si="281"/>
        <v>1.02</v>
      </c>
      <c r="K646" s="120">
        <f t="shared" si="282"/>
        <v>0</v>
      </c>
      <c r="L646" s="120">
        <f t="shared" si="283"/>
        <v>0</v>
      </c>
      <c r="M646" s="246">
        <f t="shared" si="284"/>
        <v>0</v>
      </c>
      <c r="N646" s="121">
        <f t="shared" si="285"/>
        <v>1.02</v>
      </c>
      <c r="O646" s="246">
        <f t="shared" si="286"/>
        <v>0.99</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87">
        <v>29</v>
      </c>
      <c r="B647" s="242">
        <f t="shared" si="293"/>
        <v>46508</v>
      </c>
      <c r="C647" s="243">
        <f t="shared" si="274"/>
        <v>46538</v>
      </c>
      <c r="D647" s="120">
        <f t="shared" si="275"/>
        <v>31</v>
      </c>
      <c r="E647" s="120">
        <f t="shared" si="276"/>
        <v>5</v>
      </c>
      <c r="F647" s="275">
        <f t="shared" si="277"/>
        <v>46523.5</v>
      </c>
      <c r="G647" s="120">
        <f t="shared" si="278"/>
        <v>24328</v>
      </c>
      <c r="H647" s="245">
        <f t="shared" si="279"/>
        <v>1</v>
      </c>
      <c r="I647" s="121">
        <f t="shared" si="280"/>
        <v>1.02</v>
      </c>
      <c r="J647" s="121">
        <f t="shared" si="281"/>
        <v>1.02</v>
      </c>
      <c r="K647" s="120">
        <f t="shared" si="282"/>
        <v>0</v>
      </c>
      <c r="L647" s="120">
        <f t="shared" si="283"/>
        <v>0</v>
      </c>
      <c r="M647" s="246">
        <f t="shared" si="284"/>
        <v>0</v>
      </c>
      <c r="N647" s="121">
        <f t="shared" si="285"/>
        <v>1.02</v>
      </c>
      <c r="O647" s="246">
        <f t="shared" si="286"/>
        <v>0.99</v>
      </c>
      <c r="P647" s="121">
        <f t="shared" si="287"/>
        <v>0</v>
      </c>
      <c r="Q647" s="121">
        <f t="shared" si="288"/>
        <v>0.625</v>
      </c>
      <c r="R647" s="121">
        <f t="shared" si="289"/>
        <v>0.375</v>
      </c>
      <c r="S647" s="121" t="str">
        <f t="shared" si="290"/>
        <v/>
      </c>
      <c r="T647" s="121" t="str">
        <f t="shared" si="291"/>
        <v/>
      </c>
      <c r="U647" s="121">
        <f t="shared" si="292"/>
        <v>1.02</v>
      </c>
    </row>
    <row r="648" spans="1:21" x14ac:dyDescent="0.3">
      <c r="A648" s="187">
        <v>30</v>
      </c>
      <c r="B648" s="242">
        <f t="shared" si="293"/>
        <v>46539</v>
      </c>
      <c r="C648" s="243">
        <f t="shared" si="274"/>
        <v>46568</v>
      </c>
      <c r="D648" s="120">
        <f t="shared" si="275"/>
        <v>30</v>
      </c>
      <c r="E648" s="120">
        <f t="shared" si="276"/>
        <v>6</v>
      </c>
      <c r="F648" s="275">
        <f t="shared" si="277"/>
        <v>46554</v>
      </c>
      <c r="G648" s="120">
        <f t="shared" si="278"/>
        <v>24329</v>
      </c>
      <c r="H648" s="245">
        <f t="shared" si="279"/>
        <v>1</v>
      </c>
      <c r="I648" s="121">
        <f t="shared" si="280"/>
        <v>1.02</v>
      </c>
      <c r="J648" s="121">
        <f t="shared" si="281"/>
        <v>1.02</v>
      </c>
      <c r="K648" s="120">
        <f t="shared" si="282"/>
        <v>0</v>
      </c>
      <c r="L648" s="120">
        <f t="shared" si="283"/>
        <v>0</v>
      </c>
      <c r="M648" s="246">
        <f t="shared" si="284"/>
        <v>0</v>
      </c>
      <c r="N648" s="121">
        <f t="shared" si="285"/>
        <v>1.02</v>
      </c>
      <c r="O648" s="246">
        <f t="shared" si="286"/>
        <v>0.99</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87">
        <v>31</v>
      </c>
      <c r="B649" s="242">
        <f t="shared" si="293"/>
        <v>46569</v>
      </c>
      <c r="C649" s="243">
        <f t="shared" si="274"/>
        <v>46599</v>
      </c>
      <c r="D649" s="120">
        <f t="shared" si="275"/>
        <v>31</v>
      </c>
      <c r="E649" s="120">
        <f t="shared" si="276"/>
        <v>7</v>
      </c>
      <c r="F649" s="275">
        <f t="shared" si="277"/>
        <v>46584.5</v>
      </c>
      <c r="G649" s="120">
        <f t="shared" si="278"/>
        <v>24330</v>
      </c>
      <c r="H649" s="245">
        <f t="shared" si="279"/>
        <v>1</v>
      </c>
      <c r="I649" s="121">
        <f t="shared" si="280"/>
        <v>1.02</v>
      </c>
      <c r="J649" s="121">
        <f t="shared" si="281"/>
        <v>1.02</v>
      </c>
      <c r="K649" s="120">
        <f t="shared" si="282"/>
        <v>0</v>
      </c>
      <c r="L649" s="120">
        <f t="shared" si="283"/>
        <v>0</v>
      </c>
      <c r="M649" s="246">
        <f t="shared" si="284"/>
        <v>0</v>
      </c>
      <c r="N649" s="121">
        <f t="shared" si="285"/>
        <v>1.02</v>
      </c>
      <c r="O649" s="246">
        <f t="shared" si="286"/>
        <v>0.99</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87">
        <v>32</v>
      </c>
      <c r="B650" s="242">
        <f t="shared" si="293"/>
        <v>46600</v>
      </c>
      <c r="C650" s="243">
        <f t="shared" si="274"/>
        <v>46630</v>
      </c>
      <c r="D650" s="120">
        <f t="shared" si="275"/>
        <v>31</v>
      </c>
      <c r="E650" s="120">
        <f t="shared" si="276"/>
        <v>8</v>
      </c>
      <c r="F650" s="275">
        <f t="shared" si="277"/>
        <v>46615.5</v>
      </c>
      <c r="G650" s="120">
        <f t="shared" si="278"/>
        <v>24331</v>
      </c>
      <c r="H650" s="245">
        <f t="shared" si="279"/>
        <v>1</v>
      </c>
      <c r="I650" s="121">
        <f t="shared" si="280"/>
        <v>1.02</v>
      </c>
      <c r="J650" s="121">
        <f t="shared" si="281"/>
        <v>1.02</v>
      </c>
      <c r="K650" s="120">
        <f t="shared" si="282"/>
        <v>0</v>
      </c>
      <c r="L650" s="120">
        <f t="shared" si="283"/>
        <v>0</v>
      </c>
      <c r="M650" s="246">
        <f t="shared" si="284"/>
        <v>0</v>
      </c>
      <c r="N650" s="121">
        <f t="shared" si="285"/>
        <v>1.02</v>
      </c>
      <c r="O650" s="246">
        <f t="shared" si="286"/>
        <v>0.99</v>
      </c>
      <c r="P650" s="121">
        <f t="shared" si="287"/>
        <v>0</v>
      </c>
      <c r="Q650" s="121">
        <f t="shared" si="288"/>
        <v>0.375</v>
      </c>
      <c r="R650" s="121">
        <f t="shared" si="289"/>
        <v>0.625</v>
      </c>
      <c r="S650" s="121" t="str">
        <f t="shared" si="290"/>
        <v/>
      </c>
      <c r="T650" s="121" t="str">
        <f t="shared" si="291"/>
        <v/>
      </c>
      <c r="U650" s="121">
        <f t="shared" si="292"/>
        <v>1.02</v>
      </c>
    </row>
    <row r="651" spans="1:21" x14ac:dyDescent="0.3">
      <c r="A651" s="187">
        <v>33</v>
      </c>
      <c r="B651" s="242">
        <f t="shared" si="293"/>
        <v>46631</v>
      </c>
      <c r="C651" s="243">
        <f t="shared" si="274"/>
        <v>46660</v>
      </c>
      <c r="D651" s="120">
        <f t="shared" si="275"/>
        <v>30</v>
      </c>
      <c r="E651" s="120">
        <f t="shared" si="276"/>
        <v>9</v>
      </c>
      <c r="F651" s="275">
        <f t="shared" si="277"/>
        <v>46646</v>
      </c>
      <c r="G651" s="120">
        <f t="shared" si="278"/>
        <v>24332</v>
      </c>
      <c r="H651" s="245">
        <f t="shared" si="279"/>
        <v>1</v>
      </c>
      <c r="I651" s="121">
        <f t="shared" si="280"/>
        <v>1.02</v>
      </c>
      <c r="J651" s="121">
        <f t="shared" si="281"/>
        <v>1.02</v>
      </c>
      <c r="K651" s="120">
        <f t="shared" si="282"/>
        <v>0</v>
      </c>
      <c r="L651" s="120">
        <f t="shared" si="283"/>
        <v>0</v>
      </c>
      <c r="M651" s="246">
        <f t="shared" si="284"/>
        <v>0</v>
      </c>
      <c r="N651" s="121">
        <f t="shared" si="285"/>
        <v>1.02</v>
      </c>
      <c r="O651" s="246">
        <f t="shared" si="286"/>
        <v>0.99</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87">
        <v>34</v>
      </c>
      <c r="B652" s="242">
        <f t="shared" si="293"/>
        <v>46661</v>
      </c>
      <c r="C652" s="243">
        <f t="shared" si="274"/>
        <v>46691</v>
      </c>
      <c r="D652" s="120">
        <f t="shared" si="275"/>
        <v>31</v>
      </c>
      <c r="E652" s="120">
        <f t="shared" si="276"/>
        <v>10</v>
      </c>
      <c r="F652" s="275">
        <f t="shared" si="277"/>
        <v>46676.5</v>
      </c>
      <c r="G652" s="120">
        <f t="shared" si="278"/>
        <v>24333</v>
      </c>
      <c r="H652" s="245">
        <f t="shared" si="279"/>
        <v>1</v>
      </c>
      <c r="I652" s="121">
        <f t="shared" si="280"/>
        <v>1.02</v>
      </c>
      <c r="J652" s="121">
        <f t="shared" si="281"/>
        <v>1.02</v>
      </c>
      <c r="K652" s="120">
        <f t="shared" si="282"/>
        <v>0</v>
      </c>
      <c r="L652" s="120">
        <f t="shared" si="283"/>
        <v>0</v>
      </c>
      <c r="M652" s="246">
        <f t="shared" si="284"/>
        <v>0</v>
      </c>
      <c r="N652" s="121">
        <f t="shared" si="285"/>
        <v>1.02</v>
      </c>
      <c r="O652" s="246">
        <f t="shared" si="286"/>
        <v>0.99</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87">
        <v>35</v>
      </c>
      <c r="B653" s="242">
        <f t="shared" si="293"/>
        <v>46692</v>
      </c>
      <c r="C653" s="243">
        <f t="shared" si="274"/>
        <v>46721</v>
      </c>
      <c r="D653" s="120">
        <f t="shared" si="275"/>
        <v>30</v>
      </c>
      <c r="E653" s="120">
        <f t="shared" si="276"/>
        <v>11</v>
      </c>
      <c r="F653" s="275">
        <f t="shared" si="277"/>
        <v>46707</v>
      </c>
      <c r="G653" s="120">
        <f t="shared" si="278"/>
        <v>24334</v>
      </c>
      <c r="H653" s="245">
        <f t="shared" si="279"/>
        <v>1</v>
      </c>
      <c r="I653" s="121">
        <f t="shared" si="280"/>
        <v>1.02</v>
      </c>
      <c r="J653" s="121">
        <f t="shared" si="281"/>
        <v>1.02</v>
      </c>
      <c r="K653" s="120">
        <f t="shared" si="282"/>
        <v>0</v>
      </c>
      <c r="L653" s="120">
        <f t="shared" si="283"/>
        <v>0</v>
      </c>
      <c r="M653" s="246">
        <f t="shared" si="284"/>
        <v>0</v>
      </c>
      <c r="N653" s="121">
        <f t="shared" si="285"/>
        <v>1.02</v>
      </c>
      <c r="O653" s="246">
        <f t="shared" si="286"/>
        <v>0.99</v>
      </c>
      <c r="P653" s="121">
        <f t="shared" si="287"/>
        <v>0</v>
      </c>
      <c r="Q653" s="121">
        <f t="shared" si="288"/>
        <v>0.125</v>
      </c>
      <c r="R653" s="121">
        <f t="shared" si="289"/>
        <v>0.875</v>
      </c>
      <c r="S653" s="121" t="str">
        <f t="shared" si="290"/>
        <v/>
      </c>
      <c r="T653" s="121" t="str">
        <f t="shared" si="291"/>
        <v/>
      </c>
      <c r="U653" s="121">
        <f t="shared" si="292"/>
        <v>1.02</v>
      </c>
    </row>
    <row r="654" spans="1:21" x14ac:dyDescent="0.3">
      <c r="A654" s="187">
        <v>36</v>
      </c>
      <c r="B654" s="242">
        <f t="shared" si="293"/>
        <v>46722</v>
      </c>
      <c r="C654" s="243">
        <f t="shared" si="274"/>
        <v>46752</v>
      </c>
      <c r="D654" s="120">
        <f t="shared" si="275"/>
        <v>31</v>
      </c>
      <c r="E654" s="120">
        <f t="shared" si="276"/>
        <v>12</v>
      </c>
      <c r="F654" s="275">
        <f t="shared" si="277"/>
        <v>46737.5</v>
      </c>
      <c r="G654" s="120">
        <f t="shared" si="278"/>
        <v>24335</v>
      </c>
      <c r="H654" s="245">
        <f t="shared" si="279"/>
        <v>1</v>
      </c>
      <c r="I654" s="121">
        <f t="shared" si="280"/>
        <v>1.02</v>
      </c>
      <c r="J654" s="121">
        <f t="shared" si="281"/>
        <v>1.02</v>
      </c>
      <c r="K654" s="120">
        <f t="shared" si="282"/>
        <v>0</v>
      </c>
      <c r="L654" s="120">
        <f t="shared" si="283"/>
        <v>0</v>
      </c>
      <c r="M654" s="246">
        <f t="shared" si="284"/>
        <v>0</v>
      </c>
      <c r="N654" s="121">
        <f t="shared" si="285"/>
        <v>1.02</v>
      </c>
      <c r="O654" s="246">
        <f t="shared" si="286"/>
        <v>0.99</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87">
        <v>37</v>
      </c>
      <c r="B655" s="242">
        <f t="shared" si="293"/>
        <v>46753</v>
      </c>
      <c r="C655" s="243">
        <f t="shared" si="274"/>
        <v>46783</v>
      </c>
      <c r="D655" s="120">
        <f t="shared" si="275"/>
        <v>31</v>
      </c>
      <c r="E655" s="120">
        <f t="shared" si="276"/>
        <v>1</v>
      </c>
      <c r="F655" s="275">
        <f t="shared" si="277"/>
        <v>46768.5</v>
      </c>
      <c r="G655" s="120">
        <f t="shared" si="278"/>
        <v>24336</v>
      </c>
      <c r="H655" s="245">
        <f t="shared" si="279"/>
        <v>1</v>
      </c>
      <c r="I655" s="121">
        <f t="shared" si="280"/>
        <v>1.02</v>
      </c>
      <c r="J655" s="121">
        <f t="shared" si="281"/>
        <v>1.02</v>
      </c>
      <c r="K655" s="120">
        <f t="shared" si="282"/>
        <v>0</v>
      </c>
      <c r="L655" s="120">
        <f t="shared" si="283"/>
        <v>0</v>
      </c>
      <c r="M655" s="246">
        <f t="shared" si="284"/>
        <v>0</v>
      </c>
      <c r="N655" s="121">
        <f t="shared" si="285"/>
        <v>1.02</v>
      </c>
      <c r="O655" s="246">
        <f t="shared" si="286"/>
        <v>0.99</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87">
        <v>38</v>
      </c>
      <c r="B656" s="242">
        <f t="shared" si="293"/>
        <v>46784</v>
      </c>
      <c r="C656" s="243">
        <f t="shared" si="274"/>
        <v>46812</v>
      </c>
      <c r="D656" s="120">
        <f t="shared" si="275"/>
        <v>29</v>
      </c>
      <c r="E656" s="120">
        <f t="shared" si="276"/>
        <v>2</v>
      </c>
      <c r="F656" s="275">
        <f t="shared" si="277"/>
        <v>46798.5</v>
      </c>
      <c r="G656" s="120">
        <f t="shared" si="278"/>
        <v>24337</v>
      </c>
      <c r="H656" s="245">
        <f t="shared" si="279"/>
        <v>1</v>
      </c>
      <c r="I656" s="121">
        <f t="shared" si="280"/>
        <v>1.02</v>
      </c>
      <c r="J656" s="121">
        <f t="shared" si="281"/>
        <v>1.02</v>
      </c>
      <c r="K656" s="120">
        <f t="shared" si="282"/>
        <v>0</v>
      </c>
      <c r="L656" s="120">
        <f t="shared" si="283"/>
        <v>0</v>
      </c>
      <c r="M656" s="246">
        <f t="shared" si="284"/>
        <v>0</v>
      </c>
      <c r="N656" s="121">
        <f t="shared" si="285"/>
        <v>1.02</v>
      </c>
      <c r="O656" s="246">
        <f t="shared" si="286"/>
        <v>0.99</v>
      </c>
      <c r="P656" s="121">
        <f t="shared" si="287"/>
        <v>0</v>
      </c>
      <c r="Q656" s="121">
        <f t="shared" si="288"/>
        <v>0</v>
      </c>
      <c r="R656" s="121">
        <f t="shared" si="289"/>
        <v>0.875</v>
      </c>
      <c r="S656" s="121" t="str">
        <f t="shared" si="290"/>
        <v/>
      </c>
      <c r="T656" s="121" t="str">
        <f t="shared" si="291"/>
        <v/>
      </c>
      <c r="U656" s="121">
        <f t="shared" si="292"/>
        <v>1.02</v>
      </c>
    </row>
    <row r="657" spans="1:21" x14ac:dyDescent="0.3">
      <c r="A657" s="187">
        <v>39</v>
      </c>
      <c r="B657" s="242">
        <f t="shared" si="293"/>
        <v>46813</v>
      </c>
      <c r="C657" s="243">
        <f t="shared" si="274"/>
        <v>46843</v>
      </c>
      <c r="D657" s="120">
        <f t="shared" si="275"/>
        <v>31</v>
      </c>
      <c r="E657" s="120">
        <f t="shared" si="276"/>
        <v>3</v>
      </c>
      <c r="F657" s="275">
        <f t="shared" si="277"/>
        <v>46828.5</v>
      </c>
      <c r="G657" s="120">
        <f t="shared" si="278"/>
        <v>24338</v>
      </c>
      <c r="H657" s="245">
        <f t="shared" si="279"/>
        <v>1</v>
      </c>
      <c r="I657" s="121">
        <f t="shared" si="280"/>
        <v>1.02</v>
      </c>
      <c r="J657" s="121">
        <f t="shared" si="281"/>
        <v>1.02</v>
      </c>
      <c r="K657" s="120">
        <f t="shared" si="282"/>
        <v>0</v>
      </c>
      <c r="L657" s="120">
        <f t="shared" si="283"/>
        <v>0</v>
      </c>
      <c r="M657" s="246">
        <f t="shared" si="284"/>
        <v>0</v>
      </c>
      <c r="N657" s="121">
        <f t="shared" si="285"/>
        <v>1.02</v>
      </c>
      <c r="O657" s="246">
        <f t="shared" si="286"/>
        <v>0.99</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87">
        <v>40</v>
      </c>
      <c r="B658" s="242">
        <f t="shared" si="293"/>
        <v>46844</v>
      </c>
      <c r="C658" s="243">
        <f t="shared" si="274"/>
        <v>46873</v>
      </c>
      <c r="D658" s="120">
        <f t="shared" si="275"/>
        <v>30</v>
      </c>
      <c r="E658" s="120">
        <f t="shared" si="276"/>
        <v>4</v>
      </c>
      <c r="F658" s="275">
        <f t="shared" si="277"/>
        <v>46859</v>
      </c>
      <c r="G658" s="120">
        <f t="shared" si="278"/>
        <v>24339</v>
      </c>
      <c r="H658" s="245">
        <f t="shared" si="279"/>
        <v>1</v>
      </c>
      <c r="I658" s="121">
        <f t="shared" si="280"/>
        <v>1.02</v>
      </c>
      <c r="J658" s="121">
        <f t="shared" si="281"/>
        <v>1.02</v>
      </c>
      <c r="K658" s="120">
        <f t="shared" si="282"/>
        <v>0</v>
      </c>
      <c r="L658" s="120">
        <f t="shared" si="283"/>
        <v>0</v>
      </c>
      <c r="M658" s="246">
        <f t="shared" si="284"/>
        <v>0</v>
      </c>
      <c r="N658" s="121">
        <f t="shared" si="285"/>
        <v>1.02</v>
      </c>
      <c r="O658" s="246">
        <f t="shared" si="286"/>
        <v>0.99</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87">
        <v>41</v>
      </c>
      <c r="B659" s="242">
        <f t="shared" si="293"/>
        <v>46874</v>
      </c>
      <c r="C659" s="243">
        <f t="shared" si="274"/>
        <v>46904</v>
      </c>
      <c r="D659" s="120">
        <f t="shared" si="275"/>
        <v>31</v>
      </c>
      <c r="E659" s="120">
        <f t="shared" si="276"/>
        <v>5</v>
      </c>
      <c r="F659" s="275">
        <f t="shared" si="277"/>
        <v>46889.5</v>
      </c>
      <c r="G659" s="120">
        <f t="shared" si="278"/>
        <v>24340</v>
      </c>
      <c r="H659" s="245">
        <f t="shared" si="279"/>
        <v>1</v>
      </c>
      <c r="I659" s="121">
        <f t="shared" si="280"/>
        <v>1.02</v>
      </c>
      <c r="J659" s="121">
        <f t="shared" si="281"/>
        <v>1.02</v>
      </c>
      <c r="K659" s="120">
        <f t="shared" si="282"/>
        <v>0</v>
      </c>
      <c r="L659" s="120">
        <f t="shared" si="283"/>
        <v>0</v>
      </c>
      <c r="M659" s="246">
        <f t="shared" si="284"/>
        <v>0</v>
      </c>
      <c r="N659" s="121">
        <f t="shared" si="285"/>
        <v>1.02</v>
      </c>
      <c r="O659" s="246">
        <f t="shared" si="286"/>
        <v>0.99</v>
      </c>
      <c r="P659" s="121">
        <f t="shared" si="287"/>
        <v>0</v>
      </c>
      <c r="Q659" s="121">
        <f t="shared" si="288"/>
        <v>0</v>
      </c>
      <c r="R659" s="121">
        <f t="shared" si="289"/>
        <v>0.625</v>
      </c>
      <c r="S659" s="121" t="str">
        <f t="shared" si="290"/>
        <v/>
      </c>
      <c r="T659" s="121" t="str">
        <f t="shared" si="291"/>
        <v/>
      </c>
      <c r="U659" s="121">
        <f t="shared" si="292"/>
        <v>1.02</v>
      </c>
    </row>
    <row r="660" spans="1:21" x14ac:dyDescent="0.3">
      <c r="A660" s="187">
        <v>42</v>
      </c>
      <c r="B660" s="242">
        <f t="shared" si="293"/>
        <v>46905</v>
      </c>
      <c r="C660" s="243">
        <f t="shared" si="274"/>
        <v>46934</v>
      </c>
      <c r="D660" s="120">
        <f t="shared" si="275"/>
        <v>30</v>
      </c>
      <c r="E660" s="120">
        <f t="shared" si="276"/>
        <v>6</v>
      </c>
      <c r="F660" s="275">
        <f t="shared" si="277"/>
        <v>46920</v>
      </c>
      <c r="G660" s="120">
        <f t="shared" si="278"/>
        <v>24341</v>
      </c>
      <c r="H660" s="245">
        <f t="shared" si="279"/>
        <v>1</v>
      </c>
      <c r="I660" s="121">
        <f t="shared" si="280"/>
        <v>1.02</v>
      </c>
      <c r="J660" s="121">
        <f t="shared" si="281"/>
        <v>1.02</v>
      </c>
      <c r="K660" s="120">
        <f t="shared" si="282"/>
        <v>0</v>
      </c>
      <c r="L660" s="120">
        <f t="shared" si="283"/>
        <v>0</v>
      </c>
      <c r="M660" s="246">
        <f t="shared" si="284"/>
        <v>0</v>
      </c>
      <c r="N660" s="121">
        <f t="shared" si="285"/>
        <v>1.02</v>
      </c>
      <c r="O660" s="246">
        <f t="shared" si="286"/>
        <v>0.99</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87">
        <v>43</v>
      </c>
      <c r="B661" s="242">
        <f t="shared" si="293"/>
        <v>46935</v>
      </c>
      <c r="C661" s="243">
        <f t="shared" si="274"/>
        <v>46965</v>
      </c>
      <c r="D661" s="120">
        <f t="shared" si="275"/>
        <v>31</v>
      </c>
      <c r="E661" s="120">
        <f t="shared" si="276"/>
        <v>7</v>
      </c>
      <c r="F661" s="275">
        <f t="shared" si="277"/>
        <v>46950.5</v>
      </c>
      <c r="G661" s="120">
        <f t="shared" si="278"/>
        <v>24342</v>
      </c>
      <c r="H661" s="245">
        <f t="shared" si="279"/>
        <v>1</v>
      </c>
      <c r="I661" s="121">
        <f t="shared" si="280"/>
        <v>1.02</v>
      </c>
      <c r="J661" s="121">
        <f t="shared" si="281"/>
        <v>1.02</v>
      </c>
      <c r="K661" s="120">
        <f t="shared" si="282"/>
        <v>0</v>
      </c>
      <c r="L661" s="120">
        <f t="shared" si="283"/>
        <v>0</v>
      </c>
      <c r="M661" s="246">
        <f t="shared" si="284"/>
        <v>0</v>
      </c>
      <c r="N661" s="121">
        <f t="shared" si="285"/>
        <v>1.02</v>
      </c>
      <c r="O661" s="246">
        <f t="shared" si="286"/>
        <v>0.99</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87">
        <v>44</v>
      </c>
      <c r="B662" s="242">
        <f t="shared" si="293"/>
        <v>46966</v>
      </c>
      <c r="C662" s="243">
        <f t="shared" si="274"/>
        <v>46996</v>
      </c>
      <c r="D662" s="120">
        <f t="shared" si="275"/>
        <v>31</v>
      </c>
      <c r="E662" s="120">
        <f t="shared" si="276"/>
        <v>8</v>
      </c>
      <c r="F662" s="275">
        <f t="shared" si="277"/>
        <v>46981.5</v>
      </c>
      <c r="G662" s="120">
        <f t="shared" si="278"/>
        <v>24343</v>
      </c>
      <c r="H662" s="245">
        <f t="shared" si="279"/>
        <v>1</v>
      </c>
      <c r="I662" s="121">
        <f t="shared" si="280"/>
        <v>1.02</v>
      </c>
      <c r="J662" s="121">
        <f t="shared" si="281"/>
        <v>1.02</v>
      </c>
      <c r="K662" s="120">
        <f t="shared" si="282"/>
        <v>0</v>
      </c>
      <c r="L662" s="120">
        <f t="shared" si="283"/>
        <v>0</v>
      </c>
      <c r="M662" s="246">
        <f t="shared" si="284"/>
        <v>0</v>
      </c>
      <c r="N662" s="121">
        <f t="shared" si="285"/>
        <v>1.02</v>
      </c>
      <c r="O662" s="246">
        <f t="shared" si="286"/>
        <v>0.99</v>
      </c>
      <c r="P662" s="121">
        <f t="shared" si="287"/>
        <v>0</v>
      </c>
      <c r="Q662" s="121">
        <f t="shared" si="288"/>
        <v>0</v>
      </c>
      <c r="R662" s="121">
        <f t="shared" si="289"/>
        <v>0.375</v>
      </c>
      <c r="S662" s="121" t="str">
        <f t="shared" si="290"/>
        <v/>
      </c>
      <c r="T662" s="121" t="str">
        <f t="shared" si="291"/>
        <v/>
      </c>
      <c r="U662" s="121">
        <f t="shared" si="292"/>
        <v>1.02</v>
      </c>
    </row>
    <row r="663" spans="1:21" x14ac:dyDescent="0.3">
      <c r="A663" s="187">
        <v>45</v>
      </c>
      <c r="B663" s="242">
        <f t="shared" si="293"/>
        <v>46997</v>
      </c>
      <c r="C663" s="243">
        <f t="shared" si="274"/>
        <v>47026</v>
      </c>
      <c r="D663" s="120">
        <f t="shared" si="275"/>
        <v>30</v>
      </c>
      <c r="E663" s="120">
        <f t="shared" si="276"/>
        <v>9</v>
      </c>
      <c r="F663" s="275">
        <f t="shared" si="277"/>
        <v>47012</v>
      </c>
      <c r="G663" s="120">
        <f t="shared" si="278"/>
        <v>24344</v>
      </c>
      <c r="H663" s="245">
        <f t="shared" si="279"/>
        <v>1</v>
      </c>
      <c r="I663" s="121">
        <f t="shared" si="280"/>
        <v>1.02</v>
      </c>
      <c r="J663" s="121">
        <f t="shared" si="281"/>
        <v>1.02</v>
      </c>
      <c r="K663" s="120">
        <f t="shared" si="282"/>
        <v>0</v>
      </c>
      <c r="L663" s="120">
        <f t="shared" si="283"/>
        <v>0</v>
      </c>
      <c r="M663" s="246">
        <f t="shared" si="284"/>
        <v>0</v>
      </c>
      <c r="N663" s="121">
        <f t="shared" si="285"/>
        <v>1.02</v>
      </c>
      <c r="O663" s="246">
        <f t="shared" si="286"/>
        <v>0.99</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87">
        <v>46</v>
      </c>
      <c r="B664" s="242">
        <f t="shared" si="293"/>
        <v>47027</v>
      </c>
      <c r="C664" s="243">
        <f t="shared" si="274"/>
        <v>47057</v>
      </c>
      <c r="D664" s="120">
        <f t="shared" si="275"/>
        <v>31</v>
      </c>
      <c r="E664" s="120">
        <f t="shared" si="276"/>
        <v>10</v>
      </c>
      <c r="F664" s="275">
        <f t="shared" si="277"/>
        <v>47042.5</v>
      </c>
      <c r="G664" s="120">
        <f t="shared" si="278"/>
        <v>24345</v>
      </c>
      <c r="H664" s="245">
        <f t="shared" si="279"/>
        <v>1</v>
      </c>
      <c r="I664" s="121">
        <f t="shared" si="280"/>
        <v>1.02</v>
      </c>
      <c r="J664" s="121">
        <f t="shared" si="281"/>
        <v>1.02</v>
      </c>
      <c r="K664" s="120">
        <f t="shared" si="282"/>
        <v>0</v>
      </c>
      <c r="L664" s="120">
        <f t="shared" si="283"/>
        <v>0</v>
      </c>
      <c r="M664" s="246">
        <f t="shared" si="284"/>
        <v>0</v>
      </c>
      <c r="N664" s="121">
        <f t="shared" si="285"/>
        <v>1.02</v>
      </c>
      <c r="O664" s="246">
        <f t="shared" si="286"/>
        <v>0.99</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87">
        <v>47</v>
      </c>
      <c r="B665" s="242">
        <f t="shared" si="293"/>
        <v>47058</v>
      </c>
      <c r="C665" s="243">
        <f t="shared" si="274"/>
        <v>47087</v>
      </c>
      <c r="D665" s="120">
        <f t="shared" si="275"/>
        <v>30</v>
      </c>
      <c r="E665" s="120">
        <f t="shared" si="276"/>
        <v>11</v>
      </c>
      <c r="F665" s="275">
        <f t="shared" si="277"/>
        <v>47073</v>
      </c>
      <c r="G665" s="120">
        <f t="shared" si="278"/>
        <v>24346</v>
      </c>
      <c r="H665" s="245">
        <f t="shared" si="279"/>
        <v>1</v>
      </c>
      <c r="I665" s="121">
        <f t="shared" si="280"/>
        <v>1.02</v>
      </c>
      <c r="J665" s="121">
        <f t="shared" si="281"/>
        <v>1.02</v>
      </c>
      <c r="K665" s="120">
        <f t="shared" si="282"/>
        <v>0</v>
      </c>
      <c r="L665" s="120">
        <f t="shared" si="283"/>
        <v>0</v>
      </c>
      <c r="M665" s="246">
        <f t="shared" si="284"/>
        <v>0</v>
      </c>
      <c r="N665" s="121">
        <f t="shared" si="285"/>
        <v>1.02</v>
      </c>
      <c r="O665" s="246">
        <f t="shared" si="286"/>
        <v>0.99</v>
      </c>
      <c r="P665" s="121">
        <f t="shared" si="287"/>
        <v>0</v>
      </c>
      <c r="Q665" s="121">
        <f t="shared" si="288"/>
        <v>0</v>
      </c>
      <c r="R665" s="121">
        <f t="shared" si="289"/>
        <v>0.125</v>
      </c>
      <c r="S665" s="121" t="str">
        <f t="shared" si="290"/>
        <v/>
      </c>
      <c r="T665" s="121" t="str">
        <f t="shared" si="291"/>
        <v/>
      </c>
      <c r="U665" s="121">
        <f t="shared" si="292"/>
        <v>1.02</v>
      </c>
    </row>
    <row r="666" spans="1:21" x14ac:dyDescent="0.3">
      <c r="A666" s="187">
        <v>48</v>
      </c>
      <c r="B666" s="242">
        <f t="shared" si="293"/>
        <v>47088</v>
      </c>
      <c r="C666" s="243">
        <f t="shared" si="274"/>
        <v>47118</v>
      </c>
      <c r="D666" s="120">
        <f t="shared" si="275"/>
        <v>31</v>
      </c>
      <c r="E666" s="120">
        <f t="shared" si="276"/>
        <v>12</v>
      </c>
      <c r="F666" s="275">
        <f t="shared" si="277"/>
        <v>47103.5</v>
      </c>
      <c r="G666" s="120">
        <f t="shared" si="278"/>
        <v>24347</v>
      </c>
      <c r="H666" s="245">
        <f t="shared" si="279"/>
        <v>1</v>
      </c>
      <c r="I666" s="121">
        <f t="shared" si="280"/>
        <v>1.02</v>
      </c>
      <c r="J666" s="121">
        <f t="shared" si="281"/>
        <v>1.02</v>
      </c>
      <c r="K666" s="120">
        <f t="shared" si="282"/>
        <v>0</v>
      </c>
      <c r="L666" s="120">
        <f t="shared" si="283"/>
        <v>0</v>
      </c>
      <c r="M666" s="246">
        <f t="shared" si="284"/>
        <v>0</v>
      </c>
      <c r="N666" s="121">
        <f t="shared" si="285"/>
        <v>1.02</v>
      </c>
      <c r="O666" s="246">
        <f t="shared" si="286"/>
        <v>0.99</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1651</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24">
        <f>SUMPRODUCT($H$619:$H$666,$Q$619:$Q$666,$O$619:$O$666)/SUMPRODUCT($H$619:$H$666,$Q$619:$Q$666)</f>
        <v>0.9900000000000001</v>
      </c>
      <c r="G667" s="224">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row>
    <row r="670" spans="1:21" x14ac:dyDescent="0.3">
      <c r="A670" s="6" t="str">
        <f>INDEX(lr_key,12)</f>
        <v>ABD|MN</v>
      </c>
      <c r="B670" s="6" t="str">
        <f>INDEX(lr_state,12)</f>
        <v>MN</v>
      </c>
      <c r="C670" s="75">
        <f>nr_TermMonths</f>
        <v>12</v>
      </c>
      <c r="D670" s="75">
        <f>IF(COUNTIF(se_state,$B670)=0,0,MATCH($B670,se_state,0))</f>
        <v>0</v>
      </c>
      <c r="E670" s="70">
        <f>IF($D670=0,0,INDEX(se_sum,$D670))</f>
        <v>0</v>
      </c>
      <c r="F670" s="224">
        <f>IF(N(INDEX(lr_mind,12))=0,1,INDEX(lr_mind,12))</f>
        <v>1</v>
      </c>
      <c r="G670" s="224">
        <f>IF(N(INDEX(lr_m0,12))=0,1,INDEX(lr_m0,12))</f>
        <v>0.99</v>
      </c>
      <c r="H670" s="74">
        <f>IF(N(INDEX(lr_m0asof,12))=0,DATE(nr_PlanYear-1,10,1),INDEX(lr_m0asof,12))</f>
        <v>46295</v>
      </c>
      <c r="I670" s="224">
        <f>IF(N(INDEX(lr_m1,12))=0,1,INDEX(lr_m1,12))</f>
        <v>1.0049999999999999</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94">EOMONTH($B673,0)</f>
        <v>45688</v>
      </c>
      <c r="D673" s="120">
        <f t="shared" ref="D673:D720" si="295">$C673-$B673+1</f>
        <v>31</v>
      </c>
      <c r="E673" s="120">
        <f t="shared" ref="E673:E720" si="296">MONTH($B673)</f>
        <v>1</v>
      </c>
      <c r="F673" s="275">
        <f t="shared" ref="F673:F720" si="297">($B673+$C673+1)/2</f>
        <v>45673.5</v>
      </c>
      <c r="G673" s="120">
        <f t="shared" ref="G673:G720" si="298">YEAR($B673)*12+MONTH($B673)-1</f>
        <v>24300</v>
      </c>
      <c r="H673" s="245">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46">
        <f t="shared" ref="M673:M720" si="304">IF($K673=0,0,MIN(1,$L673/$D673))</f>
        <v>0</v>
      </c>
      <c r="N673" s="121">
        <f t="shared" ref="N673:N720" si="305">IF($K673=0,$J673,(1-$M673)*$I673+$M673*$J673)</f>
        <v>1</v>
      </c>
      <c r="O673" s="246">
        <f t="shared" ref="O673:O720" si="306">IF($F673&lt;$B$671,$E$671+$I$671*($F673-$A$671),IF($F673&lt;$C$671,$F$671+$J$671*($F673-$B$671),$G$671+$K$671*($F673-$C$671)))</f>
        <v>0.96956783369803068</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87">
        <v>2</v>
      </c>
      <c r="B674" s="242">
        <f t="shared" ref="B674:B720" si="313">EDATE($B673,1)</f>
        <v>45689</v>
      </c>
      <c r="C674" s="243">
        <f t="shared" si="294"/>
        <v>45716</v>
      </c>
      <c r="D674" s="120">
        <f t="shared" si="295"/>
        <v>28</v>
      </c>
      <c r="E674" s="120">
        <f t="shared" si="296"/>
        <v>2</v>
      </c>
      <c r="F674" s="275">
        <f t="shared" si="297"/>
        <v>45703</v>
      </c>
      <c r="G674" s="120">
        <f t="shared" si="298"/>
        <v>24301</v>
      </c>
      <c r="H674" s="245">
        <f t="shared" si="299"/>
        <v>1</v>
      </c>
      <c r="I674" s="121">
        <f t="shared" si="300"/>
        <v>1</v>
      </c>
      <c r="J674" s="121">
        <f t="shared" si="301"/>
        <v>1</v>
      </c>
      <c r="K674" s="120">
        <f t="shared" si="302"/>
        <v>0</v>
      </c>
      <c r="L674" s="120">
        <f t="shared" si="303"/>
        <v>0</v>
      </c>
      <c r="M674" s="246">
        <f t="shared" si="304"/>
        <v>0</v>
      </c>
      <c r="N674" s="121">
        <f t="shared" si="305"/>
        <v>1</v>
      </c>
      <c r="O674" s="246">
        <f t="shared" si="306"/>
        <v>0.97053610503282284</v>
      </c>
      <c r="P674" s="121">
        <f t="shared" si="307"/>
        <v>0.125</v>
      </c>
      <c r="Q674" s="121">
        <f t="shared" si="308"/>
        <v>0</v>
      </c>
      <c r="R674" s="121">
        <f t="shared" si="309"/>
        <v>0</v>
      </c>
      <c r="S674" s="121" t="str">
        <f t="shared" si="310"/>
        <v/>
      </c>
      <c r="T674" s="121" t="str">
        <f t="shared" si="311"/>
        <v/>
      </c>
      <c r="U674" s="121">
        <f t="shared" si="312"/>
        <v>1</v>
      </c>
    </row>
    <row r="675" spans="1:21" x14ac:dyDescent="0.3">
      <c r="A675" s="187">
        <v>3</v>
      </c>
      <c r="B675" s="242">
        <f t="shared" si="313"/>
        <v>45717</v>
      </c>
      <c r="C675" s="243">
        <f t="shared" si="294"/>
        <v>45747</v>
      </c>
      <c r="D675" s="120">
        <f t="shared" si="295"/>
        <v>31</v>
      </c>
      <c r="E675" s="120">
        <f t="shared" si="296"/>
        <v>3</v>
      </c>
      <c r="F675" s="275">
        <f t="shared" si="297"/>
        <v>45732.5</v>
      </c>
      <c r="G675" s="120">
        <f t="shared" si="298"/>
        <v>24302</v>
      </c>
      <c r="H675" s="245">
        <f t="shared" si="299"/>
        <v>1</v>
      </c>
      <c r="I675" s="121">
        <f t="shared" si="300"/>
        <v>1</v>
      </c>
      <c r="J675" s="121">
        <f t="shared" si="301"/>
        <v>1</v>
      </c>
      <c r="K675" s="120">
        <f t="shared" si="302"/>
        <v>0</v>
      </c>
      <c r="L675" s="120">
        <f t="shared" si="303"/>
        <v>0</v>
      </c>
      <c r="M675" s="246">
        <f t="shared" si="304"/>
        <v>0</v>
      </c>
      <c r="N675" s="121">
        <f t="shared" si="305"/>
        <v>1</v>
      </c>
      <c r="O675" s="246">
        <f t="shared" si="306"/>
        <v>0.971504376367615</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87">
        <v>4</v>
      </c>
      <c r="B676" s="242">
        <f t="shared" si="313"/>
        <v>45748</v>
      </c>
      <c r="C676" s="243">
        <f t="shared" si="294"/>
        <v>45777</v>
      </c>
      <c r="D676" s="120">
        <f t="shared" si="295"/>
        <v>30</v>
      </c>
      <c r="E676" s="120">
        <f t="shared" si="296"/>
        <v>4</v>
      </c>
      <c r="F676" s="275">
        <f t="shared" si="297"/>
        <v>45763</v>
      </c>
      <c r="G676" s="120">
        <f t="shared" si="298"/>
        <v>24303</v>
      </c>
      <c r="H676" s="245">
        <f t="shared" si="299"/>
        <v>1</v>
      </c>
      <c r="I676" s="121">
        <f t="shared" si="300"/>
        <v>1</v>
      </c>
      <c r="J676" s="121">
        <f t="shared" si="301"/>
        <v>1</v>
      </c>
      <c r="K676" s="120">
        <f t="shared" si="302"/>
        <v>0</v>
      </c>
      <c r="L676" s="120">
        <f t="shared" si="303"/>
        <v>0</v>
      </c>
      <c r="M676" s="246">
        <f t="shared" si="304"/>
        <v>0</v>
      </c>
      <c r="N676" s="121">
        <f t="shared" si="305"/>
        <v>1</v>
      </c>
      <c r="O676" s="246">
        <f t="shared" si="306"/>
        <v>0.97250547045951863</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87">
        <v>5</v>
      </c>
      <c r="B677" s="242">
        <f t="shared" si="313"/>
        <v>45778</v>
      </c>
      <c r="C677" s="243">
        <f t="shared" si="294"/>
        <v>45808</v>
      </c>
      <c r="D677" s="120">
        <f t="shared" si="295"/>
        <v>31</v>
      </c>
      <c r="E677" s="120">
        <f t="shared" si="296"/>
        <v>5</v>
      </c>
      <c r="F677" s="275">
        <f t="shared" si="297"/>
        <v>45793.5</v>
      </c>
      <c r="G677" s="120">
        <f t="shared" si="298"/>
        <v>24304</v>
      </c>
      <c r="H677" s="245">
        <f t="shared" si="299"/>
        <v>1</v>
      </c>
      <c r="I677" s="121">
        <f t="shared" si="300"/>
        <v>1</v>
      </c>
      <c r="J677" s="121">
        <f t="shared" si="301"/>
        <v>1</v>
      </c>
      <c r="K677" s="120">
        <f t="shared" si="302"/>
        <v>0</v>
      </c>
      <c r="L677" s="120">
        <f t="shared" si="303"/>
        <v>0</v>
      </c>
      <c r="M677" s="246">
        <f t="shared" si="304"/>
        <v>0</v>
      </c>
      <c r="N677" s="121">
        <f t="shared" si="305"/>
        <v>1</v>
      </c>
      <c r="O677" s="246">
        <f t="shared" si="306"/>
        <v>0.97350656455142237</v>
      </c>
      <c r="P677" s="121">
        <f t="shared" si="307"/>
        <v>0.375</v>
      </c>
      <c r="Q677" s="121">
        <f t="shared" si="308"/>
        <v>0</v>
      </c>
      <c r="R677" s="121">
        <f t="shared" si="309"/>
        <v>0</v>
      </c>
      <c r="S677" s="121" t="str">
        <f t="shared" si="310"/>
        <v/>
      </c>
      <c r="T677" s="121" t="str">
        <f t="shared" si="311"/>
        <v/>
      </c>
      <c r="U677" s="121">
        <f t="shared" si="312"/>
        <v>1</v>
      </c>
    </row>
    <row r="678" spans="1:21" x14ac:dyDescent="0.3">
      <c r="A678" s="187">
        <v>6</v>
      </c>
      <c r="B678" s="242">
        <f t="shared" si="313"/>
        <v>45809</v>
      </c>
      <c r="C678" s="243">
        <f t="shared" si="294"/>
        <v>45838</v>
      </c>
      <c r="D678" s="120">
        <f t="shared" si="295"/>
        <v>30</v>
      </c>
      <c r="E678" s="120">
        <f t="shared" si="296"/>
        <v>6</v>
      </c>
      <c r="F678" s="275">
        <f t="shared" si="297"/>
        <v>45824</v>
      </c>
      <c r="G678" s="120">
        <f t="shared" si="298"/>
        <v>24305</v>
      </c>
      <c r="H678" s="245">
        <f t="shared" si="299"/>
        <v>1</v>
      </c>
      <c r="I678" s="121">
        <f t="shared" si="300"/>
        <v>1</v>
      </c>
      <c r="J678" s="121">
        <f t="shared" si="301"/>
        <v>1</v>
      </c>
      <c r="K678" s="120">
        <f t="shared" si="302"/>
        <v>0</v>
      </c>
      <c r="L678" s="120">
        <f t="shared" si="303"/>
        <v>0</v>
      </c>
      <c r="M678" s="246">
        <f t="shared" si="304"/>
        <v>0</v>
      </c>
      <c r="N678" s="121">
        <f t="shared" si="305"/>
        <v>1</v>
      </c>
      <c r="O678" s="246">
        <f t="shared" si="306"/>
        <v>0.97450765864332611</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87">
        <v>7</v>
      </c>
      <c r="B679" s="242">
        <f t="shared" si="313"/>
        <v>45839</v>
      </c>
      <c r="C679" s="243">
        <f t="shared" si="294"/>
        <v>45869</v>
      </c>
      <c r="D679" s="120">
        <f t="shared" si="295"/>
        <v>31</v>
      </c>
      <c r="E679" s="120">
        <f t="shared" si="296"/>
        <v>7</v>
      </c>
      <c r="F679" s="275">
        <f t="shared" si="297"/>
        <v>45854.5</v>
      </c>
      <c r="G679" s="120">
        <f t="shared" si="298"/>
        <v>24306</v>
      </c>
      <c r="H679" s="245">
        <f t="shared" si="299"/>
        <v>1</v>
      </c>
      <c r="I679" s="121">
        <f t="shared" si="300"/>
        <v>1</v>
      </c>
      <c r="J679" s="121">
        <f t="shared" si="301"/>
        <v>1</v>
      </c>
      <c r="K679" s="120">
        <f t="shared" si="302"/>
        <v>0</v>
      </c>
      <c r="L679" s="120">
        <f t="shared" si="303"/>
        <v>0</v>
      </c>
      <c r="M679" s="246">
        <f t="shared" si="304"/>
        <v>0</v>
      </c>
      <c r="N679" s="121">
        <f t="shared" si="305"/>
        <v>1</v>
      </c>
      <c r="O679" s="246">
        <f t="shared" si="306"/>
        <v>0.97550875273522986</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87">
        <v>8</v>
      </c>
      <c r="B680" s="242">
        <f t="shared" si="313"/>
        <v>45870</v>
      </c>
      <c r="C680" s="243">
        <f t="shared" si="294"/>
        <v>45900</v>
      </c>
      <c r="D680" s="120">
        <f t="shared" si="295"/>
        <v>31</v>
      </c>
      <c r="E680" s="120">
        <f t="shared" si="296"/>
        <v>8</v>
      </c>
      <c r="F680" s="275">
        <f t="shared" si="297"/>
        <v>45885.5</v>
      </c>
      <c r="G680" s="120">
        <f t="shared" si="298"/>
        <v>24307</v>
      </c>
      <c r="H680" s="245">
        <f t="shared" si="299"/>
        <v>1</v>
      </c>
      <c r="I680" s="121">
        <f t="shared" si="300"/>
        <v>1</v>
      </c>
      <c r="J680" s="121">
        <f t="shared" si="301"/>
        <v>1</v>
      </c>
      <c r="K680" s="120">
        <f t="shared" si="302"/>
        <v>0</v>
      </c>
      <c r="L680" s="120">
        <f t="shared" si="303"/>
        <v>0</v>
      </c>
      <c r="M680" s="246">
        <f t="shared" si="304"/>
        <v>0</v>
      </c>
      <c r="N680" s="121">
        <f t="shared" si="305"/>
        <v>1</v>
      </c>
      <c r="O680" s="246">
        <f t="shared" si="306"/>
        <v>0.97652625820568928</v>
      </c>
      <c r="P680" s="121">
        <f t="shared" si="307"/>
        <v>0.625</v>
      </c>
      <c r="Q680" s="121">
        <f t="shared" si="308"/>
        <v>0</v>
      </c>
      <c r="R680" s="121">
        <f t="shared" si="309"/>
        <v>0</v>
      </c>
      <c r="S680" s="121" t="str">
        <f t="shared" si="310"/>
        <v/>
      </c>
      <c r="T680" s="121" t="str">
        <f t="shared" si="311"/>
        <v/>
      </c>
      <c r="U680" s="121">
        <f t="shared" si="312"/>
        <v>1</v>
      </c>
    </row>
    <row r="681" spans="1:21" x14ac:dyDescent="0.3">
      <c r="A681" s="187">
        <v>9</v>
      </c>
      <c r="B681" s="242">
        <f t="shared" si="313"/>
        <v>45901</v>
      </c>
      <c r="C681" s="243">
        <f t="shared" si="294"/>
        <v>45930</v>
      </c>
      <c r="D681" s="120">
        <f t="shared" si="295"/>
        <v>30</v>
      </c>
      <c r="E681" s="120">
        <f t="shared" si="296"/>
        <v>9</v>
      </c>
      <c r="F681" s="275">
        <f t="shared" si="297"/>
        <v>45916</v>
      </c>
      <c r="G681" s="120">
        <f t="shared" si="298"/>
        <v>24308</v>
      </c>
      <c r="H681" s="245">
        <f t="shared" si="299"/>
        <v>1</v>
      </c>
      <c r="I681" s="121">
        <f t="shared" si="300"/>
        <v>1</v>
      </c>
      <c r="J681" s="121">
        <f t="shared" si="301"/>
        <v>1</v>
      </c>
      <c r="K681" s="120">
        <f t="shared" si="302"/>
        <v>0</v>
      </c>
      <c r="L681" s="120">
        <f t="shared" si="303"/>
        <v>0</v>
      </c>
      <c r="M681" s="246">
        <f t="shared" si="304"/>
        <v>0</v>
      </c>
      <c r="N681" s="121">
        <f t="shared" si="305"/>
        <v>1</v>
      </c>
      <c r="O681" s="246">
        <f t="shared" si="306"/>
        <v>0.97752735229759302</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87">
        <v>10</v>
      </c>
      <c r="B682" s="242">
        <f t="shared" si="313"/>
        <v>45931</v>
      </c>
      <c r="C682" s="243">
        <f t="shared" si="294"/>
        <v>45961</v>
      </c>
      <c r="D682" s="120">
        <f t="shared" si="295"/>
        <v>31</v>
      </c>
      <c r="E682" s="120">
        <f t="shared" si="296"/>
        <v>10</v>
      </c>
      <c r="F682" s="275">
        <f t="shared" si="297"/>
        <v>45946.5</v>
      </c>
      <c r="G682" s="120">
        <f t="shared" si="298"/>
        <v>24309</v>
      </c>
      <c r="H682" s="245">
        <f t="shared" si="299"/>
        <v>1</v>
      </c>
      <c r="I682" s="121">
        <f t="shared" si="300"/>
        <v>1</v>
      </c>
      <c r="J682" s="121">
        <f t="shared" si="301"/>
        <v>1</v>
      </c>
      <c r="K682" s="120">
        <f t="shared" si="302"/>
        <v>0</v>
      </c>
      <c r="L682" s="120">
        <f t="shared" si="303"/>
        <v>0</v>
      </c>
      <c r="M682" s="246">
        <f t="shared" si="304"/>
        <v>0</v>
      </c>
      <c r="N682" s="121">
        <f t="shared" si="305"/>
        <v>1</v>
      </c>
      <c r="O682" s="246">
        <f t="shared" si="306"/>
        <v>0.97852844638949676</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87">
        <v>11</v>
      </c>
      <c r="B683" s="242">
        <f t="shared" si="313"/>
        <v>45962</v>
      </c>
      <c r="C683" s="243">
        <f t="shared" si="294"/>
        <v>45991</v>
      </c>
      <c r="D683" s="120">
        <f t="shared" si="295"/>
        <v>30</v>
      </c>
      <c r="E683" s="120">
        <f t="shared" si="296"/>
        <v>11</v>
      </c>
      <c r="F683" s="275">
        <f t="shared" si="297"/>
        <v>45977</v>
      </c>
      <c r="G683" s="120">
        <f t="shared" si="298"/>
        <v>24310</v>
      </c>
      <c r="H683" s="245">
        <f t="shared" si="299"/>
        <v>1</v>
      </c>
      <c r="I683" s="121">
        <f t="shared" si="300"/>
        <v>1</v>
      </c>
      <c r="J683" s="121">
        <f t="shared" si="301"/>
        <v>1</v>
      </c>
      <c r="K683" s="120">
        <f t="shared" si="302"/>
        <v>0</v>
      </c>
      <c r="L683" s="120">
        <f t="shared" si="303"/>
        <v>0</v>
      </c>
      <c r="M683" s="246">
        <f t="shared" si="304"/>
        <v>0</v>
      </c>
      <c r="N683" s="121">
        <f t="shared" si="305"/>
        <v>1</v>
      </c>
      <c r="O683" s="246">
        <f t="shared" si="306"/>
        <v>0.97952954048140051</v>
      </c>
      <c r="P683" s="121">
        <f t="shared" si="307"/>
        <v>0.875</v>
      </c>
      <c r="Q683" s="121">
        <f t="shared" si="308"/>
        <v>0</v>
      </c>
      <c r="R683" s="121">
        <f t="shared" si="309"/>
        <v>0</v>
      </c>
      <c r="S683" s="121" t="str">
        <f t="shared" si="310"/>
        <v/>
      </c>
      <c r="T683" s="121" t="str">
        <f t="shared" si="311"/>
        <v/>
      </c>
      <c r="U683" s="121">
        <f t="shared" si="312"/>
        <v>1</v>
      </c>
    </row>
    <row r="684" spans="1:21" x14ac:dyDescent="0.3">
      <c r="A684" s="187">
        <v>12</v>
      </c>
      <c r="B684" s="242">
        <f t="shared" si="313"/>
        <v>45992</v>
      </c>
      <c r="C684" s="243">
        <f t="shared" si="294"/>
        <v>46022</v>
      </c>
      <c r="D684" s="120">
        <f t="shared" si="295"/>
        <v>31</v>
      </c>
      <c r="E684" s="120">
        <f t="shared" si="296"/>
        <v>12</v>
      </c>
      <c r="F684" s="275">
        <f t="shared" si="297"/>
        <v>46007.5</v>
      </c>
      <c r="G684" s="120">
        <f t="shared" si="298"/>
        <v>24311</v>
      </c>
      <c r="H684" s="245">
        <f t="shared" si="299"/>
        <v>1</v>
      </c>
      <c r="I684" s="121">
        <f t="shared" si="300"/>
        <v>1</v>
      </c>
      <c r="J684" s="121">
        <f t="shared" si="301"/>
        <v>1</v>
      </c>
      <c r="K684" s="120">
        <f t="shared" si="302"/>
        <v>0</v>
      </c>
      <c r="L684" s="120">
        <f t="shared" si="303"/>
        <v>0</v>
      </c>
      <c r="M684" s="246">
        <f t="shared" si="304"/>
        <v>0</v>
      </c>
      <c r="N684" s="121">
        <f t="shared" si="305"/>
        <v>1</v>
      </c>
      <c r="O684" s="246">
        <f t="shared" si="306"/>
        <v>0.98053063457330414</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87">
        <v>13</v>
      </c>
      <c r="B685" s="242">
        <f t="shared" si="313"/>
        <v>46023</v>
      </c>
      <c r="C685" s="243">
        <f t="shared" si="294"/>
        <v>46053</v>
      </c>
      <c r="D685" s="120">
        <f t="shared" si="295"/>
        <v>31</v>
      </c>
      <c r="E685" s="120">
        <f t="shared" si="296"/>
        <v>1</v>
      </c>
      <c r="F685" s="275">
        <f t="shared" si="297"/>
        <v>46038.5</v>
      </c>
      <c r="G685" s="120">
        <f t="shared" si="298"/>
        <v>24312</v>
      </c>
      <c r="H685" s="245">
        <f t="shared" si="299"/>
        <v>1</v>
      </c>
      <c r="I685" s="121">
        <f t="shared" si="300"/>
        <v>1</v>
      </c>
      <c r="J685" s="121">
        <f t="shared" si="301"/>
        <v>1</v>
      </c>
      <c r="K685" s="120">
        <f t="shared" si="302"/>
        <v>0</v>
      </c>
      <c r="L685" s="120">
        <f t="shared" si="303"/>
        <v>0</v>
      </c>
      <c r="M685" s="246">
        <f t="shared" si="304"/>
        <v>0</v>
      </c>
      <c r="N685" s="121">
        <f t="shared" si="305"/>
        <v>1</v>
      </c>
      <c r="O685" s="246">
        <f t="shared" si="306"/>
        <v>0.98154814004376367</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87">
        <v>14</v>
      </c>
      <c r="B686" s="242">
        <f t="shared" si="313"/>
        <v>46054</v>
      </c>
      <c r="C686" s="243">
        <f t="shared" si="294"/>
        <v>46081</v>
      </c>
      <c r="D686" s="120">
        <f t="shared" si="295"/>
        <v>28</v>
      </c>
      <c r="E686" s="120">
        <f t="shared" si="296"/>
        <v>2</v>
      </c>
      <c r="F686" s="275">
        <f t="shared" si="297"/>
        <v>46068</v>
      </c>
      <c r="G686" s="120">
        <f t="shared" si="298"/>
        <v>24313</v>
      </c>
      <c r="H686" s="245">
        <f t="shared" si="299"/>
        <v>1</v>
      </c>
      <c r="I686" s="121">
        <f t="shared" si="300"/>
        <v>1</v>
      </c>
      <c r="J686" s="121">
        <f t="shared" si="301"/>
        <v>1</v>
      </c>
      <c r="K686" s="120">
        <f t="shared" si="302"/>
        <v>0</v>
      </c>
      <c r="L686" s="120">
        <f t="shared" si="303"/>
        <v>0</v>
      </c>
      <c r="M686" s="246">
        <f t="shared" si="304"/>
        <v>0</v>
      </c>
      <c r="N686" s="121">
        <f t="shared" si="305"/>
        <v>1</v>
      </c>
      <c r="O686" s="246">
        <f t="shared" si="306"/>
        <v>0.98251641137855583</v>
      </c>
      <c r="P686" s="121">
        <f t="shared" si="307"/>
        <v>0.875</v>
      </c>
      <c r="Q686" s="121">
        <f t="shared" si="308"/>
        <v>0.125</v>
      </c>
      <c r="R686" s="121">
        <f t="shared" si="309"/>
        <v>0</v>
      </c>
      <c r="S686" s="121" t="str">
        <f t="shared" si="310"/>
        <v/>
      </c>
      <c r="T686" s="121" t="str">
        <f t="shared" si="311"/>
        <v/>
      </c>
      <c r="U686" s="121">
        <f t="shared" si="312"/>
        <v>1</v>
      </c>
    </row>
    <row r="687" spans="1:21" x14ac:dyDescent="0.3">
      <c r="A687" s="187">
        <v>15</v>
      </c>
      <c r="B687" s="242">
        <f t="shared" si="313"/>
        <v>46082</v>
      </c>
      <c r="C687" s="243">
        <f t="shared" si="294"/>
        <v>46112</v>
      </c>
      <c r="D687" s="120">
        <f t="shared" si="295"/>
        <v>31</v>
      </c>
      <c r="E687" s="120">
        <f t="shared" si="296"/>
        <v>3</v>
      </c>
      <c r="F687" s="275">
        <f t="shared" si="297"/>
        <v>46097.5</v>
      </c>
      <c r="G687" s="120">
        <f t="shared" si="298"/>
        <v>24314</v>
      </c>
      <c r="H687" s="245">
        <f t="shared" si="299"/>
        <v>1</v>
      </c>
      <c r="I687" s="121">
        <f t="shared" si="300"/>
        <v>1</v>
      </c>
      <c r="J687" s="121">
        <f t="shared" si="301"/>
        <v>1</v>
      </c>
      <c r="K687" s="120">
        <f t="shared" si="302"/>
        <v>0</v>
      </c>
      <c r="L687" s="120">
        <f t="shared" si="303"/>
        <v>0</v>
      </c>
      <c r="M687" s="246">
        <f t="shared" si="304"/>
        <v>0</v>
      </c>
      <c r="N687" s="121">
        <f t="shared" si="305"/>
        <v>1</v>
      </c>
      <c r="O687" s="246">
        <f t="shared" si="306"/>
        <v>0.98348468271334799</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87">
        <v>16</v>
      </c>
      <c r="B688" s="242">
        <f t="shared" si="313"/>
        <v>46113</v>
      </c>
      <c r="C688" s="243">
        <f t="shared" si="294"/>
        <v>46142</v>
      </c>
      <c r="D688" s="120">
        <f t="shared" si="295"/>
        <v>30</v>
      </c>
      <c r="E688" s="120">
        <f t="shared" si="296"/>
        <v>4</v>
      </c>
      <c r="F688" s="275">
        <f t="shared" si="297"/>
        <v>46128</v>
      </c>
      <c r="G688" s="120">
        <f t="shared" si="298"/>
        <v>24315</v>
      </c>
      <c r="H688" s="245">
        <f t="shared" si="299"/>
        <v>1</v>
      </c>
      <c r="I688" s="121">
        <f t="shared" si="300"/>
        <v>1</v>
      </c>
      <c r="J688" s="121">
        <f t="shared" si="301"/>
        <v>1</v>
      </c>
      <c r="K688" s="120">
        <f t="shared" si="302"/>
        <v>0</v>
      </c>
      <c r="L688" s="120">
        <f t="shared" si="303"/>
        <v>0</v>
      </c>
      <c r="M688" s="246">
        <f t="shared" si="304"/>
        <v>0</v>
      </c>
      <c r="N688" s="121">
        <f t="shared" si="305"/>
        <v>1</v>
      </c>
      <c r="O688" s="246">
        <f t="shared" si="306"/>
        <v>0.98448577680525162</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87">
        <v>17</v>
      </c>
      <c r="B689" s="242">
        <f t="shared" si="313"/>
        <v>46143</v>
      </c>
      <c r="C689" s="243">
        <f t="shared" si="294"/>
        <v>46173</v>
      </c>
      <c r="D689" s="120">
        <f t="shared" si="295"/>
        <v>31</v>
      </c>
      <c r="E689" s="120">
        <f t="shared" si="296"/>
        <v>5</v>
      </c>
      <c r="F689" s="275">
        <f t="shared" si="297"/>
        <v>46158.5</v>
      </c>
      <c r="G689" s="120">
        <f t="shared" si="298"/>
        <v>24316</v>
      </c>
      <c r="H689" s="245">
        <f t="shared" si="299"/>
        <v>1</v>
      </c>
      <c r="I689" s="121">
        <f t="shared" si="300"/>
        <v>1</v>
      </c>
      <c r="J689" s="121">
        <f t="shared" si="301"/>
        <v>1</v>
      </c>
      <c r="K689" s="120">
        <f t="shared" si="302"/>
        <v>0</v>
      </c>
      <c r="L689" s="120">
        <f t="shared" si="303"/>
        <v>0</v>
      </c>
      <c r="M689" s="246">
        <f t="shared" si="304"/>
        <v>0</v>
      </c>
      <c r="N689" s="121">
        <f t="shared" si="305"/>
        <v>1</v>
      </c>
      <c r="O689" s="246">
        <f t="shared" si="306"/>
        <v>0.98548687089715536</v>
      </c>
      <c r="P689" s="121">
        <f t="shared" si="307"/>
        <v>0.625</v>
      </c>
      <c r="Q689" s="121">
        <f t="shared" si="308"/>
        <v>0.375</v>
      </c>
      <c r="R689" s="121">
        <f t="shared" si="309"/>
        <v>0</v>
      </c>
      <c r="S689" s="121" t="str">
        <f t="shared" si="310"/>
        <v/>
      </c>
      <c r="T689" s="121" t="str">
        <f t="shared" si="311"/>
        <v/>
      </c>
      <c r="U689" s="121">
        <f t="shared" si="312"/>
        <v>1</v>
      </c>
    </row>
    <row r="690" spans="1:21" x14ac:dyDescent="0.3">
      <c r="A690" s="187">
        <v>18</v>
      </c>
      <c r="B690" s="242">
        <f t="shared" si="313"/>
        <v>46174</v>
      </c>
      <c r="C690" s="243">
        <f t="shared" si="294"/>
        <v>46203</v>
      </c>
      <c r="D690" s="120">
        <f t="shared" si="295"/>
        <v>30</v>
      </c>
      <c r="E690" s="120">
        <f t="shared" si="296"/>
        <v>6</v>
      </c>
      <c r="F690" s="275">
        <f t="shared" si="297"/>
        <v>46189</v>
      </c>
      <c r="G690" s="120">
        <f t="shared" si="298"/>
        <v>24317</v>
      </c>
      <c r="H690" s="245">
        <f t="shared" si="299"/>
        <v>1</v>
      </c>
      <c r="I690" s="121">
        <f t="shared" si="300"/>
        <v>1</v>
      </c>
      <c r="J690" s="121">
        <f t="shared" si="301"/>
        <v>1</v>
      </c>
      <c r="K690" s="120">
        <f t="shared" si="302"/>
        <v>0</v>
      </c>
      <c r="L690" s="120">
        <f t="shared" si="303"/>
        <v>0</v>
      </c>
      <c r="M690" s="246">
        <f t="shared" si="304"/>
        <v>0</v>
      </c>
      <c r="N690" s="121">
        <f t="shared" si="305"/>
        <v>1</v>
      </c>
      <c r="O690" s="246">
        <f t="shared" si="306"/>
        <v>0.98648796498905911</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87">
        <v>19</v>
      </c>
      <c r="B691" s="242">
        <f t="shared" si="313"/>
        <v>46204</v>
      </c>
      <c r="C691" s="243">
        <f t="shared" si="294"/>
        <v>46234</v>
      </c>
      <c r="D691" s="120">
        <f t="shared" si="295"/>
        <v>31</v>
      </c>
      <c r="E691" s="120">
        <f t="shared" si="296"/>
        <v>7</v>
      </c>
      <c r="F691" s="275">
        <f t="shared" si="297"/>
        <v>46219.5</v>
      </c>
      <c r="G691" s="120">
        <f t="shared" si="298"/>
        <v>24318</v>
      </c>
      <c r="H691" s="245">
        <f t="shared" si="299"/>
        <v>1</v>
      </c>
      <c r="I691" s="121">
        <f t="shared" si="300"/>
        <v>1</v>
      </c>
      <c r="J691" s="121">
        <f t="shared" si="301"/>
        <v>1</v>
      </c>
      <c r="K691" s="120">
        <f t="shared" si="302"/>
        <v>0</v>
      </c>
      <c r="L691" s="120">
        <f t="shared" si="303"/>
        <v>0</v>
      </c>
      <c r="M691" s="246">
        <f t="shared" si="304"/>
        <v>0</v>
      </c>
      <c r="N691" s="121">
        <f t="shared" si="305"/>
        <v>1</v>
      </c>
      <c r="O691" s="246">
        <f t="shared" si="306"/>
        <v>0.98748905908096285</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87">
        <v>20</v>
      </c>
      <c r="B692" s="242">
        <f t="shared" si="313"/>
        <v>46235</v>
      </c>
      <c r="C692" s="243">
        <f t="shared" si="294"/>
        <v>46265</v>
      </c>
      <c r="D692" s="120">
        <f t="shared" si="295"/>
        <v>31</v>
      </c>
      <c r="E692" s="120">
        <f t="shared" si="296"/>
        <v>8</v>
      </c>
      <c r="F692" s="275">
        <f t="shared" si="297"/>
        <v>46250.5</v>
      </c>
      <c r="G692" s="120">
        <f t="shared" si="298"/>
        <v>24319</v>
      </c>
      <c r="H692" s="245">
        <f t="shared" si="299"/>
        <v>1</v>
      </c>
      <c r="I692" s="121">
        <f t="shared" si="300"/>
        <v>1</v>
      </c>
      <c r="J692" s="121">
        <f t="shared" si="301"/>
        <v>1</v>
      </c>
      <c r="K692" s="120">
        <f t="shared" si="302"/>
        <v>0</v>
      </c>
      <c r="L692" s="120">
        <f t="shared" si="303"/>
        <v>0</v>
      </c>
      <c r="M692" s="246">
        <f t="shared" si="304"/>
        <v>0</v>
      </c>
      <c r="N692" s="121">
        <f t="shared" si="305"/>
        <v>1</v>
      </c>
      <c r="O692" s="246">
        <f t="shared" si="306"/>
        <v>0.98850656455142227</v>
      </c>
      <c r="P692" s="121">
        <f t="shared" si="307"/>
        <v>0.375</v>
      </c>
      <c r="Q692" s="121">
        <f t="shared" si="308"/>
        <v>0.625</v>
      </c>
      <c r="R692" s="121">
        <f t="shared" si="309"/>
        <v>0</v>
      </c>
      <c r="S692" s="121" t="str">
        <f t="shared" si="310"/>
        <v/>
      </c>
      <c r="T692" s="121" t="str">
        <f t="shared" si="311"/>
        <v/>
      </c>
      <c r="U692" s="121">
        <f t="shared" si="312"/>
        <v>1</v>
      </c>
    </row>
    <row r="693" spans="1:21" x14ac:dyDescent="0.3">
      <c r="A693" s="187">
        <v>21</v>
      </c>
      <c r="B693" s="242">
        <f t="shared" si="313"/>
        <v>46266</v>
      </c>
      <c r="C693" s="243">
        <f t="shared" si="294"/>
        <v>46295</v>
      </c>
      <c r="D693" s="120">
        <f t="shared" si="295"/>
        <v>30</v>
      </c>
      <c r="E693" s="120">
        <f t="shared" si="296"/>
        <v>9</v>
      </c>
      <c r="F693" s="275">
        <f t="shared" si="297"/>
        <v>46281</v>
      </c>
      <c r="G693" s="120">
        <f t="shared" si="298"/>
        <v>24320</v>
      </c>
      <c r="H693" s="245">
        <f t="shared" si="299"/>
        <v>1</v>
      </c>
      <c r="I693" s="121">
        <f t="shared" si="300"/>
        <v>1</v>
      </c>
      <c r="J693" s="121">
        <f t="shared" si="301"/>
        <v>1</v>
      </c>
      <c r="K693" s="120">
        <f t="shared" si="302"/>
        <v>0</v>
      </c>
      <c r="L693" s="120">
        <f t="shared" si="303"/>
        <v>0</v>
      </c>
      <c r="M693" s="246">
        <f t="shared" si="304"/>
        <v>0</v>
      </c>
      <c r="N693" s="121">
        <f t="shared" si="305"/>
        <v>1</v>
      </c>
      <c r="O693" s="246">
        <f t="shared" si="306"/>
        <v>0.98950765864332602</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87">
        <v>22</v>
      </c>
      <c r="B694" s="242">
        <f t="shared" si="313"/>
        <v>46296</v>
      </c>
      <c r="C694" s="243">
        <f t="shared" si="294"/>
        <v>46326</v>
      </c>
      <c r="D694" s="120">
        <f t="shared" si="295"/>
        <v>31</v>
      </c>
      <c r="E694" s="120">
        <f t="shared" si="296"/>
        <v>10</v>
      </c>
      <c r="F694" s="275">
        <f t="shared" si="297"/>
        <v>46311.5</v>
      </c>
      <c r="G694" s="120">
        <f t="shared" si="298"/>
        <v>24321</v>
      </c>
      <c r="H694" s="245">
        <f t="shared" si="299"/>
        <v>1</v>
      </c>
      <c r="I694" s="121">
        <f t="shared" si="300"/>
        <v>1</v>
      </c>
      <c r="J694" s="121">
        <f t="shared" si="301"/>
        <v>1</v>
      </c>
      <c r="K694" s="120">
        <f t="shared" si="302"/>
        <v>0</v>
      </c>
      <c r="L694" s="120">
        <f t="shared" si="303"/>
        <v>0</v>
      </c>
      <c r="M694" s="246">
        <f t="shared" si="304"/>
        <v>0</v>
      </c>
      <c r="N694" s="121">
        <f t="shared" si="305"/>
        <v>1</v>
      </c>
      <c r="O694" s="246">
        <f t="shared" si="306"/>
        <v>0.99050875273522976</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87">
        <v>23</v>
      </c>
      <c r="B695" s="242">
        <f t="shared" si="313"/>
        <v>46327</v>
      </c>
      <c r="C695" s="243">
        <f t="shared" si="294"/>
        <v>46356</v>
      </c>
      <c r="D695" s="120">
        <f t="shared" si="295"/>
        <v>30</v>
      </c>
      <c r="E695" s="120">
        <f t="shared" si="296"/>
        <v>11</v>
      </c>
      <c r="F695" s="275">
        <f t="shared" si="297"/>
        <v>46342</v>
      </c>
      <c r="G695" s="120">
        <f t="shared" si="298"/>
        <v>24322</v>
      </c>
      <c r="H695" s="245">
        <f t="shared" si="299"/>
        <v>1</v>
      </c>
      <c r="I695" s="121">
        <f t="shared" si="300"/>
        <v>1</v>
      </c>
      <c r="J695" s="121">
        <f t="shared" si="301"/>
        <v>1</v>
      </c>
      <c r="K695" s="120">
        <f t="shared" si="302"/>
        <v>0</v>
      </c>
      <c r="L695" s="120">
        <f t="shared" si="303"/>
        <v>0</v>
      </c>
      <c r="M695" s="246">
        <f t="shared" si="304"/>
        <v>0</v>
      </c>
      <c r="N695" s="121">
        <f t="shared" si="305"/>
        <v>1</v>
      </c>
      <c r="O695" s="246">
        <f t="shared" si="306"/>
        <v>0.9915098468271335</v>
      </c>
      <c r="P695" s="121">
        <f t="shared" si="307"/>
        <v>0.125</v>
      </c>
      <c r="Q695" s="121">
        <f t="shared" si="308"/>
        <v>0.875</v>
      </c>
      <c r="R695" s="121">
        <f t="shared" si="309"/>
        <v>0</v>
      </c>
      <c r="S695" s="121" t="str">
        <f t="shared" si="310"/>
        <v/>
      </c>
      <c r="T695" s="121" t="str">
        <f t="shared" si="311"/>
        <v/>
      </c>
      <c r="U695" s="121">
        <f t="shared" si="312"/>
        <v>1</v>
      </c>
    </row>
    <row r="696" spans="1:21" x14ac:dyDescent="0.3">
      <c r="A696" s="187">
        <v>24</v>
      </c>
      <c r="B696" s="242">
        <f t="shared" si="313"/>
        <v>46357</v>
      </c>
      <c r="C696" s="243">
        <f t="shared" si="294"/>
        <v>46387</v>
      </c>
      <c r="D696" s="120">
        <f t="shared" si="295"/>
        <v>31</v>
      </c>
      <c r="E696" s="120">
        <f t="shared" si="296"/>
        <v>12</v>
      </c>
      <c r="F696" s="275">
        <f t="shared" si="297"/>
        <v>46372.5</v>
      </c>
      <c r="G696" s="120">
        <f t="shared" si="298"/>
        <v>24323</v>
      </c>
      <c r="H696" s="245">
        <f t="shared" si="299"/>
        <v>1</v>
      </c>
      <c r="I696" s="121">
        <f t="shared" si="300"/>
        <v>1</v>
      </c>
      <c r="J696" s="121">
        <f t="shared" si="301"/>
        <v>1</v>
      </c>
      <c r="K696" s="120">
        <f t="shared" si="302"/>
        <v>0</v>
      </c>
      <c r="L696" s="120">
        <f t="shared" si="303"/>
        <v>0</v>
      </c>
      <c r="M696" s="246">
        <f t="shared" si="304"/>
        <v>0</v>
      </c>
      <c r="N696" s="121">
        <f t="shared" si="305"/>
        <v>1</v>
      </c>
      <c r="O696" s="246">
        <f t="shared" si="306"/>
        <v>0.99251094091903713</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87">
        <v>25</v>
      </c>
      <c r="B697" s="242">
        <f t="shared" si="313"/>
        <v>46388</v>
      </c>
      <c r="C697" s="243">
        <f t="shared" si="294"/>
        <v>46418</v>
      </c>
      <c r="D697" s="120">
        <f t="shared" si="295"/>
        <v>31</v>
      </c>
      <c r="E697" s="120">
        <f t="shared" si="296"/>
        <v>1</v>
      </c>
      <c r="F697" s="275">
        <f t="shared" si="297"/>
        <v>46403.5</v>
      </c>
      <c r="G697" s="120">
        <f t="shared" si="298"/>
        <v>24324</v>
      </c>
      <c r="H697" s="245">
        <f t="shared" si="299"/>
        <v>1</v>
      </c>
      <c r="I697" s="121">
        <f t="shared" si="300"/>
        <v>1</v>
      </c>
      <c r="J697" s="121">
        <f t="shared" si="301"/>
        <v>1</v>
      </c>
      <c r="K697" s="120">
        <f t="shared" si="302"/>
        <v>0</v>
      </c>
      <c r="L697" s="120">
        <f t="shared" si="303"/>
        <v>0</v>
      </c>
      <c r="M697" s="246">
        <f t="shared" si="304"/>
        <v>0</v>
      </c>
      <c r="N697" s="121">
        <f t="shared" si="305"/>
        <v>1</v>
      </c>
      <c r="O697" s="246">
        <f t="shared" si="306"/>
        <v>0.99352844638949667</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87">
        <v>26</v>
      </c>
      <c r="B698" s="242">
        <f t="shared" si="313"/>
        <v>46419</v>
      </c>
      <c r="C698" s="243">
        <f t="shared" si="294"/>
        <v>46446</v>
      </c>
      <c r="D698" s="120">
        <f t="shared" si="295"/>
        <v>28</v>
      </c>
      <c r="E698" s="120">
        <f t="shared" si="296"/>
        <v>2</v>
      </c>
      <c r="F698" s="275">
        <f t="shared" si="297"/>
        <v>46433</v>
      </c>
      <c r="G698" s="120">
        <f t="shared" si="298"/>
        <v>24325</v>
      </c>
      <c r="H698" s="245">
        <f t="shared" si="299"/>
        <v>1</v>
      </c>
      <c r="I698" s="121">
        <f t="shared" si="300"/>
        <v>1</v>
      </c>
      <c r="J698" s="121">
        <f t="shared" si="301"/>
        <v>1</v>
      </c>
      <c r="K698" s="120">
        <f t="shared" si="302"/>
        <v>0</v>
      </c>
      <c r="L698" s="120">
        <f t="shared" si="303"/>
        <v>0</v>
      </c>
      <c r="M698" s="246">
        <f t="shared" si="304"/>
        <v>0</v>
      </c>
      <c r="N698" s="121">
        <f t="shared" si="305"/>
        <v>1</v>
      </c>
      <c r="O698" s="246">
        <f t="shared" si="306"/>
        <v>0.99449671772428883</v>
      </c>
      <c r="P698" s="121">
        <f t="shared" si="307"/>
        <v>0</v>
      </c>
      <c r="Q698" s="121">
        <f t="shared" si="308"/>
        <v>0.875</v>
      </c>
      <c r="R698" s="121">
        <f t="shared" si="309"/>
        <v>0.125</v>
      </c>
      <c r="S698" s="121" t="str">
        <f t="shared" si="310"/>
        <v/>
      </c>
      <c r="T698" s="121" t="str">
        <f t="shared" si="311"/>
        <v/>
      </c>
      <c r="U698" s="121">
        <f t="shared" si="312"/>
        <v>1</v>
      </c>
    </row>
    <row r="699" spans="1:21" x14ac:dyDescent="0.3">
      <c r="A699" s="187">
        <v>27</v>
      </c>
      <c r="B699" s="242">
        <f t="shared" si="313"/>
        <v>46447</v>
      </c>
      <c r="C699" s="243">
        <f t="shared" si="294"/>
        <v>46477</v>
      </c>
      <c r="D699" s="120">
        <f t="shared" si="295"/>
        <v>31</v>
      </c>
      <c r="E699" s="120">
        <f t="shared" si="296"/>
        <v>3</v>
      </c>
      <c r="F699" s="275">
        <f t="shared" si="297"/>
        <v>46462.5</v>
      </c>
      <c r="G699" s="120">
        <f t="shared" si="298"/>
        <v>24326</v>
      </c>
      <c r="H699" s="245">
        <f t="shared" si="299"/>
        <v>1</v>
      </c>
      <c r="I699" s="121">
        <f t="shared" si="300"/>
        <v>1</v>
      </c>
      <c r="J699" s="121">
        <f t="shared" si="301"/>
        <v>1</v>
      </c>
      <c r="K699" s="120">
        <f t="shared" si="302"/>
        <v>0</v>
      </c>
      <c r="L699" s="120">
        <f t="shared" si="303"/>
        <v>0</v>
      </c>
      <c r="M699" s="246">
        <f t="shared" si="304"/>
        <v>0</v>
      </c>
      <c r="N699" s="121">
        <f t="shared" si="305"/>
        <v>1</v>
      </c>
      <c r="O699" s="246">
        <f t="shared" si="306"/>
        <v>0.99546498905908087</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87">
        <v>28</v>
      </c>
      <c r="B700" s="242">
        <f t="shared" si="313"/>
        <v>46478</v>
      </c>
      <c r="C700" s="243">
        <f t="shared" si="294"/>
        <v>46507</v>
      </c>
      <c r="D700" s="120">
        <f t="shared" si="295"/>
        <v>30</v>
      </c>
      <c r="E700" s="120">
        <f t="shared" si="296"/>
        <v>4</v>
      </c>
      <c r="F700" s="275">
        <f t="shared" si="297"/>
        <v>46493</v>
      </c>
      <c r="G700" s="120">
        <f t="shared" si="298"/>
        <v>24327</v>
      </c>
      <c r="H700" s="245">
        <f t="shared" si="299"/>
        <v>1</v>
      </c>
      <c r="I700" s="121">
        <f t="shared" si="300"/>
        <v>1</v>
      </c>
      <c r="J700" s="121">
        <f t="shared" si="301"/>
        <v>1</v>
      </c>
      <c r="K700" s="120">
        <f t="shared" si="302"/>
        <v>0</v>
      </c>
      <c r="L700" s="120">
        <f t="shared" si="303"/>
        <v>0</v>
      </c>
      <c r="M700" s="246">
        <f t="shared" si="304"/>
        <v>0</v>
      </c>
      <c r="N700" s="121">
        <f t="shared" si="305"/>
        <v>1</v>
      </c>
      <c r="O700" s="246">
        <f t="shared" si="306"/>
        <v>0.99646608315098462</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87">
        <v>29</v>
      </c>
      <c r="B701" s="242">
        <f t="shared" si="313"/>
        <v>46508</v>
      </c>
      <c r="C701" s="243">
        <f t="shared" si="294"/>
        <v>46538</v>
      </c>
      <c r="D701" s="120">
        <f t="shared" si="295"/>
        <v>31</v>
      </c>
      <c r="E701" s="120">
        <f t="shared" si="296"/>
        <v>5</v>
      </c>
      <c r="F701" s="275">
        <f t="shared" si="297"/>
        <v>46523.5</v>
      </c>
      <c r="G701" s="120">
        <f t="shared" si="298"/>
        <v>24328</v>
      </c>
      <c r="H701" s="245">
        <f t="shared" si="299"/>
        <v>1</v>
      </c>
      <c r="I701" s="121">
        <f t="shared" si="300"/>
        <v>1</v>
      </c>
      <c r="J701" s="121">
        <f t="shared" si="301"/>
        <v>1</v>
      </c>
      <c r="K701" s="120">
        <f t="shared" si="302"/>
        <v>0</v>
      </c>
      <c r="L701" s="120">
        <f t="shared" si="303"/>
        <v>0</v>
      </c>
      <c r="M701" s="246">
        <f t="shared" si="304"/>
        <v>0</v>
      </c>
      <c r="N701" s="121">
        <f t="shared" si="305"/>
        <v>1</v>
      </c>
      <c r="O701" s="246">
        <f t="shared" si="306"/>
        <v>0.99746717724288836</v>
      </c>
      <c r="P701" s="121">
        <f t="shared" si="307"/>
        <v>0</v>
      </c>
      <c r="Q701" s="121">
        <f t="shared" si="308"/>
        <v>0.625</v>
      </c>
      <c r="R701" s="121">
        <f t="shared" si="309"/>
        <v>0.375</v>
      </c>
      <c r="S701" s="121" t="str">
        <f t="shared" si="310"/>
        <v/>
      </c>
      <c r="T701" s="121" t="str">
        <f t="shared" si="311"/>
        <v/>
      </c>
      <c r="U701" s="121">
        <f t="shared" si="312"/>
        <v>1</v>
      </c>
    </row>
    <row r="702" spans="1:21" x14ac:dyDescent="0.3">
      <c r="A702" s="187">
        <v>30</v>
      </c>
      <c r="B702" s="242">
        <f t="shared" si="313"/>
        <v>46539</v>
      </c>
      <c r="C702" s="243">
        <f t="shared" si="294"/>
        <v>46568</v>
      </c>
      <c r="D702" s="120">
        <f t="shared" si="295"/>
        <v>30</v>
      </c>
      <c r="E702" s="120">
        <f t="shared" si="296"/>
        <v>6</v>
      </c>
      <c r="F702" s="275">
        <f t="shared" si="297"/>
        <v>46554</v>
      </c>
      <c r="G702" s="120">
        <f t="shared" si="298"/>
        <v>24329</v>
      </c>
      <c r="H702" s="245">
        <f t="shared" si="299"/>
        <v>1</v>
      </c>
      <c r="I702" s="121">
        <f t="shared" si="300"/>
        <v>1</v>
      </c>
      <c r="J702" s="121">
        <f t="shared" si="301"/>
        <v>1</v>
      </c>
      <c r="K702" s="120">
        <f t="shared" si="302"/>
        <v>0</v>
      </c>
      <c r="L702" s="120">
        <f t="shared" si="303"/>
        <v>0</v>
      </c>
      <c r="M702" s="246">
        <f t="shared" si="304"/>
        <v>0</v>
      </c>
      <c r="N702" s="121">
        <f t="shared" si="305"/>
        <v>1</v>
      </c>
      <c r="O702" s="246">
        <f t="shared" si="306"/>
        <v>0.9984682713347921</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87">
        <v>31</v>
      </c>
      <c r="B703" s="242">
        <f t="shared" si="313"/>
        <v>46569</v>
      </c>
      <c r="C703" s="243">
        <f t="shared" si="294"/>
        <v>46599</v>
      </c>
      <c r="D703" s="120">
        <f t="shared" si="295"/>
        <v>31</v>
      </c>
      <c r="E703" s="120">
        <f t="shared" si="296"/>
        <v>7</v>
      </c>
      <c r="F703" s="275">
        <f t="shared" si="297"/>
        <v>46584.5</v>
      </c>
      <c r="G703" s="120">
        <f t="shared" si="298"/>
        <v>24330</v>
      </c>
      <c r="H703" s="245">
        <f t="shared" si="299"/>
        <v>1</v>
      </c>
      <c r="I703" s="121">
        <f t="shared" si="300"/>
        <v>1</v>
      </c>
      <c r="J703" s="121">
        <f t="shared" si="301"/>
        <v>1</v>
      </c>
      <c r="K703" s="120">
        <f t="shared" si="302"/>
        <v>0</v>
      </c>
      <c r="L703" s="120">
        <f t="shared" si="303"/>
        <v>0</v>
      </c>
      <c r="M703" s="246">
        <f t="shared" si="304"/>
        <v>0</v>
      </c>
      <c r="N703" s="121">
        <f t="shared" si="305"/>
        <v>1</v>
      </c>
      <c r="O703" s="246">
        <f t="shared" si="306"/>
        <v>0.99946936542669573</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87">
        <v>32</v>
      </c>
      <c r="B704" s="242">
        <f t="shared" si="313"/>
        <v>46600</v>
      </c>
      <c r="C704" s="243">
        <f t="shared" si="294"/>
        <v>46630</v>
      </c>
      <c r="D704" s="120">
        <f t="shared" si="295"/>
        <v>31</v>
      </c>
      <c r="E704" s="120">
        <f t="shared" si="296"/>
        <v>8</v>
      </c>
      <c r="F704" s="275">
        <f t="shared" si="297"/>
        <v>46615.5</v>
      </c>
      <c r="G704" s="120">
        <f t="shared" si="298"/>
        <v>24331</v>
      </c>
      <c r="H704" s="245">
        <f t="shared" si="299"/>
        <v>1</v>
      </c>
      <c r="I704" s="121">
        <f t="shared" si="300"/>
        <v>1</v>
      </c>
      <c r="J704" s="121">
        <f t="shared" si="301"/>
        <v>1</v>
      </c>
      <c r="K704" s="120">
        <f t="shared" si="302"/>
        <v>0</v>
      </c>
      <c r="L704" s="120">
        <f t="shared" si="303"/>
        <v>0</v>
      </c>
      <c r="M704" s="246">
        <f t="shared" si="304"/>
        <v>0</v>
      </c>
      <c r="N704" s="121">
        <f t="shared" si="305"/>
        <v>1</v>
      </c>
      <c r="O704" s="246">
        <f t="shared" si="306"/>
        <v>1.0004868708971553</v>
      </c>
      <c r="P704" s="121">
        <f t="shared" si="307"/>
        <v>0</v>
      </c>
      <c r="Q704" s="121">
        <f t="shared" si="308"/>
        <v>0.375</v>
      </c>
      <c r="R704" s="121">
        <f t="shared" si="309"/>
        <v>0.625</v>
      </c>
      <c r="S704" s="121" t="str">
        <f t="shared" si="310"/>
        <v/>
      </c>
      <c r="T704" s="121" t="str">
        <f t="shared" si="311"/>
        <v/>
      </c>
      <c r="U704" s="121">
        <f t="shared" si="312"/>
        <v>1</v>
      </c>
    </row>
    <row r="705" spans="1:21" x14ac:dyDescent="0.3">
      <c r="A705" s="187">
        <v>33</v>
      </c>
      <c r="B705" s="242">
        <f t="shared" si="313"/>
        <v>46631</v>
      </c>
      <c r="C705" s="243">
        <f t="shared" si="294"/>
        <v>46660</v>
      </c>
      <c r="D705" s="120">
        <f t="shared" si="295"/>
        <v>30</v>
      </c>
      <c r="E705" s="120">
        <f t="shared" si="296"/>
        <v>9</v>
      </c>
      <c r="F705" s="275">
        <f t="shared" si="297"/>
        <v>46646</v>
      </c>
      <c r="G705" s="120">
        <f t="shared" si="298"/>
        <v>24332</v>
      </c>
      <c r="H705" s="245">
        <f t="shared" si="299"/>
        <v>1</v>
      </c>
      <c r="I705" s="121">
        <f t="shared" si="300"/>
        <v>1</v>
      </c>
      <c r="J705" s="121">
        <f t="shared" si="301"/>
        <v>1</v>
      </c>
      <c r="K705" s="120">
        <f t="shared" si="302"/>
        <v>0</v>
      </c>
      <c r="L705" s="120">
        <f t="shared" si="303"/>
        <v>0</v>
      </c>
      <c r="M705" s="246">
        <f t="shared" si="304"/>
        <v>0</v>
      </c>
      <c r="N705" s="121">
        <f t="shared" si="305"/>
        <v>1</v>
      </c>
      <c r="O705" s="246">
        <f t="shared" si="306"/>
        <v>1.0014879649890589</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87">
        <v>34</v>
      </c>
      <c r="B706" s="242">
        <f t="shared" si="313"/>
        <v>46661</v>
      </c>
      <c r="C706" s="243">
        <f t="shared" si="294"/>
        <v>46691</v>
      </c>
      <c r="D706" s="120">
        <f t="shared" si="295"/>
        <v>31</v>
      </c>
      <c r="E706" s="120">
        <f t="shared" si="296"/>
        <v>10</v>
      </c>
      <c r="F706" s="275">
        <f t="shared" si="297"/>
        <v>46676.5</v>
      </c>
      <c r="G706" s="120">
        <f t="shared" si="298"/>
        <v>24333</v>
      </c>
      <c r="H706" s="245">
        <f t="shared" si="299"/>
        <v>1</v>
      </c>
      <c r="I706" s="121">
        <f t="shared" si="300"/>
        <v>1</v>
      </c>
      <c r="J706" s="121">
        <f t="shared" si="301"/>
        <v>1</v>
      </c>
      <c r="K706" s="120">
        <f t="shared" si="302"/>
        <v>0</v>
      </c>
      <c r="L706" s="120">
        <f t="shared" si="303"/>
        <v>0</v>
      </c>
      <c r="M706" s="246">
        <f t="shared" si="304"/>
        <v>0</v>
      </c>
      <c r="N706" s="121">
        <f t="shared" si="305"/>
        <v>1</v>
      </c>
      <c r="O706" s="246">
        <f t="shared" si="306"/>
        <v>1.0024890590809628</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87">
        <v>35</v>
      </c>
      <c r="B707" s="242">
        <f t="shared" si="313"/>
        <v>46692</v>
      </c>
      <c r="C707" s="243">
        <f t="shared" si="294"/>
        <v>46721</v>
      </c>
      <c r="D707" s="120">
        <f t="shared" si="295"/>
        <v>30</v>
      </c>
      <c r="E707" s="120">
        <f t="shared" si="296"/>
        <v>11</v>
      </c>
      <c r="F707" s="275">
        <f t="shared" si="297"/>
        <v>46707</v>
      </c>
      <c r="G707" s="120">
        <f t="shared" si="298"/>
        <v>24334</v>
      </c>
      <c r="H707" s="245">
        <f t="shared" si="299"/>
        <v>1</v>
      </c>
      <c r="I707" s="121">
        <f t="shared" si="300"/>
        <v>1</v>
      </c>
      <c r="J707" s="121">
        <f t="shared" si="301"/>
        <v>1</v>
      </c>
      <c r="K707" s="120">
        <f t="shared" si="302"/>
        <v>0</v>
      </c>
      <c r="L707" s="120">
        <f t="shared" si="303"/>
        <v>0</v>
      </c>
      <c r="M707" s="246">
        <f t="shared" si="304"/>
        <v>0</v>
      </c>
      <c r="N707" s="121">
        <f t="shared" si="305"/>
        <v>1</v>
      </c>
      <c r="O707" s="246">
        <f t="shared" si="306"/>
        <v>1.0034901531728664</v>
      </c>
      <c r="P707" s="121">
        <f t="shared" si="307"/>
        <v>0</v>
      </c>
      <c r="Q707" s="121">
        <f t="shared" si="308"/>
        <v>0.125</v>
      </c>
      <c r="R707" s="121">
        <f t="shared" si="309"/>
        <v>0.875</v>
      </c>
      <c r="S707" s="121" t="str">
        <f t="shared" si="310"/>
        <v/>
      </c>
      <c r="T707" s="121" t="str">
        <f t="shared" si="311"/>
        <v/>
      </c>
      <c r="U707" s="121">
        <f t="shared" si="312"/>
        <v>1</v>
      </c>
    </row>
    <row r="708" spans="1:21" x14ac:dyDescent="0.3">
      <c r="A708" s="187">
        <v>36</v>
      </c>
      <c r="B708" s="242">
        <f t="shared" si="313"/>
        <v>46722</v>
      </c>
      <c r="C708" s="243">
        <f t="shared" si="294"/>
        <v>46752</v>
      </c>
      <c r="D708" s="120">
        <f t="shared" si="295"/>
        <v>31</v>
      </c>
      <c r="E708" s="120">
        <f t="shared" si="296"/>
        <v>12</v>
      </c>
      <c r="F708" s="275">
        <f t="shared" si="297"/>
        <v>46737.5</v>
      </c>
      <c r="G708" s="120">
        <f t="shared" si="298"/>
        <v>24335</v>
      </c>
      <c r="H708" s="245">
        <f t="shared" si="299"/>
        <v>1</v>
      </c>
      <c r="I708" s="121">
        <f t="shared" si="300"/>
        <v>1</v>
      </c>
      <c r="J708" s="121">
        <f t="shared" si="301"/>
        <v>1</v>
      </c>
      <c r="K708" s="120">
        <f t="shared" si="302"/>
        <v>0</v>
      </c>
      <c r="L708" s="120">
        <f t="shared" si="303"/>
        <v>0</v>
      </c>
      <c r="M708" s="246">
        <f t="shared" si="304"/>
        <v>0</v>
      </c>
      <c r="N708" s="121">
        <f t="shared" si="305"/>
        <v>1</v>
      </c>
      <c r="O708" s="246">
        <f t="shared" si="306"/>
        <v>1.0044912472647702</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87">
        <v>37</v>
      </c>
      <c r="B709" s="242">
        <f t="shared" si="313"/>
        <v>46753</v>
      </c>
      <c r="C709" s="243">
        <f t="shared" si="294"/>
        <v>46783</v>
      </c>
      <c r="D709" s="120">
        <f t="shared" si="295"/>
        <v>31</v>
      </c>
      <c r="E709" s="120">
        <f t="shared" si="296"/>
        <v>1</v>
      </c>
      <c r="F709" s="275">
        <f t="shared" si="297"/>
        <v>46768.5</v>
      </c>
      <c r="G709" s="120">
        <f t="shared" si="298"/>
        <v>24336</v>
      </c>
      <c r="H709" s="245">
        <f t="shared" si="299"/>
        <v>1</v>
      </c>
      <c r="I709" s="121">
        <f t="shared" si="300"/>
        <v>1</v>
      </c>
      <c r="J709" s="121">
        <f t="shared" si="301"/>
        <v>1</v>
      </c>
      <c r="K709" s="120">
        <f t="shared" si="302"/>
        <v>0</v>
      </c>
      <c r="L709" s="120">
        <f t="shared" si="303"/>
        <v>0</v>
      </c>
      <c r="M709" s="246">
        <f t="shared" si="304"/>
        <v>0</v>
      </c>
      <c r="N709" s="121">
        <f t="shared" si="305"/>
        <v>1</v>
      </c>
      <c r="O709" s="246">
        <f t="shared" si="306"/>
        <v>1.0049999999999999</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87">
        <v>38</v>
      </c>
      <c r="B710" s="242">
        <f t="shared" si="313"/>
        <v>46784</v>
      </c>
      <c r="C710" s="243">
        <f t="shared" si="294"/>
        <v>46812</v>
      </c>
      <c r="D710" s="120">
        <f t="shared" si="295"/>
        <v>29</v>
      </c>
      <c r="E710" s="120">
        <f t="shared" si="296"/>
        <v>2</v>
      </c>
      <c r="F710" s="275">
        <f t="shared" si="297"/>
        <v>46798.5</v>
      </c>
      <c r="G710" s="120">
        <f t="shared" si="298"/>
        <v>24337</v>
      </c>
      <c r="H710" s="245">
        <f t="shared" si="299"/>
        <v>1</v>
      </c>
      <c r="I710" s="121">
        <f t="shared" si="300"/>
        <v>1</v>
      </c>
      <c r="J710" s="121">
        <f t="shared" si="301"/>
        <v>1</v>
      </c>
      <c r="K710" s="120">
        <f t="shared" si="302"/>
        <v>0</v>
      </c>
      <c r="L710" s="120">
        <f t="shared" si="303"/>
        <v>0</v>
      </c>
      <c r="M710" s="246">
        <f t="shared" si="304"/>
        <v>0</v>
      </c>
      <c r="N710" s="121">
        <f t="shared" si="305"/>
        <v>1</v>
      </c>
      <c r="O710" s="246">
        <f t="shared" si="306"/>
        <v>1.0049999999999999</v>
      </c>
      <c r="P710" s="121">
        <f t="shared" si="307"/>
        <v>0</v>
      </c>
      <c r="Q710" s="121">
        <f t="shared" si="308"/>
        <v>0</v>
      </c>
      <c r="R710" s="121">
        <f t="shared" si="309"/>
        <v>0.875</v>
      </c>
      <c r="S710" s="121" t="str">
        <f t="shared" si="310"/>
        <v/>
      </c>
      <c r="T710" s="121" t="str">
        <f t="shared" si="311"/>
        <v/>
      </c>
      <c r="U710" s="121">
        <f t="shared" si="312"/>
        <v>1</v>
      </c>
    </row>
    <row r="711" spans="1:21" x14ac:dyDescent="0.3">
      <c r="A711" s="187">
        <v>39</v>
      </c>
      <c r="B711" s="242">
        <f t="shared" si="313"/>
        <v>46813</v>
      </c>
      <c r="C711" s="243">
        <f t="shared" si="294"/>
        <v>46843</v>
      </c>
      <c r="D711" s="120">
        <f t="shared" si="295"/>
        <v>31</v>
      </c>
      <c r="E711" s="120">
        <f t="shared" si="296"/>
        <v>3</v>
      </c>
      <c r="F711" s="275">
        <f t="shared" si="297"/>
        <v>46828.5</v>
      </c>
      <c r="G711" s="120">
        <f t="shared" si="298"/>
        <v>24338</v>
      </c>
      <c r="H711" s="245">
        <f t="shared" si="299"/>
        <v>1</v>
      </c>
      <c r="I711" s="121">
        <f t="shared" si="300"/>
        <v>1</v>
      </c>
      <c r="J711" s="121">
        <f t="shared" si="301"/>
        <v>1</v>
      </c>
      <c r="K711" s="120">
        <f t="shared" si="302"/>
        <v>0</v>
      </c>
      <c r="L711" s="120">
        <f t="shared" si="303"/>
        <v>0</v>
      </c>
      <c r="M711" s="246">
        <f t="shared" si="304"/>
        <v>0</v>
      </c>
      <c r="N711" s="121">
        <f t="shared" si="305"/>
        <v>1</v>
      </c>
      <c r="O711" s="246">
        <f t="shared" si="306"/>
        <v>1.0049999999999999</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87">
        <v>40</v>
      </c>
      <c r="B712" s="242">
        <f t="shared" si="313"/>
        <v>46844</v>
      </c>
      <c r="C712" s="243">
        <f t="shared" si="294"/>
        <v>46873</v>
      </c>
      <c r="D712" s="120">
        <f t="shared" si="295"/>
        <v>30</v>
      </c>
      <c r="E712" s="120">
        <f t="shared" si="296"/>
        <v>4</v>
      </c>
      <c r="F712" s="275">
        <f t="shared" si="297"/>
        <v>46859</v>
      </c>
      <c r="G712" s="120">
        <f t="shared" si="298"/>
        <v>24339</v>
      </c>
      <c r="H712" s="245">
        <f t="shared" si="299"/>
        <v>1</v>
      </c>
      <c r="I712" s="121">
        <f t="shared" si="300"/>
        <v>1</v>
      </c>
      <c r="J712" s="121">
        <f t="shared" si="301"/>
        <v>1</v>
      </c>
      <c r="K712" s="120">
        <f t="shared" si="302"/>
        <v>0</v>
      </c>
      <c r="L712" s="120">
        <f t="shared" si="303"/>
        <v>0</v>
      </c>
      <c r="M712" s="246">
        <f t="shared" si="304"/>
        <v>0</v>
      </c>
      <c r="N712" s="121">
        <f t="shared" si="305"/>
        <v>1</v>
      </c>
      <c r="O712" s="246">
        <f t="shared" si="306"/>
        <v>1.0049999999999999</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87">
        <v>41</v>
      </c>
      <c r="B713" s="242">
        <f t="shared" si="313"/>
        <v>46874</v>
      </c>
      <c r="C713" s="243">
        <f t="shared" si="294"/>
        <v>46904</v>
      </c>
      <c r="D713" s="120">
        <f t="shared" si="295"/>
        <v>31</v>
      </c>
      <c r="E713" s="120">
        <f t="shared" si="296"/>
        <v>5</v>
      </c>
      <c r="F713" s="275">
        <f t="shared" si="297"/>
        <v>46889.5</v>
      </c>
      <c r="G713" s="120">
        <f t="shared" si="298"/>
        <v>24340</v>
      </c>
      <c r="H713" s="245">
        <f t="shared" si="299"/>
        <v>1</v>
      </c>
      <c r="I713" s="121">
        <f t="shared" si="300"/>
        <v>1</v>
      </c>
      <c r="J713" s="121">
        <f t="shared" si="301"/>
        <v>1</v>
      </c>
      <c r="K713" s="120">
        <f t="shared" si="302"/>
        <v>0</v>
      </c>
      <c r="L713" s="120">
        <f t="shared" si="303"/>
        <v>0</v>
      </c>
      <c r="M713" s="246">
        <f t="shared" si="304"/>
        <v>0</v>
      </c>
      <c r="N713" s="121">
        <f t="shared" si="305"/>
        <v>1</v>
      </c>
      <c r="O713" s="246">
        <f t="shared" si="306"/>
        <v>1.0049999999999999</v>
      </c>
      <c r="P713" s="121">
        <f t="shared" si="307"/>
        <v>0</v>
      </c>
      <c r="Q713" s="121">
        <f t="shared" si="308"/>
        <v>0</v>
      </c>
      <c r="R713" s="121">
        <f t="shared" si="309"/>
        <v>0.625</v>
      </c>
      <c r="S713" s="121" t="str">
        <f t="shared" si="310"/>
        <v/>
      </c>
      <c r="T713" s="121" t="str">
        <f t="shared" si="311"/>
        <v/>
      </c>
      <c r="U713" s="121">
        <f t="shared" si="312"/>
        <v>1</v>
      </c>
    </row>
    <row r="714" spans="1:21" x14ac:dyDescent="0.3">
      <c r="A714" s="187">
        <v>42</v>
      </c>
      <c r="B714" s="242">
        <f t="shared" si="313"/>
        <v>46905</v>
      </c>
      <c r="C714" s="243">
        <f t="shared" si="294"/>
        <v>46934</v>
      </c>
      <c r="D714" s="120">
        <f t="shared" si="295"/>
        <v>30</v>
      </c>
      <c r="E714" s="120">
        <f t="shared" si="296"/>
        <v>6</v>
      </c>
      <c r="F714" s="275">
        <f t="shared" si="297"/>
        <v>46920</v>
      </c>
      <c r="G714" s="120">
        <f t="shared" si="298"/>
        <v>24341</v>
      </c>
      <c r="H714" s="245">
        <f t="shared" si="299"/>
        <v>1</v>
      </c>
      <c r="I714" s="121">
        <f t="shared" si="300"/>
        <v>1</v>
      </c>
      <c r="J714" s="121">
        <f t="shared" si="301"/>
        <v>1</v>
      </c>
      <c r="K714" s="120">
        <f t="shared" si="302"/>
        <v>0</v>
      </c>
      <c r="L714" s="120">
        <f t="shared" si="303"/>
        <v>0</v>
      </c>
      <c r="M714" s="246">
        <f t="shared" si="304"/>
        <v>0</v>
      </c>
      <c r="N714" s="121">
        <f t="shared" si="305"/>
        <v>1</v>
      </c>
      <c r="O714" s="246">
        <f t="shared" si="306"/>
        <v>1.0049999999999999</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87">
        <v>43</v>
      </c>
      <c r="B715" s="242">
        <f t="shared" si="313"/>
        <v>46935</v>
      </c>
      <c r="C715" s="243">
        <f t="shared" si="294"/>
        <v>46965</v>
      </c>
      <c r="D715" s="120">
        <f t="shared" si="295"/>
        <v>31</v>
      </c>
      <c r="E715" s="120">
        <f t="shared" si="296"/>
        <v>7</v>
      </c>
      <c r="F715" s="275">
        <f t="shared" si="297"/>
        <v>46950.5</v>
      </c>
      <c r="G715" s="120">
        <f t="shared" si="298"/>
        <v>24342</v>
      </c>
      <c r="H715" s="245">
        <f t="shared" si="299"/>
        <v>1</v>
      </c>
      <c r="I715" s="121">
        <f t="shared" si="300"/>
        <v>1</v>
      </c>
      <c r="J715" s="121">
        <f t="shared" si="301"/>
        <v>1</v>
      </c>
      <c r="K715" s="120">
        <f t="shared" si="302"/>
        <v>0</v>
      </c>
      <c r="L715" s="120">
        <f t="shared" si="303"/>
        <v>0</v>
      </c>
      <c r="M715" s="246">
        <f t="shared" si="304"/>
        <v>0</v>
      </c>
      <c r="N715" s="121">
        <f t="shared" si="305"/>
        <v>1</v>
      </c>
      <c r="O715" s="246">
        <f t="shared" si="306"/>
        <v>1.0049999999999999</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87">
        <v>44</v>
      </c>
      <c r="B716" s="242">
        <f t="shared" si="313"/>
        <v>46966</v>
      </c>
      <c r="C716" s="243">
        <f t="shared" si="294"/>
        <v>46996</v>
      </c>
      <c r="D716" s="120">
        <f t="shared" si="295"/>
        <v>31</v>
      </c>
      <c r="E716" s="120">
        <f t="shared" si="296"/>
        <v>8</v>
      </c>
      <c r="F716" s="275">
        <f t="shared" si="297"/>
        <v>46981.5</v>
      </c>
      <c r="G716" s="120">
        <f t="shared" si="298"/>
        <v>24343</v>
      </c>
      <c r="H716" s="245">
        <f t="shared" si="299"/>
        <v>1</v>
      </c>
      <c r="I716" s="121">
        <f t="shared" si="300"/>
        <v>1</v>
      </c>
      <c r="J716" s="121">
        <f t="shared" si="301"/>
        <v>1</v>
      </c>
      <c r="K716" s="120">
        <f t="shared" si="302"/>
        <v>0</v>
      </c>
      <c r="L716" s="120">
        <f t="shared" si="303"/>
        <v>0</v>
      </c>
      <c r="M716" s="246">
        <f t="shared" si="304"/>
        <v>0</v>
      </c>
      <c r="N716" s="121">
        <f t="shared" si="305"/>
        <v>1</v>
      </c>
      <c r="O716" s="246">
        <f t="shared" si="306"/>
        <v>1.0049999999999999</v>
      </c>
      <c r="P716" s="121">
        <f t="shared" si="307"/>
        <v>0</v>
      </c>
      <c r="Q716" s="121">
        <f t="shared" si="308"/>
        <v>0</v>
      </c>
      <c r="R716" s="121">
        <f t="shared" si="309"/>
        <v>0.375</v>
      </c>
      <c r="S716" s="121" t="str">
        <f t="shared" si="310"/>
        <v/>
      </c>
      <c r="T716" s="121" t="str">
        <f t="shared" si="311"/>
        <v/>
      </c>
      <c r="U716" s="121">
        <f t="shared" si="312"/>
        <v>1</v>
      </c>
    </row>
    <row r="717" spans="1:21" x14ac:dyDescent="0.3">
      <c r="A717" s="187">
        <v>45</v>
      </c>
      <c r="B717" s="242">
        <f t="shared" si="313"/>
        <v>46997</v>
      </c>
      <c r="C717" s="243">
        <f t="shared" si="294"/>
        <v>47026</v>
      </c>
      <c r="D717" s="120">
        <f t="shared" si="295"/>
        <v>30</v>
      </c>
      <c r="E717" s="120">
        <f t="shared" si="296"/>
        <v>9</v>
      </c>
      <c r="F717" s="275">
        <f t="shared" si="297"/>
        <v>47012</v>
      </c>
      <c r="G717" s="120">
        <f t="shared" si="298"/>
        <v>24344</v>
      </c>
      <c r="H717" s="245">
        <f t="shared" si="299"/>
        <v>1</v>
      </c>
      <c r="I717" s="121">
        <f t="shared" si="300"/>
        <v>1</v>
      </c>
      <c r="J717" s="121">
        <f t="shared" si="301"/>
        <v>1</v>
      </c>
      <c r="K717" s="120">
        <f t="shared" si="302"/>
        <v>0</v>
      </c>
      <c r="L717" s="120">
        <f t="shared" si="303"/>
        <v>0</v>
      </c>
      <c r="M717" s="246">
        <f t="shared" si="304"/>
        <v>0</v>
      </c>
      <c r="N717" s="121">
        <f t="shared" si="305"/>
        <v>1</v>
      </c>
      <c r="O717" s="246">
        <f t="shared" si="306"/>
        <v>1.0049999999999999</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87">
        <v>46</v>
      </c>
      <c r="B718" s="242">
        <f t="shared" si="313"/>
        <v>47027</v>
      </c>
      <c r="C718" s="243">
        <f t="shared" si="294"/>
        <v>47057</v>
      </c>
      <c r="D718" s="120">
        <f t="shared" si="295"/>
        <v>31</v>
      </c>
      <c r="E718" s="120">
        <f t="shared" si="296"/>
        <v>10</v>
      </c>
      <c r="F718" s="275">
        <f t="shared" si="297"/>
        <v>47042.5</v>
      </c>
      <c r="G718" s="120">
        <f t="shared" si="298"/>
        <v>24345</v>
      </c>
      <c r="H718" s="245">
        <f t="shared" si="299"/>
        <v>1</v>
      </c>
      <c r="I718" s="121">
        <f t="shared" si="300"/>
        <v>1</v>
      </c>
      <c r="J718" s="121">
        <f t="shared" si="301"/>
        <v>1</v>
      </c>
      <c r="K718" s="120">
        <f t="shared" si="302"/>
        <v>0</v>
      </c>
      <c r="L718" s="120">
        <f t="shared" si="303"/>
        <v>0</v>
      </c>
      <c r="M718" s="246">
        <f t="shared" si="304"/>
        <v>0</v>
      </c>
      <c r="N718" s="121">
        <f t="shared" si="305"/>
        <v>1</v>
      </c>
      <c r="O718" s="246">
        <f t="shared" si="306"/>
        <v>1.0049999999999999</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87">
        <v>47</v>
      </c>
      <c r="B719" s="242">
        <f t="shared" si="313"/>
        <v>47058</v>
      </c>
      <c r="C719" s="243">
        <f t="shared" si="294"/>
        <v>47087</v>
      </c>
      <c r="D719" s="120">
        <f t="shared" si="295"/>
        <v>30</v>
      </c>
      <c r="E719" s="120">
        <f t="shared" si="296"/>
        <v>11</v>
      </c>
      <c r="F719" s="275">
        <f t="shared" si="297"/>
        <v>47073</v>
      </c>
      <c r="G719" s="120">
        <f t="shared" si="298"/>
        <v>24346</v>
      </c>
      <c r="H719" s="245">
        <f t="shared" si="299"/>
        <v>1</v>
      </c>
      <c r="I719" s="121">
        <f t="shared" si="300"/>
        <v>1</v>
      </c>
      <c r="J719" s="121">
        <f t="shared" si="301"/>
        <v>1</v>
      </c>
      <c r="K719" s="120">
        <f t="shared" si="302"/>
        <v>0</v>
      </c>
      <c r="L719" s="120">
        <f t="shared" si="303"/>
        <v>0</v>
      </c>
      <c r="M719" s="246">
        <f t="shared" si="304"/>
        <v>0</v>
      </c>
      <c r="N719" s="121">
        <f t="shared" si="305"/>
        <v>1</v>
      </c>
      <c r="O719" s="246">
        <f t="shared" si="306"/>
        <v>1.0049999999999999</v>
      </c>
      <c r="P719" s="121">
        <f t="shared" si="307"/>
        <v>0</v>
      </c>
      <c r="Q719" s="121">
        <f t="shared" si="308"/>
        <v>0</v>
      </c>
      <c r="R719" s="121">
        <f t="shared" si="309"/>
        <v>0.125</v>
      </c>
      <c r="S719" s="121" t="str">
        <f t="shared" si="310"/>
        <v/>
      </c>
      <c r="T719" s="121" t="str">
        <f t="shared" si="311"/>
        <v/>
      </c>
      <c r="U719" s="121">
        <f t="shared" si="312"/>
        <v>1</v>
      </c>
    </row>
    <row r="720" spans="1:21" x14ac:dyDescent="0.3">
      <c r="A720" s="187">
        <v>48</v>
      </c>
      <c r="B720" s="242">
        <f t="shared" si="313"/>
        <v>47088</v>
      </c>
      <c r="C720" s="243">
        <f t="shared" si="294"/>
        <v>47118</v>
      </c>
      <c r="D720" s="120">
        <f t="shared" si="295"/>
        <v>31</v>
      </c>
      <c r="E720" s="120">
        <f t="shared" si="296"/>
        <v>12</v>
      </c>
      <c r="F720" s="275">
        <f t="shared" si="297"/>
        <v>47103.5</v>
      </c>
      <c r="G720" s="120">
        <f t="shared" si="298"/>
        <v>24347</v>
      </c>
      <c r="H720" s="245">
        <f t="shared" si="299"/>
        <v>1</v>
      </c>
      <c r="I720" s="121">
        <f t="shared" si="300"/>
        <v>1</v>
      </c>
      <c r="J720" s="121">
        <f t="shared" si="301"/>
        <v>1</v>
      </c>
      <c r="K720" s="120">
        <f t="shared" si="302"/>
        <v>0</v>
      </c>
      <c r="L720" s="120">
        <f t="shared" si="303"/>
        <v>0</v>
      </c>
      <c r="M720" s="246">
        <f t="shared" si="304"/>
        <v>0</v>
      </c>
      <c r="N720" s="121">
        <f t="shared" si="305"/>
        <v>1</v>
      </c>
      <c r="O720" s="246">
        <f t="shared" si="306"/>
        <v>1.0049999999999999</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1651</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0.99299370897155337</v>
      </c>
      <c r="G721" s="224">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12</v>
      </c>
      <c r="D724" s="75">
        <f>IF(COUNTIF(se_state,$B724)=0,0,MATCH($B724,se_state,0))</f>
        <v>0</v>
      </c>
      <c r="E724" s="70">
        <f>IF($D724=0,0,INDEX(se_sum,$D724))</f>
        <v>0</v>
      </c>
      <c r="F724" s="224">
        <f>IF(N(INDEX(lr_mind,13))=0,1,INDEX(lr_mind,13))</f>
        <v>1</v>
      </c>
      <c r="G724" s="224">
        <f>IF(N(INDEX(lr_m0,13))=0,1,INDEX(lr_m0,13))</f>
        <v>0.99</v>
      </c>
      <c r="H724" s="74">
        <f>IF(N(INDEX(lr_m0asof,13))=0,DATE(nr_PlanYear-1,10,1),INDEX(lr_m0asof,13))</f>
        <v>46295</v>
      </c>
      <c r="I724" s="224">
        <f>IF(N(INDEX(lr_m1,13))=0,1,INDEX(lr_m1,13))</f>
        <v>0.98499999999999999</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314">EOMONTH($B727,0)</f>
        <v>45688</v>
      </c>
      <c r="D727" s="120">
        <f t="shared" ref="D727:D774" si="315">$C727-$B727+1</f>
        <v>31</v>
      </c>
      <c r="E727" s="120">
        <f t="shared" ref="E727:E774" si="316">MONTH($B727)</f>
        <v>1</v>
      </c>
      <c r="F727" s="275">
        <f t="shared" ref="F727:F774" si="317">($B727+$C727+1)/2</f>
        <v>45673.5</v>
      </c>
      <c r="G727" s="120">
        <f t="shared" ref="G727:G774" si="318">YEAR($B727)*12+MONTH($B727)-1</f>
        <v>24300</v>
      </c>
      <c r="H727" s="245">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46">
        <f t="shared" ref="M727:M774" si="324">IF($K727=0,0,MIN(1,$L727/$D727))</f>
        <v>0</v>
      </c>
      <c r="N727" s="121">
        <f t="shared" ref="N727:N774" si="325">IF($K727=0,$J727,(1-$M727)*$I727+$M727*$J727)</f>
        <v>1</v>
      </c>
      <c r="O727" s="246">
        <f t="shared" ref="O727:O774" si="326">IF($F727&lt;$B$725,$E$725+$I$725*($F727-$A$725),IF($F727&lt;$C$725,$F$725+$J$725*($F727-$B$725),$G$725+$K$725*($F727-$C$725)))</f>
        <v>0.99681072210065647</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87">
        <v>2</v>
      </c>
      <c r="B728" s="242">
        <f t="shared" ref="B728:B774" si="333">EDATE($B727,1)</f>
        <v>45689</v>
      </c>
      <c r="C728" s="243">
        <f t="shared" si="314"/>
        <v>45716</v>
      </c>
      <c r="D728" s="120">
        <f t="shared" si="315"/>
        <v>28</v>
      </c>
      <c r="E728" s="120">
        <f t="shared" si="316"/>
        <v>2</v>
      </c>
      <c r="F728" s="275">
        <f t="shared" si="317"/>
        <v>45703</v>
      </c>
      <c r="G728" s="120">
        <f t="shared" si="318"/>
        <v>24301</v>
      </c>
      <c r="H728" s="245">
        <f t="shared" si="319"/>
        <v>1</v>
      </c>
      <c r="I728" s="121">
        <f t="shared" si="320"/>
        <v>1</v>
      </c>
      <c r="J728" s="121">
        <f t="shared" si="321"/>
        <v>1</v>
      </c>
      <c r="K728" s="120">
        <f t="shared" si="322"/>
        <v>0</v>
      </c>
      <c r="L728" s="120">
        <f t="shared" si="323"/>
        <v>0</v>
      </c>
      <c r="M728" s="246">
        <f t="shared" si="324"/>
        <v>0</v>
      </c>
      <c r="N728" s="121">
        <f t="shared" si="325"/>
        <v>1</v>
      </c>
      <c r="O728" s="246">
        <f t="shared" si="326"/>
        <v>0.99648796498905901</v>
      </c>
      <c r="P728" s="121">
        <f t="shared" si="327"/>
        <v>0.125</v>
      </c>
      <c r="Q728" s="121">
        <f t="shared" si="328"/>
        <v>0</v>
      </c>
      <c r="R728" s="121">
        <f t="shared" si="329"/>
        <v>0</v>
      </c>
      <c r="S728" s="121" t="str">
        <f t="shared" si="330"/>
        <v/>
      </c>
      <c r="T728" s="121" t="str">
        <f t="shared" si="331"/>
        <v/>
      </c>
      <c r="U728" s="121">
        <f t="shared" si="332"/>
        <v>1</v>
      </c>
    </row>
    <row r="729" spans="1:21" x14ac:dyDescent="0.3">
      <c r="A729" s="187">
        <v>3</v>
      </c>
      <c r="B729" s="242">
        <f t="shared" si="333"/>
        <v>45717</v>
      </c>
      <c r="C729" s="243">
        <f t="shared" si="314"/>
        <v>45747</v>
      </c>
      <c r="D729" s="120">
        <f t="shared" si="315"/>
        <v>31</v>
      </c>
      <c r="E729" s="120">
        <f t="shared" si="316"/>
        <v>3</v>
      </c>
      <c r="F729" s="275">
        <f t="shared" si="317"/>
        <v>45732.5</v>
      </c>
      <c r="G729" s="120">
        <f t="shared" si="318"/>
        <v>24302</v>
      </c>
      <c r="H729" s="245">
        <f t="shared" si="319"/>
        <v>1</v>
      </c>
      <c r="I729" s="121">
        <f t="shared" si="320"/>
        <v>1</v>
      </c>
      <c r="J729" s="121">
        <f t="shared" si="321"/>
        <v>1</v>
      </c>
      <c r="K729" s="120">
        <f t="shared" si="322"/>
        <v>0</v>
      </c>
      <c r="L729" s="120">
        <f t="shared" si="323"/>
        <v>0</v>
      </c>
      <c r="M729" s="246">
        <f t="shared" si="324"/>
        <v>0</v>
      </c>
      <c r="N729" s="121">
        <f t="shared" si="325"/>
        <v>1</v>
      </c>
      <c r="O729" s="246">
        <f t="shared" si="326"/>
        <v>0.99616520787746166</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87">
        <v>4</v>
      </c>
      <c r="B730" s="242">
        <f t="shared" si="333"/>
        <v>45748</v>
      </c>
      <c r="C730" s="243">
        <f t="shared" si="314"/>
        <v>45777</v>
      </c>
      <c r="D730" s="120">
        <f t="shared" si="315"/>
        <v>30</v>
      </c>
      <c r="E730" s="120">
        <f t="shared" si="316"/>
        <v>4</v>
      </c>
      <c r="F730" s="275">
        <f t="shared" si="317"/>
        <v>45763</v>
      </c>
      <c r="G730" s="120">
        <f t="shared" si="318"/>
        <v>24303</v>
      </c>
      <c r="H730" s="245">
        <f t="shared" si="319"/>
        <v>1</v>
      </c>
      <c r="I730" s="121">
        <f t="shared" si="320"/>
        <v>1</v>
      </c>
      <c r="J730" s="121">
        <f t="shared" si="321"/>
        <v>1</v>
      </c>
      <c r="K730" s="120">
        <f t="shared" si="322"/>
        <v>0</v>
      </c>
      <c r="L730" s="120">
        <f t="shared" si="323"/>
        <v>0</v>
      </c>
      <c r="M730" s="246">
        <f t="shared" si="324"/>
        <v>0</v>
      </c>
      <c r="N730" s="121">
        <f t="shared" si="325"/>
        <v>1</v>
      </c>
      <c r="O730" s="246">
        <f t="shared" si="326"/>
        <v>0.99583150984682711</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87">
        <v>5</v>
      </c>
      <c r="B731" s="242">
        <f t="shared" si="333"/>
        <v>45778</v>
      </c>
      <c r="C731" s="243">
        <f t="shared" si="314"/>
        <v>45808</v>
      </c>
      <c r="D731" s="120">
        <f t="shared" si="315"/>
        <v>31</v>
      </c>
      <c r="E731" s="120">
        <f t="shared" si="316"/>
        <v>5</v>
      </c>
      <c r="F731" s="275">
        <f t="shared" si="317"/>
        <v>45793.5</v>
      </c>
      <c r="G731" s="120">
        <f t="shared" si="318"/>
        <v>24304</v>
      </c>
      <c r="H731" s="245">
        <f t="shared" si="319"/>
        <v>1</v>
      </c>
      <c r="I731" s="121">
        <f t="shared" si="320"/>
        <v>1</v>
      </c>
      <c r="J731" s="121">
        <f t="shared" si="321"/>
        <v>1</v>
      </c>
      <c r="K731" s="120">
        <f t="shared" si="322"/>
        <v>0</v>
      </c>
      <c r="L731" s="120">
        <f t="shared" si="323"/>
        <v>0</v>
      </c>
      <c r="M731" s="246">
        <f t="shared" si="324"/>
        <v>0</v>
      </c>
      <c r="N731" s="121">
        <f t="shared" si="325"/>
        <v>1</v>
      </c>
      <c r="O731" s="246">
        <f t="shared" si="326"/>
        <v>0.99549781181619257</v>
      </c>
      <c r="P731" s="121">
        <f t="shared" si="327"/>
        <v>0.375</v>
      </c>
      <c r="Q731" s="121">
        <f t="shared" si="328"/>
        <v>0</v>
      </c>
      <c r="R731" s="121">
        <f t="shared" si="329"/>
        <v>0</v>
      </c>
      <c r="S731" s="121" t="str">
        <f t="shared" si="330"/>
        <v/>
      </c>
      <c r="T731" s="121" t="str">
        <f t="shared" si="331"/>
        <v/>
      </c>
      <c r="U731" s="121">
        <f t="shared" si="332"/>
        <v>1</v>
      </c>
    </row>
    <row r="732" spans="1:21" x14ac:dyDescent="0.3">
      <c r="A732" s="187">
        <v>6</v>
      </c>
      <c r="B732" s="242">
        <f t="shared" si="333"/>
        <v>45809</v>
      </c>
      <c r="C732" s="243">
        <f t="shared" si="314"/>
        <v>45838</v>
      </c>
      <c r="D732" s="120">
        <f t="shared" si="315"/>
        <v>30</v>
      </c>
      <c r="E732" s="120">
        <f t="shared" si="316"/>
        <v>6</v>
      </c>
      <c r="F732" s="275">
        <f t="shared" si="317"/>
        <v>45824</v>
      </c>
      <c r="G732" s="120">
        <f t="shared" si="318"/>
        <v>24305</v>
      </c>
      <c r="H732" s="245">
        <f t="shared" si="319"/>
        <v>1</v>
      </c>
      <c r="I732" s="121">
        <f t="shared" si="320"/>
        <v>1</v>
      </c>
      <c r="J732" s="121">
        <f t="shared" si="321"/>
        <v>1</v>
      </c>
      <c r="K732" s="120">
        <f t="shared" si="322"/>
        <v>0</v>
      </c>
      <c r="L732" s="120">
        <f t="shared" si="323"/>
        <v>0</v>
      </c>
      <c r="M732" s="246">
        <f t="shared" si="324"/>
        <v>0</v>
      </c>
      <c r="N732" s="121">
        <f t="shared" si="325"/>
        <v>1</v>
      </c>
      <c r="O732" s="246">
        <f t="shared" si="326"/>
        <v>0.99516411378555791</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87">
        <v>7</v>
      </c>
      <c r="B733" s="242">
        <f t="shared" si="333"/>
        <v>45839</v>
      </c>
      <c r="C733" s="243">
        <f t="shared" si="314"/>
        <v>45869</v>
      </c>
      <c r="D733" s="120">
        <f t="shared" si="315"/>
        <v>31</v>
      </c>
      <c r="E733" s="120">
        <f t="shared" si="316"/>
        <v>7</v>
      </c>
      <c r="F733" s="275">
        <f t="shared" si="317"/>
        <v>45854.5</v>
      </c>
      <c r="G733" s="120">
        <f t="shared" si="318"/>
        <v>24306</v>
      </c>
      <c r="H733" s="245">
        <f t="shared" si="319"/>
        <v>1</v>
      </c>
      <c r="I733" s="121">
        <f t="shared" si="320"/>
        <v>1</v>
      </c>
      <c r="J733" s="121">
        <f t="shared" si="321"/>
        <v>1</v>
      </c>
      <c r="K733" s="120">
        <f t="shared" si="322"/>
        <v>0</v>
      </c>
      <c r="L733" s="120">
        <f t="shared" si="323"/>
        <v>0</v>
      </c>
      <c r="M733" s="246">
        <f t="shared" si="324"/>
        <v>0</v>
      </c>
      <c r="N733" s="121">
        <f t="shared" si="325"/>
        <v>1</v>
      </c>
      <c r="O733" s="246">
        <f t="shared" si="326"/>
        <v>0.99483041575492337</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87">
        <v>8</v>
      </c>
      <c r="B734" s="242">
        <f t="shared" si="333"/>
        <v>45870</v>
      </c>
      <c r="C734" s="243">
        <f t="shared" si="314"/>
        <v>45900</v>
      </c>
      <c r="D734" s="120">
        <f t="shared" si="315"/>
        <v>31</v>
      </c>
      <c r="E734" s="120">
        <f t="shared" si="316"/>
        <v>8</v>
      </c>
      <c r="F734" s="275">
        <f t="shared" si="317"/>
        <v>45885.5</v>
      </c>
      <c r="G734" s="120">
        <f t="shared" si="318"/>
        <v>24307</v>
      </c>
      <c r="H734" s="245">
        <f t="shared" si="319"/>
        <v>1</v>
      </c>
      <c r="I734" s="121">
        <f t="shared" si="320"/>
        <v>1</v>
      </c>
      <c r="J734" s="121">
        <f t="shared" si="321"/>
        <v>1</v>
      </c>
      <c r="K734" s="120">
        <f t="shared" si="322"/>
        <v>0</v>
      </c>
      <c r="L734" s="120">
        <f t="shared" si="323"/>
        <v>0</v>
      </c>
      <c r="M734" s="246">
        <f t="shared" si="324"/>
        <v>0</v>
      </c>
      <c r="N734" s="121">
        <f t="shared" si="325"/>
        <v>1</v>
      </c>
      <c r="O734" s="246">
        <f t="shared" si="326"/>
        <v>0.99449124726477023</v>
      </c>
      <c r="P734" s="121">
        <f t="shared" si="327"/>
        <v>0.625</v>
      </c>
      <c r="Q734" s="121">
        <f t="shared" si="328"/>
        <v>0</v>
      </c>
      <c r="R734" s="121">
        <f t="shared" si="329"/>
        <v>0</v>
      </c>
      <c r="S734" s="121" t="str">
        <f t="shared" si="330"/>
        <v/>
      </c>
      <c r="T734" s="121" t="str">
        <f t="shared" si="331"/>
        <v/>
      </c>
      <c r="U734" s="121">
        <f t="shared" si="332"/>
        <v>1</v>
      </c>
    </row>
    <row r="735" spans="1:21" x14ac:dyDescent="0.3">
      <c r="A735" s="187">
        <v>9</v>
      </c>
      <c r="B735" s="242">
        <f t="shared" si="333"/>
        <v>45901</v>
      </c>
      <c r="C735" s="243">
        <f t="shared" si="314"/>
        <v>45930</v>
      </c>
      <c r="D735" s="120">
        <f t="shared" si="315"/>
        <v>30</v>
      </c>
      <c r="E735" s="120">
        <f t="shared" si="316"/>
        <v>9</v>
      </c>
      <c r="F735" s="275">
        <f t="shared" si="317"/>
        <v>45916</v>
      </c>
      <c r="G735" s="120">
        <f t="shared" si="318"/>
        <v>24308</v>
      </c>
      <c r="H735" s="245">
        <f t="shared" si="319"/>
        <v>1</v>
      </c>
      <c r="I735" s="121">
        <f t="shared" si="320"/>
        <v>1</v>
      </c>
      <c r="J735" s="121">
        <f t="shared" si="321"/>
        <v>1</v>
      </c>
      <c r="K735" s="120">
        <f t="shared" si="322"/>
        <v>0</v>
      </c>
      <c r="L735" s="120">
        <f t="shared" si="323"/>
        <v>0</v>
      </c>
      <c r="M735" s="246">
        <f t="shared" si="324"/>
        <v>0</v>
      </c>
      <c r="N735" s="121">
        <f t="shared" si="325"/>
        <v>1</v>
      </c>
      <c r="O735" s="246">
        <f t="shared" si="326"/>
        <v>0.99415754923413568</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87">
        <v>10</v>
      </c>
      <c r="B736" s="242">
        <f t="shared" si="333"/>
        <v>45931</v>
      </c>
      <c r="C736" s="243">
        <f t="shared" si="314"/>
        <v>45961</v>
      </c>
      <c r="D736" s="120">
        <f t="shared" si="315"/>
        <v>31</v>
      </c>
      <c r="E736" s="120">
        <f t="shared" si="316"/>
        <v>10</v>
      </c>
      <c r="F736" s="275">
        <f t="shared" si="317"/>
        <v>45946.5</v>
      </c>
      <c r="G736" s="120">
        <f t="shared" si="318"/>
        <v>24309</v>
      </c>
      <c r="H736" s="245">
        <f t="shared" si="319"/>
        <v>1</v>
      </c>
      <c r="I736" s="121">
        <f t="shared" si="320"/>
        <v>1</v>
      </c>
      <c r="J736" s="121">
        <f t="shared" si="321"/>
        <v>1</v>
      </c>
      <c r="K736" s="120">
        <f t="shared" si="322"/>
        <v>0</v>
      </c>
      <c r="L736" s="120">
        <f t="shared" si="323"/>
        <v>0</v>
      </c>
      <c r="M736" s="246">
        <f t="shared" si="324"/>
        <v>0</v>
      </c>
      <c r="N736" s="121">
        <f t="shared" si="325"/>
        <v>1</v>
      </c>
      <c r="O736" s="246">
        <f t="shared" si="326"/>
        <v>0.99382385120350103</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87">
        <v>11</v>
      </c>
      <c r="B737" s="242">
        <f t="shared" si="333"/>
        <v>45962</v>
      </c>
      <c r="C737" s="243">
        <f t="shared" si="314"/>
        <v>45991</v>
      </c>
      <c r="D737" s="120">
        <f t="shared" si="315"/>
        <v>30</v>
      </c>
      <c r="E737" s="120">
        <f t="shared" si="316"/>
        <v>11</v>
      </c>
      <c r="F737" s="275">
        <f t="shared" si="317"/>
        <v>45977</v>
      </c>
      <c r="G737" s="120">
        <f t="shared" si="318"/>
        <v>24310</v>
      </c>
      <c r="H737" s="245">
        <f t="shared" si="319"/>
        <v>1</v>
      </c>
      <c r="I737" s="121">
        <f t="shared" si="320"/>
        <v>1</v>
      </c>
      <c r="J737" s="121">
        <f t="shared" si="321"/>
        <v>1</v>
      </c>
      <c r="K737" s="120">
        <f t="shared" si="322"/>
        <v>0</v>
      </c>
      <c r="L737" s="120">
        <f t="shared" si="323"/>
        <v>0</v>
      </c>
      <c r="M737" s="246">
        <f t="shared" si="324"/>
        <v>0</v>
      </c>
      <c r="N737" s="121">
        <f t="shared" si="325"/>
        <v>1</v>
      </c>
      <c r="O737" s="246">
        <f t="shared" si="326"/>
        <v>0.99349015317286649</v>
      </c>
      <c r="P737" s="121">
        <f t="shared" si="327"/>
        <v>0.875</v>
      </c>
      <c r="Q737" s="121">
        <f t="shared" si="328"/>
        <v>0</v>
      </c>
      <c r="R737" s="121">
        <f t="shared" si="329"/>
        <v>0</v>
      </c>
      <c r="S737" s="121" t="str">
        <f t="shared" si="330"/>
        <v/>
      </c>
      <c r="T737" s="121" t="str">
        <f t="shared" si="331"/>
        <v/>
      </c>
      <c r="U737" s="121">
        <f t="shared" si="332"/>
        <v>1</v>
      </c>
    </row>
    <row r="738" spans="1:21" x14ac:dyDescent="0.3">
      <c r="A738" s="187">
        <v>12</v>
      </c>
      <c r="B738" s="242">
        <f t="shared" si="333"/>
        <v>45992</v>
      </c>
      <c r="C738" s="243">
        <f t="shared" si="314"/>
        <v>46022</v>
      </c>
      <c r="D738" s="120">
        <f t="shared" si="315"/>
        <v>31</v>
      </c>
      <c r="E738" s="120">
        <f t="shared" si="316"/>
        <v>12</v>
      </c>
      <c r="F738" s="275">
        <f t="shared" si="317"/>
        <v>46007.5</v>
      </c>
      <c r="G738" s="120">
        <f t="shared" si="318"/>
        <v>24311</v>
      </c>
      <c r="H738" s="245">
        <f t="shared" si="319"/>
        <v>1</v>
      </c>
      <c r="I738" s="121">
        <f t="shared" si="320"/>
        <v>1</v>
      </c>
      <c r="J738" s="121">
        <f t="shared" si="321"/>
        <v>1</v>
      </c>
      <c r="K738" s="120">
        <f t="shared" si="322"/>
        <v>0</v>
      </c>
      <c r="L738" s="120">
        <f t="shared" si="323"/>
        <v>0</v>
      </c>
      <c r="M738" s="246">
        <f t="shared" si="324"/>
        <v>0</v>
      </c>
      <c r="N738" s="121">
        <f t="shared" si="325"/>
        <v>1</v>
      </c>
      <c r="O738" s="246">
        <f t="shared" si="326"/>
        <v>0.99315645514223194</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87">
        <v>13</v>
      </c>
      <c r="B739" s="242">
        <f t="shared" si="333"/>
        <v>46023</v>
      </c>
      <c r="C739" s="243">
        <f t="shared" si="314"/>
        <v>46053</v>
      </c>
      <c r="D739" s="120">
        <f t="shared" si="315"/>
        <v>31</v>
      </c>
      <c r="E739" s="120">
        <f t="shared" si="316"/>
        <v>1</v>
      </c>
      <c r="F739" s="275">
        <f t="shared" si="317"/>
        <v>46038.5</v>
      </c>
      <c r="G739" s="120">
        <f t="shared" si="318"/>
        <v>24312</v>
      </c>
      <c r="H739" s="245">
        <f t="shared" si="319"/>
        <v>1</v>
      </c>
      <c r="I739" s="121">
        <f t="shared" si="320"/>
        <v>1</v>
      </c>
      <c r="J739" s="121">
        <f t="shared" si="321"/>
        <v>1.04</v>
      </c>
      <c r="K739" s="120">
        <f t="shared" si="322"/>
        <v>1</v>
      </c>
      <c r="L739" s="120">
        <f t="shared" si="323"/>
        <v>31</v>
      </c>
      <c r="M739" s="246">
        <f t="shared" si="324"/>
        <v>1</v>
      </c>
      <c r="N739" s="121">
        <f t="shared" si="325"/>
        <v>1.04</v>
      </c>
      <c r="O739" s="246">
        <f t="shared" si="326"/>
        <v>0.9928172866520788</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87">
        <v>14</v>
      </c>
      <c r="B740" s="242">
        <f t="shared" si="333"/>
        <v>46054</v>
      </c>
      <c r="C740" s="243">
        <f t="shared" si="314"/>
        <v>46081</v>
      </c>
      <c r="D740" s="120">
        <f t="shared" si="315"/>
        <v>28</v>
      </c>
      <c r="E740" s="120">
        <f t="shared" si="316"/>
        <v>2</v>
      </c>
      <c r="F740" s="275">
        <f t="shared" si="317"/>
        <v>46068</v>
      </c>
      <c r="G740" s="120">
        <f t="shared" si="318"/>
        <v>24313</v>
      </c>
      <c r="H740" s="245">
        <f t="shared" si="319"/>
        <v>1</v>
      </c>
      <c r="I740" s="121">
        <f t="shared" si="320"/>
        <v>1.04</v>
      </c>
      <c r="J740" s="121">
        <f t="shared" si="321"/>
        <v>1.04</v>
      </c>
      <c r="K740" s="120">
        <f t="shared" si="322"/>
        <v>0</v>
      </c>
      <c r="L740" s="120">
        <f t="shared" si="323"/>
        <v>0</v>
      </c>
      <c r="M740" s="246">
        <f t="shared" si="324"/>
        <v>0</v>
      </c>
      <c r="N740" s="121">
        <f t="shared" si="325"/>
        <v>1.04</v>
      </c>
      <c r="O740" s="246">
        <f t="shared" si="326"/>
        <v>0.99249452954048134</v>
      </c>
      <c r="P740" s="121">
        <f t="shared" si="327"/>
        <v>0.875</v>
      </c>
      <c r="Q740" s="121">
        <f t="shared" si="328"/>
        <v>0.125</v>
      </c>
      <c r="R740" s="121">
        <f t="shared" si="329"/>
        <v>0</v>
      </c>
      <c r="S740" s="121" t="str">
        <f t="shared" si="330"/>
        <v/>
      </c>
      <c r="T740" s="121" t="str">
        <f t="shared" si="331"/>
        <v/>
      </c>
      <c r="U740" s="121">
        <f t="shared" si="332"/>
        <v>1.04</v>
      </c>
    </row>
    <row r="741" spans="1:21" x14ac:dyDescent="0.3">
      <c r="A741" s="187">
        <v>15</v>
      </c>
      <c r="B741" s="242">
        <f t="shared" si="333"/>
        <v>46082</v>
      </c>
      <c r="C741" s="243">
        <f t="shared" si="314"/>
        <v>46112</v>
      </c>
      <c r="D741" s="120">
        <f t="shared" si="315"/>
        <v>31</v>
      </c>
      <c r="E741" s="120">
        <f t="shared" si="316"/>
        <v>3</v>
      </c>
      <c r="F741" s="275">
        <f t="shared" si="317"/>
        <v>46097.5</v>
      </c>
      <c r="G741" s="120">
        <f t="shared" si="318"/>
        <v>24314</v>
      </c>
      <c r="H741" s="245">
        <f t="shared" si="319"/>
        <v>1</v>
      </c>
      <c r="I741" s="121">
        <f t="shared" si="320"/>
        <v>1.04</v>
      </c>
      <c r="J741" s="121">
        <f t="shared" si="321"/>
        <v>1.04</v>
      </c>
      <c r="K741" s="120">
        <f t="shared" si="322"/>
        <v>0</v>
      </c>
      <c r="L741" s="120">
        <f t="shared" si="323"/>
        <v>0</v>
      </c>
      <c r="M741" s="246">
        <f t="shared" si="324"/>
        <v>0</v>
      </c>
      <c r="N741" s="121">
        <f t="shared" si="325"/>
        <v>1.04</v>
      </c>
      <c r="O741" s="246">
        <f t="shared" si="326"/>
        <v>0.99217177242888399</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87">
        <v>16</v>
      </c>
      <c r="B742" s="242">
        <f t="shared" si="333"/>
        <v>46113</v>
      </c>
      <c r="C742" s="243">
        <f t="shared" si="314"/>
        <v>46142</v>
      </c>
      <c r="D742" s="120">
        <f t="shared" si="315"/>
        <v>30</v>
      </c>
      <c r="E742" s="120">
        <f t="shared" si="316"/>
        <v>4</v>
      </c>
      <c r="F742" s="275">
        <f t="shared" si="317"/>
        <v>46128</v>
      </c>
      <c r="G742" s="120">
        <f t="shared" si="318"/>
        <v>24315</v>
      </c>
      <c r="H742" s="245">
        <f t="shared" si="319"/>
        <v>1</v>
      </c>
      <c r="I742" s="121">
        <f t="shared" si="320"/>
        <v>1.04</v>
      </c>
      <c r="J742" s="121">
        <f t="shared" si="321"/>
        <v>1.04</v>
      </c>
      <c r="K742" s="120">
        <f t="shared" si="322"/>
        <v>0</v>
      </c>
      <c r="L742" s="120">
        <f t="shared" si="323"/>
        <v>0</v>
      </c>
      <c r="M742" s="246">
        <f t="shared" si="324"/>
        <v>0</v>
      </c>
      <c r="N742" s="121">
        <f t="shared" si="325"/>
        <v>1.04</v>
      </c>
      <c r="O742" s="246">
        <f t="shared" si="326"/>
        <v>0.99183807439824945</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87">
        <v>17</v>
      </c>
      <c r="B743" s="242">
        <f t="shared" si="333"/>
        <v>46143</v>
      </c>
      <c r="C743" s="243">
        <f t="shared" si="314"/>
        <v>46173</v>
      </c>
      <c r="D743" s="120">
        <f t="shared" si="315"/>
        <v>31</v>
      </c>
      <c r="E743" s="120">
        <f t="shared" si="316"/>
        <v>5</v>
      </c>
      <c r="F743" s="275">
        <f t="shared" si="317"/>
        <v>46158.5</v>
      </c>
      <c r="G743" s="120">
        <f t="shared" si="318"/>
        <v>24316</v>
      </c>
      <c r="H743" s="245">
        <f t="shared" si="319"/>
        <v>1</v>
      </c>
      <c r="I743" s="121">
        <f t="shared" si="320"/>
        <v>1.04</v>
      </c>
      <c r="J743" s="121">
        <f t="shared" si="321"/>
        <v>1.04</v>
      </c>
      <c r="K743" s="120">
        <f t="shared" si="322"/>
        <v>0</v>
      </c>
      <c r="L743" s="120">
        <f t="shared" si="323"/>
        <v>0</v>
      </c>
      <c r="M743" s="246">
        <f t="shared" si="324"/>
        <v>0</v>
      </c>
      <c r="N743" s="121">
        <f t="shared" si="325"/>
        <v>1.04</v>
      </c>
      <c r="O743" s="246">
        <f t="shared" si="326"/>
        <v>0.9915043763676149</v>
      </c>
      <c r="P743" s="121">
        <f t="shared" si="327"/>
        <v>0.625</v>
      </c>
      <c r="Q743" s="121">
        <f t="shared" si="328"/>
        <v>0.375</v>
      </c>
      <c r="R743" s="121">
        <f t="shared" si="329"/>
        <v>0</v>
      </c>
      <c r="S743" s="121" t="str">
        <f t="shared" si="330"/>
        <v/>
      </c>
      <c r="T743" s="121" t="str">
        <f t="shared" si="331"/>
        <v/>
      </c>
      <c r="U743" s="121">
        <f t="shared" si="332"/>
        <v>1.04</v>
      </c>
    </row>
    <row r="744" spans="1:21" x14ac:dyDescent="0.3">
      <c r="A744" s="187">
        <v>18</v>
      </c>
      <c r="B744" s="242">
        <f t="shared" si="333"/>
        <v>46174</v>
      </c>
      <c r="C744" s="243">
        <f t="shared" si="314"/>
        <v>46203</v>
      </c>
      <c r="D744" s="120">
        <f t="shared" si="315"/>
        <v>30</v>
      </c>
      <c r="E744" s="120">
        <f t="shared" si="316"/>
        <v>6</v>
      </c>
      <c r="F744" s="275">
        <f t="shared" si="317"/>
        <v>46189</v>
      </c>
      <c r="G744" s="120">
        <f t="shared" si="318"/>
        <v>24317</v>
      </c>
      <c r="H744" s="245">
        <f t="shared" si="319"/>
        <v>1</v>
      </c>
      <c r="I744" s="121">
        <f t="shared" si="320"/>
        <v>1.04</v>
      </c>
      <c r="J744" s="121">
        <f t="shared" si="321"/>
        <v>1.04</v>
      </c>
      <c r="K744" s="120">
        <f t="shared" si="322"/>
        <v>0</v>
      </c>
      <c r="L744" s="120">
        <f t="shared" si="323"/>
        <v>0</v>
      </c>
      <c r="M744" s="246">
        <f t="shared" si="324"/>
        <v>0</v>
      </c>
      <c r="N744" s="121">
        <f t="shared" si="325"/>
        <v>1.04</v>
      </c>
      <c r="O744" s="246">
        <f t="shared" si="326"/>
        <v>0.99117067833698025</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87">
        <v>19</v>
      </c>
      <c r="B745" s="242">
        <f t="shared" si="333"/>
        <v>46204</v>
      </c>
      <c r="C745" s="243">
        <f t="shared" si="314"/>
        <v>46234</v>
      </c>
      <c r="D745" s="120">
        <f t="shared" si="315"/>
        <v>31</v>
      </c>
      <c r="E745" s="120">
        <f t="shared" si="316"/>
        <v>7</v>
      </c>
      <c r="F745" s="275">
        <f t="shared" si="317"/>
        <v>46219.5</v>
      </c>
      <c r="G745" s="120">
        <f t="shared" si="318"/>
        <v>24318</v>
      </c>
      <c r="H745" s="245">
        <f t="shared" si="319"/>
        <v>1</v>
      </c>
      <c r="I745" s="121">
        <f t="shared" si="320"/>
        <v>1.04</v>
      </c>
      <c r="J745" s="121">
        <f t="shared" si="321"/>
        <v>1.04</v>
      </c>
      <c r="K745" s="120">
        <f t="shared" si="322"/>
        <v>0</v>
      </c>
      <c r="L745" s="120">
        <f t="shared" si="323"/>
        <v>0</v>
      </c>
      <c r="M745" s="246">
        <f t="shared" si="324"/>
        <v>0</v>
      </c>
      <c r="N745" s="121">
        <f t="shared" si="325"/>
        <v>1.04</v>
      </c>
      <c r="O745" s="246">
        <f t="shared" si="326"/>
        <v>0.9908369803063457</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87">
        <v>20</v>
      </c>
      <c r="B746" s="242">
        <f t="shared" si="333"/>
        <v>46235</v>
      </c>
      <c r="C746" s="243">
        <f t="shared" si="314"/>
        <v>46265</v>
      </c>
      <c r="D746" s="120">
        <f t="shared" si="315"/>
        <v>31</v>
      </c>
      <c r="E746" s="120">
        <f t="shared" si="316"/>
        <v>8</v>
      </c>
      <c r="F746" s="275">
        <f t="shared" si="317"/>
        <v>46250.5</v>
      </c>
      <c r="G746" s="120">
        <f t="shared" si="318"/>
        <v>24319</v>
      </c>
      <c r="H746" s="245">
        <f t="shared" si="319"/>
        <v>1</v>
      </c>
      <c r="I746" s="121">
        <f t="shared" si="320"/>
        <v>1.04</v>
      </c>
      <c r="J746" s="121">
        <f t="shared" si="321"/>
        <v>1.04</v>
      </c>
      <c r="K746" s="120">
        <f t="shared" si="322"/>
        <v>0</v>
      </c>
      <c r="L746" s="120">
        <f t="shared" si="323"/>
        <v>0</v>
      </c>
      <c r="M746" s="246">
        <f t="shared" si="324"/>
        <v>0</v>
      </c>
      <c r="N746" s="121">
        <f t="shared" si="325"/>
        <v>1.04</v>
      </c>
      <c r="O746" s="246">
        <f t="shared" si="326"/>
        <v>0.99049781181619256</v>
      </c>
      <c r="P746" s="121">
        <f t="shared" si="327"/>
        <v>0.375</v>
      </c>
      <c r="Q746" s="121">
        <f t="shared" si="328"/>
        <v>0.625</v>
      </c>
      <c r="R746" s="121">
        <f t="shared" si="329"/>
        <v>0</v>
      </c>
      <c r="S746" s="121" t="str">
        <f t="shared" si="330"/>
        <v/>
      </c>
      <c r="T746" s="121" t="str">
        <f t="shared" si="331"/>
        <v/>
      </c>
      <c r="U746" s="121">
        <f t="shared" si="332"/>
        <v>1.04</v>
      </c>
    </row>
    <row r="747" spans="1:21" x14ac:dyDescent="0.3">
      <c r="A747" s="187">
        <v>21</v>
      </c>
      <c r="B747" s="242">
        <f t="shared" si="333"/>
        <v>46266</v>
      </c>
      <c r="C747" s="243">
        <f t="shared" si="314"/>
        <v>46295</v>
      </c>
      <c r="D747" s="120">
        <f t="shared" si="315"/>
        <v>30</v>
      </c>
      <c r="E747" s="120">
        <f t="shared" si="316"/>
        <v>9</v>
      </c>
      <c r="F747" s="275">
        <f t="shared" si="317"/>
        <v>46281</v>
      </c>
      <c r="G747" s="120">
        <f t="shared" si="318"/>
        <v>24320</v>
      </c>
      <c r="H747" s="245">
        <f t="shared" si="319"/>
        <v>1</v>
      </c>
      <c r="I747" s="121">
        <f t="shared" si="320"/>
        <v>1.04</v>
      </c>
      <c r="J747" s="121">
        <f t="shared" si="321"/>
        <v>1.04</v>
      </c>
      <c r="K747" s="120">
        <f t="shared" si="322"/>
        <v>0</v>
      </c>
      <c r="L747" s="120">
        <f t="shared" si="323"/>
        <v>0</v>
      </c>
      <c r="M747" s="246">
        <f t="shared" si="324"/>
        <v>0</v>
      </c>
      <c r="N747" s="121">
        <f t="shared" si="325"/>
        <v>1.04</v>
      </c>
      <c r="O747" s="246">
        <f t="shared" si="326"/>
        <v>0.99016411378555802</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87">
        <v>22</v>
      </c>
      <c r="B748" s="242">
        <f t="shared" si="333"/>
        <v>46296</v>
      </c>
      <c r="C748" s="243">
        <f t="shared" si="314"/>
        <v>46326</v>
      </c>
      <c r="D748" s="120">
        <f t="shared" si="315"/>
        <v>31</v>
      </c>
      <c r="E748" s="120">
        <f t="shared" si="316"/>
        <v>10</v>
      </c>
      <c r="F748" s="275">
        <f t="shared" si="317"/>
        <v>46311.5</v>
      </c>
      <c r="G748" s="120">
        <f t="shared" si="318"/>
        <v>24321</v>
      </c>
      <c r="H748" s="245">
        <f t="shared" si="319"/>
        <v>1</v>
      </c>
      <c r="I748" s="121">
        <f t="shared" si="320"/>
        <v>1.04</v>
      </c>
      <c r="J748" s="121">
        <f t="shared" si="321"/>
        <v>1.04</v>
      </c>
      <c r="K748" s="120">
        <f t="shared" si="322"/>
        <v>0</v>
      </c>
      <c r="L748" s="120">
        <f t="shared" si="323"/>
        <v>0</v>
      </c>
      <c r="M748" s="246">
        <f t="shared" si="324"/>
        <v>0</v>
      </c>
      <c r="N748" s="121">
        <f t="shared" si="325"/>
        <v>1.04</v>
      </c>
      <c r="O748" s="246">
        <f t="shared" si="326"/>
        <v>0.98983041575492337</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87">
        <v>23</v>
      </c>
      <c r="B749" s="242">
        <f t="shared" si="333"/>
        <v>46327</v>
      </c>
      <c r="C749" s="243">
        <f t="shared" si="314"/>
        <v>46356</v>
      </c>
      <c r="D749" s="120">
        <f t="shared" si="315"/>
        <v>30</v>
      </c>
      <c r="E749" s="120">
        <f t="shared" si="316"/>
        <v>11</v>
      </c>
      <c r="F749" s="275">
        <f t="shared" si="317"/>
        <v>46342</v>
      </c>
      <c r="G749" s="120">
        <f t="shared" si="318"/>
        <v>24322</v>
      </c>
      <c r="H749" s="245">
        <f t="shared" si="319"/>
        <v>1</v>
      </c>
      <c r="I749" s="121">
        <f t="shared" si="320"/>
        <v>1.04</v>
      </c>
      <c r="J749" s="121">
        <f t="shared" si="321"/>
        <v>1.04</v>
      </c>
      <c r="K749" s="120">
        <f t="shared" si="322"/>
        <v>0</v>
      </c>
      <c r="L749" s="120">
        <f t="shared" si="323"/>
        <v>0</v>
      </c>
      <c r="M749" s="246">
        <f t="shared" si="324"/>
        <v>0</v>
      </c>
      <c r="N749" s="121">
        <f t="shared" si="325"/>
        <v>1.04</v>
      </c>
      <c r="O749" s="246">
        <f t="shared" si="326"/>
        <v>0.98949671772428882</v>
      </c>
      <c r="P749" s="121">
        <f t="shared" si="327"/>
        <v>0.125</v>
      </c>
      <c r="Q749" s="121">
        <f t="shared" si="328"/>
        <v>0.875</v>
      </c>
      <c r="R749" s="121">
        <f t="shared" si="329"/>
        <v>0</v>
      </c>
      <c r="S749" s="121" t="str">
        <f t="shared" si="330"/>
        <v/>
      </c>
      <c r="T749" s="121" t="str">
        <f t="shared" si="331"/>
        <v/>
      </c>
      <c r="U749" s="121">
        <f t="shared" si="332"/>
        <v>1.04</v>
      </c>
    </row>
    <row r="750" spans="1:21" x14ac:dyDescent="0.3">
      <c r="A750" s="187">
        <v>24</v>
      </c>
      <c r="B750" s="242">
        <f t="shared" si="333"/>
        <v>46357</v>
      </c>
      <c r="C750" s="243">
        <f t="shared" si="314"/>
        <v>46387</v>
      </c>
      <c r="D750" s="120">
        <f t="shared" si="315"/>
        <v>31</v>
      </c>
      <c r="E750" s="120">
        <f t="shared" si="316"/>
        <v>12</v>
      </c>
      <c r="F750" s="275">
        <f t="shared" si="317"/>
        <v>46372.5</v>
      </c>
      <c r="G750" s="120">
        <f t="shared" si="318"/>
        <v>24323</v>
      </c>
      <c r="H750" s="245">
        <f t="shared" si="319"/>
        <v>1</v>
      </c>
      <c r="I750" s="121">
        <f t="shared" si="320"/>
        <v>1.04</v>
      </c>
      <c r="J750" s="121">
        <f t="shared" si="321"/>
        <v>1.04</v>
      </c>
      <c r="K750" s="120">
        <f t="shared" si="322"/>
        <v>0</v>
      </c>
      <c r="L750" s="120">
        <f t="shared" si="323"/>
        <v>0</v>
      </c>
      <c r="M750" s="246">
        <f t="shared" si="324"/>
        <v>0</v>
      </c>
      <c r="N750" s="121">
        <f t="shared" si="325"/>
        <v>1.04</v>
      </c>
      <c r="O750" s="246">
        <f t="shared" si="326"/>
        <v>0.98916301969365428</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87">
        <v>25</v>
      </c>
      <c r="B751" s="242">
        <f t="shared" si="333"/>
        <v>46388</v>
      </c>
      <c r="C751" s="243">
        <f t="shared" si="314"/>
        <v>46418</v>
      </c>
      <c r="D751" s="120">
        <f t="shared" si="315"/>
        <v>31</v>
      </c>
      <c r="E751" s="120">
        <f t="shared" si="316"/>
        <v>1</v>
      </c>
      <c r="F751" s="275">
        <f t="shared" si="317"/>
        <v>46403.5</v>
      </c>
      <c r="G751" s="120">
        <f t="shared" si="318"/>
        <v>24324</v>
      </c>
      <c r="H751" s="245">
        <f t="shared" si="319"/>
        <v>1</v>
      </c>
      <c r="I751" s="121">
        <f t="shared" si="320"/>
        <v>1.04</v>
      </c>
      <c r="J751" s="121">
        <f t="shared" si="321"/>
        <v>1.04</v>
      </c>
      <c r="K751" s="120">
        <f t="shared" si="322"/>
        <v>0</v>
      </c>
      <c r="L751" s="120">
        <f t="shared" si="323"/>
        <v>0</v>
      </c>
      <c r="M751" s="246">
        <f t="shared" si="324"/>
        <v>0</v>
      </c>
      <c r="N751" s="121">
        <f t="shared" si="325"/>
        <v>1.04</v>
      </c>
      <c r="O751" s="246">
        <f t="shared" si="326"/>
        <v>0.98882385120350114</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87">
        <v>26</v>
      </c>
      <c r="B752" s="242">
        <f t="shared" si="333"/>
        <v>46419</v>
      </c>
      <c r="C752" s="243">
        <f t="shared" si="314"/>
        <v>46446</v>
      </c>
      <c r="D752" s="120">
        <f t="shared" si="315"/>
        <v>28</v>
      </c>
      <c r="E752" s="120">
        <f t="shared" si="316"/>
        <v>2</v>
      </c>
      <c r="F752" s="275">
        <f t="shared" si="317"/>
        <v>46433</v>
      </c>
      <c r="G752" s="120">
        <f t="shared" si="318"/>
        <v>24325</v>
      </c>
      <c r="H752" s="245">
        <f t="shared" si="319"/>
        <v>1</v>
      </c>
      <c r="I752" s="121">
        <f t="shared" si="320"/>
        <v>1.04</v>
      </c>
      <c r="J752" s="121">
        <f t="shared" si="321"/>
        <v>1.04</v>
      </c>
      <c r="K752" s="120">
        <f t="shared" si="322"/>
        <v>0</v>
      </c>
      <c r="L752" s="120">
        <f t="shared" si="323"/>
        <v>0</v>
      </c>
      <c r="M752" s="246">
        <f t="shared" si="324"/>
        <v>0</v>
      </c>
      <c r="N752" s="121">
        <f t="shared" si="325"/>
        <v>1.04</v>
      </c>
      <c r="O752" s="246">
        <f t="shared" si="326"/>
        <v>0.98850109409190368</v>
      </c>
      <c r="P752" s="121">
        <f t="shared" si="327"/>
        <v>0</v>
      </c>
      <c r="Q752" s="121">
        <f t="shared" si="328"/>
        <v>0.875</v>
      </c>
      <c r="R752" s="121">
        <f t="shared" si="329"/>
        <v>0.125</v>
      </c>
      <c r="S752" s="121" t="str">
        <f t="shared" si="330"/>
        <v/>
      </c>
      <c r="T752" s="121" t="str">
        <f t="shared" si="331"/>
        <v/>
      </c>
      <c r="U752" s="121">
        <f t="shared" si="332"/>
        <v>1.04</v>
      </c>
    </row>
    <row r="753" spans="1:21" x14ac:dyDescent="0.3">
      <c r="A753" s="187">
        <v>27</v>
      </c>
      <c r="B753" s="242">
        <f t="shared" si="333"/>
        <v>46447</v>
      </c>
      <c r="C753" s="243">
        <f t="shared" si="314"/>
        <v>46477</v>
      </c>
      <c r="D753" s="120">
        <f t="shared" si="315"/>
        <v>31</v>
      </c>
      <c r="E753" s="120">
        <f t="shared" si="316"/>
        <v>3</v>
      </c>
      <c r="F753" s="275">
        <f t="shared" si="317"/>
        <v>46462.5</v>
      </c>
      <c r="G753" s="120">
        <f t="shared" si="318"/>
        <v>24326</v>
      </c>
      <c r="H753" s="245">
        <f t="shared" si="319"/>
        <v>1</v>
      </c>
      <c r="I753" s="121">
        <f t="shared" si="320"/>
        <v>1.04</v>
      </c>
      <c r="J753" s="121">
        <f t="shared" si="321"/>
        <v>1.04</v>
      </c>
      <c r="K753" s="120">
        <f t="shared" si="322"/>
        <v>0</v>
      </c>
      <c r="L753" s="120">
        <f t="shared" si="323"/>
        <v>0</v>
      </c>
      <c r="M753" s="246">
        <f t="shared" si="324"/>
        <v>0</v>
      </c>
      <c r="N753" s="121">
        <f t="shared" si="325"/>
        <v>1.04</v>
      </c>
      <c r="O753" s="246">
        <f t="shared" si="326"/>
        <v>0.98817833698030633</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87">
        <v>28</v>
      </c>
      <c r="B754" s="242">
        <f t="shared" si="333"/>
        <v>46478</v>
      </c>
      <c r="C754" s="243">
        <f t="shared" si="314"/>
        <v>46507</v>
      </c>
      <c r="D754" s="120">
        <f t="shared" si="315"/>
        <v>30</v>
      </c>
      <c r="E754" s="120">
        <f t="shared" si="316"/>
        <v>4</v>
      </c>
      <c r="F754" s="275">
        <f t="shared" si="317"/>
        <v>46493</v>
      </c>
      <c r="G754" s="120">
        <f t="shared" si="318"/>
        <v>24327</v>
      </c>
      <c r="H754" s="245">
        <f t="shared" si="319"/>
        <v>1</v>
      </c>
      <c r="I754" s="121">
        <f t="shared" si="320"/>
        <v>1.04</v>
      </c>
      <c r="J754" s="121">
        <f t="shared" si="321"/>
        <v>1.04</v>
      </c>
      <c r="K754" s="120">
        <f t="shared" si="322"/>
        <v>0</v>
      </c>
      <c r="L754" s="120">
        <f t="shared" si="323"/>
        <v>0</v>
      </c>
      <c r="M754" s="246">
        <f t="shared" si="324"/>
        <v>0</v>
      </c>
      <c r="N754" s="121">
        <f t="shared" si="325"/>
        <v>1.04</v>
      </c>
      <c r="O754" s="246">
        <f t="shared" si="326"/>
        <v>0.98784463894967178</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87">
        <v>29</v>
      </c>
      <c r="B755" s="242">
        <f t="shared" si="333"/>
        <v>46508</v>
      </c>
      <c r="C755" s="243">
        <f t="shared" si="314"/>
        <v>46538</v>
      </c>
      <c r="D755" s="120">
        <f t="shared" si="315"/>
        <v>31</v>
      </c>
      <c r="E755" s="120">
        <f t="shared" si="316"/>
        <v>5</v>
      </c>
      <c r="F755" s="275">
        <f t="shared" si="317"/>
        <v>46523.5</v>
      </c>
      <c r="G755" s="120">
        <f t="shared" si="318"/>
        <v>24328</v>
      </c>
      <c r="H755" s="245">
        <f t="shared" si="319"/>
        <v>1</v>
      </c>
      <c r="I755" s="121">
        <f t="shared" si="320"/>
        <v>1.04</v>
      </c>
      <c r="J755" s="121">
        <f t="shared" si="321"/>
        <v>1.04</v>
      </c>
      <c r="K755" s="120">
        <f t="shared" si="322"/>
        <v>0</v>
      </c>
      <c r="L755" s="120">
        <f t="shared" si="323"/>
        <v>0</v>
      </c>
      <c r="M755" s="246">
        <f t="shared" si="324"/>
        <v>0</v>
      </c>
      <c r="N755" s="121">
        <f t="shared" si="325"/>
        <v>1.04</v>
      </c>
      <c r="O755" s="246">
        <f t="shared" si="326"/>
        <v>0.98751094091903724</v>
      </c>
      <c r="P755" s="121">
        <f t="shared" si="327"/>
        <v>0</v>
      </c>
      <c r="Q755" s="121">
        <f t="shared" si="328"/>
        <v>0.625</v>
      </c>
      <c r="R755" s="121">
        <f t="shared" si="329"/>
        <v>0.375</v>
      </c>
      <c r="S755" s="121" t="str">
        <f t="shared" si="330"/>
        <v/>
      </c>
      <c r="T755" s="121" t="str">
        <f t="shared" si="331"/>
        <v/>
      </c>
      <c r="U755" s="121">
        <f t="shared" si="332"/>
        <v>1.04</v>
      </c>
    </row>
    <row r="756" spans="1:21" x14ac:dyDescent="0.3">
      <c r="A756" s="187">
        <v>30</v>
      </c>
      <c r="B756" s="242">
        <f t="shared" si="333"/>
        <v>46539</v>
      </c>
      <c r="C756" s="243">
        <f t="shared" si="314"/>
        <v>46568</v>
      </c>
      <c r="D756" s="120">
        <f t="shared" si="315"/>
        <v>30</v>
      </c>
      <c r="E756" s="120">
        <f t="shared" si="316"/>
        <v>6</v>
      </c>
      <c r="F756" s="275">
        <f t="shared" si="317"/>
        <v>46554</v>
      </c>
      <c r="G756" s="120">
        <f t="shared" si="318"/>
        <v>24329</v>
      </c>
      <c r="H756" s="245">
        <f t="shared" si="319"/>
        <v>1</v>
      </c>
      <c r="I756" s="121">
        <f t="shared" si="320"/>
        <v>1.04</v>
      </c>
      <c r="J756" s="121">
        <f t="shared" si="321"/>
        <v>1.04</v>
      </c>
      <c r="K756" s="120">
        <f t="shared" si="322"/>
        <v>0</v>
      </c>
      <c r="L756" s="120">
        <f t="shared" si="323"/>
        <v>0</v>
      </c>
      <c r="M756" s="246">
        <f t="shared" si="324"/>
        <v>0</v>
      </c>
      <c r="N756" s="121">
        <f t="shared" si="325"/>
        <v>1.04</v>
      </c>
      <c r="O756" s="246">
        <f t="shared" si="326"/>
        <v>0.98717724288840258</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87">
        <v>31</v>
      </c>
      <c r="B757" s="242">
        <f t="shared" si="333"/>
        <v>46569</v>
      </c>
      <c r="C757" s="243">
        <f t="shared" si="314"/>
        <v>46599</v>
      </c>
      <c r="D757" s="120">
        <f t="shared" si="315"/>
        <v>31</v>
      </c>
      <c r="E757" s="120">
        <f t="shared" si="316"/>
        <v>7</v>
      </c>
      <c r="F757" s="275">
        <f t="shared" si="317"/>
        <v>46584.5</v>
      </c>
      <c r="G757" s="120">
        <f t="shared" si="318"/>
        <v>24330</v>
      </c>
      <c r="H757" s="245">
        <f t="shared" si="319"/>
        <v>1</v>
      </c>
      <c r="I757" s="121">
        <f t="shared" si="320"/>
        <v>1.04</v>
      </c>
      <c r="J757" s="121">
        <f t="shared" si="321"/>
        <v>1.04</v>
      </c>
      <c r="K757" s="120">
        <f t="shared" si="322"/>
        <v>0</v>
      </c>
      <c r="L757" s="120">
        <f t="shared" si="323"/>
        <v>0</v>
      </c>
      <c r="M757" s="246">
        <f t="shared" si="324"/>
        <v>0</v>
      </c>
      <c r="N757" s="121">
        <f t="shared" si="325"/>
        <v>1.04</v>
      </c>
      <c r="O757" s="246">
        <f t="shared" si="326"/>
        <v>0.98684354485776804</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87">
        <v>32</v>
      </c>
      <c r="B758" s="242">
        <f t="shared" si="333"/>
        <v>46600</v>
      </c>
      <c r="C758" s="243">
        <f t="shared" si="314"/>
        <v>46630</v>
      </c>
      <c r="D758" s="120">
        <f t="shared" si="315"/>
        <v>31</v>
      </c>
      <c r="E758" s="120">
        <f t="shared" si="316"/>
        <v>8</v>
      </c>
      <c r="F758" s="275">
        <f t="shared" si="317"/>
        <v>46615.5</v>
      </c>
      <c r="G758" s="120">
        <f t="shared" si="318"/>
        <v>24331</v>
      </c>
      <c r="H758" s="245">
        <f t="shared" si="319"/>
        <v>1</v>
      </c>
      <c r="I758" s="121">
        <f t="shared" si="320"/>
        <v>1.04</v>
      </c>
      <c r="J758" s="121">
        <f t="shared" si="321"/>
        <v>1.04</v>
      </c>
      <c r="K758" s="120">
        <f t="shared" si="322"/>
        <v>0</v>
      </c>
      <c r="L758" s="120">
        <f t="shared" si="323"/>
        <v>0</v>
      </c>
      <c r="M758" s="246">
        <f t="shared" si="324"/>
        <v>0</v>
      </c>
      <c r="N758" s="121">
        <f t="shared" si="325"/>
        <v>1.04</v>
      </c>
      <c r="O758" s="246">
        <f t="shared" si="326"/>
        <v>0.9865043763676149</v>
      </c>
      <c r="P758" s="121">
        <f t="shared" si="327"/>
        <v>0</v>
      </c>
      <c r="Q758" s="121">
        <f t="shared" si="328"/>
        <v>0.375</v>
      </c>
      <c r="R758" s="121">
        <f t="shared" si="329"/>
        <v>0.625</v>
      </c>
      <c r="S758" s="121" t="str">
        <f t="shared" si="330"/>
        <v/>
      </c>
      <c r="T758" s="121" t="str">
        <f t="shared" si="331"/>
        <v/>
      </c>
      <c r="U758" s="121">
        <f t="shared" si="332"/>
        <v>1.04</v>
      </c>
    </row>
    <row r="759" spans="1:21" x14ac:dyDescent="0.3">
      <c r="A759" s="187">
        <v>33</v>
      </c>
      <c r="B759" s="242">
        <f t="shared" si="333"/>
        <v>46631</v>
      </c>
      <c r="C759" s="243">
        <f t="shared" si="314"/>
        <v>46660</v>
      </c>
      <c r="D759" s="120">
        <f t="shared" si="315"/>
        <v>30</v>
      </c>
      <c r="E759" s="120">
        <f t="shared" si="316"/>
        <v>9</v>
      </c>
      <c r="F759" s="275">
        <f t="shared" si="317"/>
        <v>46646</v>
      </c>
      <c r="G759" s="120">
        <f t="shared" si="318"/>
        <v>24332</v>
      </c>
      <c r="H759" s="245">
        <f t="shared" si="319"/>
        <v>1</v>
      </c>
      <c r="I759" s="121">
        <f t="shared" si="320"/>
        <v>1.04</v>
      </c>
      <c r="J759" s="121">
        <f t="shared" si="321"/>
        <v>1.04</v>
      </c>
      <c r="K759" s="120">
        <f t="shared" si="322"/>
        <v>0</v>
      </c>
      <c r="L759" s="120">
        <f t="shared" si="323"/>
        <v>0</v>
      </c>
      <c r="M759" s="246">
        <f t="shared" si="324"/>
        <v>0</v>
      </c>
      <c r="N759" s="121">
        <f t="shared" si="325"/>
        <v>1.04</v>
      </c>
      <c r="O759" s="246">
        <f t="shared" si="326"/>
        <v>0.98617067833698024</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87">
        <v>34</v>
      </c>
      <c r="B760" s="242">
        <f t="shared" si="333"/>
        <v>46661</v>
      </c>
      <c r="C760" s="243">
        <f t="shared" si="314"/>
        <v>46691</v>
      </c>
      <c r="D760" s="120">
        <f t="shared" si="315"/>
        <v>31</v>
      </c>
      <c r="E760" s="120">
        <f t="shared" si="316"/>
        <v>10</v>
      </c>
      <c r="F760" s="275">
        <f t="shared" si="317"/>
        <v>46676.5</v>
      </c>
      <c r="G760" s="120">
        <f t="shared" si="318"/>
        <v>24333</v>
      </c>
      <c r="H760" s="245">
        <f t="shared" si="319"/>
        <v>1</v>
      </c>
      <c r="I760" s="121">
        <f t="shared" si="320"/>
        <v>1.04</v>
      </c>
      <c r="J760" s="121">
        <f t="shared" si="321"/>
        <v>1.04</v>
      </c>
      <c r="K760" s="120">
        <f t="shared" si="322"/>
        <v>0</v>
      </c>
      <c r="L760" s="120">
        <f t="shared" si="323"/>
        <v>0</v>
      </c>
      <c r="M760" s="246">
        <f t="shared" si="324"/>
        <v>0</v>
      </c>
      <c r="N760" s="121">
        <f t="shared" si="325"/>
        <v>1.04</v>
      </c>
      <c r="O760" s="246">
        <f t="shared" si="326"/>
        <v>0.9858369803063457</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87">
        <v>35</v>
      </c>
      <c r="B761" s="242">
        <f t="shared" si="333"/>
        <v>46692</v>
      </c>
      <c r="C761" s="243">
        <f t="shared" si="314"/>
        <v>46721</v>
      </c>
      <c r="D761" s="120">
        <f t="shared" si="315"/>
        <v>30</v>
      </c>
      <c r="E761" s="120">
        <f t="shared" si="316"/>
        <v>11</v>
      </c>
      <c r="F761" s="275">
        <f t="shared" si="317"/>
        <v>46707</v>
      </c>
      <c r="G761" s="120">
        <f t="shared" si="318"/>
        <v>24334</v>
      </c>
      <c r="H761" s="245">
        <f t="shared" si="319"/>
        <v>1</v>
      </c>
      <c r="I761" s="121">
        <f t="shared" si="320"/>
        <v>1.04</v>
      </c>
      <c r="J761" s="121">
        <f t="shared" si="321"/>
        <v>1.04</v>
      </c>
      <c r="K761" s="120">
        <f t="shared" si="322"/>
        <v>0</v>
      </c>
      <c r="L761" s="120">
        <f t="shared" si="323"/>
        <v>0</v>
      </c>
      <c r="M761" s="246">
        <f t="shared" si="324"/>
        <v>0</v>
      </c>
      <c r="N761" s="121">
        <f t="shared" si="325"/>
        <v>1.04</v>
      </c>
      <c r="O761" s="246">
        <f t="shared" si="326"/>
        <v>0.98550328227571116</v>
      </c>
      <c r="P761" s="121">
        <f t="shared" si="327"/>
        <v>0</v>
      </c>
      <c r="Q761" s="121">
        <f t="shared" si="328"/>
        <v>0.125</v>
      </c>
      <c r="R761" s="121">
        <f t="shared" si="329"/>
        <v>0.875</v>
      </c>
      <c r="S761" s="121" t="str">
        <f t="shared" si="330"/>
        <v/>
      </c>
      <c r="T761" s="121" t="str">
        <f t="shared" si="331"/>
        <v/>
      </c>
      <c r="U761" s="121">
        <f t="shared" si="332"/>
        <v>1.04</v>
      </c>
    </row>
    <row r="762" spans="1:21" x14ac:dyDescent="0.3">
      <c r="A762" s="187">
        <v>36</v>
      </c>
      <c r="B762" s="242">
        <f t="shared" si="333"/>
        <v>46722</v>
      </c>
      <c r="C762" s="243">
        <f t="shared" si="314"/>
        <v>46752</v>
      </c>
      <c r="D762" s="120">
        <f t="shared" si="315"/>
        <v>31</v>
      </c>
      <c r="E762" s="120">
        <f t="shared" si="316"/>
        <v>12</v>
      </c>
      <c r="F762" s="275">
        <f t="shared" si="317"/>
        <v>46737.5</v>
      </c>
      <c r="G762" s="120">
        <f t="shared" si="318"/>
        <v>24335</v>
      </c>
      <c r="H762" s="245">
        <f t="shared" si="319"/>
        <v>1</v>
      </c>
      <c r="I762" s="121">
        <f t="shared" si="320"/>
        <v>1.04</v>
      </c>
      <c r="J762" s="121">
        <f t="shared" si="321"/>
        <v>1.04</v>
      </c>
      <c r="K762" s="120">
        <f t="shared" si="322"/>
        <v>0</v>
      </c>
      <c r="L762" s="120">
        <f t="shared" si="323"/>
        <v>0</v>
      </c>
      <c r="M762" s="246">
        <f t="shared" si="324"/>
        <v>0</v>
      </c>
      <c r="N762" s="121">
        <f t="shared" si="325"/>
        <v>1.04</v>
      </c>
      <c r="O762" s="246">
        <f t="shared" si="326"/>
        <v>0.98516958424507661</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87">
        <v>37</v>
      </c>
      <c r="B763" s="242">
        <f t="shared" si="333"/>
        <v>46753</v>
      </c>
      <c r="C763" s="243">
        <f t="shared" si="314"/>
        <v>46783</v>
      </c>
      <c r="D763" s="120">
        <f t="shared" si="315"/>
        <v>31</v>
      </c>
      <c r="E763" s="120">
        <f t="shared" si="316"/>
        <v>1</v>
      </c>
      <c r="F763" s="275">
        <f t="shared" si="317"/>
        <v>46768.5</v>
      </c>
      <c r="G763" s="120">
        <f t="shared" si="318"/>
        <v>24336</v>
      </c>
      <c r="H763" s="245">
        <f t="shared" si="319"/>
        <v>1</v>
      </c>
      <c r="I763" s="121">
        <f t="shared" si="320"/>
        <v>1.04</v>
      </c>
      <c r="J763" s="121">
        <f t="shared" si="321"/>
        <v>1.04</v>
      </c>
      <c r="K763" s="120">
        <f t="shared" si="322"/>
        <v>0</v>
      </c>
      <c r="L763" s="120">
        <f t="shared" si="323"/>
        <v>0</v>
      </c>
      <c r="M763" s="246">
        <f t="shared" si="324"/>
        <v>0</v>
      </c>
      <c r="N763" s="121">
        <f t="shared" si="325"/>
        <v>1.04</v>
      </c>
      <c r="O763" s="246">
        <f t="shared" si="326"/>
        <v>0.98499999999999999</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87">
        <v>38</v>
      </c>
      <c r="B764" s="242">
        <f t="shared" si="333"/>
        <v>46784</v>
      </c>
      <c r="C764" s="243">
        <f t="shared" si="314"/>
        <v>46812</v>
      </c>
      <c r="D764" s="120">
        <f t="shared" si="315"/>
        <v>29</v>
      </c>
      <c r="E764" s="120">
        <f t="shared" si="316"/>
        <v>2</v>
      </c>
      <c r="F764" s="275">
        <f t="shared" si="317"/>
        <v>46798.5</v>
      </c>
      <c r="G764" s="120">
        <f t="shared" si="318"/>
        <v>24337</v>
      </c>
      <c r="H764" s="245">
        <f t="shared" si="319"/>
        <v>1</v>
      </c>
      <c r="I764" s="121">
        <f t="shared" si="320"/>
        <v>1.04</v>
      </c>
      <c r="J764" s="121">
        <f t="shared" si="321"/>
        <v>1.04</v>
      </c>
      <c r="K764" s="120">
        <f t="shared" si="322"/>
        <v>0</v>
      </c>
      <c r="L764" s="120">
        <f t="shared" si="323"/>
        <v>0</v>
      </c>
      <c r="M764" s="246">
        <f t="shared" si="324"/>
        <v>0</v>
      </c>
      <c r="N764" s="121">
        <f t="shared" si="325"/>
        <v>1.04</v>
      </c>
      <c r="O764" s="246">
        <f t="shared" si="326"/>
        <v>0.98499999999999999</v>
      </c>
      <c r="P764" s="121">
        <f t="shared" si="327"/>
        <v>0</v>
      </c>
      <c r="Q764" s="121">
        <f t="shared" si="328"/>
        <v>0</v>
      </c>
      <c r="R764" s="121">
        <f t="shared" si="329"/>
        <v>0.875</v>
      </c>
      <c r="S764" s="121" t="str">
        <f t="shared" si="330"/>
        <v/>
      </c>
      <c r="T764" s="121" t="str">
        <f t="shared" si="331"/>
        <v/>
      </c>
      <c r="U764" s="121">
        <f t="shared" si="332"/>
        <v>1.04</v>
      </c>
    </row>
    <row r="765" spans="1:21" x14ac:dyDescent="0.3">
      <c r="A765" s="187">
        <v>39</v>
      </c>
      <c r="B765" s="242">
        <f t="shared" si="333"/>
        <v>46813</v>
      </c>
      <c r="C765" s="243">
        <f t="shared" si="314"/>
        <v>46843</v>
      </c>
      <c r="D765" s="120">
        <f t="shared" si="315"/>
        <v>31</v>
      </c>
      <c r="E765" s="120">
        <f t="shared" si="316"/>
        <v>3</v>
      </c>
      <c r="F765" s="275">
        <f t="shared" si="317"/>
        <v>46828.5</v>
      </c>
      <c r="G765" s="120">
        <f t="shared" si="318"/>
        <v>24338</v>
      </c>
      <c r="H765" s="245">
        <f t="shared" si="319"/>
        <v>1</v>
      </c>
      <c r="I765" s="121">
        <f t="shared" si="320"/>
        <v>1.04</v>
      </c>
      <c r="J765" s="121">
        <f t="shared" si="321"/>
        <v>1.04</v>
      </c>
      <c r="K765" s="120">
        <f t="shared" si="322"/>
        <v>0</v>
      </c>
      <c r="L765" s="120">
        <f t="shared" si="323"/>
        <v>0</v>
      </c>
      <c r="M765" s="246">
        <f t="shared" si="324"/>
        <v>0</v>
      </c>
      <c r="N765" s="121">
        <f t="shared" si="325"/>
        <v>1.04</v>
      </c>
      <c r="O765" s="246">
        <f t="shared" si="326"/>
        <v>0.98499999999999999</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87">
        <v>40</v>
      </c>
      <c r="B766" s="242">
        <f t="shared" si="333"/>
        <v>46844</v>
      </c>
      <c r="C766" s="243">
        <f t="shared" si="314"/>
        <v>46873</v>
      </c>
      <c r="D766" s="120">
        <f t="shared" si="315"/>
        <v>30</v>
      </c>
      <c r="E766" s="120">
        <f t="shared" si="316"/>
        <v>4</v>
      </c>
      <c r="F766" s="275">
        <f t="shared" si="317"/>
        <v>46859</v>
      </c>
      <c r="G766" s="120">
        <f t="shared" si="318"/>
        <v>24339</v>
      </c>
      <c r="H766" s="245">
        <f t="shared" si="319"/>
        <v>1</v>
      </c>
      <c r="I766" s="121">
        <f t="shared" si="320"/>
        <v>1.04</v>
      </c>
      <c r="J766" s="121">
        <f t="shared" si="321"/>
        <v>1.04</v>
      </c>
      <c r="K766" s="120">
        <f t="shared" si="322"/>
        <v>0</v>
      </c>
      <c r="L766" s="120">
        <f t="shared" si="323"/>
        <v>0</v>
      </c>
      <c r="M766" s="246">
        <f t="shared" si="324"/>
        <v>0</v>
      </c>
      <c r="N766" s="121">
        <f t="shared" si="325"/>
        <v>1.04</v>
      </c>
      <c r="O766" s="246">
        <f t="shared" si="326"/>
        <v>0.98499999999999999</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87">
        <v>41</v>
      </c>
      <c r="B767" s="242">
        <f t="shared" si="333"/>
        <v>46874</v>
      </c>
      <c r="C767" s="243">
        <f t="shared" si="314"/>
        <v>46904</v>
      </c>
      <c r="D767" s="120">
        <f t="shared" si="315"/>
        <v>31</v>
      </c>
      <c r="E767" s="120">
        <f t="shared" si="316"/>
        <v>5</v>
      </c>
      <c r="F767" s="275">
        <f t="shared" si="317"/>
        <v>46889.5</v>
      </c>
      <c r="G767" s="120">
        <f t="shared" si="318"/>
        <v>24340</v>
      </c>
      <c r="H767" s="245">
        <f t="shared" si="319"/>
        <v>1</v>
      </c>
      <c r="I767" s="121">
        <f t="shared" si="320"/>
        <v>1.04</v>
      </c>
      <c r="J767" s="121">
        <f t="shared" si="321"/>
        <v>1.04</v>
      </c>
      <c r="K767" s="120">
        <f t="shared" si="322"/>
        <v>0</v>
      </c>
      <c r="L767" s="120">
        <f t="shared" si="323"/>
        <v>0</v>
      </c>
      <c r="M767" s="246">
        <f t="shared" si="324"/>
        <v>0</v>
      </c>
      <c r="N767" s="121">
        <f t="shared" si="325"/>
        <v>1.04</v>
      </c>
      <c r="O767" s="246">
        <f t="shared" si="326"/>
        <v>0.98499999999999999</v>
      </c>
      <c r="P767" s="121">
        <f t="shared" si="327"/>
        <v>0</v>
      </c>
      <c r="Q767" s="121">
        <f t="shared" si="328"/>
        <v>0</v>
      </c>
      <c r="R767" s="121">
        <f t="shared" si="329"/>
        <v>0.625</v>
      </c>
      <c r="S767" s="121" t="str">
        <f t="shared" si="330"/>
        <v/>
      </c>
      <c r="T767" s="121" t="str">
        <f t="shared" si="331"/>
        <v/>
      </c>
      <c r="U767" s="121">
        <f t="shared" si="332"/>
        <v>1.04</v>
      </c>
    </row>
    <row r="768" spans="1:21" x14ac:dyDescent="0.3">
      <c r="A768" s="187">
        <v>42</v>
      </c>
      <c r="B768" s="242">
        <f t="shared" si="333"/>
        <v>46905</v>
      </c>
      <c r="C768" s="243">
        <f t="shared" si="314"/>
        <v>46934</v>
      </c>
      <c r="D768" s="120">
        <f t="shared" si="315"/>
        <v>30</v>
      </c>
      <c r="E768" s="120">
        <f t="shared" si="316"/>
        <v>6</v>
      </c>
      <c r="F768" s="275">
        <f t="shared" si="317"/>
        <v>46920</v>
      </c>
      <c r="G768" s="120">
        <f t="shared" si="318"/>
        <v>24341</v>
      </c>
      <c r="H768" s="245">
        <f t="shared" si="319"/>
        <v>1</v>
      </c>
      <c r="I768" s="121">
        <f t="shared" si="320"/>
        <v>1.04</v>
      </c>
      <c r="J768" s="121">
        <f t="shared" si="321"/>
        <v>1.04</v>
      </c>
      <c r="K768" s="120">
        <f t="shared" si="322"/>
        <v>0</v>
      </c>
      <c r="L768" s="120">
        <f t="shared" si="323"/>
        <v>0</v>
      </c>
      <c r="M768" s="246">
        <f t="shared" si="324"/>
        <v>0</v>
      </c>
      <c r="N768" s="121">
        <f t="shared" si="325"/>
        <v>1.04</v>
      </c>
      <c r="O768" s="246">
        <f t="shared" si="326"/>
        <v>0.98499999999999999</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87">
        <v>43</v>
      </c>
      <c r="B769" s="242">
        <f t="shared" si="333"/>
        <v>46935</v>
      </c>
      <c r="C769" s="243">
        <f t="shared" si="314"/>
        <v>46965</v>
      </c>
      <c r="D769" s="120">
        <f t="shared" si="315"/>
        <v>31</v>
      </c>
      <c r="E769" s="120">
        <f t="shared" si="316"/>
        <v>7</v>
      </c>
      <c r="F769" s="275">
        <f t="shared" si="317"/>
        <v>46950.5</v>
      </c>
      <c r="G769" s="120">
        <f t="shared" si="318"/>
        <v>24342</v>
      </c>
      <c r="H769" s="245">
        <f t="shared" si="319"/>
        <v>1</v>
      </c>
      <c r="I769" s="121">
        <f t="shared" si="320"/>
        <v>1.04</v>
      </c>
      <c r="J769" s="121">
        <f t="shared" si="321"/>
        <v>1.04</v>
      </c>
      <c r="K769" s="120">
        <f t="shared" si="322"/>
        <v>0</v>
      </c>
      <c r="L769" s="120">
        <f t="shared" si="323"/>
        <v>0</v>
      </c>
      <c r="M769" s="246">
        <f t="shared" si="324"/>
        <v>0</v>
      </c>
      <c r="N769" s="121">
        <f t="shared" si="325"/>
        <v>1.04</v>
      </c>
      <c r="O769" s="246">
        <f t="shared" si="326"/>
        <v>0.98499999999999999</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87">
        <v>44</v>
      </c>
      <c r="B770" s="242">
        <f t="shared" si="333"/>
        <v>46966</v>
      </c>
      <c r="C770" s="243">
        <f t="shared" si="314"/>
        <v>46996</v>
      </c>
      <c r="D770" s="120">
        <f t="shared" si="315"/>
        <v>31</v>
      </c>
      <c r="E770" s="120">
        <f t="shared" si="316"/>
        <v>8</v>
      </c>
      <c r="F770" s="275">
        <f t="shared" si="317"/>
        <v>46981.5</v>
      </c>
      <c r="G770" s="120">
        <f t="shared" si="318"/>
        <v>24343</v>
      </c>
      <c r="H770" s="245">
        <f t="shared" si="319"/>
        <v>1</v>
      </c>
      <c r="I770" s="121">
        <f t="shared" si="320"/>
        <v>1.04</v>
      </c>
      <c r="J770" s="121">
        <f t="shared" si="321"/>
        <v>1.04</v>
      </c>
      <c r="K770" s="120">
        <f t="shared" si="322"/>
        <v>0</v>
      </c>
      <c r="L770" s="120">
        <f t="shared" si="323"/>
        <v>0</v>
      </c>
      <c r="M770" s="246">
        <f t="shared" si="324"/>
        <v>0</v>
      </c>
      <c r="N770" s="121">
        <f t="shared" si="325"/>
        <v>1.04</v>
      </c>
      <c r="O770" s="246">
        <f t="shared" si="326"/>
        <v>0.98499999999999999</v>
      </c>
      <c r="P770" s="121">
        <f t="shared" si="327"/>
        <v>0</v>
      </c>
      <c r="Q770" s="121">
        <f t="shared" si="328"/>
        <v>0</v>
      </c>
      <c r="R770" s="121">
        <f t="shared" si="329"/>
        <v>0.375</v>
      </c>
      <c r="S770" s="121" t="str">
        <f t="shared" si="330"/>
        <v/>
      </c>
      <c r="T770" s="121" t="str">
        <f t="shared" si="331"/>
        <v/>
      </c>
      <c r="U770" s="121">
        <f t="shared" si="332"/>
        <v>1.04</v>
      </c>
    </row>
    <row r="771" spans="1:21" x14ac:dyDescent="0.3">
      <c r="A771" s="187">
        <v>45</v>
      </c>
      <c r="B771" s="242">
        <f t="shared" si="333"/>
        <v>46997</v>
      </c>
      <c r="C771" s="243">
        <f t="shared" si="314"/>
        <v>47026</v>
      </c>
      <c r="D771" s="120">
        <f t="shared" si="315"/>
        <v>30</v>
      </c>
      <c r="E771" s="120">
        <f t="shared" si="316"/>
        <v>9</v>
      </c>
      <c r="F771" s="275">
        <f t="shared" si="317"/>
        <v>47012</v>
      </c>
      <c r="G771" s="120">
        <f t="shared" si="318"/>
        <v>24344</v>
      </c>
      <c r="H771" s="245">
        <f t="shared" si="319"/>
        <v>1</v>
      </c>
      <c r="I771" s="121">
        <f t="shared" si="320"/>
        <v>1.04</v>
      </c>
      <c r="J771" s="121">
        <f t="shared" si="321"/>
        <v>1.04</v>
      </c>
      <c r="K771" s="120">
        <f t="shared" si="322"/>
        <v>0</v>
      </c>
      <c r="L771" s="120">
        <f t="shared" si="323"/>
        <v>0</v>
      </c>
      <c r="M771" s="246">
        <f t="shared" si="324"/>
        <v>0</v>
      </c>
      <c r="N771" s="121">
        <f t="shared" si="325"/>
        <v>1.04</v>
      </c>
      <c r="O771" s="246">
        <f t="shared" si="326"/>
        <v>0.98499999999999999</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87">
        <v>46</v>
      </c>
      <c r="B772" s="242">
        <f t="shared" si="333"/>
        <v>47027</v>
      </c>
      <c r="C772" s="243">
        <f t="shared" si="314"/>
        <v>47057</v>
      </c>
      <c r="D772" s="120">
        <f t="shared" si="315"/>
        <v>31</v>
      </c>
      <c r="E772" s="120">
        <f t="shared" si="316"/>
        <v>10</v>
      </c>
      <c r="F772" s="275">
        <f t="shared" si="317"/>
        <v>47042.5</v>
      </c>
      <c r="G772" s="120">
        <f t="shared" si="318"/>
        <v>24345</v>
      </c>
      <c r="H772" s="245">
        <f t="shared" si="319"/>
        <v>1</v>
      </c>
      <c r="I772" s="121">
        <f t="shared" si="320"/>
        <v>1.04</v>
      </c>
      <c r="J772" s="121">
        <f t="shared" si="321"/>
        <v>1.04</v>
      </c>
      <c r="K772" s="120">
        <f t="shared" si="322"/>
        <v>0</v>
      </c>
      <c r="L772" s="120">
        <f t="shared" si="323"/>
        <v>0</v>
      </c>
      <c r="M772" s="246">
        <f t="shared" si="324"/>
        <v>0</v>
      </c>
      <c r="N772" s="121">
        <f t="shared" si="325"/>
        <v>1.04</v>
      </c>
      <c r="O772" s="246">
        <f t="shared" si="326"/>
        <v>0.98499999999999999</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87">
        <v>47</v>
      </c>
      <c r="B773" s="242">
        <f t="shared" si="333"/>
        <v>47058</v>
      </c>
      <c r="C773" s="243">
        <f t="shared" si="314"/>
        <v>47087</v>
      </c>
      <c r="D773" s="120">
        <f t="shared" si="315"/>
        <v>30</v>
      </c>
      <c r="E773" s="120">
        <f t="shared" si="316"/>
        <v>11</v>
      </c>
      <c r="F773" s="275">
        <f t="shared" si="317"/>
        <v>47073</v>
      </c>
      <c r="G773" s="120">
        <f t="shared" si="318"/>
        <v>24346</v>
      </c>
      <c r="H773" s="245">
        <f t="shared" si="319"/>
        <v>1</v>
      </c>
      <c r="I773" s="121">
        <f t="shared" si="320"/>
        <v>1.04</v>
      </c>
      <c r="J773" s="121">
        <f t="shared" si="321"/>
        <v>1.04</v>
      </c>
      <c r="K773" s="120">
        <f t="shared" si="322"/>
        <v>0</v>
      </c>
      <c r="L773" s="120">
        <f t="shared" si="323"/>
        <v>0</v>
      </c>
      <c r="M773" s="246">
        <f t="shared" si="324"/>
        <v>0</v>
      </c>
      <c r="N773" s="121">
        <f t="shared" si="325"/>
        <v>1.04</v>
      </c>
      <c r="O773" s="246">
        <f t="shared" si="326"/>
        <v>0.98499999999999999</v>
      </c>
      <c r="P773" s="121">
        <f t="shared" si="327"/>
        <v>0</v>
      </c>
      <c r="Q773" s="121">
        <f t="shared" si="328"/>
        <v>0</v>
      </c>
      <c r="R773" s="121">
        <f t="shared" si="329"/>
        <v>0.125</v>
      </c>
      <c r="S773" s="121" t="str">
        <f t="shared" si="330"/>
        <v/>
      </c>
      <c r="T773" s="121" t="str">
        <f t="shared" si="331"/>
        <v/>
      </c>
      <c r="U773" s="121">
        <f t="shared" si="332"/>
        <v>1.04</v>
      </c>
    </row>
    <row r="774" spans="1:21" x14ac:dyDescent="0.3">
      <c r="A774" s="187">
        <v>48</v>
      </c>
      <c r="B774" s="242">
        <f t="shared" si="333"/>
        <v>47088</v>
      </c>
      <c r="C774" s="243">
        <f t="shared" si="314"/>
        <v>47118</v>
      </c>
      <c r="D774" s="120">
        <f t="shared" si="315"/>
        <v>31</v>
      </c>
      <c r="E774" s="120">
        <f t="shared" si="316"/>
        <v>12</v>
      </c>
      <c r="F774" s="275">
        <f t="shared" si="317"/>
        <v>47103.5</v>
      </c>
      <c r="G774" s="120">
        <f t="shared" si="318"/>
        <v>24347</v>
      </c>
      <c r="H774" s="245">
        <f t="shared" si="319"/>
        <v>1</v>
      </c>
      <c r="I774" s="121">
        <f t="shared" si="320"/>
        <v>1.04</v>
      </c>
      <c r="J774" s="121">
        <f t="shared" si="321"/>
        <v>1.04</v>
      </c>
      <c r="K774" s="120">
        <f t="shared" si="322"/>
        <v>0</v>
      </c>
      <c r="L774" s="120">
        <f t="shared" si="323"/>
        <v>0</v>
      </c>
      <c r="M774" s="246">
        <f t="shared" si="324"/>
        <v>0</v>
      </c>
      <c r="N774" s="121">
        <f t="shared" si="325"/>
        <v>1.04</v>
      </c>
      <c r="O774" s="246">
        <f t="shared" si="326"/>
        <v>0.98499999999999999</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1651</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24">
        <f>SUMPRODUCT($H$727:$H$774,$Q$727:$Q$774,$O$727:$O$774)/SUMPRODUCT($H$727:$H$774,$Q$727:$Q$774)</f>
        <v>0.98900209700948194</v>
      </c>
      <c r="G775" s="224">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row>
    <row r="778" spans="1:21" x14ac:dyDescent="0.3">
      <c r="A778" s="6" t="str">
        <f>INDEX(lr_key,14)</f>
        <v>ABD|NC</v>
      </c>
      <c r="B778" s="6" t="str">
        <f>INDEX(lr_state,14)</f>
        <v>NC</v>
      </c>
      <c r="C778" s="75">
        <f>nr_TermMonths</f>
        <v>12</v>
      </c>
      <c r="D778" s="75">
        <f>IF(COUNTIF(se_state,$B778)=0,0,MATCH($B778,se_state,0))</f>
        <v>0</v>
      </c>
      <c r="E778" s="70">
        <f>IF($D778=0,0,INDEX(se_sum,$D778))</f>
        <v>0</v>
      </c>
      <c r="F778" s="224">
        <f>IF(N(INDEX(lr_mind,14))=0,1,INDEX(lr_mind,14))</f>
        <v>1</v>
      </c>
      <c r="G778" s="224">
        <f>IF(N(INDEX(lr_m0,14))=0,1,INDEX(lr_m0,14))</f>
        <v>0.99</v>
      </c>
      <c r="H778" s="74">
        <f>IF(N(INDEX(lr_m0asof,14))=0,DATE(nr_PlanYear-1,10,1),INDEX(lr_m0asof,14))</f>
        <v>46295</v>
      </c>
      <c r="I778" s="224">
        <f>IF(N(INDEX(lr_m1,14))=0,1,INDEX(lr_m1,14))</f>
        <v>1</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34">EOMONTH($B781,0)</f>
        <v>45688</v>
      </c>
      <c r="D781" s="120">
        <f t="shared" ref="D781:D828" si="335">$C781-$B781+1</f>
        <v>31</v>
      </c>
      <c r="E781" s="120">
        <f t="shared" ref="E781:E828" si="336">MONTH($B781)</f>
        <v>1</v>
      </c>
      <c r="F781" s="275">
        <f t="shared" ref="F781:F828" si="337">($B781+$C781+1)/2</f>
        <v>45673.5</v>
      </c>
      <c r="G781" s="120">
        <f t="shared" ref="G781:G828" si="338">YEAR($B781)*12+MONTH($B781)-1</f>
        <v>24300</v>
      </c>
      <c r="H781" s="245">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46">
        <f t="shared" ref="M781:M828" si="344">IF($K781=0,0,MIN(1,$L781/$D781))</f>
        <v>0</v>
      </c>
      <c r="N781" s="121">
        <f t="shared" ref="N781:N828" si="345">IF($K781=0,$J781,(1-$M781)*$I781+$M781*$J781)</f>
        <v>1</v>
      </c>
      <c r="O781" s="246">
        <f t="shared" ref="O781:O828" si="346">IF($F781&lt;$B$779,$E$779+$I$779*($F781-$A$779),IF($F781&lt;$C$779,$F$779+$J$779*($F781-$B$779),$G$779+$K$779*($F781-$C$779)))</f>
        <v>0.97637855579868715</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87">
        <v>2</v>
      </c>
      <c r="B782" s="242">
        <f t="shared" ref="B782:B828" si="353">EDATE($B781,1)</f>
        <v>45689</v>
      </c>
      <c r="C782" s="243">
        <f t="shared" si="334"/>
        <v>45716</v>
      </c>
      <c r="D782" s="120">
        <f t="shared" si="335"/>
        <v>28</v>
      </c>
      <c r="E782" s="120">
        <f t="shared" si="336"/>
        <v>2</v>
      </c>
      <c r="F782" s="275">
        <f t="shared" si="337"/>
        <v>45703</v>
      </c>
      <c r="G782" s="120">
        <f t="shared" si="338"/>
        <v>24301</v>
      </c>
      <c r="H782" s="245">
        <f t="shared" si="339"/>
        <v>1</v>
      </c>
      <c r="I782" s="121">
        <f t="shared" si="340"/>
        <v>1</v>
      </c>
      <c r="J782" s="121">
        <f t="shared" si="341"/>
        <v>1</v>
      </c>
      <c r="K782" s="120">
        <f t="shared" si="342"/>
        <v>0</v>
      </c>
      <c r="L782" s="120">
        <f t="shared" si="343"/>
        <v>0</v>
      </c>
      <c r="M782" s="246">
        <f t="shared" si="344"/>
        <v>0</v>
      </c>
      <c r="N782" s="121">
        <f t="shared" si="345"/>
        <v>1</v>
      </c>
      <c r="O782" s="246">
        <f t="shared" si="346"/>
        <v>0.97702407002188185</v>
      </c>
      <c r="P782" s="121">
        <f t="shared" si="347"/>
        <v>0.125</v>
      </c>
      <c r="Q782" s="121">
        <f t="shared" si="348"/>
        <v>0</v>
      </c>
      <c r="R782" s="121">
        <f t="shared" si="349"/>
        <v>0</v>
      </c>
      <c r="S782" s="121" t="str">
        <f t="shared" si="350"/>
        <v/>
      </c>
      <c r="T782" s="121" t="str">
        <f t="shared" si="351"/>
        <v/>
      </c>
      <c r="U782" s="121">
        <f t="shared" si="352"/>
        <v>1</v>
      </c>
    </row>
    <row r="783" spans="1:21" x14ac:dyDescent="0.3">
      <c r="A783" s="187">
        <v>3</v>
      </c>
      <c r="B783" s="242">
        <f t="shared" si="353"/>
        <v>45717</v>
      </c>
      <c r="C783" s="243">
        <f t="shared" si="334"/>
        <v>45747</v>
      </c>
      <c r="D783" s="120">
        <f t="shared" si="335"/>
        <v>31</v>
      </c>
      <c r="E783" s="120">
        <f t="shared" si="336"/>
        <v>3</v>
      </c>
      <c r="F783" s="275">
        <f t="shared" si="337"/>
        <v>45732.5</v>
      </c>
      <c r="G783" s="120">
        <f t="shared" si="338"/>
        <v>24302</v>
      </c>
      <c r="H783" s="245">
        <f t="shared" si="339"/>
        <v>1</v>
      </c>
      <c r="I783" s="121">
        <f t="shared" si="340"/>
        <v>1</v>
      </c>
      <c r="J783" s="121">
        <f t="shared" si="341"/>
        <v>1</v>
      </c>
      <c r="K783" s="120">
        <f t="shared" si="342"/>
        <v>0</v>
      </c>
      <c r="L783" s="120">
        <f t="shared" si="343"/>
        <v>0</v>
      </c>
      <c r="M783" s="246">
        <f t="shared" si="344"/>
        <v>0</v>
      </c>
      <c r="N783" s="121">
        <f t="shared" si="345"/>
        <v>1</v>
      </c>
      <c r="O783" s="246">
        <f t="shared" si="346"/>
        <v>0.97766958424507666</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87">
        <v>4</v>
      </c>
      <c r="B784" s="242">
        <f t="shared" si="353"/>
        <v>45748</v>
      </c>
      <c r="C784" s="243">
        <f t="shared" si="334"/>
        <v>45777</v>
      </c>
      <c r="D784" s="120">
        <f t="shared" si="335"/>
        <v>30</v>
      </c>
      <c r="E784" s="120">
        <f t="shared" si="336"/>
        <v>4</v>
      </c>
      <c r="F784" s="275">
        <f t="shared" si="337"/>
        <v>45763</v>
      </c>
      <c r="G784" s="120">
        <f t="shared" si="338"/>
        <v>24303</v>
      </c>
      <c r="H784" s="245">
        <f t="shared" si="339"/>
        <v>1</v>
      </c>
      <c r="I784" s="121">
        <f t="shared" si="340"/>
        <v>1</v>
      </c>
      <c r="J784" s="121">
        <f t="shared" si="341"/>
        <v>1</v>
      </c>
      <c r="K784" s="120">
        <f t="shared" si="342"/>
        <v>0</v>
      </c>
      <c r="L784" s="120">
        <f t="shared" si="343"/>
        <v>0</v>
      </c>
      <c r="M784" s="246">
        <f t="shared" si="344"/>
        <v>0</v>
      </c>
      <c r="N784" s="121">
        <f t="shared" si="345"/>
        <v>1</v>
      </c>
      <c r="O784" s="246">
        <f t="shared" si="346"/>
        <v>0.97833698030634575</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87">
        <v>5</v>
      </c>
      <c r="B785" s="242">
        <f t="shared" si="353"/>
        <v>45778</v>
      </c>
      <c r="C785" s="243">
        <f t="shared" si="334"/>
        <v>45808</v>
      </c>
      <c r="D785" s="120">
        <f t="shared" si="335"/>
        <v>31</v>
      </c>
      <c r="E785" s="120">
        <f t="shared" si="336"/>
        <v>5</v>
      </c>
      <c r="F785" s="275">
        <f t="shared" si="337"/>
        <v>45793.5</v>
      </c>
      <c r="G785" s="120">
        <f t="shared" si="338"/>
        <v>24304</v>
      </c>
      <c r="H785" s="245">
        <f t="shared" si="339"/>
        <v>1</v>
      </c>
      <c r="I785" s="121">
        <f t="shared" si="340"/>
        <v>1</v>
      </c>
      <c r="J785" s="121">
        <f t="shared" si="341"/>
        <v>1</v>
      </c>
      <c r="K785" s="120">
        <f t="shared" si="342"/>
        <v>0</v>
      </c>
      <c r="L785" s="120">
        <f t="shared" si="343"/>
        <v>0</v>
      </c>
      <c r="M785" s="246">
        <f t="shared" si="344"/>
        <v>0</v>
      </c>
      <c r="N785" s="121">
        <f t="shared" si="345"/>
        <v>1</v>
      </c>
      <c r="O785" s="246">
        <f t="shared" si="346"/>
        <v>0.97900437636761495</v>
      </c>
      <c r="P785" s="121">
        <f t="shared" si="347"/>
        <v>0.375</v>
      </c>
      <c r="Q785" s="121">
        <f t="shared" si="348"/>
        <v>0</v>
      </c>
      <c r="R785" s="121">
        <f t="shared" si="349"/>
        <v>0</v>
      </c>
      <c r="S785" s="121" t="str">
        <f t="shared" si="350"/>
        <v/>
      </c>
      <c r="T785" s="121" t="str">
        <f t="shared" si="351"/>
        <v/>
      </c>
      <c r="U785" s="121">
        <f t="shared" si="352"/>
        <v>1</v>
      </c>
    </row>
    <row r="786" spans="1:21" x14ac:dyDescent="0.3">
      <c r="A786" s="187">
        <v>6</v>
      </c>
      <c r="B786" s="242">
        <f t="shared" si="353"/>
        <v>45809</v>
      </c>
      <c r="C786" s="243">
        <f t="shared" si="334"/>
        <v>45838</v>
      </c>
      <c r="D786" s="120">
        <f t="shared" si="335"/>
        <v>30</v>
      </c>
      <c r="E786" s="120">
        <f t="shared" si="336"/>
        <v>6</v>
      </c>
      <c r="F786" s="275">
        <f t="shared" si="337"/>
        <v>45824</v>
      </c>
      <c r="G786" s="120">
        <f t="shared" si="338"/>
        <v>24305</v>
      </c>
      <c r="H786" s="245">
        <f t="shared" si="339"/>
        <v>1</v>
      </c>
      <c r="I786" s="121">
        <f t="shared" si="340"/>
        <v>1</v>
      </c>
      <c r="J786" s="121">
        <f t="shared" si="341"/>
        <v>1</v>
      </c>
      <c r="K786" s="120">
        <f t="shared" si="342"/>
        <v>0</v>
      </c>
      <c r="L786" s="120">
        <f t="shared" si="343"/>
        <v>0</v>
      </c>
      <c r="M786" s="246">
        <f t="shared" si="344"/>
        <v>0</v>
      </c>
      <c r="N786" s="121">
        <f t="shared" si="345"/>
        <v>1</v>
      </c>
      <c r="O786" s="246">
        <f t="shared" si="346"/>
        <v>0.97967177242888404</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87">
        <v>7</v>
      </c>
      <c r="B787" s="242">
        <f t="shared" si="353"/>
        <v>45839</v>
      </c>
      <c r="C787" s="243">
        <f t="shared" si="334"/>
        <v>45869</v>
      </c>
      <c r="D787" s="120">
        <f t="shared" si="335"/>
        <v>31</v>
      </c>
      <c r="E787" s="120">
        <f t="shared" si="336"/>
        <v>7</v>
      </c>
      <c r="F787" s="275">
        <f t="shared" si="337"/>
        <v>45854.5</v>
      </c>
      <c r="G787" s="120">
        <f t="shared" si="338"/>
        <v>24306</v>
      </c>
      <c r="H787" s="245">
        <f t="shared" si="339"/>
        <v>1</v>
      </c>
      <c r="I787" s="121">
        <f t="shared" si="340"/>
        <v>1</v>
      </c>
      <c r="J787" s="121">
        <f t="shared" si="341"/>
        <v>1</v>
      </c>
      <c r="K787" s="120">
        <f t="shared" si="342"/>
        <v>0</v>
      </c>
      <c r="L787" s="120">
        <f t="shared" si="343"/>
        <v>0</v>
      </c>
      <c r="M787" s="246">
        <f t="shared" si="344"/>
        <v>0</v>
      </c>
      <c r="N787" s="121">
        <f t="shared" si="345"/>
        <v>1</v>
      </c>
      <c r="O787" s="246">
        <f t="shared" si="346"/>
        <v>0.98033916849015323</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87">
        <v>8</v>
      </c>
      <c r="B788" s="242">
        <f t="shared" si="353"/>
        <v>45870</v>
      </c>
      <c r="C788" s="243">
        <f t="shared" si="334"/>
        <v>45900</v>
      </c>
      <c r="D788" s="120">
        <f t="shared" si="335"/>
        <v>31</v>
      </c>
      <c r="E788" s="120">
        <f t="shared" si="336"/>
        <v>8</v>
      </c>
      <c r="F788" s="275">
        <f t="shared" si="337"/>
        <v>45885.5</v>
      </c>
      <c r="G788" s="120">
        <f t="shared" si="338"/>
        <v>24307</v>
      </c>
      <c r="H788" s="245">
        <f t="shared" si="339"/>
        <v>1</v>
      </c>
      <c r="I788" s="121">
        <f t="shared" si="340"/>
        <v>1</v>
      </c>
      <c r="J788" s="121">
        <f t="shared" si="341"/>
        <v>1</v>
      </c>
      <c r="K788" s="120">
        <f t="shared" si="342"/>
        <v>0</v>
      </c>
      <c r="L788" s="120">
        <f t="shared" si="343"/>
        <v>0</v>
      </c>
      <c r="M788" s="246">
        <f t="shared" si="344"/>
        <v>0</v>
      </c>
      <c r="N788" s="121">
        <f t="shared" si="345"/>
        <v>1</v>
      </c>
      <c r="O788" s="246">
        <f t="shared" si="346"/>
        <v>0.98101750547045952</v>
      </c>
      <c r="P788" s="121">
        <f t="shared" si="347"/>
        <v>0.625</v>
      </c>
      <c r="Q788" s="121">
        <f t="shared" si="348"/>
        <v>0</v>
      </c>
      <c r="R788" s="121">
        <f t="shared" si="349"/>
        <v>0</v>
      </c>
      <c r="S788" s="121" t="str">
        <f t="shared" si="350"/>
        <v/>
      </c>
      <c r="T788" s="121" t="str">
        <f t="shared" si="351"/>
        <v/>
      </c>
      <c r="U788" s="121">
        <f t="shared" si="352"/>
        <v>1</v>
      </c>
    </row>
    <row r="789" spans="1:21" x14ac:dyDescent="0.3">
      <c r="A789" s="187">
        <v>9</v>
      </c>
      <c r="B789" s="242">
        <f t="shared" si="353"/>
        <v>45901</v>
      </c>
      <c r="C789" s="243">
        <f t="shared" si="334"/>
        <v>45930</v>
      </c>
      <c r="D789" s="120">
        <f t="shared" si="335"/>
        <v>30</v>
      </c>
      <c r="E789" s="120">
        <f t="shared" si="336"/>
        <v>9</v>
      </c>
      <c r="F789" s="275">
        <f t="shared" si="337"/>
        <v>45916</v>
      </c>
      <c r="G789" s="120">
        <f t="shared" si="338"/>
        <v>24308</v>
      </c>
      <c r="H789" s="245">
        <f t="shared" si="339"/>
        <v>1</v>
      </c>
      <c r="I789" s="121">
        <f t="shared" si="340"/>
        <v>1</v>
      </c>
      <c r="J789" s="121">
        <f t="shared" si="341"/>
        <v>1</v>
      </c>
      <c r="K789" s="120">
        <f t="shared" si="342"/>
        <v>0</v>
      </c>
      <c r="L789" s="120">
        <f t="shared" si="343"/>
        <v>0</v>
      </c>
      <c r="M789" s="246">
        <f t="shared" si="344"/>
        <v>0</v>
      </c>
      <c r="N789" s="121">
        <f t="shared" si="345"/>
        <v>1</v>
      </c>
      <c r="O789" s="246">
        <f t="shared" si="346"/>
        <v>0.98168490153172872</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87">
        <v>10</v>
      </c>
      <c r="B790" s="242">
        <f t="shared" si="353"/>
        <v>45931</v>
      </c>
      <c r="C790" s="243">
        <f t="shared" si="334"/>
        <v>45961</v>
      </c>
      <c r="D790" s="120">
        <f t="shared" si="335"/>
        <v>31</v>
      </c>
      <c r="E790" s="120">
        <f t="shared" si="336"/>
        <v>10</v>
      </c>
      <c r="F790" s="275">
        <f t="shared" si="337"/>
        <v>45946.5</v>
      </c>
      <c r="G790" s="120">
        <f t="shared" si="338"/>
        <v>24309</v>
      </c>
      <c r="H790" s="245">
        <f t="shared" si="339"/>
        <v>1</v>
      </c>
      <c r="I790" s="121">
        <f t="shared" si="340"/>
        <v>1</v>
      </c>
      <c r="J790" s="121">
        <f t="shared" si="341"/>
        <v>1</v>
      </c>
      <c r="K790" s="120">
        <f t="shared" si="342"/>
        <v>0</v>
      </c>
      <c r="L790" s="120">
        <f t="shared" si="343"/>
        <v>0</v>
      </c>
      <c r="M790" s="246">
        <f t="shared" si="344"/>
        <v>0</v>
      </c>
      <c r="N790" s="121">
        <f t="shared" si="345"/>
        <v>1</v>
      </c>
      <c r="O790" s="246">
        <f t="shared" si="346"/>
        <v>0.9823522975929978</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87">
        <v>11</v>
      </c>
      <c r="B791" s="242">
        <f t="shared" si="353"/>
        <v>45962</v>
      </c>
      <c r="C791" s="243">
        <f t="shared" si="334"/>
        <v>45991</v>
      </c>
      <c r="D791" s="120">
        <f t="shared" si="335"/>
        <v>30</v>
      </c>
      <c r="E791" s="120">
        <f t="shared" si="336"/>
        <v>11</v>
      </c>
      <c r="F791" s="275">
        <f t="shared" si="337"/>
        <v>45977</v>
      </c>
      <c r="G791" s="120">
        <f t="shared" si="338"/>
        <v>24310</v>
      </c>
      <c r="H791" s="245">
        <f t="shared" si="339"/>
        <v>1</v>
      </c>
      <c r="I791" s="121">
        <f t="shared" si="340"/>
        <v>1</v>
      </c>
      <c r="J791" s="121">
        <f t="shared" si="341"/>
        <v>1</v>
      </c>
      <c r="K791" s="120">
        <f t="shared" si="342"/>
        <v>0</v>
      </c>
      <c r="L791" s="120">
        <f t="shared" si="343"/>
        <v>0</v>
      </c>
      <c r="M791" s="246">
        <f t="shared" si="344"/>
        <v>0</v>
      </c>
      <c r="N791" s="121">
        <f t="shared" si="345"/>
        <v>1</v>
      </c>
      <c r="O791" s="246">
        <f t="shared" si="346"/>
        <v>0.983019693654267</v>
      </c>
      <c r="P791" s="121">
        <f t="shared" si="347"/>
        <v>0.875</v>
      </c>
      <c r="Q791" s="121">
        <f t="shared" si="348"/>
        <v>0</v>
      </c>
      <c r="R791" s="121">
        <f t="shared" si="349"/>
        <v>0</v>
      </c>
      <c r="S791" s="121" t="str">
        <f t="shared" si="350"/>
        <v/>
      </c>
      <c r="T791" s="121" t="str">
        <f t="shared" si="351"/>
        <v/>
      </c>
      <c r="U791" s="121">
        <f t="shared" si="352"/>
        <v>1</v>
      </c>
    </row>
    <row r="792" spans="1:21" x14ac:dyDescent="0.3">
      <c r="A792" s="187">
        <v>12</v>
      </c>
      <c r="B792" s="242">
        <f t="shared" si="353"/>
        <v>45992</v>
      </c>
      <c r="C792" s="243">
        <f t="shared" si="334"/>
        <v>46022</v>
      </c>
      <c r="D792" s="120">
        <f t="shared" si="335"/>
        <v>31</v>
      </c>
      <c r="E792" s="120">
        <f t="shared" si="336"/>
        <v>12</v>
      </c>
      <c r="F792" s="275">
        <f t="shared" si="337"/>
        <v>46007.5</v>
      </c>
      <c r="G792" s="120">
        <f t="shared" si="338"/>
        <v>24311</v>
      </c>
      <c r="H792" s="245">
        <f t="shared" si="339"/>
        <v>1</v>
      </c>
      <c r="I792" s="121">
        <f t="shared" si="340"/>
        <v>1</v>
      </c>
      <c r="J792" s="121">
        <f t="shared" si="341"/>
        <v>1</v>
      </c>
      <c r="K792" s="120">
        <f t="shared" si="342"/>
        <v>0</v>
      </c>
      <c r="L792" s="120">
        <f t="shared" si="343"/>
        <v>0</v>
      </c>
      <c r="M792" s="246">
        <f t="shared" si="344"/>
        <v>0</v>
      </c>
      <c r="N792" s="121">
        <f t="shared" si="345"/>
        <v>1</v>
      </c>
      <c r="O792" s="246">
        <f t="shared" si="346"/>
        <v>0.98368708971553609</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87">
        <v>13</v>
      </c>
      <c r="B793" s="242">
        <f t="shared" si="353"/>
        <v>46023</v>
      </c>
      <c r="C793" s="243">
        <f t="shared" si="334"/>
        <v>46053</v>
      </c>
      <c r="D793" s="120">
        <f t="shared" si="335"/>
        <v>31</v>
      </c>
      <c r="E793" s="120">
        <f t="shared" si="336"/>
        <v>1</v>
      </c>
      <c r="F793" s="275">
        <f t="shared" si="337"/>
        <v>46038.5</v>
      </c>
      <c r="G793" s="120">
        <f t="shared" si="338"/>
        <v>24312</v>
      </c>
      <c r="H793" s="245">
        <f t="shared" si="339"/>
        <v>1</v>
      </c>
      <c r="I793" s="121">
        <f t="shared" si="340"/>
        <v>1</v>
      </c>
      <c r="J793" s="121">
        <f t="shared" si="341"/>
        <v>1</v>
      </c>
      <c r="K793" s="120">
        <f t="shared" si="342"/>
        <v>0</v>
      </c>
      <c r="L793" s="120">
        <f t="shared" si="343"/>
        <v>0</v>
      </c>
      <c r="M793" s="246">
        <f t="shared" si="344"/>
        <v>0</v>
      </c>
      <c r="N793" s="121">
        <f t="shared" si="345"/>
        <v>1</v>
      </c>
      <c r="O793" s="246">
        <f t="shared" si="346"/>
        <v>0.98436542669584248</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87">
        <v>14</v>
      </c>
      <c r="B794" s="242">
        <f t="shared" si="353"/>
        <v>46054</v>
      </c>
      <c r="C794" s="243">
        <f t="shared" si="334"/>
        <v>46081</v>
      </c>
      <c r="D794" s="120">
        <f t="shared" si="335"/>
        <v>28</v>
      </c>
      <c r="E794" s="120">
        <f t="shared" si="336"/>
        <v>2</v>
      </c>
      <c r="F794" s="275">
        <f t="shared" si="337"/>
        <v>46068</v>
      </c>
      <c r="G794" s="120">
        <f t="shared" si="338"/>
        <v>24313</v>
      </c>
      <c r="H794" s="245">
        <f t="shared" si="339"/>
        <v>1</v>
      </c>
      <c r="I794" s="121">
        <f t="shared" si="340"/>
        <v>1</v>
      </c>
      <c r="J794" s="121">
        <f t="shared" si="341"/>
        <v>1.05</v>
      </c>
      <c r="K794" s="120">
        <f t="shared" si="342"/>
        <v>1</v>
      </c>
      <c r="L794" s="120">
        <f t="shared" si="343"/>
        <v>28</v>
      </c>
      <c r="M794" s="246">
        <f t="shared" si="344"/>
        <v>1</v>
      </c>
      <c r="N794" s="121">
        <f t="shared" si="345"/>
        <v>1.05</v>
      </c>
      <c r="O794" s="246">
        <f t="shared" si="346"/>
        <v>0.98501094091903718</v>
      </c>
      <c r="P794" s="121">
        <f t="shared" si="347"/>
        <v>0.875</v>
      </c>
      <c r="Q794" s="121">
        <f t="shared" si="348"/>
        <v>0.125</v>
      </c>
      <c r="R794" s="121">
        <f t="shared" si="349"/>
        <v>0</v>
      </c>
      <c r="S794" s="121" t="str">
        <f t="shared" si="350"/>
        <v/>
      </c>
      <c r="T794" s="121" t="str">
        <f t="shared" si="351"/>
        <v/>
      </c>
      <c r="U794" s="121">
        <f t="shared" si="352"/>
        <v>1.05</v>
      </c>
    </row>
    <row r="795" spans="1:21" x14ac:dyDescent="0.3">
      <c r="A795" s="187">
        <v>15</v>
      </c>
      <c r="B795" s="242">
        <f t="shared" si="353"/>
        <v>46082</v>
      </c>
      <c r="C795" s="243">
        <f t="shared" si="334"/>
        <v>46112</v>
      </c>
      <c r="D795" s="120">
        <f t="shared" si="335"/>
        <v>31</v>
      </c>
      <c r="E795" s="120">
        <f t="shared" si="336"/>
        <v>3</v>
      </c>
      <c r="F795" s="275">
        <f t="shared" si="337"/>
        <v>46097.5</v>
      </c>
      <c r="G795" s="120">
        <f t="shared" si="338"/>
        <v>24314</v>
      </c>
      <c r="H795" s="245">
        <f t="shared" si="339"/>
        <v>1</v>
      </c>
      <c r="I795" s="121">
        <f t="shared" si="340"/>
        <v>1.05</v>
      </c>
      <c r="J795" s="121">
        <f t="shared" si="341"/>
        <v>1.05</v>
      </c>
      <c r="K795" s="120">
        <f t="shared" si="342"/>
        <v>0</v>
      </c>
      <c r="L795" s="120">
        <f t="shared" si="343"/>
        <v>0</v>
      </c>
      <c r="M795" s="246">
        <f t="shared" si="344"/>
        <v>0</v>
      </c>
      <c r="N795" s="121">
        <f t="shared" si="345"/>
        <v>1.05</v>
      </c>
      <c r="O795" s="246">
        <f t="shared" si="346"/>
        <v>0.98565645514223199</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87">
        <v>16</v>
      </c>
      <c r="B796" s="242">
        <f t="shared" si="353"/>
        <v>46113</v>
      </c>
      <c r="C796" s="243">
        <f t="shared" si="334"/>
        <v>46142</v>
      </c>
      <c r="D796" s="120">
        <f t="shared" si="335"/>
        <v>30</v>
      </c>
      <c r="E796" s="120">
        <f t="shared" si="336"/>
        <v>4</v>
      </c>
      <c r="F796" s="275">
        <f t="shared" si="337"/>
        <v>46128</v>
      </c>
      <c r="G796" s="120">
        <f t="shared" si="338"/>
        <v>24315</v>
      </c>
      <c r="H796" s="245">
        <f t="shared" si="339"/>
        <v>1</v>
      </c>
      <c r="I796" s="121">
        <f t="shared" si="340"/>
        <v>1.05</v>
      </c>
      <c r="J796" s="121">
        <f t="shared" si="341"/>
        <v>1.05</v>
      </c>
      <c r="K796" s="120">
        <f t="shared" si="342"/>
        <v>0</v>
      </c>
      <c r="L796" s="120">
        <f t="shared" si="343"/>
        <v>0</v>
      </c>
      <c r="M796" s="246">
        <f t="shared" si="344"/>
        <v>0</v>
      </c>
      <c r="N796" s="121">
        <f t="shared" si="345"/>
        <v>1.05</v>
      </c>
      <c r="O796" s="246">
        <f t="shared" si="346"/>
        <v>0.98632385120350108</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87">
        <v>17</v>
      </c>
      <c r="B797" s="242">
        <f t="shared" si="353"/>
        <v>46143</v>
      </c>
      <c r="C797" s="243">
        <f t="shared" si="334"/>
        <v>46173</v>
      </c>
      <c r="D797" s="120">
        <f t="shared" si="335"/>
        <v>31</v>
      </c>
      <c r="E797" s="120">
        <f t="shared" si="336"/>
        <v>5</v>
      </c>
      <c r="F797" s="275">
        <f t="shared" si="337"/>
        <v>46158.5</v>
      </c>
      <c r="G797" s="120">
        <f t="shared" si="338"/>
        <v>24316</v>
      </c>
      <c r="H797" s="245">
        <f t="shared" si="339"/>
        <v>1</v>
      </c>
      <c r="I797" s="121">
        <f t="shared" si="340"/>
        <v>1.05</v>
      </c>
      <c r="J797" s="121">
        <f t="shared" si="341"/>
        <v>1.05</v>
      </c>
      <c r="K797" s="120">
        <f t="shared" si="342"/>
        <v>0</v>
      </c>
      <c r="L797" s="120">
        <f t="shared" si="343"/>
        <v>0</v>
      </c>
      <c r="M797" s="246">
        <f t="shared" si="344"/>
        <v>0</v>
      </c>
      <c r="N797" s="121">
        <f t="shared" si="345"/>
        <v>1.05</v>
      </c>
      <c r="O797" s="246">
        <f t="shared" si="346"/>
        <v>0.98699124726477028</v>
      </c>
      <c r="P797" s="121">
        <f t="shared" si="347"/>
        <v>0.625</v>
      </c>
      <c r="Q797" s="121">
        <f t="shared" si="348"/>
        <v>0.375</v>
      </c>
      <c r="R797" s="121">
        <f t="shared" si="349"/>
        <v>0</v>
      </c>
      <c r="S797" s="121" t="str">
        <f t="shared" si="350"/>
        <v/>
      </c>
      <c r="T797" s="121" t="str">
        <f t="shared" si="351"/>
        <v/>
      </c>
      <c r="U797" s="121">
        <f t="shared" si="352"/>
        <v>1.05</v>
      </c>
    </row>
    <row r="798" spans="1:21" x14ac:dyDescent="0.3">
      <c r="A798" s="187">
        <v>18</v>
      </c>
      <c r="B798" s="242">
        <f t="shared" si="353"/>
        <v>46174</v>
      </c>
      <c r="C798" s="243">
        <f t="shared" si="334"/>
        <v>46203</v>
      </c>
      <c r="D798" s="120">
        <f t="shared" si="335"/>
        <v>30</v>
      </c>
      <c r="E798" s="120">
        <f t="shared" si="336"/>
        <v>6</v>
      </c>
      <c r="F798" s="275">
        <f t="shared" si="337"/>
        <v>46189</v>
      </c>
      <c r="G798" s="120">
        <f t="shared" si="338"/>
        <v>24317</v>
      </c>
      <c r="H798" s="245">
        <f t="shared" si="339"/>
        <v>1</v>
      </c>
      <c r="I798" s="121">
        <f t="shared" si="340"/>
        <v>1.05</v>
      </c>
      <c r="J798" s="121">
        <f t="shared" si="341"/>
        <v>1.05</v>
      </c>
      <c r="K798" s="120">
        <f t="shared" si="342"/>
        <v>0</v>
      </c>
      <c r="L798" s="120">
        <f t="shared" si="343"/>
        <v>0</v>
      </c>
      <c r="M798" s="246">
        <f t="shared" si="344"/>
        <v>0</v>
      </c>
      <c r="N798" s="121">
        <f t="shared" si="345"/>
        <v>1.05</v>
      </c>
      <c r="O798" s="246">
        <f t="shared" si="346"/>
        <v>0.98765864332603936</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87">
        <v>19</v>
      </c>
      <c r="B799" s="242">
        <f t="shared" si="353"/>
        <v>46204</v>
      </c>
      <c r="C799" s="243">
        <f t="shared" si="334"/>
        <v>46234</v>
      </c>
      <c r="D799" s="120">
        <f t="shared" si="335"/>
        <v>31</v>
      </c>
      <c r="E799" s="120">
        <f t="shared" si="336"/>
        <v>7</v>
      </c>
      <c r="F799" s="275">
        <f t="shared" si="337"/>
        <v>46219.5</v>
      </c>
      <c r="G799" s="120">
        <f t="shared" si="338"/>
        <v>24318</v>
      </c>
      <c r="H799" s="245">
        <f t="shared" si="339"/>
        <v>1</v>
      </c>
      <c r="I799" s="121">
        <f t="shared" si="340"/>
        <v>1.05</v>
      </c>
      <c r="J799" s="121">
        <f t="shared" si="341"/>
        <v>1.05</v>
      </c>
      <c r="K799" s="120">
        <f t="shared" si="342"/>
        <v>0</v>
      </c>
      <c r="L799" s="120">
        <f t="shared" si="343"/>
        <v>0</v>
      </c>
      <c r="M799" s="246">
        <f t="shared" si="344"/>
        <v>0</v>
      </c>
      <c r="N799" s="121">
        <f t="shared" si="345"/>
        <v>1.05</v>
      </c>
      <c r="O799" s="246">
        <f t="shared" si="346"/>
        <v>0.98832603938730856</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87">
        <v>20</v>
      </c>
      <c r="B800" s="242">
        <f t="shared" si="353"/>
        <v>46235</v>
      </c>
      <c r="C800" s="243">
        <f t="shared" si="334"/>
        <v>46265</v>
      </c>
      <c r="D800" s="120">
        <f t="shared" si="335"/>
        <v>31</v>
      </c>
      <c r="E800" s="120">
        <f t="shared" si="336"/>
        <v>8</v>
      </c>
      <c r="F800" s="275">
        <f t="shared" si="337"/>
        <v>46250.5</v>
      </c>
      <c r="G800" s="120">
        <f t="shared" si="338"/>
        <v>24319</v>
      </c>
      <c r="H800" s="245">
        <f t="shared" si="339"/>
        <v>1</v>
      </c>
      <c r="I800" s="121">
        <f t="shared" si="340"/>
        <v>1.05</v>
      </c>
      <c r="J800" s="121">
        <f t="shared" si="341"/>
        <v>1.05</v>
      </c>
      <c r="K800" s="120">
        <f t="shared" si="342"/>
        <v>0</v>
      </c>
      <c r="L800" s="120">
        <f t="shared" si="343"/>
        <v>0</v>
      </c>
      <c r="M800" s="246">
        <f t="shared" si="344"/>
        <v>0</v>
      </c>
      <c r="N800" s="121">
        <f t="shared" si="345"/>
        <v>1.05</v>
      </c>
      <c r="O800" s="246">
        <f t="shared" si="346"/>
        <v>0.98900437636761485</v>
      </c>
      <c r="P800" s="121">
        <f t="shared" si="347"/>
        <v>0.375</v>
      </c>
      <c r="Q800" s="121">
        <f t="shared" si="348"/>
        <v>0.625</v>
      </c>
      <c r="R800" s="121">
        <f t="shared" si="349"/>
        <v>0</v>
      </c>
      <c r="S800" s="121" t="str">
        <f t="shared" si="350"/>
        <v/>
      </c>
      <c r="T800" s="121" t="str">
        <f t="shared" si="351"/>
        <v/>
      </c>
      <c r="U800" s="121">
        <f t="shared" si="352"/>
        <v>1.05</v>
      </c>
    </row>
    <row r="801" spans="1:21" x14ac:dyDescent="0.3">
      <c r="A801" s="187">
        <v>21</v>
      </c>
      <c r="B801" s="242">
        <f t="shared" si="353"/>
        <v>46266</v>
      </c>
      <c r="C801" s="243">
        <f t="shared" si="334"/>
        <v>46295</v>
      </c>
      <c r="D801" s="120">
        <f t="shared" si="335"/>
        <v>30</v>
      </c>
      <c r="E801" s="120">
        <f t="shared" si="336"/>
        <v>9</v>
      </c>
      <c r="F801" s="275">
        <f t="shared" si="337"/>
        <v>46281</v>
      </c>
      <c r="G801" s="120">
        <f t="shared" si="338"/>
        <v>24320</v>
      </c>
      <c r="H801" s="245">
        <f t="shared" si="339"/>
        <v>1</v>
      </c>
      <c r="I801" s="121">
        <f t="shared" si="340"/>
        <v>1.05</v>
      </c>
      <c r="J801" s="121">
        <f t="shared" si="341"/>
        <v>1.05</v>
      </c>
      <c r="K801" s="120">
        <f t="shared" si="342"/>
        <v>0</v>
      </c>
      <c r="L801" s="120">
        <f t="shared" si="343"/>
        <v>0</v>
      </c>
      <c r="M801" s="246">
        <f t="shared" si="344"/>
        <v>0</v>
      </c>
      <c r="N801" s="121">
        <f t="shared" si="345"/>
        <v>1.05</v>
      </c>
      <c r="O801" s="246">
        <f t="shared" si="346"/>
        <v>0.98967177242888404</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87">
        <v>22</v>
      </c>
      <c r="B802" s="242">
        <f t="shared" si="353"/>
        <v>46296</v>
      </c>
      <c r="C802" s="243">
        <f t="shared" si="334"/>
        <v>46326</v>
      </c>
      <c r="D802" s="120">
        <f t="shared" si="335"/>
        <v>31</v>
      </c>
      <c r="E802" s="120">
        <f t="shared" si="336"/>
        <v>10</v>
      </c>
      <c r="F802" s="275">
        <f t="shared" si="337"/>
        <v>46311.5</v>
      </c>
      <c r="G802" s="120">
        <f t="shared" si="338"/>
        <v>24321</v>
      </c>
      <c r="H802" s="245">
        <f t="shared" si="339"/>
        <v>1</v>
      </c>
      <c r="I802" s="121">
        <f t="shared" si="340"/>
        <v>1.05</v>
      </c>
      <c r="J802" s="121">
        <f t="shared" si="341"/>
        <v>1.05</v>
      </c>
      <c r="K802" s="120">
        <f t="shared" si="342"/>
        <v>0</v>
      </c>
      <c r="L802" s="120">
        <f t="shared" si="343"/>
        <v>0</v>
      </c>
      <c r="M802" s="246">
        <f t="shared" si="344"/>
        <v>0</v>
      </c>
      <c r="N802" s="121">
        <f t="shared" si="345"/>
        <v>1.05</v>
      </c>
      <c r="O802" s="246">
        <f t="shared" si="346"/>
        <v>0.99033916849015313</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87">
        <v>23</v>
      </c>
      <c r="B803" s="242">
        <f t="shared" si="353"/>
        <v>46327</v>
      </c>
      <c r="C803" s="243">
        <f t="shared" si="334"/>
        <v>46356</v>
      </c>
      <c r="D803" s="120">
        <f t="shared" si="335"/>
        <v>30</v>
      </c>
      <c r="E803" s="120">
        <f t="shared" si="336"/>
        <v>11</v>
      </c>
      <c r="F803" s="275">
        <f t="shared" si="337"/>
        <v>46342</v>
      </c>
      <c r="G803" s="120">
        <f t="shared" si="338"/>
        <v>24322</v>
      </c>
      <c r="H803" s="245">
        <f t="shared" si="339"/>
        <v>1</v>
      </c>
      <c r="I803" s="121">
        <f t="shared" si="340"/>
        <v>1.05</v>
      </c>
      <c r="J803" s="121">
        <f t="shared" si="341"/>
        <v>1.05</v>
      </c>
      <c r="K803" s="120">
        <f t="shared" si="342"/>
        <v>0</v>
      </c>
      <c r="L803" s="120">
        <f t="shared" si="343"/>
        <v>0</v>
      </c>
      <c r="M803" s="246">
        <f t="shared" si="344"/>
        <v>0</v>
      </c>
      <c r="N803" s="121">
        <f t="shared" si="345"/>
        <v>1.05</v>
      </c>
      <c r="O803" s="246">
        <f t="shared" si="346"/>
        <v>0.99100656455142233</v>
      </c>
      <c r="P803" s="121">
        <f t="shared" si="347"/>
        <v>0.125</v>
      </c>
      <c r="Q803" s="121">
        <f t="shared" si="348"/>
        <v>0.875</v>
      </c>
      <c r="R803" s="121">
        <f t="shared" si="349"/>
        <v>0</v>
      </c>
      <c r="S803" s="121" t="str">
        <f t="shared" si="350"/>
        <v/>
      </c>
      <c r="T803" s="121" t="str">
        <f t="shared" si="351"/>
        <v/>
      </c>
      <c r="U803" s="121">
        <f t="shared" si="352"/>
        <v>1.05</v>
      </c>
    </row>
    <row r="804" spans="1:21" x14ac:dyDescent="0.3">
      <c r="A804" s="187">
        <v>24</v>
      </c>
      <c r="B804" s="242">
        <f t="shared" si="353"/>
        <v>46357</v>
      </c>
      <c r="C804" s="243">
        <f t="shared" si="334"/>
        <v>46387</v>
      </c>
      <c r="D804" s="120">
        <f t="shared" si="335"/>
        <v>31</v>
      </c>
      <c r="E804" s="120">
        <f t="shared" si="336"/>
        <v>12</v>
      </c>
      <c r="F804" s="275">
        <f t="shared" si="337"/>
        <v>46372.5</v>
      </c>
      <c r="G804" s="120">
        <f t="shared" si="338"/>
        <v>24323</v>
      </c>
      <c r="H804" s="245">
        <f t="shared" si="339"/>
        <v>1</v>
      </c>
      <c r="I804" s="121">
        <f t="shared" si="340"/>
        <v>1.05</v>
      </c>
      <c r="J804" s="121">
        <f t="shared" si="341"/>
        <v>1.05</v>
      </c>
      <c r="K804" s="120">
        <f t="shared" si="342"/>
        <v>0</v>
      </c>
      <c r="L804" s="120">
        <f t="shared" si="343"/>
        <v>0</v>
      </c>
      <c r="M804" s="246">
        <f t="shared" si="344"/>
        <v>0</v>
      </c>
      <c r="N804" s="121">
        <f t="shared" si="345"/>
        <v>1.05</v>
      </c>
      <c r="O804" s="246">
        <f t="shared" si="346"/>
        <v>0.99167396061269142</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87">
        <v>25</v>
      </c>
      <c r="B805" s="242">
        <f t="shared" si="353"/>
        <v>46388</v>
      </c>
      <c r="C805" s="243">
        <f t="shared" si="334"/>
        <v>46418</v>
      </c>
      <c r="D805" s="120">
        <f t="shared" si="335"/>
        <v>31</v>
      </c>
      <c r="E805" s="120">
        <f t="shared" si="336"/>
        <v>1</v>
      </c>
      <c r="F805" s="275">
        <f t="shared" si="337"/>
        <v>46403.5</v>
      </c>
      <c r="G805" s="120">
        <f t="shared" si="338"/>
        <v>24324</v>
      </c>
      <c r="H805" s="245">
        <f t="shared" si="339"/>
        <v>1</v>
      </c>
      <c r="I805" s="121">
        <f t="shared" si="340"/>
        <v>1.05</v>
      </c>
      <c r="J805" s="121">
        <f t="shared" si="341"/>
        <v>1.05</v>
      </c>
      <c r="K805" s="120">
        <f t="shared" si="342"/>
        <v>0</v>
      </c>
      <c r="L805" s="120">
        <f t="shared" si="343"/>
        <v>0</v>
      </c>
      <c r="M805" s="246">
        <f t="shared" si="344"/>
        <v>0</v>
      </c>
      <c r="N805" s="121">
        <f t="shared" si="345"/>
        <v>1.05</v>
      </c>
      <c r="O805" s="246">
        <f t="shared" si="346"/>
        <v>0.99235229759299781</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87">
        <v>26</v>
      </c>
      <c r="B806" s="242">
        <f t="shared" si="353"/>
        <v>46419</v>
      </c>
      <c r="C806" s="243">
        <f t="shared" si="334"/>
        <v>46446</v>
      </c>
      <c r="D806" s="120">
        <f t="shared" si="335"/>
        <v>28</v>
      </c>
      <c r="E806" s="120">
        <f t="shared" si="336"/>
        <v>2</v>
      </c>
      <c r="F806" s="275">
        <f t="shared" si="337"/>
        <v>46433</v>
      </c>
      <c r="G806" s="120">
        <f t="shared" si="338"/>
        <v>24325</v>
      </c>
      <c r="H806" s="245">
        <f t="shared" si="339"/>
        <v>1</v>
      </c>
      <c r="I806" s="121">
        <f t="shared" si="340"/>
        <v>1.05</v>
      </c>
      <c r="J806" s="121">
        <f t="shared" si="341"/>
        <v>1.05</v>
      </c>
      <c r="K806" s="120">
        <f t="shared" si="342"/>
        <v>0</v>
      </c>
      <c r="L806" s="120">
        <f t="shared" si="343"/>
        <v>0</v>
      </c>
      <c r="M806" s="246">
        <f t="shared" si="344"/>
        <v>0</v>
      </c>
      <c r="N806" s="121">
        <f t="shared" si="345"/>
        <v>1.05</v>
      </c>
      <c r="O806" s="246">
        <f t="shared" si="346"/>
        <v>0.99299781181619251</v>
      </c>
      <c r="P806" s="121">
        <f t="shared" si="347"/>
        <v>0</v>
      </c>
      <c r="Q806" s="121">
        <f t="shared" si="348"/>
        <v>0.875</v>
      </c>
      <c r="R806" s="121">
        <f t="shared" si="349"/>
        <v>0.125</v>
      </c>
      <c r="S806" s="121" t="str">
        <f t="shared" si="350"/>
        <v/>
      </c>
      <c r="T806" s="121" t="str">
        <f t="shared" si="351"/>
        <v/>
      </c>
      <c r="U806" s="121">
        <f t="shared" si="352"/>
        <v>1.05</v>
      </c>
    </row>
    <row r="807" spans="1:21" x14ac:dyDescent="0.3">
      <c r="A807" s="187">
        <v>27</v>
      </c>
      <c r="B807" s="242">
        <f t="shared" si="353"/>
        <v>46447</v>
      </c>
      <c r="C807" s="243">
        <f t="shared" si="334"/>
        <v>46477</v>
      </c>
      <c r="D807" s="120">
        <f t="shared" si="335"/>
        <v>31</v>
      </c>
      <c r="E807" s="120">
        <f t="shared" si="336"/>
        <v>3</v>
      </c>
      <c r="F807" s="275">
        <f t="shared" si="337"/>
        <v>46462.5</v>
      </c>
      <c r="G807" s="120">
        <f t="shared" si="338"/>
        <v>24326</v>
      </c>
      <c r="H807" s="245">
        <f t="shared" si="339"/>
        <v>1</v>
      </c>
      <c r="I807" s="121">
        <f t="shared" si="340"/>
        <v>1.05</v>
      </c>
      <c r="J807" s="121">
        <f t="shared" si="341"/>
        <v>1.05</v>
      </c>
      <c r="K807" s="120">
        <f t="shared" si="342"/>
        <v>0</v>
      </c>
      <c r="L807" s="120">
        <f t="shared" si="343"/>
        <v>0</v>
      </c>
      <c r="M807" s="246">
        <f t="shared" si="344"/>
        <v>0</v>
      </c>
      <c r="N807" s="121">
        <f t="shared" si="345"/>
        <v>1.05</v>
      </c>
      <c r="O807" s="246">
        <f t="shared" si="346"/>
        <v>0.99364332603938732</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87">
        <v>28</v>
      </c>
      <c r="B808" s="242">
        <f t="shared" si="353"/>
        <v>46478</v>
      </c>
      <c r="C808" s="243">
        <f t="shared" si="334"/>
        <v>46507</v>
      </c>
      <c r="D808" s="120">
        <f t="shared" si="335"/>
        <v>30</v>
      </c>
      <c r="E808" s="120">
        <f t="shared" si="336"/>
        <v>4</v>
      </c>
      <c r="F808" s="275">
        <f t="shared" si="337"/>
        <v>46493</v>
      </c>
      <c r="G808" s="120">
        <f t="shared" si="338"/>
        <v>24327</v>
      </c>
      <c r="H808" s="245">
        <f t="shared" si="339"/>
        <v>1</v>
      </c>
      <c r="I808" s="121">
        <f t="shared" si="340"/>
        <v>1.05</v>
      </c>
      <c r="J808" s="121">
        <f t="shared" si="341"/>
        <v>1.0920000000000001</v>
      </c>
      <c r="K808" s="120">
        <f t="shared" si="342"/>
        <v>1</v>
      </c>
      <c r="L808" s="120">
        <f t="shared" si="343"/>
        <v>30</v>
      </c>
      <c r="M808" s="246">
        <f t="shared" si="344"/>
        <v>1</v>
      </c>
      <c r="N808" s="121">
        <f t="shared" si="345"/>
        <v>1.0920000000000001</v>
      </c>
      <c r="O808" s="246">
        <f t="shared" si="346"/>
        <v>0.99431072210065641</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87">
        <v>29</v>
      </c>
      <c r="B809" s="242">
        <f t="shared" si="353"/>
        <v>46508</v>
      </c>
      <c r="C809" s="243">
        <f t="shared" si="334"/>
        <v>46538</v>
      </c>
      <c r="D809" s="120">
        <f t="shared" si="335"/>
        <v>31</v>
      </c>
      <c r="E809" s="120">
        <f t="shared" si="336"/>
        <v>5</v>
      </c>
      <c r="F809" s="275">
        <f t="shared" si="337"/>
        <v>46523.5</v>
      </c>
      <c r="G809" s="120">
        <f t="shared" si="338"/>
        <v>24328</v>
      </c>
      <c r="H809" s="245">
        <f t="shared" si="339"/>
        <v>1</v>
      </c>
      <c r="I809" s="121">
        <f t="shared" si="340"/>
        <v>1.0920000000000001</v>
      </c>
      <c r="J809" s="121">
        <f t="shared" si="341"/>
        <v>1.0920000000000001</v>
      </c>
      <c r="K809" s="120">
        <f t="shared" si="342"/>
        <v>0</v>
      </c>
      <c r="L809" s="120">
        <f t="shared" si="343"/>
        <v>0</v>
      </c>
      <c r="M809" s="246">
        <f t="shared" si="344"/>
        <v>0</v>
      </c>
      <c r="N809" s="121">
        <f t="shared" si="345"/>
        <v>1.0920000000000001</v>
      </c>
      <c r="O809" s="246">
        <f t="shared" si="346"/>
        <v>0.99497811816192561</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87">
        <v>30</v>
      </c>
      <c r="B810" s="242">
        <f t="shared" si="353"/>
        <v>46539</v>
      </c>
      <c r="C810" s="243">
        <f t="shared" si="334"/>
        <v>46568</v>
      </c>
      <c r="D810" s="120">
        <f t="shared" si="335"/>
        <v>30</v>
      </c>
      <c r="E810" s="120">
        <f t="shared" si="336"/>
        <v>6</v>
      </c>
      <c r="F810" s="275">
        <f t="shared" si="337"/>
        <v>46554</v>
      </c>
      <c r="G810" s="120">
        <f t="shared" si="338"/>
        <v>24329</v>
      </c>
      <c r="H810" s="245">
        <f t="shared" si="339"/>
        <v>1</v>
      </c>
      <c r="I810" s="121">
        <f t="shared" si="340"/>
        <v>1.0920000000000001</v>
      </c>
      <c r="J810" s="121">
        <f t="shared" si="341"/>
        <v>1.0920000000000001</v>
      </c>
      <c r="K810" s="120">
        <f t="shared" si="342"/>
        <v>0</v>
      </c>
      <c r="L810" s="120">
        <f t="shared" si="343"/>
        <v>0</v>
      </c>
      <c r="M810" s="246">
        <f t="shared" si="344"/>
        <v>0</v>
      </c>
      <c r="N810" s="121">
        <f t="shared" si="345"/>
        <v>1.0920000000000001</v>
      </c>
      <c r="O810" s="246">
        <f t="shared" si="346"/>
        <v>0.99564551422319469</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87">
        <v>31</v>
      </c>
      <c r="B811" s="242">
        <f t="shared" si="353"/>
        <v>46569</v>
      </c>
      <c r="C811" s="243">
        <f t="shared" si="334"/>
        <v>46599</v>
      </c>
      <c r="D811" s="120">
        <f t="shared" si="335"/>
        <v>31</v>
      </c>
      <c r="E811" s="120">
        <f t="shared" si="336"/>
        <v>7</v>
      </c>
      <c r="F811" s="275">
        <f t="shared" si="337"/>
        <v>46584.5</v>
      </c>
      <c r="G811" s="120">
        <f t="shared" si="338"/>
        <v>24330</v>
      </c>
      <c r="H811" s="245">
        <f t="shared" si="339"/>
        <v>1</v>
      </c>
      <c r="I811" s="121">
        <f t="shared" si="340"/>
        <v>1.0920000000000001</v>
      </c>
      <c r="J811" s="121">
        <f t="shared" si="341"/>
        <v>1.0920000000000001</v>
      </c>
      <c r="K811" s="120">
        <f t="shared" si="342"/>
        <v>0</v>
      </c>
      <c r="L811" s="120">
        <f t="shared" si="343"/>
        <v>0</v>
      </c>
      <c r="M811" s="246">
        <f t="shared" si="344"/>
        <v>0</v>
      </c>
      <c r="N811" s="121">
        <f t="shared" si="345"/>
        <v>1.0920000000000001</v>
      </c>
      <c r="O811" s="246">
        <f t="shared" si="346"/>
        <v>0.99631291028446389</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87">
        <v>32</v>
      </c>
      <c r="B812" s="242">
        <f t="shared" si="353"/>
        <v>46600</v>
      </c>
      <c r="C812" s="243">
        <f t="shared" si="334"/>
        <v>46630</v>
      </c>
      <c r="D812" s="120">
        <f t="shared" si="335"/>
        <v>31</v>
      </c>
      <c r="E812" s="120">
        <f t="shared" si="336"/>
        <v>8</v>
      </c>
      <c r="F812" s="275">
        <f t="shared" si="337"/>
        <v>46615.5</v>
      </c>
      <c r="G812" s="120">
        <f t="shared" si="338"/>
        <v>24331</v>
      </c>
      <c r="H812" s="245">
        <f t="shared" si="339"/>
        <v>1</v>
      </c>
      <c r="I812" s="121">
        <f t="shared" si="340"/>
        <v>1.0920000000000001</v>
      </c>
      <c r="J812" s="121">
        <f t="shared" si="341"/>
        <v>1.0920000000000001</v>
      </c>
      <c r="K812" s="120">
        <f t="shared" si="342"/>
        <v>0</v>
      </c>
      <c r="L812" s="120">
        <f t="shared" si="343"/>
        <v>0</v>
      </c>
      <c r="M812" s="246">
        <f t="shared" si="344"/>
        <v>0</v>
      </c>
      <c r="N812" s="121">
        <f t="shared" si="345"/>
        <v>1.0920000000000001</v>
      </c>
      <c r="O812" s="246">
        <f t="shared" si="346"/>
        <v>0.99699124726477029</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87">
        <v>33</v>
      </c>
      <c r="B813" s="242">
        <f t="shared" si="353"/>
        <v>46631</v>
      </c>
      <c r="C813" s="243">
        <f t="shared" si="334"/>
        <v>46660</v>
      </c>
      <c r="D813" s="120">
        <f t="shared" si="335"/>
        <v>30</v>
      </c>
      <c r="E813" s="120">
        <f t="shared" si="336"/>
        <v>9</v>
      </c>
      <c r="F813" s="275">
        <f t="shared" si="337"/>
        <v>46646</v>
      </c>
      <c r="G813" s="120">
        <f t="shared" si="338"/>
        <v>24332</v>
      </c>
      <c r="H813" s="245">
        <f t="shared" si="339"/>
        <v>1</v>
      </c>
      <c r="I813" s="121">
        <f t="shared" si="340"/>
        <v>1.0920000000000001</v>
      </c>
      <c r="J813" s="121">
        <f t="shared" si="341"/>
        <v>1.0920000000000001</v>
      </c>
      <c r="K813" s="120">
        <f t="shared" si="342"/>
        <v>0</v>
      </c>
      <c r="L813" s="120">
        <f t="shared" si="343"/>
        <v>0</v>
      </c>
      <c r="M813" s="246">
        <f t="shared" si="344"/>
        <v>0</v>
      </c>
      <c r="N813" s="121">
        <f t="shared" si="345"/>
        <v>1.0920000000000001</v>
      </c>
      <c r="O813" s="246">
        <f t="shared" si="346"/>
        <v>0.99765864332603937</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87">
        <v>34</v>
      </c>
      <c r="B814" s="242">
        <f t="shared" si="353"/>
        <v>46661</v>
      </c>
      <c r="C814" s="243">
        <f t="shared" si="334"/>
        <v>46691</v>
      </c>
      <c r="D814" s="120">
        <f t="shared" si="335"/>
        <v>31</v>
      </c>
      <c r="E814" s="120">
        <f t="shared" si="336"/>
        <v>10</v>
      </c>
      <c r="F814" s="275">
        <f t="shared" si="337"/>
        <v>46676.5</v>
      </c>
      <c r="G814" s="120">
        <f t="shared" si="338"/>
        <v>24333</v>
      </c>
      <c r="H814" s="245">
        <f t="shared" si="339"/>
        <v>1</v>
      </c>
      <c r="I814" s="121">
        <f t="shared" si="340"/>
        <v>1.0920000000000001</v>
      </c>
      <c r="J814" s="121">
        <f t="shared" si="341"/>
        <v>1.0920000000000001</v>
      </c>
      <c r="K814" s="120">
        <f t="shared" si="342"/>
        <v>0</v>
      </c>
      <c r="L814" s="120">
        <f t="shared" si="343"/>
        <v>0</v>
      </c>
      <c r="M814" s="246">
        <f t="shared" si="344"/>
        <v>0</v>
      </c>
      <c r="N814" s="121">
        <f t="shared" si="345"/>
        <v>1.0920000000000001</v>
      </c>
      <c r="O814" s="246">
        <f t="shared" si="346"/>
        <v>0.99832603938730857</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87">
        <v>35</v>
      </c>
      <c r="B815" s="242">
        <f t="shared" si="353"/>
        <v>46692</v>
      </c>
      <c r="C815" s="243">
        <f t="shared" si="334"/>
        <v>46721</v>
      </c>
      <c r="D815" s="120">
        <f t="shared" si="335"/>
        <v>30</v>
      </c>
      <c r="E815" s="120">
        <f t="shared" si="336"/>
        <v>11</v>
      </c>
      <c r="F815" s="275">
        <f t="shared" si="337"/>
        <v>46707</v>
      </c>
      <c r="G815" s="120">
        <f t="shared" si="338"/>
        <v>24334</v>
      </c>
      <c r="H815" s="245">
        <f t="shared" si="339"/>
        <v>1</v>
      </c>
      <c r="I815" s="121">
        <f t="shared" si="340"/>
        <v>1.0920000000000001</v>
      </c>
      <c r="J815" s="121">
        <f t="shared" si="341"/>
        <v>1.0920000000000001</v>
      </c>
      <c r="K815" s="120">
        <f t="shared" si="342"/>
        <v>0</v>
      </c>
      <c r="L815" s="120">
        <f t="shared" si="343"/>
        <v>0</v>
      </c>
      <c r="M815" s="246">
        <f t="shared" si="344"/>
        <v>0</v>
      </c>
      <c r="N815" s="121">
        <f t="shared" si="345"/>
        <v>1.0920000000000001</v>
      </c>
      <c r="O815" s="246">
        <f t="shared" si="346"/>
        <v>0.99899343544857766</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87">
        <v>36</v>
      </c>
      <c r="B816" s="242">
        <f t="shared" si="353"/>
        <v>46722</v>
      </c>
      <c r="C816" s="243">
        <f t="shared" si="334"/>
        <v>46752</v>
      </c>
      <c r="D816" s="120">
        <f t="shared" si="335"/>
        <v>31</v>
      </c>
      <c r="E816" s="120">
        <f t="shared" si="336"/>
        <v>12</v>
      </c>
      <c r="F816" s="275">
        <f t="shared" si="337"/>
        <v>46737.5</v>
      </c>
      <c r="G816" s="120">
        <f t="shared" si="338"/>
        <v>24335</v>
      </c>
      <c r="H816" s="245">
        <f t="shared" si="339"/>
        <v>1</v>
      </c>
      <c r="I816" s="121">
        <f t="shared" si="340"/>
        <v>1.0920000000000001</v>
      </c>
      <c r="J816" s="121">
        <f t="shared" si="341"/>
        <v>1.0920000000000001</v>
      </c>
      <c r="K816" s="120">
        <f t="shared" si="342"/>
        <v>0</v>
      </c>
      <c r="L816" s="120">
        <f t="shared" si="343"/>
        <v>0</v>
      </c>
      <c r="M816" s="246">
        <f t="shared" si="344"/>
        <v>0</v>
      </c>
      <c r="N816" s="121">
        <f t="shared" si="345"/>
        <v>1.0920000000000001</v>
      </c>
      <c r="O816" s="246">
        <f t="shared" si="346"/>
        <v>0.99966083150984686</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87">
        <v>37</v>
      </c>
      <c r="B817" s="242">
        <f t="shared" si="353"/>
        <v>46753</v>
      </c>
      <c r="C817" s="243">
        <f t="shared" si="334"/>
        <v>46783</v>
      </c>
      <c r="D817" s="120">
        <f t="shared" si="335"/>
        <v>31</v>
      </c>
      <c r="E817" s="120">
        <f t="shared" si="336"/>
        <v>1</v>
      </c>
      <c r="F817" s="275">
        <f t="shared" si="337"/>
        <v>46768.5</v>
      </c>
      <c r="G817" s="120">
        <f t="shared" si="338"/>
        <v>24336</v>
      </c>
      <c r="H817" s="245">
        <f t="shared" si="339"/>
        <v>1</v>
      </c>
      <c r="I817" s="121">
        <f t="shared" si="340"/>
        <v>1.0920000000000001</v>
      </c>
      <c r="J817" s="121">
        <f t="shared" si="341"/>
        <v>1.0920000000000001</v>
      </c>
      <c r="K817" s="120">
        <f t="shared" si="342"/>
        <v>0</v>
      </c>
      <c r="L817" s="120">
        <f t="shared" si="343"/>
        <v>0</v>
      </c>
      <c r="M817" s="246">
        <f t="shared" si="344"/>
        <v>0</v>
      </c>
      <c r="N817" s="121">
        <f t="shared" si="345"/>
        <v>1.0920000000000001</v>
      </c>
      <c r="O817" s="246">
        <f t="shared" si="346"/>
        <v>1</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87">
        <v>38</v>
      </c>
      <c r="B818" s="242">
        <f t="shared" si="353"/>
        <v>46784</v>
      </c>
      <c r="C818" s="243">
        <f t="shared" si="334"/>
        <v>46812</v>
      </c>
      <c r="D818" s="120">
        <f t="shared" si="335"/>
        <v>29</v>
      </c>
      <c r="E818" s="120">
        <f t="shared" si="336"/>
        <v>2</v>
      </c>
      <c r="F818" s="275">
        <f t="shared" si="337"/>
        <v>46798.5</v>
      </c>
      <c r="G818" s="120">
        <f t="shared" si="338"/>
        <v>24337</v>
      </c>
      <c r="H818" s="245">
        <f t="shared" si="339"/>
        <v>1</v>
      </c>
      <c r="I818" s="121">
        <f t="shared" si="340"/>
        <v>1.0920000000000001</v>
      </c>
      <c r="J818" s="121">
        <f t="shared" si="341"/>
        <v>1.0920000000000001</v>
      </c>
      <c r="K818" s="120">
        <f t="shared" si="342"/>
        <v>0</v>
      </c>
      <c r="L818" s="120">
        <f t="shared" si="343"/>
        <v>0</v>
      </c>
      <c r="M818" s="246">
        <f t="shared" si="344"/>
        <v>0</v>
      </c>
      <c r="N818" s="121">
        <f t="shared" si="345"/>
        <v>1.0920000000000001</v>
      </c>
      <c r="O818" s="246">
        <f t="shared" si="346"/>
        <v>1</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87">
        <v>39</v>
      </c>
      <c r="B819" s="242">
        <f t="shared" si="353"/>
        <v>46813</v>
      </c>
      <c r="C819" s="243">
        <f t="shared" si="334"/>
        <v>46843</v>
      </c>
      <c r="D819" s="120">
        <f t="shared" si="335"/>
        <v>31</v>
      </c>
      <c r="E819" s="120">
        <f t="shared" si="336"/>
        <v>3</v>
      </c>
      <c r="F819" s="275">
        <f t="shared" si="337"/>
        <v>46828.5</v>
      </c>
      <c r="G819" s="120">
        <f t="shared" si="338"/>
        <v>24338</v>
      </c>
      <c r="H819" s="245">
        <f t="shared" si="339"/>
        <v>1</v>
      </c>
      <c r="I819" s="121">
        <f t="shared" si="340"/>
        <v>1.0920000000000001</v>
      </c>
      <c r="J819" s="121">
        <f t="shared" si="341"/>
        <v>1.0920000000000001</v>
      </c>
      <c r="K819" s="120">
        <f t="shared" si="342"/>
        <v>0</v>
      </c>
      <c r="L819" s="120">
        <f t="shared" si="343"/>
        <v>0</v>
      </c>
      <c r="M819" s="246">
        <f t="shared" si="344"/>
        <v>0</v>
      </c>
      <c r="N819" s="121">
        <f t="shared" si="345"/>
        <v>1.0920000000000001</v>
      </c>
      <c r="O819" s="246">
        <f t="shared" si="346"/>
        <v>1</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87">
        <v>40</v>
      </c>
      <c r="B820" s="242">
        <f t="shared" si="353"/>
        <v>46844</v>
      </c>
      <c r="C820" s="243">
        <f t="shared" si="334"/>
        <v>46873</v>
      </c>
      <c r="D820" s="120">
        <f t="shared" si="335"/>
        <v>30</v>
      </c>
      <c r="E820" s="120">
        <f t="shared" si="336"/>
        <v>4</v>
      </c>
      <c r="F820" s="275">
        <f t="shared" si="337"/>
        <v>46859</v>
      </c>
      <c r="G820" s="120">
        <f t="shared" si="338"/>
        <v>24339</v>
      </c>
      <c r="H820" s="245">
        <f t="shared" si="339"/>
        <v>1</v>
      </c>
      <c r="I820" s="121">
        <f t="shared" si="340"/>
        <v>1.0920000000000001</v>
      </c>
      <c r="J820" s="121">
        <f t="shared" si="341"/>
        <v>1.0920000000000001</v>
      </c>
      <c r="K820" s="120">
        <f t="shared" si="342"/>
        <v>0</v>
      </c>
      <c r="L820" s="120">
        <f t="shared" si="343"/>
        <v>0</v>
      </c>
      <c r="M820" s="246">
        <f t="shared" si="344"/>
        <v>0</v>
      </c>
      <c r="N820" s="121">
        <f t="shared" si="345"/>
        <v>1.0920000000000001</v>
      </c>
      <c r="O820" s="246">
        <f t="shared" si="346"/>
        <v>1</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87">
        <v>41</v>
      </c>
      <c r="B821" s="242">
        <f t="shared" si="353"/>
        <v>46874</v>
      </c>
      <c r="C821" s="243">
        <f t="shared" si="334"/>
        <v>46904</v>
      </c>
      <c r="D821" s="120">
        <f t="shared" si="335"/>
        <v>31</v>
      </c>
      <c r="E821" s="120">
        <f t="shared" si="336"/>
        <v>5</v>
      </c>
      <c r="F821" s="275">
        <f t="shared" si="337"/>
        <v>46889.5</v>
      </c>
      <c r="G821" s="120">
        <f t="shared" si="338"/>
        <v>24340</v>
      </c>
      <c r="H821" s="245">
        <f t="shared" si="339"/>
        <v>1</v>
      </c>
      <c r="I821" s="121">
        <f t="shared" si="340"/>
        <v>1.0920000000000001</v>
      </c>
      <c r="J821" s="121">
        <f t="shared" si="341"/>
        <v>1.0920000000000001</v>
      </c>
      <c r="K821" s="120">
        <f t="shared" si="342"/>
        <v>0</v>
      </c>
      <c r="L821" s="120">
        <f t="shared" si="343"/>
        <v>0</v>
      </c>
      <c r="M821" s="246">
        <f t="shared" si="344"/>
        <v>0</v>
      </c>
      <c r="N821" s="121">
        <f t="shared" si="345"/>
        <v>1.0920000000000001</v>
      </c>
      <c r="O821" s="246">
        <f t="shared" si="346"/>
        <v>1</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87">
        <v>42</v>
      </c>
      <c r="B822" s="242">
        <f t="shared" si="353"/>
        <v>46905</v>
      </c>
      <c r="C822" s="243">
        <f t="shared" si="334"/>
        <v>46934</v>
      </c>
      <c r="D822" s="120">
        <f t="shared" si="335"/>
        <v>30</v>
      </c>
      <c r="E822" s="120">
        <f t="shared" si="336"/>
        <v>6</v>
      </c>
      <c r="F822" s="275">
        <f t="shared" si="337"/>
        <v>46920</v>
      </c>
      <c r="G822" s="120">
        <f t="shared" si="338"/>
        <v>24341</v>
      </c>
      <c r="H822" s="245">
        <f t="shared" si="339"/>
        <v>1</v>
      </c>
      <c r="I822" s="121">
        <f t="shared" si="340"/>
        <v>1.0920000000000001</v>
      </c>
      <c r="J822" s="121">
        <f t="shared" si="341"/>
        <v>1.0920000000000001</v>
      </c>
      <c r="K822" s="120">
        <f t="shared" si="342"/>
        <v>0</v>
      </c>
      <c r="L822" s="120">
        <f t="shared" si="343"/>
        <v>0</v>
      </c>
      <c r="M822" s="246">
        <f t="shared" si="344"/>
        <v>0</v>
      </c>
      <c r="N822" s="121">
        <f t="shared" si="345"/>
        <v>1.0920000000000001</v>
      </c>
      <c r="O822" s="246">
        <f t="shared" si="346"/>
        <v>1</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87">
        <v>43</v>
      </c>
      <c r="B823" s="242">
        <f t="shared" si="353"/>
        <v>46935</v>
      </c>
      <c r="C823" s="243">
        <f t="shared" si="334"/>
        <v>46965</v>
      </c>
      <c r="D823" s="120">
        <f t="shared" si="335"/>
        <v>31</v>
      </c>
      <c r="E823" s="120">
        <f t="shared" si="336"/>
        <v>7</v>
      </c>
      <c r="F823" s="275">
        <f t="shared" si="337"/>
        <v>46950.5</v>
      </c>
      <c r="G823" s="120">
        <f t="shared" si="338"/>
        <v>24342</v>
      </c>
      <c r="H823" s="245">
        <f t="shared" si="339"/>
        <v>1</v>
      </c>
      <c r="I823" s="121">
        <f t="shared" si="340"/>
        <v>1.0920000000000001</v>
      </c>
      <c r="J823" s="121">
        <f t="shared" si="341"/>
        <v>1.0920000000000001</v>
      </c>
      <c r="K823" s="120">
        <f t="shared" si="342"/>
        <v>0</v>
      </c>
      <c r="L823" s="120">
        <f t="shared" si="343"/>
        <v>0</v>
      </c>
      <c r="M823" s="246">
        <f t="shared" si="344"/>
        <v>0</v>
      </c>
      <c r="N823" s="121">
        <f t="shared" si="345"/>
        <v>1.0920000000000001</v>
      </c>
      <c r="O823" s="246">
        <f t="shared" si="346"/>
        <v>1</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87">
        <v>44</v>
      </c>
      <c r="B824" s="242">
        <f t="shared" si="353"/>
        <v>46966</v>
      </c>
      <c r="C824" s="243">
        <f t="shared" si="334"/>
        <v>46996</v>
      </c>
      <c r="D824" s="120">
        <f t="shared" si="335"/>
        <v>31</v>
      </c>
      <c r="E824" s="120">
        <f t="shared" si="336"/>
        <v>8</v>
      </c>
      <c r="F824" s="275">
        <f t="shared" si="337"/>
        <v>46981.5</v>
      </c>
      <c r="G824" s="120">
        <f t="shared" si="338"/>
        <v>24343</v>
      </c>
      <c r="H824" s="245">
        <f t="shared" si="339"/>
        <v>1</v>
      </c>
      <c r="I824" s="121">
        <f t="shared" si="340"/>
        <v>1.0920000000000001</v>
      </c>
      <c r="J824" s="121">
        <f t="shared" si="341"/>
        <v>1.0920000000000001</v>
      </c>
      <c r="K824" s="120">
        <f t="shared" si="342"/>
        <v>0</v>
      </c>
      <c r="L824" s="120">
        <f t="shared" si="343"/>
        <v>0</v>
      </c>
      <c r="M824" s="246">
        <f t="shared" si="344"/>
        <v>0</v>
      </c>
      <c r="N824" s="121">
        <f t="shared" si="345"/>
        <v>1.0920000000000001</v>
      </c>
      <c r="O824" s="246">
        <f t="shared" si="346"/>
        <v>1</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87">
        <v>45</v>
      </c>
      <c r="B825" s="242">
        <f t="shared" si="353"/>
        <v>46997</v>
      </c>
      <c r="C825" s="243">
        <f t="shared" si="334"/>
        <v>47026</v>
      </c>
      <c r="D825" s="120">
        <f t="shared" si="335"/>
        <v>30</v>
      </c>
      <c r="E825" s="120">
        <f t="shared" si="336"/>
        <v>9</v>
      </c>
      <c r="F825" s="275">
        <f t="shared" si="337"/>
        <v>47012</v>
      </c>
      <c r="G825" s="120">
        <f t="shared" si="338"/>
        <v>24344</v>
      </c>
      <c r="H825" s="245">
        <f t="shared" si="339"/>
        <v>1</v>
      </c>
      <c r="I825" s="121">
        <f t="shared" si="340"/>
        <v>1.0920000000000001</v>
      </c>
      <c r="J825" s="121">
        <f t="shared" si="341"/>
        <v>1.0920000000000001</v>
      </c>
      <c r="K825" s="120">
        <f t="shared" si="342"/>
        <v>0</v>
      </c>
      <c r="L825" s="120">
        <f t="shared" si="343"/>
        <v>0</v>
      </c>
      <c r="M825" s="246">
        <f t="shared" si="344"/>
        <v>0</v>
      </c>
      <c r="N825" s="121">
        <f t="shared" si="345"/>
        <v>1.0920000000000001</v>
      </c>
      <c r="O825" s="246">
        <f t="shared" si="346"/>
        <v>1</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87">
        <v>46</v>
      </c>
      <c r="B826" s="242">
        <f t="shared" si="353"/>
        <v>47027</v>
      </c>
      <c r="C826" s="243">
        <f t="shared" si="334"/>
        <v>47057</v>
      </c>
      <c r="D826" s="120">
        <f t="shared" si="335"/>
        <v>31</v>
      </c>
      <c r="E826" s="120">
        <f t="shared" si="336"/>
        <v>10</v>
      </c>
      <c r="F826" s="275">
        <f t="shared" si="337"/>
        <v>47042.5</v>
      </c>
      <c r="G826" s="120">
        <f t="shared" si="338"/>
        <v>24345</v>
      </c>
      <c r="H826" s="245">
        <f t="shared" si="339"/>
        <v>1</v>
      </c>
      <c r="I826" s="121">
        <f t="shared" si="340"/>
        <v>1.0920000000000001</v>
      </c>
      <c r="J826" s="121">
        <f t="shared" si="341"/>
        <v>1.0920000000000001</v>
      </c>
      <c r="K826" s="120">
        <f t="shared" si="342"/>
        <v>0</v>
      </c>
      <c r="L826" s="120">
        <f t="shared" si="343"/>
        <v>0</v>
      </c>
      <c r="M826" s="246">
        <f t="shared" si="344"/>
        <v>0</v>
      </c>
      <c r="N826" s="121">
        <f t="shared" si="345"/>
        <v>1.0920000000000001</v>
      </c>
      <c r="O826" s="246">
        <f t="shared" si="346"/>
        <v>1</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87">
        <v>47</v>
      </c>
      <c r="B827" s="242">
        <f t="shared" si="353"/>
        <v>47058</v>
      </c>
      <c r="C827" s="243">
        <f t="shared" si="334"/>
        <v>47087</v>
      </c>
      <c r="D827" s="120">
        <f t="shared" si="335"/>
        <v>30</v>
      </c>
      <c r="E827" s="120">
        <f t="shared" si="336"/>
        <v>11</v>
      </c>
      <c r="F827" s="275">
        <f t="shared" si="337"/>
        <v>47073</v>
      </c>
      <c r="G827" s="120">
        <f t="shared" si="338"/>
        <v>24346</v>
      </c>
      <c r="H827" s="245">
        <f t="shared" si="339"/>
        <v>1</v>
      </c>
      <c r="I827" s="121">
        <f t="shared" si="340"/>
        <v>1.0920000000000001</v>
      </c>
      <c r="J827" s="121">
        <f t="shared" si="341"/>
        <v>1.0920000000000001</v>
      </c>
      <c r="K827" s="120">
        <f t="shared" si="342"/>
        <v>0</v>
      </c>
      <c r="L827" s="120">
        <f t="shared" si="343"/>
        <v>0</v>
      </c>
      <c r="M827" s="246">
        <f t="shared" si="344"/>
        <v>0</v>
      </c>
      <c r="N827" s="121">
        <f t="shared" si="345"/>
        <v>1.0920000000000001</v>
      </c>
      <c r="O827" s="246">
        <f t="shared" si="346"/>
        <v>1</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87">
        <v>48</v>
      </c>
      <c r="B828" s="242">
        <f t="shared" si="353"/>
        <v>47088</v>
      </c>
      <c r="C828" s="243">
        <f t="shared" si="334"/>
        <v>47118</v>
      </c>
      <c r="D828" s="120">
        <f t="shared" si="335"/>
        <v>31</v>
      </c>
      <c r="E828" s="120">
        <f t="shared" si="336"/>
        <v>12</v>
      </c>
      <c r="F828" s="275">
        <f t="shared" si="337"/>
        <v>47103.5</v>
      </c>
      <c r="G828" s="120">
        <f t="shared" si="338"/>
        <v>24347</v>
      </c>
      <c r="H828" s="245">
        <f t="shared" si="339"/>
        <v>1</v>
      </c>
      <c r="I828" s="121">
        <f t="shared" si="340"/>
        <v>1.0920000000000001</v>
      </c>
      <c r="J828" s="121">
        <f t="shared" si="341"/>
        <v>1.0920000000000001</v>
      </c>
      <c r="K828" s="120">
        <f t="shared" si="342"/>
        <v>0</v>
      </c>
      <c r="L828" s="120">
        <f t="shared" si="343"/>
        <v>0</v>
      </c>
      <c r="M828" s="246">
        <f t="shared" si="344"/>
        <v>0</v>
      </c>
      <c r="N828" s="121">
        <f t="shared" si="345"/>
        <v>1.0920000000000001</v>
      </c>
      <c r="O828" s="246">
        <f t="shared" si="346"/>
        <v>1</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1651</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24">
        <f>SUMPRODUCT($H$781:$H$828,$Q$781:$Q$828,$O$781:$O$828)/SUMPRODUCT($H$781:$H$828,$Q$781:$Q$828)</f>
        <v>0.99199580598103554</v>
      </c>
      <c r="G829" s="224">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row>
    <row r="832" spans="1:21" x14ac:dyDescent="0.3">
      <c r="A832" s="6" t="str">
        <f>INDEX(lr_key,15)</f>
        <v>ABD|OH</v>
      </c>
      <c r="B832" s="6" t="str">
        <f>INDEX(lr_state,15)</f>
        <v>OH</v>
      </c>
      <c r="C832" s="75">
        <f>nr_TermMonths</f>
        <v>12</v>
      </c>
      <c r="D832" s="75">
        <f>IF(COUNTIF(se_state,$B832)=0,0,MATCH($B832,se_state,0))</f>
        <v>0</v>
      </c>
      <c r="E832" s="70">
        <f>IF($D832=0,0,INDEX(se_sum,$D832))</f>
        <v>0</v>
      </c>
      <c r="F832" s="224">
        <f>IF(N(INDEX(lr_mind,15))=0,1,INDEX(lr_mind,15))</f>
        <v>1</v>
      </c>
      <c r="G832" s="224">
        <f>IF(N(INDEX(lr_m0,15))=0,1,INDEX(lr_m0,15))</f>
        <v>0.99</v>
      </c>
      <c r="H832" s="74">
        <f>IF(N(INDEX(lr_m0asof,15))=0,DATE(nr_PlanYear-1,10,1),INDEX(lr_m0asof,15))</f>
        <v>46295</v>
      </c>
      <c r="I832" s="224">
        <f>IF(N(INDEX(lr_m1,15))=0,1,INDEX(lr_m1,15))</f>
        <v>0.98</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54">EOMONTH($B835,0)</f>
        <v>45688</v>
      </c>
      <c r="D835" s="120">
        <f t="shared" ref="D835:D882" si="355">$C835-$B835+1</f>
        <v>31</v>
      </c>
      <c r="E835" s="120">
        <f t="shared" ref="E835:E882" si="356">MONTH($B835)</f>
        <v>1</v>
      </c>
      <c r="F835" s="275">
        <f t="shared" ref="F835:F882" si="357">($B835+$C835+1)/2</f>
        <v>45673.5</v>
      </c>
      <c r="G835" s="120">
        <f t="shared" ref="G835:G882" si="358">YEAR($B835)*12+MONTH($B835)-1</f>
        <v>24300</v>
      </c>
      <c r="H835" s="245">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46">
        <f t="shared" ref="M835:M882" si="364">IF($K835=0,0,MIN(1,$L835/$D835))</f>
        <v>0</v>
      </c>
      <c r="N835" s="121">
        <f t="shared" ref="N835:N882" si="365">IF($K835=0,$J835,(1-$M835)*$I835+$M835*$J835)</f>
        <v>1</v>
      </c>
      <c r="O835" s="246">
        <f t="shared" ref="O835:O882" si="366">IF($F835&lt;$B$833,$E$833+$I$833*($F835-$A$833),IF($F835&lt;$C$833,$F$833+$J$833*($F835-$B$833),$G$833+$K$833*($F835-$C$833)))</f>
        <v>1.0036214442013129</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87">
        <v>2</v>
      </c>
      <c r="B836" s="242">
        <f t="shared" ref="B836:B882" si="373">EDATE($B835,1)</f>
        <v>45689</v>
      </c>
      <c r="C836" s="243">
        <f t="shared" si="354"/>
        <v>45716</v>
      </c>
      <c r="D836" s="120">
        <f t="shared" si="355"/>
        <v>28</v>
      </c>
      <c r="E836" s="120">
        <f t="shared" si="356"/>
        <v>2</v>
      </c>
      <c r="F836" s="275">
        <f t="shared" si="357"/>
        <v>45703</v>
      </c>
      <c r="G836" s="120">
        <f t="shared" si="358"/>
        <v>24301</v>
      </c>
      <c r="H836" s="245">
        <f t="shared" si="359"/>
        <v>1</v>
      </c>
      <c r="I836" s="121">
        <f t="shared" si="360"/>
        <v>1</v>
      </c>
      <c r="J836" s="121">
        <f t="shared" si="361"/>
        <v>1</v>
      </c>
      <c r="K836" s="120">
        <f t="shared" si="362"/>
        <v>0</v>
      </c>
      <c r="L836" s="120">
        <f t="shared" si="363"/>
        <v>0</v>
      </c>
      <c r="M836" s="246">
        <f t="shared" si="364"/>
        <v>0</v>
      </c>
      <c r="N836" s="121">
        <f t="shared" si="365"/>
        <v>1</v>
      </c>
      <c r="O836" s="246">
        <f t="shared" si="366"/>
        <v>1.002975929978118</v>
      </c>
      <c r="P836" s="121">
        <f t="shared" si="367"/>
        <v>0.125</v>
      </c>
      <c r="Q836" s="121">
        <f t="shared" si="368"/>
        <v>0</v>
      </c>
      <c r="R836" s="121">
        <f t="shared" si="369"/>
        <v>0</v>
      </c>
      <c r="S836" s="121" t="str">
        <f t="shared" si="370"/>
        <v/>
      </c>
      <c r="T836" s="121" t="str">
        <f t="shared" si="371"/>
        <v/>
      </c>
      <c r="U836" s="121">
        <f t="shared" si="372"/>
        <v>1</v>
      </c>
    </row>
    <row r="837" spans="1:21" x14ac:dyDescent="0.3">
      <c r="A837" s="187">
        <v>3</v>
      </c>
      <c r="B837" s="242">
        <f t="shared" si="373"/>
        <v>45717</v>
      </c>
      <c r="C837" s="243">
        <f t="shared" si="354"/>
        <v>45747</v>
      </c>
      <c r="D837" s="120">
        <f t="shared" si="355"/>
        <v>31</v>
      </c>
      <c r="E837" s="120">
        <f t="shared" si="356"/>
        <v>3</v>
      </c>
      <c r="F837" s="275">
        <f t="shared" si="357"/>
        <v>45732.5</v>
      </c>
      <c r="G837" s="120">
        <f t="shared" si="358"/>
        <v>24302</v>
      </c>
      <c r="H837" s="245">
        <f t="shared" si="359"/>
        <v>1</v>
      </c>
      <c r="I837" s="121">
        <f t="shared" si="360"/>
        <v>1</v>
      </c>
      <c r="J837" s="121">
        <f t="shared" si="361"/>
        <v>1</v>
      </c>
      <c r="K837" s="120">
        <f t="shared" si="362"/>
        <v>0</v>
      </c>
      <c r="L837" s="120">
        <f t="shared" si="363"/>
        <v>0</v>
      </c>
      <c r="M837" s="246">
        <f t="shared" si="364"/>
        <v>0</v>
      </c>
      <c r="N837" s="121">
        <f t="shared" si="365"/>
        <v>1</v>
      </c>
      <c r="O837" s="246">
        <f t="shared" si="366"/>
        <v>1.0023304157549233</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87">
        <v>4</v>
      </c>
      <c r="B838" s="242">
        <f t="shared" si="373"/>
        <v>45748</v>
      </c>
      <c r="C838" s="243">
        <f t="shared" si="354"/>
        <v>45777</v>
      </c>
      <c r="D838" s="120">
        <f t="shared" si="355"/>
        <v>30</v>
      </c>
      <c r="E838" s="120">
        <f t="shared" si="356"/>
        <v>4</v>
      </c>
      <c r="F838" s="275">
        <f t="shared" si="357"/>
        <v>45763</v>
      </c>
      <c r="G838" s="120">
        <f t="shared" si="358"/>
        <v>24303</v>
      </c>
      <c r="H838" s="245">
        <f t="shared" si="359"/>
        <v>1</v>
      </c>
      <c r="I838" s="121">
        <f t="shared" si="360"/>
        <v>1</v>
      </c>
      <c r="J838" s="121">
        <f t="shared" si="361"/>
        <v>1</v>
      </c>
      <c r="K838" s="120">
        <f t="shared" si="362"/>
        <v>0</v>
      </c>
      <c r="L838" s="120">
        <f t="shared" si="363"/>
        <v>0</v>
      </c>
      <c r="M838" s="246">
        <f t="shared" si="364"/>
        <v>0</v>
      </c>
      <c r="N838" s="121">
        <f t="shared" si="365"/>
        <v>1</v>
      </c>
      <c r="O838" s="246">
        <f t="shared" si="366"/>
        <v>1.0016630196936542</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87">
        <v>5</v>
      </c>
      <c r="B839" s="242">
        <f t="shared" si="373"/>
        <v>45778</v>
      </c>
      <c r="C839" s="243">
        <f t="shared" si="354"/>
        <v>45808</v>
      </c>
      <c r="D839" s="120">
        <f t="shared" si="355"/>
        <v>31</v>
      </c>
      <c r="E839" s="120">
        <f t="shared" si="356"/>
        <v>5</v>
      </c>
      <c r="F839" s="275">
        <f t="shared" si="357"/>
        <v>45793.5</v>
      </c>
      <c r="G839" s="120">
        <f t="shared" si="358"/>
        <v>24304</v>
      </c>
      <c r="H839" s="245">
        <f t="shared" si="359"/>
        <v>1</v>
      </c>
      <c r="I839" s="121">
        <f t="shared" si="360"/>
        <v>1</v>
      </c>
      <c r="J839" s="121">
        <f t="shared" si="361"/>
        <v>1</v>
      </c>
      <c r="K839" s="120">
        <f t="shared" si="362"/>
        <v>0</v>
      </c>
      <c r="L839" s="120">
        <f t="shared" si="363"/>
        <v>0</v>
      </c>
      <c r="M839" s="246">
        <f t="shared" si="364"/>
        <v>0</v>
      </c>
      <c r="N839" s="121">
        <f t="shared" si="365"/>
        <v>1</v>
      </c>
      <c r="O839" s="246">
        <f t="shared" si="366"/>
        <v>1.0009956236323851</v>
      </c>
      <c r="P839" s="121">
        <f t="shared" si="367"/>
        <v>0.375</v>
      </c>
      <c r="Q839" s="121">
        <f t="shared" si="368"/>
        <v>0</v>
      </c>
      <c r="R839" s="121">
        <f t="shared" si="369"/>
        <v>0</v>
      </c>
      <c r="S839" s="121" t="str">
        <f t="shared" si="370"/>
        <v/>
      </c>
      <c r="T839" s="121" t="str">
        <f t="shared" si="371"/>
        <v/>
      </c>
      <c r="U839" s="121">
        <f t="shared" si="372"/>
        <v>1</v>
      </c>
    </row>
    <row r="840" spans="1:21" x14ac:dyDescent="0.3">
      <c r="A840" s="187">
        <v>6</v>
      </c>
      <c r="B840" s="242">
        <f t="shared" si="373"/>
        <v>45809</v>
      </c>
      <c r="C840" s="243">
        <f t="shared" si="354"/>
        <v>45838</v>
      </c>
      <c r="D840" s="120">
        <f t="shared" si="355"/>
        <v>30</v>
      </c>
      <c r="E840" s="120">
        <f t="shared" si="356"/>
        <v>6</v>
      </c>
      <c r="F840" s="275">
        <f t="shared" si="357"/>
        <v>45824</v>
      </c>
      <c r="G840" s="120">
        <f t="shared" si="358"/>
        <v>24305</v>
      </c>
      <c r="H840" s="245">
        <f t="shared" si="359"/>
        <v>1</v>
      </c>
      <c r="I840" s="121">
        <f t="shared" si="360"/>
        <v>1</v>
      </c>
      <c r="J840" s="121">
        <f t="shared" si="361"/>
        <v>1</v>
      </c>
      <c r="K840" s="120">
        <f t="shared" si="362"/>
        <v>0</v>
      </c>
      <c r="L840" s="120">
        <f t="shared" si="363"/>
        <v>0</v>
      </c>
      <c r="M840" s="246">
        <f t="shared" si="364"/>
        <v>0</v>
      </c>
      <c r="N840" s="121">
        <f t="shared" si="365"/>
        <v>1</v>
      </c>
      <c r="O840" s="246">
        <f t="shared" si="366"/>
        <v>1.0003282275711158</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87">
        <v>7</v>
      </c>
      <c r="B841" s="242">
        <f t="shared" si="373"/>
        <v>45839</v>
      </c>
      <c r="C841" s="243">
        <f t="shared" si="354"/>
        <v>45869</v>
      </c>
      <c r="D841" s="120">
        <f t="shared" si="355"/>
        <v>31</v>
      </c>
      <c r="E841" s="120">
        <f t="shared" si="356"/>
        <v>7</v>
      </c>
      <c r="F841" s="275">
        <f t="shared" si="357"/>
        <v>45854.5</v>
      </c>
      <c r="G841" s="120">
        <f t="shared" si="358"/>
        <v>24306</v>
      </c>
      <c r="H841" s="245">
        <f t="shared" si="359"/>
        <v>1</v>
      </c>
      <c r="I841" s="121">
        <f t="shared" si="360"/>
        <v>1</v>
      </c>
      <c r="J841" s="121">
        <f t="shared" si="361"/>
        <v>1</v>
      </c>
      <c r="K841" s="120">
        <f t="shared" si="362"/>
        <v>0</v>
      </c>
      <c r="L841" s="120">
        <f t="shared" si="363"/>
        <v>0</v>
      </c>
      <c r="M841" s="246">
        <f t="shared" si="364"/>
        <v>0</v>
      </c>
      <c r="N841" s="121">
        <f t="shared" si="365"/>
        <v>1</v>
      </c>
      <c r="O841" s="246">
        <f t="shared" si="366"/>
        <v>0.99966083150984675</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87">
        <v>8</v>
      </c>
      <c r="B842" s="242">
        <f t="shared" si="373"/>
        <v>45870</v>
      </c>
      <c r="C842" s="243">
        <f t="shared" si="354"/>
        <v>45900</v>
      </c>
      <c r="D842" s="120">
        <f t="shared" si="355"/>
        <v>31</v>
      </c>
      <c r="E842" s="120">
        <f t="shared" si="356"/>
        <v>8</v>
      </c>
      <c r="F842" s="275">
        <f t="shared" si="357"/>
        <v>45885.5</v>
      </c>
      <c r="G842" s="120">
        <f t="shared" si="358"/>
        <v>24307</v>
      </c>
      <c r="H842" s="245">
        <f t="shared" si="359"/>
        <v>1</v>
      </c>
      <c r="I842" s="121">
        <f t="shared" si="360"/>
        <v>1</v>
      </c>
      <c r="J842" s="121">
        <f t="shared" si="361"/>
        <v>1</v>
      </c>
      <c r="K842" s="120">
        <f t="shared" si="362"/>
        <v>0</v>
      </c>
      <c r="L842" s="120">
        <f t="shared" si="363"/>
        <v>0</v>
      </c>
      <c r="M842" s="246">
        <f t="shared" si="364"/>
        <v>0</v>
      </c>
      <c r="N842" s="121">
        <f t="shared" si="365"/>
        <v>1</v>
      </c>
      <c r="O842" s="246">
        <f t="shared" si="366"/>
        <v>0.99898249452954047</v>
      </c>
      <c r="P842" s="121">
        <f t="shared" si="367"/>
        <v>0.625</v>
      </c>
      <c r="Q842" s="121">
        <f t="shared" si="368"/>
        <v>0</v>
      </c>
      <c r="R842" s="121">
        <f t="shared" si="369"/>
        <v>0</v>
      </c>
      <c r="S842" s="121" t="str">
        <f t="shared" si="370"/>
        <v/>
      </c>
      <c r="T842" s="121" t="str">
        <f t="shared" si="371"/>
        <v/>
      </c>
      <c r="U842" s="121">
        <f t="shared" si="372"/>
        <v>1</v>
      </c>
    </row>
    <row r="843" spans="1:21" x14ac:dyDescent="0.3">
      <c r="A843" s="187">
        <v>9</v>
      </c>
      <c r="B843" s="242">
        <f t="shared" si="373"/>
        <v>45901</v>
      </c>
      <c r="C843" s="243">
        <f t="shared" si="354"/>
        <v>45930</v>
      </c>
      <c r="D843" s="120">
        <f t="shared" si="355"/>
        <v>30</v>
      </c>
      <c r="E843" s="120">
        <f t="shared" si="356"/>
        <v>9</v>
      </c>
      <c r="F843" s="275">
        <f t="shared" si="357"/>
        <v>45916</v>
      </c>
      <c r="G843" s="120">
        <f t="shared" si="358"/>
        <v>24308</v>
      </c>
      <c r="H843" s="245">
        <f t="shared" si="359"/>
        <v>1</v>
      </c>
      <c r="I843" s="121">
        <f t="shared" si="360"/>
        <v>1</v>
      </c>
      <c r="J843" s="121">
        <f t="shared" si="361"/>
        <v>1</v>
      </c>
      <c r="K843" s="120">
        <f t="shared" si="362"/>
        <v>0</v>
      </c>
      <c r="L843" s="120">
        <f t="shared" si="363"/>
        <v>0</v>
      </c>
      <c r="M843" s="246">
        <f t="shared" si="364"/>
        <v>0</v>
      </c>
      <c r="N843" s="121">
        <f t="shared" si="365"/>
        <v>1</v>
      </c>
      <c r="O843" s="246">
        <f t="shared" si="366"/>
        <v>0.99831509846827127</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87">
        <v>10</v>
      </c>
      <c r="B844" s="242">
        <f t="shared" si="373"/>
        <v>45931</v>
      </c>
      <c r="C844" s="243">
        <f t="shared" si="354"/>
        <v>45961</v>
      </c>
      <c r="D844" s="120">
        <f t="shared" si="355"/>
        <v>31</v>
      </c>
      <c r="E844" s="120">
        <f t="shared" si="356"/>
        <v>10</v>
      </c>
      <c r="F844" s="275">
        <f t="shared" si="357"/>
        <v>45946.5</v>
      </c>
      <c r="G844" s="120">
        <f t="shared" si="358"/>
        <v>24309</v>
      </c>
      <c r="H844" s="245">
        <f t="shared" si="359"/>
        <v>1</v>
      </c>
      <c r="I844" s="121">
        <f t="shared" si="360"/>
        <v>1</v>
      </c>
      <c r="J844" s="121">
        <f t="shared" si="361"/>
        <v>1</v>
      </c>
      <c r="K844" s="120">
        <f t="shared" si="362"/>
        <v>0</v>
      </c>
      <c r="L844" s="120">
        <f t="shared" si="363"/>
        <v>0</v>
      </c>
      <c r="M844" s="246">
        <f t="shared" si="364"/>
        <v>0</v>
      </c>
      <c r="N844" s="121">
        <f t="shared" si="365"/>
        <v>1</v>
      </c>
      <c r="O844" s="246">
        <f t="shared" si="366"/>
        <v>0.99764770240700218</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87">
        <v>11</v>
      </c>
      <c r="B845" s="242">
        <f t="shared" si="373"/>
        <v>45962</v>
      </c>
      <c r="C845" s="243">
        <f t="shared" si="354"/>
        <v>45991</v>
      </c>
      <c r="D845" s="120">
        <f t="shared" si="355"/>
        <v>30</v>
      </c>
      <c r="E845" s="120">
        <f t="shared" si="356"/>
        <v>11</v>
      </c>
      <c r="F845" s="275">
        <f t="shared" si="357"/>
        <v>45977</v>
      </c>
      <c r="G845" s="120">
        <f t="shared" si="358"/>
        <v>24310</v>
      </c>
      <c r="H845" s="245">
        <f t="shared" si="359"/>
        <v>1</v>
      </c>
      <c r="I845" s="121">
        <f t="shared" si="360"/>
        <v>1</v>
      </c>
      <c r="J845" s="121">
        <f t="shared" si="361"/>
        <v>1</v>
      </c>
      <c r="K845" s="120">
        <f t="shared" si="362"/>
        <v>0</v>
      </c>
      <c r="L845" s="120">
        <f t="shared" si="363"/>
        <v>0</v>
      </c>
      <c r="M845" s="246">
        <f t="shared" si="364"/>
        <v>0</v>
      </c>
      <c r="N845" s="121">
        <f t="shared" si="365"/>
        <v>1</v>
      </c>
      <c r="O845" s="246">
        <f t="shared" si="366"/>
        <v>0.99698030634573298</v>
      </c>
      <c r="P845" s="121">
        <f t="shared" si="367"/>
        <v>0.875</v>
      </c>
      <c r="Q845" s="121">
        <f t="shared" si="368"/>
        <v>0</v>
      </c>
      <c r="R845" s="121">
        <f t="shared" si="369"/>
        <v>0</v>
      </c>
      <c r="S845" s="121" t="str">
        <f t="shared" si="370"/>
        <v/>
      </c>
      <c r="T845" s="121" t="str">
        <f t="shared" si="371"/>
        <v/>
      </c>
      <c r="U845" s="121">
        <f t="shared" si="372"/>
        <v>1</v>
      </c>
    </row>
    <row r="846" spans="1:21" x14ac:dyDescent="0.3">
      <c r="A846" s="187">
        <v>12</v>
      </c>
      <c r="B846" s="242">
        <f t="shared" si="373"/>
        <v>45992</v>
      </c>
      <c r="C846" s="243">
        <f t="shared" si="354"/>
        <v>46022</v>
      </c>
      <c r="D846" s="120">
        <f t="shared" si="355"/>
        <v>31</v>
      </c>
      <c r="E846" s="120">
        <f t="shared" si="356"/>
        <v>12</v>
      </c>
      <c r="F846" s="275">
        <f t="shared" si="357"/>
        <v>46007.5</v>
      </c>
      <c r="G846" s="120">
        <f t="shared" si="358"/>
        <v>24311</v>
      </c>
      <c r="H846" s="245">
        <f t="shared" si="359"/>
        <v>1</v>
      </c>
      <c r="I846" s="121">
        <f t="shared" si="360"/>
        <v>1</v>
      </c>
      <c r="J846" s="121">
        <f t="shared" si="361"/>
        <v>1</v>
      </c>
      <c r="K846" s="120">
        <f t="shared" si="362"/>
        <v>0</v>
      </c>
      <c r="L846" s="120">
        <f t="shared" si="363"/>
        <v>0</v>
      </c>
      <c r="M846" s="246">
        <f t="shared" si="364"/>
        <v>0</v>
      </c>
      <c r="N846" s="121">
        <f t="shared" si="365"/>
        <v>1</v>
      </c>
      <c r="O846" s="246">
        <f t="shared" si="366"/>
        <v>0.99631291028446389</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87">
        <v>13</v>
      </c>
      <c r="B847" s="242">
        <f t="shared" si="373"/>
        <v>46023</v>
      </c>
      <c r="C847" s="243">
        <f t="shared" si="354"/>
        <v>46053</v>
      </c>
      <c r="D847" s="120">
        <f t="shared" si="355"/>
        <v>31</v>
      </c>
      <c r="E847" s="120">
        <f t="shared" si="356"/>
        <v>1</v>
      </c>
      <c r="F847" s="275">
        <f t="shared" si="357"/>
        <v>46038.5</v>
      </c>
      <c r="G847" s="120">
        <f t="shared" si="358"/>
        <v>24312</v>
      </c>
      <c r="H847" s="245">
        <f t="shared" si="359"/>
        <v>1</v>
      </c>
      <c r="I847" s="121">
        <f t="shared" si="360"/>
        <v>1</v>
      </c>
      <c r="J847" s="121">
        <f t="shared" si="361"/>
        <v>1</v>
      </c>
      <c r="K847" s="120">
        <f t="shared" si="362"/>
        <v>0</v>
      </c>
      <c r="L847" s="120">
        <f t="shared" si="363"/>
        <v>0</v>
      </c>
      <c r="M847" s="246">
        <f t="shared" si="364"/>
        <v>0</v>
      </c>
      <c r="N847" s="121">
        <f t="shared" si="365"/>
        <v>1</v>
      </c>
      <c r="O847" s="246">
        <f t="shared" si="366"/>
        <v>0.9956345733041575</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87">
        <v>14</v>
      </c>
      <c r="B848" s="242">
        <f t="shared" si="373"/>
        <v>46054</v>
      </c>
      <c r="C848" s="243">
        <f t="shared" si="354"/>
        <v>46081</v>
      </c>
      <c r="D848" s="120">
        <f t="shared" si="355"/>
        <v>28</v>
      </c>
      <c r="E848" s="120">
        <f t="shared" si="356"/>
        <v>2</v>
      </c>
      <c r="F848" s="275">
        <f t="shared" si="357"/>
        <v>46068</v>
      </c>
      <c r="G848" s="120">
        <f t="shared" si="358"/>
        <v>24313</v>
      </c>
      <c r="H848" s="245">
        <f t="shared" si="359"/>
        <v>1</v>
      </c>
      <c r="I848" s="121">
        <f t="shared" si="360"/>
        <v>1</v>
      </c>
      <c r="J848" s="121">
        <f t="shared" si="361"/>
        <v>1</v>
      </c>
      <c r="K848" s="120">
        <f t="shared" si="362"/>
        <v>0</v>
      </c>
      <c r="L848" s="120">
        <f t="shared" si="363"/>
        <v>0</v>
      </c>
      <c r="M848" s="246">
        <f t="shared" si="364"/>
        <v>0</v>
      </c>
      <c r="N848" s="121">
        <f t="shared" si="365"/>
        <v>1</v>
      </c>
      <c r="O848" s="246">
        <f t="shared" si="366"/>
        <v>0.9949890590809628</v>
      </c>
      <c r="P848" s="121">
        <f t="shared" si="367"/>
        <v>0.875</v>
      </c>
      <c r="Q848" s="121">
        <f t="shared" si="368"/>
        <v>0.125</v>
      </c>
      <c r="R848" s="121">
        <f t="shared" si="369"/>
        <v>0</v>
      </c>
      <c r="S848" s="121" t="str">
        <f t="shared" si="370"/>
        <v/>
      </c>
      <c r="T848" s="121" t="str">
        <f t="shared" si="371"/>
        <v/>
      </c>
      <c r="U848" s="121">
        <f t="shared" si="372"/>
        <v>1</v>
      </c>
    </row>
    <row r="849" spans="1:21" x14ac:dyDescent="0.3">
      <c r="A849" s="187">
        <v>15</v>
      </c>
      <c r="B849" s="242">
        <f t="shared" si="373"/>
        <v>46082</v>
      </c>
      <c r="C849" s="243">
        <f t="shared" si="354"/>
        <v>46112</v>
      </c>
      <c r="D849" s="120">
        <f t="shared" si="355"/>
        <v>31</v>
      </c>
      <c r="E849" s="120">
        <f t="shared" si="356"/>
        <v>3</v>
      </c>
      <c r="F849" s="275">
        <f t="shared" si="357"/>
        <v>46097.5</v>
      </c>
      <c r="G849" s="120">
        <f t="shared" si="358"/>
        <v>24314</v>
      </c>
      <c r="H849" s="245">
        <f t="shared" si="359"/>
        <v>1</v>
      </c>
      <c r="I849" s="121">
        <f t="shared" si="360"/>
        <v>1</v>
      </c>
      <c r="J849" s="121">
        <f t="shared" si="361"/>
        <v>1</v>
      </c>
      <c r="K849" s="120">
        <f t="shared" si="362"/>
        <v>0</v>
      </c>
      <c r="L849" s="120">
        <f t="shared" si="363"/>
        <v>0</v>
      </c>
      <c r="M849" s="246">
        <f t="shared" si="364"/>
        <v>0</v>
      </c>
      <c r="N849" s="121">
        <f t="shared" si="365"/>
        <v>1</v>
      </c>
      <c r="O849" s="246">
        <f t="shared" si="366"/>
        <v>0.99434354485776799</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87">
        <v>16</v>
      </c>
      <c r="B850" s="242">
        <f t="shared" si="373"/>
        <v>46113</v>
      </c>
      <c r="C850" s="243">
        <f t="shared" si="354"/>
        <v>46142</v>
      </c>
      <c r="D850" s="120">
        <f t="shared" si="355"/>
        <v>30</v>
      </c>
      <c r="E850" s="120">
        <f t="shared" si="356"/>
        <v>4</v>
      </c>
      <c r="F850" s="275">
        <f t="shared" si="357"/>
        <v>46128</v>
      </c>
      <c r="G850" s="120">
        <f t="shared" si="358"/>
        <v>24315</v>
      </c>
      <c r="H850" s="245">
        <f t="shared" si="359"/>
        <v>1</v>
      </c>
      <c r="I850" s="121">
        <f t="shared" si="360"/>
        <v>1</v>
      </c>
      <c r="J850" s="121">
        <f t="shared" si="361"/>
        <v>1</v>
      </c>
      <c r="K850" s="120">
        <f t="shared" si="362"/>
        <v>0</v>
      </c>
      <c r="L850" s="120">
        <f t="shared" si="363"/>
        <v>0</v>
      </c>
      <c r="M850" s="246">
        <f t="shared" si="364"/>
        <v>0</v>
      </c>
      <c r="N850" s="121">
        <f t="shared" si="365"/>
        <v>1</v>
      </c>
      <c r="O850" s="246">
        <f t="shared" si="366"/>
        <v>0.9936761487964989</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87">
        <v>17</v>
      </c>
      <c r="B851" s="242">
        <f t="shared" si="373"/>
        <v>46143</v>
      </c>
      <c r="C851" s="243">
        <f t="shared" si="354"/>
        <v>46173</v>
      </c>
      <c r="D851" s="120">
        <f t="shared" si="355"/>
        <v>31</v>
      </c>
      <c r="E851" s="120">
        <f t="shared" si="356"/>
        <v>5</v>
      </c>
      <c r="F851" s="275">
        <f t="shared" si="357"/>
        <v>46158.5</v>
      </c>
      <c r="G851" s="120">
        <f t="shared" si="358"/>
        <v>24316</v>
      </c>
      <c r="H851" s="245">
        <f t="shared" si="359"/>
        <v>1</v>
      </c>
      <c r="I851" s="121">
        <f t="shared" si="360"/>
        <v>1</v>
      </c>
      <c r="J851" s="121">
        <f t="shared" si="361"/>
        <v>1</v>
      </c>
      <c r="K851" s="120">
        <f t="shared" si="362"/>
        <v>0</v>
      </c>
      <c r="L851" s="120">
        <f t="shared" si="363"/>
        <v>0</v>
      </c>
      <c r="M851" s="246">
        <f t="shared" si="364"/>
        <v>0</v>
      </c>
      <c r="N851" s="121">
        <f t="shared" si="365"/>
        <v>1</v>
      </c>
      <c r="O851" s="246">
        <f t="shared" si="366"/>
        <v>0.9930087527352297</v>
      </c>
      <c r="P851" s="121">
        <f t="shared" si="367"/>
        <v>0.625</v>
      </c>
      <c r="Q851" s="121">
        <f t="shared" si="368"/>
        <v>0.375</v>
      </c>
      <c r="R851" s="121">
        <f t="shared" si="369"/>
        <v>0</v>
      </c>
      <c r="S851" s="121" t="str">
        <f t="shared" si="370"/>
        <v/>
      </c>
      <c r="T851" s="121" t="str">
        <f t="shared" si="371"/>
        <v/>
      </c>
      <c r="U851" s="121">
        <f t="shared" si="372"/>
        <v>1</v>
      </c>
    </row>
    <row r="852" spans="1:21" x14ac:dyDescent="0.3">
      <c r="A852" s="187">
        <v>18</v>
      </c>
      <c r="B852" s="242">
        <f t="shared" si="373"/>
        <v>46174</v>
      </c>
      <c r="C852" s="243">
        <f t="shared" si="354"/>
        <v>46203</v>
      </c>
      <c r="D852" s="120">
        <f t="shared" si="355"/>
        <v>30</v>
      </c>
      <c r="E852" s="120">
        <f t="shared" si="356"/>
        <v>6</v>
      </c>
      <c r="F852" s="275">
        <f t="shared" si="357"/>
        <v>46189</v>
      </c>
      <c r="G852" s="120">
        <f t="shared" si="358"/>
        <v>24317</v>
      </c>
      <c r="H852" s="245">
        <f t="shared" si="359"/>
        <v>1</v>
      </c>
      <c r="I852" s="121">
        <f t="shared" si="360"/>
        <v>1</v>
      </c>
      <c r="J852" s="121">
        <f t="shared" si="361"/>
        <v>1</v>
      </c>
      <c r="K852" s="120">
        <f t="shared" si="362"/>
        <v>0</v>
      </c>
      <c r="L852" s="120">
        <f t="shared" si="363"/>
        <v>0</v>
      </c>
      <c r="M852" s="246">
        <f t="shared" si="364"/>
        <v>0</v>
      </c>
      <c r="N852" s="121">
        <f t="shared" si="365"/>
        <v>1</v>
      </c>
      <c r="O852" s="246">
        <f t="shared" si="366"/>
        <v>0.99234135667396062</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87">
        <v>19</v>
      </c>
      <c r="B853" s="242">
        <f t="shared" si="373"/>
        <v>46204</v>
      </c>
      <c r="C853" s="243">
        <f t="shared" si="354"/>
        <v>46234</v>
      </c>
      <c r="D853" s="120">
        <f t="shared" si="355"/>
        <v>31</v>
      </c>
      <c r="E853" s="120">
        <f t="shared" si="356"/>
        <v>7</v>
      </c>
      <c r="F853" s="275">
        <f t="shared" si="357"/>
        <v>46219.5</v>
      </c>
      <c r="G853" s="120">
        <f t="shared" si="358"/>
        <v>24318</v>
      </c>
      <c r="H853" s="245">
        <f t="shared" si="359"/>
        <v>1</v>
      </c>
      <c r="I853" s="121">
        <f t="shared" si="360"/>
        <v>1</v>
      </c>
      <c r="J853" s="121">
        <f t="shared" si="361"/>
        <v>1</v>
      </c>
      <c r="K853" s="120">
        <f t="shared" si="362"/>
        <v>0</v>
      </c>
      <c r="L853" s="120">
        <f t="shared" si="363"/>
        <v>0</v>
      </c>
      <c r="M853" s="246">
        <f t="shared" si="364"/>
        <v>0</v>
      </c>
      <c r="N853" s="121">
        <f t="shared" si="365"/>
        <v>1</v>
      </c>
      <c r="O853" s="246">
        <f t="shared" si="366"/>
        <v>0.99167396061269142</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87">
        <v>20</v>
      </c>
      <c r="B854" s="242">
        <f t="shared" si="373"/>
        <v>46235</v>
      </c>
      <c r="C854" s="243">
        <f t="shared" si="354"/>
        <v>46265</v>
      </c>
      <c r="D854" s="120">
        <f t="shared" si="355"/>
        <v>31</v>
      </c>
      <c r="E854" s="120">
        <f t="shared" si="356"/>
        <v>8</v>
      </c>
      <c r="F854" s="275">
        <f t="shared" si="357"/>
        <v>46250.5</v>
      </c>
      <c r="G854" s="120">
        <f t="shared" si="358"/>
        <v>24319</v>
      </c>
      <c r="H854" s="245">
        <f t="shared" si="359"/>
        <v>1</v>
      </c>
      <c r="I854" s="121">
        <f t="shared" si="360"/>
        <v>1</v>
      </c>
      <c r="J854" s="121">
        <f t="shared" si="361"/>
        <v>1</v>
      </c>
      <c r="K854" s="120">
        <f t="shared" si="362"/>
        <v>0</v>
      </c>
      <c r="L854" s="120">
        <f t="shared" si="363"/>
        <v>0</v>
      </c>
      <c r="M854" s="246">
        <f t="shared" si="364"/>
        <v>0</v>
      </c>
      <c r="N854" s="121">
        <f t="shared" si="365"/>
        <v>1</v>
      </c>
      <c r="O854" s="246">
        <f t="shared" si="366"/>
        <v>0.99099562363238514</v>
      </c>
      <c r="P854" s="121">
        <f t="shared" si="367"/>
        <v>0.375</v>
      </c>
      <c r="Q854" s="121">
        <f t="shared" si="368"/>
        <v>0.625</v>
      </c>
      <c r="R854" s="121">
        <f t="shared" si="369"/>
        <v>0</v>
      </c>
      <c r="S854" s="121" t="str">
        <f t="shared" si="370"/>
        <v/>
      </c>
      <c r="T854" s="121" t="str">
        <f t="shared" si="371"/>
        <v/>
      </c>
      <c r="U854" s="121">
        <f t="shared" si="372"/>
        <v>1</v>
      </c>
    </row>
    <row r="855" spans="1:21" x14ac:dyDescent="0.3">
      <c r="A855" s="187">
        <v>21</v>
      </c>
      <c r="B855" s="242">
        <f t="shared" si="373"/>
        <v>46266</v>
      </c>
      <c r="C855" s="243">
        <f t="shared" si="354"/>
        <v>46295</v>
      </c>
      <c r="D855" s="120">
        <f t="shared" si="355"/>
        <v>30</v>
      </c>
      <c r="E855" s="120">
        <f t="shared" si="356"/>
        <v>9</v>
      </c>
      <c r="F855" s="275">
        <f t="shared" si="357"/>
        <v>46281</v>
      </c>
      <c r="G855" s="120">
        <f t="shared" si="358"/>
        <v>24320</v>
      </c>
      <c r="H855" s="245">
        <f t="shared" si="359"/>
        <v>1</v>
      </c>
      <c r="I855" s="121">
        <f t="shared" si="360"/>
        <v>1</v>
      </c>
      <c r="J855" s="121">
        <f t="shared" si="361"/>
        <v>1</v>
      </c>
      <c r="K855" s="120">
        <f t="shared" si="362"/>
        <v>0</v>
      </c>
      <c r="L855" s="120">
        <f t="shared" si="363"/>
        <v>0</v>
      </c>
      <c r="M855" s="246">
        <f t="shared" si="364"/>
        <v>0</v>
      </c>
      <c r="N855" s="121">
        <f t="shared" si="365"/>
        <v>1</v>
      </c>
      <c r="O855" s="246">
        <f t="shared" si="366"/>
        <v>0.99032822757111594</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87">
        <v>22</v>
      </c>
      <c r="B856" s="242">
        <f t="shared" si="373"/>
        <v>46296</v>
      </c>
      <c r="C856" s="243">
        <f t="shared" si="354"/>
        <v>46326</v>
      </c>
      <c r="D856" s="120">
        <f t="shared" si="355"/>
        <v>31</v>
      </c>
      <c r="E856" s="120">
        <f t="shared" si="356"/>
        <v>10</v>
      </c>
      <c r="F856" s="275">
        <f t="shared" si="357"/>
        <v>46311.5</v>
      </c>
      <c r="G856" s="120">
        <f t="shared" si="358"/>
        <v>24321</v>
      </c>
      <c r="H856" s="245">
        <f t="shared" si="359"/>
        <v>1</v>
      </c>
      <c r="I856" s="121">
        <f t="shared" si="360"/>
        <v>1</v>
      </c>
      <c r="J856" s="121">
        <f t="shared" si="361"/>
        <v>1</v>
      </c>
      <c r="K856" s="120">
        <f t="shared" si="362"/>
        <v>0</v>
      </c>
      <c r="L856" s="120">
        <f t="shared" si="363"/>
        <v>0</v>
      </c>
      <c r="M856" s="246">
        <f t="shared" si="364"/>
        <v>0</v>
      </c>
      <c r="N856" s="121">
        <f t="shared" si="365"/>
        <v>1</v>
      </c>
      <c r="O856" s="246">
        <f t="shared" si="366"/>
        <v>0.98966083150984685</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87">
        <v>23</v>
      </c>
      <c r="B857" s="242">
        <f t="shared" si="373"/>
        <v>46327</v>
      </c>
      <c r="C857" s="243">
        <f t="shared" si="354"/>
        <v>46356</v>
      </c>
      <c r="D857" s="120">
        <f t="shared" si="355"/>
        <v>30</v>
      </c>
      <c r="E857" s="120">
        <f t="shared" si="356"/>
        <v>11</v>
      </c>
      <c r="F857" s="275">
        <f t="shared" si="357"/>
        <v>46342</v>
      </c>
      <c r="G857" s="120">
        <f t="shared" si="358"/>
        <v>24322</v>
      </c>
      <c r="H857" s="245">
        <f t="shared" si="359"/>
        <v>1</v>
      </c>
      <c r="I857" s="121">
        <f t="shared" si="360"/>
        <v>1</v>
      </c>
      <c r="J857" s="121">
        <f t="shared" si="361"/>
        <v>1</v>
      </c>
      <c r="K857" s="120">
        <f t="shared" si="362"/>
        <v>0</v>
      </c>
      <c r="L857" s="120">
        <f t="shared" si="363"/>
        <v>0</v>
      </c>
      <c r="M857" s="246">
        <f t="shared" si="364"/>
        <v>0</v>
      </c>
      <c r="N857" s="121">
        <f t="shared" si="365"/>
        <v>1</v>
      </c>
      <c r="O857" s="246">
        <f t="shared" si="366"/>
        <v>0.98899343544857765</v>
      </c>
      <c r="P857" s="121">
        <f t="shared" si="367"/>
        <v>0.125</v>
      </c>
      <c r="Q857" s="121">
        <f t="shared" si="368"/>
        <v>0.875</v>
      </c>
      <c r="R857" s="121">
        <f t="shared" si="369"/>
        <v>0</v>
      </c>
      <c r="S857" s="121" t="str">
        <f t="shared" si="370"/>
        <v/>
      </c>
      <c r="T857" s="121" t="str">
        <f t="shared" si="371"/>
        <v/>
      </c>
      <c r="U857" s="121">
        <f t="shared" si="372"/>
        <v>1</v>
      </c>
    </row>
    <row r="858" spans="1:21" x14ac:dyDescent="0.3">
      <c r="A858" s="187">
        <v>24</v>
      </c>
      <c r="B858" s="242">
        <f t="shared" si="373"/>
        <v>46357</v>
      </c>
      <c r="C858" s="243">
        <f t="shared" si="354"/>
        <v>46387</v>
      </c>
      <c r="D858" s="120">
        <f t="shared" si="355"/>
        <v>31</v>
      </c>
      <c r="E858" s="120">
        <f t="shared" si="356"/>
        <v>12</v>
      </c>
      <c r="F858" s="275">
        <f t="shared" si="357"/>
        <v>46372.5</v>
      </c>
      <c r="G858" s="120">
        <f t="shared" si="358"/>
        <v>24323</v>
      </c>
      <c r="H858" s="245">
        <f t="shared" si="359"/>
        <v>1</v>
      </c>
      <c r="I858" s="121">
        <f t="shared" si="360"/>
        <v>1</v>
      </c>
      <c r="J858" s="121">
        <f t="shared" si="361"/>
        <v>1</v>
      </c>
      <c r="K858" s="120">
        <f t="shared" si="362"/>
        <v>0</v>
      </c>
      <c r="L858" s="120">
        <f t="shared" si="363"/>
        <v>0</v>
      </c>
      <c r="M858" s="246">
        <f t="shared" si="364"/>
        <v>0</v>
      </c>
      <c r="N858" s="121">
        <f t="shared" si="365"/>
        <v>1</v>
      </c>
      <c r="O858" s="246">
        <f t="shared" si="366"/>
        <v>0.98832603938730856</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87">
        <v>25</v>
      </c>
      <c r="B859" s="242">
        <f t="shared" si="373"/>
        <v>46388</v>
      </c>
      <c r="C859" s="243">
        <f t="shared" si="354"/>
        <v>46418</v>
      </c>
      <c r="D859" s="120">
        <f t="shared" si="355"/>
        <v>31</v>
      </c>
      <c r="E859" s="120">
        <f t="shared" si="356"/>
        <v>1</v>
      </c>
      <c r="F859" s="275">
        <f t="shared" si="357"/>
        <v>46403.5</v>
      </c>
      <c r="G859" s="120">
        <f t="shared" si="358"/>
        <v>24324</v>
      </c>
      <c r="H859" s="245">
        <f t="shared" si="359"/>
        <v>1</v>
      </c>
      <c r="I859" s="121">
        <f t="shared" si="360"/>
        <v>1</v>
      </c>
      <c r="J859" s="121">
        <f t="shared" si="361"/>
        <v>1</v>
      </c>
      <c r="K859" s="120">
        <f t="shared" si="362"/>
        <v>0</v>
      </c>
      <c r="L859" s="120">
        <f t="shared" si="363"/>
        <v>0</v>
      </c>
      <c r="M859" s="246">
        <f t="shared" si="364"/>
        <v>0</v>
      </c>
      <c r="N859" s="121">
        <f t="shared" si="365"/>
        <v>1</v>
      </c>
      <c r="O859" s="246">
        <f t="shared" si="366"/>
        <v>0.98764770240700217</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87">
        <v>26</v>
      </c>
      <c r="B860" s="242">
        <f t="shared" si="373"/>
        <v>46419</v>
      </c>
      <c r="C860" s="243">
        <f t="shared" si="354"/>
        <v>46446</v>
      </c>
      <c r="D860" s="120">
        <f t="shared" si="355"/>
        <v>28</v>
      </c>
      <c r="E860" s="120">
        <f t="shared" si="356"/>
        <v>2</v>
      </c>
      <c r="F860" s="275">
        <f t="shared" si="357"/>
        <v>46433</v>
      </c>
      <c r="G860" s="120">
        <f t="shared" si="358"/>
        <v>24325</v>
      </c>
      <c r="H860" s="245">
        <f t="shared" si="359"/>
        <v>1</v>
      </c>
      <c r="I860" s="121">
        <f t="shared" si="360"/>
        <v>1</v>
      </c>
      <c r="J860" s="121">
        <f t="shared" si="361"/>
        <v>1</v>
      </c>
      <c r="K860" s="120">
        <f t="shared" si="362"/>
        <v>0</v>
      </c>
      <c r="L860" s="120">
        <f t="shared" si="363"/>
        <v>0</v>
      </c>
      <c r="M860" s="246">
        <f t="shared" si="364"/>
        <v>0</v>
      </c>
      <c r="N860" s="121">
        <f t="shared" si="365"/>
        <v>1</v>
      </c>
      <c r="O860" s="246">
        <f t="shared" si="366"/>
        <v>0.98700218818380747</v>
      </c>
      <c r="P860" s="121">
        <f t="shared" si="367"/>
        <v>0</v>
      </c>
      <c r="Q860" s="121">
        <f t="shared" si="368"/>
        <v>0.875</v>
      </c>
      <c r="R860" s="121">
        <f t="shared" si="369"/>
        <v>0.125</v>
      </c>
      <c r="S860" s="121" t="str">
        <f t="shared" si="370"/>
        <v/>
      </c>
      <c r="T860" s="121" t="str">
        <f t="shared" si="371"/>
        <v/>
      </c>
      <c r="U860" s="121">
        <f t="shared" si="372"/>
        <v>1</v>
      </c>
    </row>
    <row r="861" spans="1:21" x14ac:dyDescent="0.3">
      <c r="A861" s="187">
        <v>27</v>
      </c>
      <c r="B861" s="242">
        <f t="shared" si="373"/>
        <v>46447</v>
      </c>
      <c r="C861" s="243">
        <f t="shared" si="354"/>
        <v>46477</v>
      </c>
      <c r="D861" s="120">
        <f t="shared" si="355"/>
        <v>31</v>
      </c>
      <c r="E861" s="120">
        <f t="shared" si="356"/>
        <v>3</v>
      </c>
      <c r="F861" s="275">
        <f t="shared" si="357"/>
        <v>46462.5</v>
      </c>
      <c r="G861" s="120">
        <f t="shared" si="358"/>
        <v>24326</v>
      </c>
      <c r="H861" s="245">
        <f t="shared" si="359"/>
        <v>1</v>
      </c>
      <c r="I861" s="121">
        <f t="shared" si="360"/>
        <v>1</v>
      </c>
      <c r="J861" s="121">
        <f t="shared" si="361"/>
        <v>1</v>
      </c>
      <c r="K861" s="120">
        <f t="shared" si="362"/>
        <v>0</v>
      </c>
      <c r="L861" s="120">
        <f t="shared" si="363"/>
        <v>0</v>
      </c>
      <c r="M861" s="246">
        <f t="shared" si="364"/>
        <v>0</v>
      </c>
      <c r="N861" s="121">
        <f t="shared" si="365"/>
        <v>1</v>
      </c>
      <c r="O861" s="246">
        <f t="shared" si="366"/>
        <v>0.98635667396061266</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87">
        <v>28</v>
      </c>
      <c r="B862" s="242">
        <f t="shared" si="373"/>
        <v>46478</v>
      </c>
      <c r="C862" s="243">
        <f t="shared" si="354"/>
        <v>46507</v>
      </c>
      <c r="D862" s="120">
        <f t="shared" si="355"/>
        <v>30</v>
      </c>
      <c r="E862" s="120">
        <f t="shared" si="356"/>
        <v>4</v>
      </c>
      <c r="F862" s="275">
        <f t="shared" si="357"/>
        <v>46493</v>
      </c>
      <c r="G862" s="120">
        <f t="shared" si="358"/>
        <v>24327</v>
      </c>
      <c r="H862" s="245">
        <f t="shared" si="359"/>
        <v>1</v>
      </c>
      <c r="I862" s="121">
        <f t="shared" si="360"/>
        <v>1</v>
      </c>
      <c r="J862" s="121">
        <f t="shared" si="361"/>
        <v>1</v>
      </c>
      <c r="K862" s="120">
        <f t="shared" si="362"/>
        <v>0</v>
      </c>
      <c r="L862" s="120">
        <f t="shared" si="363"/>
        <v>0</v>
      </c>
      <c r="M862" s="246">
        <f t="shared" si="364"/>
        <v>0</v>
      </c>
      <c r="N862" s="121">
        <f t="shared" si="365"/>
        <v>1</v>
      </c>
      <c r="O862" s="246">
        <f t="shared" si="366"/>
        <v>0.98568927789934357</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87">
        <v>29</v>
      </c>
      <c r="B863" s="242">
        <f t="shared" si="373"/>
        <v>46508</v>
      </c>
      <c r="C863" s="243">
        <f t="shared" si="354"/>
        <v>46538</v>
      </c>
      <c r="D863" s="120">
        <f t="shared" si="355"/>
        <v>31</v>
      </c>
      <c r="E863" s="120">
        <f t="shared" si="356"/>
        <v>5</v>
      </c>
      <c r="F863" s="275">
        <f t="shared" si="357"/>
        <v>46523.5</v>
      </c>
      <c r="G863" s="120">
        <f t="shared" si="358"/>
        <v>24328</v>
      </c>
      <c r="H863" s="245">
        <f t="shared" si="359"/>
        <v>1</v>
      </c>
      <c r="I863" s="121">
        <f t="shared" si="360"/>
        <v>1</v>
      </c>
      <c r="J863" s="121">
        <f t="shared" si="361"/>
        <v>1</v>
      </c>
      <c r="K863" s="120">
        <f t="shared" si="362"/>
        <v>0</v>
      </c>
      <c r="L863" s="120">
        <f t="shared" si="363"/>
        <v>0</v>
      </c>
      <c r="M863" s="246">
        <f t="shared" si="364"/>
        <v>0</v>
      </c>
      <c r="N863" s="121">
        <f t="shared" si="365"/>
        <v>1</v>
      </c>
      <c r="O863" s="246">
        <f t="shared" si="366"/>
        <v>0.98502188183807438</v>
      </c>
      <c r="P863" s="121">
        <f t="shared" si="367"/>
        <v>0</v>
      </c>
      <c r="Q863" s="121">
        <f t="shared" si="368"/>
        <v>0.625</v>
      </c>
      <c r="R863" s="121">
        <f t="shared" si="369"/>
        <v>0.375</v>
      </c>
      <c r="S863" s="121" t="str">
        <f t="shared" si="370"/>
        <v/>
      </c>
      <c r="T863" s="121" t="str">
        <f t="shared" si="371"/>
        <v/>
      </c>
      <c r="U863" s="121">
        <f t="shared" si="372"/>
        <v>1</v>
      </c>
    </row>
    <row r="864" spans="1:21" x14ac:dyDescent="0.3">
      <c r="A864" s="187">
        <v>30</v>
      </c>
      <c r="B864" s="242">
        <f t="shared" si="373"/>
        <v>46539</v>
      </c>
      <c r="C864" s="243">
        <f t="shared" si="354"/>
        <v>46568</v>
      </c>
      <c r="D864" s="120">
        <f t="shared" si="355"/>
        <v>30</v>
      </c>
      <c r="E864" s="120">
        <f t="shared" si="356"/>
        <v>6</v>
      </c>
      <c r="F864" s="275">
        <f t="shared" si="357"/>
        <v>46554</v>
      </c>
      <c r="G864" s="120">
        <f t="shared" si="358"/>
        <v>24329</v>
      </c>
      <c r="H864" s="245">
        <f t="shared" si="359"/>
        <v>1</v>
      </c>
      <c r="I864" s="121">
        <f t="shared" si="360"/>
        <v>1</v>
      </c>
      <c r="J864" s="121">
        <f t="shared" si="361"/>
        <v>1</v>
      </c>
      <c r="K864" s="120">
        <f t="shared" si="362"/>
        <v>0</v>
      </c>
      <c r="L864" s="120">
        <f t="shared" si="363"/>
        <v>0</v>
      </c>
      <c r="M864" s="246">
        <f t="shared" si="364"/>
        <v>0</v>
      </c>
      <c r="N864" s="121">
        <f t="shared" si="365"/>
        <v>1</v>
      </c>
      <c r="O864" s="246">
        <f t="shared" si="366"/>
        <v>0.98435448577680529</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87">
        <v>31</v>
      </c>
      <c r="B865" s="242">
        <f t="shared" si="373"/>
        <v>46569</v>
      </c>
      <c r="C865" s="243">
        <f t="shared" si="354"/>
        <v>46599</v>
      </c>
      <c r="D865" s="120">
        <f t="shared" si="355"/>
        <v>31</v>
      </c>
      <c r="E865" s="120">
        <f t="shared" si="356"/>
        <v>7</v>
      </c>
      <c r="F865" s="275">
        <f t="shared" si="357"/>
        <v>46584.5</v>
      </c>
      <c r="G865" s="120">
        <f t="shared" si="358"/>
        <v>24330</v>
      </c>
      <c r="H865" s="245">
        <f t="shared" si="359"/>
        <v>1</v>
      </c>
      <c r="I865" s="121">
        <f t="shared" si="360"/>
        <v>1</v>
      </c>
      <c r="J865" s="121">
        <f t="shared" si="361"/>
        <v>1</v>
      </c>
      <c r="K865" s="120">
        <f t="shared" si="362"/>
        <v>0</v>
      </c>
      <c r="L865" s="120">
        <f t="shared" si="363"/>
        <v>0</v>
      </c>
      <c r="M865" s="246">
        <f t="shared" si="364"/>
        <v>0</v>
      </c>
      <c r="N865" s="121">
        <f t="shared" si="365"/>
        <v>1</v>
      </c>
      <c r="O865" s="246">
        <f t="shared" si="366"/>
        <v>0.98368708971553609</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87">
        <v>32</v>
      </c>
      <c r="B866" s="242">
        <f t="shared" si="373"/>
        <v>46600</v>
      </c>
      <c r="C866" s="243">
        <f t="shared" si="354"/>
        <v>46630</v>
      </c>
      <c r="D866" s="120">
        <f t="shared" si="355"/>
        <v>31</v>
      </c>
      <c r="E866" s="120">
        <f t="shared" si="356"/>
        <v>8</v>
      </c>
      <c r="F866" s="275">
        <f t="shared" si="357"/>
        <v>46615.5</v>
      </c>
      <c r="G866" s="120">
        <f t="shared" si="358"/>
        <v>24331</v>
      </c>
      <c r="H866" s="245">
        <f t="shared" si="359"/>
        <v>1</v>
      </c>
      <c r="I866" s="121">
        <f t="shared" si="360"/>
        <v>1</v>
      </c>
      <c r="J866" s="121">
        <f t="shared" si="361"/>
        <v>1</v>
      </c>
      <c r="K866" s="120">
        <f t="shared" si="362"/>
        <v>0</v>
      </c>
      <c r="L866" s="120">
        <f t="shared" si="363"/>
        <v>0</v>
      </c>
      <c r="M866" s="246">
        <f t="shared" si="364"/>
        <v>0</v>
      </c>
      <c r="N866" s="121">
        <f t="shared" si="365"/>
        <v>1</v>
      </c>
      <c r="O866" s="246">
        <f t="shared" si="366"/>
        <v>0.9830087527352297</v>
      </c>
      <c r="P866" s="121">
        <f t="shared" si="367"/>
        <v>0</v>
      </c>
      <c r="Q866" s="121">
        <f t="shared" si="368"/>
        <v>0.375</v>
      </c>
      <c r="R866" s="121">
        <f t="shared" si="369"/>
        <v>0.625</v>
      </c>
      <c r="S866" s="121" t="str">
        <f t="shared" si="370"/>
        <v/>
      </c>
      <c r="T866" s="121" t="str">
        <f t="shared" si="371"/>
        <v/>
      </c>
      <c r="U866" s="121">
        <f t="shared" si="372"/>
        <v>1</v>
      </c>
    </row>
    <row r="867" spans="1:21" x14ac:dyDescent="0.3">
      <c r="A867" s="187">
        <v>33</v>
      </c>
      <c r="B867" s="242">
        <f t="shared" si="373"/>
        <v>46631</v>
      </c>
      <c r="C867" s="243">
        <f t="shared" si="354"/>
        <v>46660</v>
      </c>
      <c r="D867" s="120">
        <f t="shared" si="355"/>
        <v>30</v>
      </c>
      <c r="E867" s="120">
        <f t="shared" si="356"/>
        <v>9</v>
      </c>
      <c r="F867" s="275">
        <f t="shared" si="357"/>
        <v>46646</v>
      </c>
      <c r="G867" s="120">
        <f t="shared" si="358"/>
        <v>24332</v>
      </c>
      <c r="H867" s="245">
        <f t="shared" si="359"/>
        <v>1</v>
      </c>
      <c r="I867" s="121">
        <f t="shared" si="360"/>
        <v>1</v>
      </c>
      <c r="J867" s="121">
        <f t="shared" si="361"/>
        <v>1</v>
      </c>
      <c r="K867" s="120">
        <f t="shared" si="362"/>
        <v>0</v>
      </c>
      <c r="L867" s="120">
        <f t="shared" si="363"/>
        <v>0</v>
      </c>
      <c r="M867" s="246">
        <f t="shared" si="364"/>
        <v>0</v>
      </c>
      <c r="N867" s="121">
        <f t="shared" si="365"/>
        <v>1</v>
      </c>
      <c r="O867" s="246">
        <f t="shared" si="366"/>
        <v>0.98234135667396061</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87">
        <v>34</v>
      </c>
      <c r="B868" s="242">
        <f t="shared" si="373"/>
        <v>46661</v>
      </c>
      <c r="C868" s="243">
        <f t="shared" si="354"/>
        <v>46691</v>
      </c>
      <c r="D868" s="120">
        <f t="shared" si="355"/>
        <v>31</v>
      </c>
      <c r="E868" s="120">
        <f t="shared" si="356"/>
        <v>10</v>
      </c>
      <c r="F868" s="275">
        <f t="shared" si="357"/>
        <v>46676.5</v>
      </c>
      <c r="G868" s="120">
        <f t="shared" si="358"/>
        <v>24333</v>
      </c>
      <c r="H868" s="245">
        <f t="shared" si="359"/>
        <v>1</v>
      </c>
      <c r="I868" s="121">
        <f t="shared" si="360"/>
        <v>1</v>
      </c>
      <c r="J868" s="121">
        <f t="shared" si="361"/>
        <v>1</v>
      </c>
      <c r="K868" s="120">
        <f t="shared" si="362"/>
        <v>0</v>
      </c>
      <c r="L868" s="120">
        <f t="shared" si="363"/>
        <v>0</v>
      </c>
      <c r="M868" s="246">
        <f t="shared" si="364"/>
        <v>0</v>
      </c>
      <c r="N868" s="121">
        <f t="shared" si="365"/>
        <v>1</v>
      </c>
      <c r="O868" s="246">
        <f t="shared" si="366"/>
        <v>0.98167396061269141</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87">
        <v>35</v>
      </c>
      <c r="B869" s="242">
        <f t="shared" si="373"/>
        <v>46692</v>
      </c>
      <c r="C869" s="243">
        <f t="shared" si="354"/>
        <v>46721</v>
      </c>
      <c r="D869" s="120">
        <f t="shared" si="355"/>
        <v>30</v>
      </c>
      <c r="E869" s="120">
        <f t="shared" si="356"/>
        <v>11</v>
      </c>
      <c r="F869" s="275">
        <f t="shared" si="357"/>
        <v>46707</v>
      </c>
      <c r="G869" s="120">
        <f t="shared" si="358"/>
        <v>24334</v>
      </c>
      <c r="H869" s="245">
        <f t="shared" si="359"/>
        <v>1</v>
      </c>
      <c r="I869" s="121">
        <f t="shared" si="360"/>
        <v>1</v>
      </c>
      <c r="J869" s="121">
        <f t="shared" si="361"/>
        <v>1</v>
      </c>
      <c r="K869" s="120">
        <f t="shared" si="362"/>
        <v>0</v>
      </c>
      <c r="L869" s="120">
        <f t="shared" si="363"/>
        <v>0</v>
      </c>
      <c r="M869" s="246">
        <f t="shared" si="364"/>
        <v>0</v>
      </c>
      <c r="N869" s="121">
        <f t="shared" si="365"/>
        <v>1</v>
      </c>
      <c r="O869" s="246">
        <f t="shared" si="366"/>
        <v>0.98100656455142232</v>
      </c>
      <c r="P869" s="121">
        <f t="shared" si="367"/>
        <v>0</v>
      </c>
      <c r="Q869" s="121">
        <f t="shared" si="368"/>
        <v>0.125</v>
      </c>
      <c r="R869" s="121">
        <f t="shared" si="369"/>
        <v>0.875</v>
      </c>
      <c r="S869" s="121" t="str">
        <f t="shared" si="370"/>
        <v/>
      </c>
      <c r="T869" s="121" t="str">
        <f t="shared" si="371"/>
        <v/>
      </c>
      <c r="U869" s="121">
        <f t="shared" si="372"/>
        <v>1</v>
      </c>
    </row>
    <row r="870" spans="1:21" x14ac:dyDescent="0.3">
      <c r="A870" s="187">
        <v>36</v>
      </c>
      <c r="B870" s="242">
        <f t="shared" si="373"/>
        <v>46722</v>
      </c>
      <c r="C870" s="243">
        <f t="shared" si="354"/>
        <v>46752</v>
      </c>
      <c r="D870" s="120">
        <f t="shared" si="355"/>
        <v>31</v>
      </c>
      <c r="E870" s="120">
        <f t="shared" si="356"/>
        <v>12</v>
      </c>
      <c r="F870" s="275">
        <f t="shared" si="357"/>
        <v>46737.5</v>
      </c>
      <c r="G870" s="120">
        <f t="shared" si="358"/>
        <v>24335</v>
      </c>
      <c r="H870" s="245">
        <f t="shared" si="359"/>
        <v>1</v>
      </c>
      <c r="I870" s="121">
        <f t="shared" si="360"/>
        <v>1</v>
      </c>
      <c r="J870" s="121">
        <f t="shared" si="361"/>
        <v>1</v>
      </c>
      <c r="K870" s="120">
        <f t="shared" si="362"/>
        <v>0</v>
      </c>
      <c r="L870" s="120">
        <f t="shared" si="363"/>
        <v>0</v>
      </c>
      <c r="M870" s="246">
        <f t="shared" si="364"/>
        <v>0</v>
      </c>
      <c r="N870" s="121">
        <f t="shared" si="365"/>
        <v>1</v>
      </c>
      <c r="O870" s="246">
        <f t="shared" si="366"/>
        <v>0.98033916849015312</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87">
        <v>37</v>
      </c>
      <c r="B871" s="242">
        <f t="shared" si="373"/>
        <v>46753</v>
      </c>
      <c r="C871" s="243">
        <f t="shared" si="354"/>
        <v>46783</v>
      </c>
      <c r="D871" s="120">
        <f t="shared" si="355"/>
        <v>31</v>
      </c>
      <c r="E871" s="120">
        <f t="shared" si="356"/>
        <v>1</v>
      </c>
      <c r="F871" s="275">
        <f t="shared" si="357"/>
        <v>46768.5</v>
      </c>
      <c r="G871" s="120">
        <f t="shared" si="358"/>
        <v>24336</v>
      </c>
      <c r="H871" s="245">
        <f t="shared" si="359"/>
        <v>1</v>
      </c>
      <c r="I871" s="121">
        <f t="shared" si="360"/>
        <v>1</v>
      </c>
      <c r="J871" s="121">
        <f t="shared" si="361"/>
        <v>1</v>
      </c>
      <c r="K871" s="120">
        <f t="shared" si="362"/>
        <v>0</v>
      </c>
      <c r="L871" s="120">
        <f t="shared" si="363"/>
        <v>0</v>
      </c>
      <c r="M871" s="246">
        <f t="shared" si="364"/>
        <v>0</v>
      </c>
      <c r="N871" s="121">
        <f t="shared" si="365"/>
        <v>1</v>
      </c>
      <c r="O871" s="246">
        <f t="shared" si="366"/>
        <v>0.98</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87">
        <v>38</v>
      </c>
      <c r="B872" s="242">
        <f t="shared" si="373"/>
        <v>46784</v>
      </c>
      <c r="C872" s="243">
        <f t="shared" si="354"/>
        <v>46812</v>
      </c>
      <c r="D872" s="120">
        <f t="shared" si="355"/>
        <v>29</v>
      </c>
      <c r="E872" s="120">
        <f t="shared" si="356"/>
        <v>2</v>
      </c>
      <c r="F872" s="275">
        <f t="shared" si="357"/>
        <v>46798.5</v>
      </c>
      <c r="G872" s="120">
        <f t="shared" si="358"/>
        <v>24337</v>
      </c>
      <c r="H872" s="245">
        <f t="shared" si="359"/>
        <v>1</v>
      </c>
      <c r="I872" s="121">
        <f t="shared" si="360"/>
        <v>1</v>
      </c>
      <c r="J872" s="121">
        <f t="shared" si="361"/>
        <v>1</v>
      </c>
      <c r="K872" s="120">
        <f t="shared" si="362"/>
        <v>0</v>
      </c>
      <c r="L872" s="120">
        <f t="shared" si="363"/>
        <v>0</v>
      </c>
      <c r="M872" s="246">
        <f t="shared" si="364"/>
        <v>0</v>
      </c>
      <c r="N872" s="121">
        <f t="shared" si="365"/>
        <v>1</v>
      </c>
      <c r="O872" s="246">
        <f t="shared" si="366"/>
        <v>0.98</v>
      </c>
      <c r="P872" s="121">
        <f t="shared" si="367"/>
        <v>0</v>
      </c>
      <c r="Q872" s="121">
        <f t="shared" si="368"/>
        <v>0</v>
      </c>
      <c r="R872" s="121">
        <f t="shared" si="369"/>
        <v>0.875</v>
      </c>
      <c r="S872" s="121" t="str">
        <f t="shared" si="370"/>
        <v/>
      </c>
      <c r="T872" s="121" t="str">
        <f t="shared" si="371"/>
        <v/>
      </c>
      <c r="U872" s="121">
        <f t="shared" si="372"/>
        <v>1</v>
      </c>
    </row>
    <row r="873" spans="1:21" x14ac:dyDescent="0.3">
      <c r="A873" s="187">
        <v>39</v>
      </c>
      <c r="B873" s="242">
        <f t="shared" si="373"/>
        <v>46813</v>
      </c>
      <c r="C873" s="243">
        <f t="shared" si="354"/>
        <v>46843</v>
      </c>
      <c r="D873" s="120">
        <f t="shared" si="355"/>
        <v>31</v>
      </c>
      <c r="E873" s="120">
        <f t="shared" si="356"/>
        <v>3</v>
      </c>
      <c r="F873" s="275">
        <f t="shared" si="357"/>
        <v>46828.5</v>
      </c>
      <c r="G873" s="120">
        <f t="shared" si="358"/>
        <v>24338</v>
      </c>
      <c r="H873" s="245">
        <f t="shared" si="359"/>
        <v>1</v>
      </c>
      <c r="I873" s="121">
        <f t="shared" si="360"/>
        <v>1</v>
      </c>
      <c r="J873" s="121">
        <f t="shared" si="361"/>
        <v>1</v>
      </c>
      <c r="K873" s="120">
        <f t="shared" si="362"/>
        <v>0</v>
      </c>
      <c r="L873" s="120">
        <f t="shared" si="363"/>
        <v>0</v>
      </c>
      <c r="M873" s="246">
        <f t="shared" si="364"/>
        <v>0</v>
      </c>
      <c r="N873" s="121">
        <f t="shared" si="365"/>
        <v>1</v>
      </c>
      <c r="O873" s="246">
        <f t="shared" si="366"/>
        <v>0.98</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87">
        <v>40</v>
      </c>
      <c r="B874" s="242">
        <f t="shared" si="373"/>
        <v>46844</v>
      </c>
      <c r="C874" s="243">
        <f t="shared" si="354"/>
        <v>46873</v>
      </c>
      <c r="D874" s="120">
        <f t="shared" si="355"/>
        <v>30</v>
      </c>
      <c r="E874" s="120">
        <f t="shared" si="356"/>
        <v>4</v>
      </c>
      <c r="F874" s="275">
        <f t="shared" si="357"/>
        <v>46859</v>
      </c>
      <c r="G874" s="120">
        <f t="shared" si="358"/>
        <v>24339</v>
      </c>
      <c r="H874" s="245">
        <f t="shared" si="359"/>
        <v>1</v>
      </c>
      <c r="I874" s="121">
        <f t="shared" si="360"/>
        <v>1</v>
      </c>
      <c r="J874" s="121">
        <f t="shared" si="361"/>
        <v>1</v>
      </c>
      <c r="K874" s="120">
        <f t="shared" si="362"/>
        <v>0</v>
      </c>
      <c r="L874" s="120">
        <f t="shared" si="363"/>
        <v>0</v>
      </c>
      <c r="M874" s="246">
        <f t="shared" si="364"/>
        <v>0</v>
      </c>
      <c r="N874" s="121">
        <f t="shared" si="365"/>
        <v>1</v>
      </c>
      <c r="O874" s="246">
        <f t="shared" si="366"/>
        <v>0.98</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87">
        <v>41</v>
      </c>
      <c r="B875" s="242">
        <f t="shared" si="373"/>
        <v>46874</v>
      </c>
      <c r="C875" s="243">
        <f t="shared" si="354"/>
        <v>46904</v>
      </c>
      <c r="D875" s="120">
        <f t="shared" si="355"/>
        <v>31</v>
      </c>
      <c r="E875" s="120">
        <f t="shared" si="356"/>
        <v>5</v>
      </c>
      <c r="F875" s="275">
        <f t="shared" si="357"/>
        <v>46889.5</v>
      </c>
      <c r="G875" s="120">
        <f t="shared" si="358"/>
        <v>24340</v>
      </c>
      <c r="H875" s="245">
        <f t="shared" si="359"/>
        <v>1</v>
      </c>
      <c r="I875" s="121">
        <f t="shared" si="360"/>
        <v>1</v>
      </c>
      <c r="J875" s="121">
        <f t="shared" si="361"/>
        <v>1</v>
      </c>
      <c r="K875" s="120">
        <f t="shared" si="362"/>
        <v>0</v>
      </c>
      <c r="L875" s="120">
        <f t="shared" si="363"/>
        <v>0</v>
      </c>
      <c r="M875" s="246">
        <f t="shared" si="364"/>
        <v>0</v>
      </c>
      <c r="N875" s="121">
        <f t="shared" si="365"/>
        <v>1</v>
      </c>
      <c r="O875" s="246">
        <f t="shared" si="366"/>
        <v>0.98</v>
      </c>
      <c r="P875" s="121">
        <f t="shared" si="367"/>
        <v>0</v>
      </c>
      <c r="Q875" s="121">
        <f t="shared" si="368"/>
        <v>0</v>
      </c>
      <c r="R875" s="121">
        <f t="shared" si="369"/>
        <v>0.625</v>
      </c>
      <c r="S875" s="121" t="str">
        <f t="shared" si="370"/>
        <v/>
      </c>
      <c r="T875" s="121" t="str">
        <f t="shared" si="371"/>
        <v/>
      </c>
      <c r="U875" s="121">
        <f t="shared" si="372"/>
        <v>1</v>
      </c>
    </row>
    <row r="876" spans="1:21" x14ac:dyDescent="0.3">
      <c r="A876" s="187">
        <v>42</v>
      </c>
      <c r="B876" s="242">
        <f t="shared" si="373"/>
        <v>46905</v>
      </c>
      <c r="C876" s="243">
        <f t="shared" si="354"/>
        <v>46934</v>
      </c>
      <c r="D876" s="120">
        <f t="shared" si="355"/>
        <v>30</v>
      </c>
      <c r="E876" s="120">
        <f t="shared" si="356"/>
        <v>6</v>
      </c>
      <c r="F876" s="275">
        <f t="shared" si="357"/>
        <v>46920</v>
      </c>
      <c r="G876" s="120">
        <f t="shared" si="358"/>
        <v>24341</v>
      </c>
      <c r="H876" s="245">
        <f t="shared" si="359"/>
        <v>1</v>
      </c>
      <c r="I876" s="121">
        <f t="shared" si="360"/>
        <v>1</v>
      </c>
      <c r="J876" s="121">
        <f t="shared" si="361"/>
        <v>1</v>
      </c>
      <c r="K876" s="120">
        <f t="shared" si="362"/>
        <v>0</v>
      </c>
      <c r="L876" s="120">
        <f t="shared" si="363"/>
        <v>0</v>
      </c>
      <c r="M876" s="246">
        <f t="shared" si="364"/>
        <v>0</v>
      </c>
      <c r="N876" s="121">
        <f t="shared" si="365"/>
        <v>1</v>
      </c>
      <c r="O876" s="246">
        <f t="shared" si="366"/>
        <v>0.98</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87">
        <v>43</v>
      </c>
      <c r="B877" s="242">
        <f t="shared" si="373"/>
        <v>46935</v>
      </c>
      <c r="C877" s="243">
        <f t="shared" si="354"/>
        <v>46965</v>
      </c>
      <c r="D877" s="120">
        <f t="shared" si="355"/>
        <v>31</v>
      </c>
      <c r="E877" s="120">
        <f t="shared" si="356"/>
        <v>7</v>
      </c>
      <c r="F877" s="275">
        <f t="shared" si="357"/>
        <v>46950.5</v>
      </c>
      <c r="G877" s="120">
        <f t="shared" si="358"/>
        <v>24342</v>
      </c>
      <c r="H877" s="245">
        <f t="shared" si="359"/>
        <v>1</v>
      </c>
      <c r="I877" s="121">
        <f t="shared" si="360"/>
        <v>1</v>
      </c>
      <c r="J877" s="121">
        <f t="shared" si="361"/>
        <v>1</v>
      </c>
      <c r="K877" s="120">
        <f t="shared" si="362"/>
        <v>0</v>
      </c>
      <c r="L877" s="120">
        <f t="shared" si="363"/>
        <v>0</v>
      </c>
      <c r="M877" s="246">
        <f t="shared" si="364"/>
        <v>0</v>
      </c>
      <c r="N877" s="121">
        <f t="shared" si="365"/>
        <v>1</v>
      </c>
      <c r="O877" s="246">
        <f t="shared" si="366"/>
        <v>0.98</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87">
        <v>44</v>
      </c>
      <c r="B878" s="242">
        <f t="shared" si="373"/>
        <v>46966</v>
      </c>
      <c r="C878" s="243">
        <f t="shared" si="354"/>
        <v>46996</v>
      </c>
      <c r="D878" s="120">
        <f t="shared" si="355"/>
        <v>31</v>
      </c>
      <c r="E878" s="120">
        <f t="shared" si="356"/>
        <v>8</v>
      </c>
      <c r="F878" s="275">
        <f t="shared" si="357"/>
        <v>46981.5</v>
      </c>
      <c r="G878" s="120">
        <f t="shared" si="358"/>
        <v>24343</v>
      </c>
      <c r="H878" s="245">
        <f t="shared" si="359"/>
        <v>1</v>
      </c>
      <c r="I878" s="121">
        <f t="shared" si="360"/>
        <v>1</v>
      </c>
      <c r="J878" s="121">
        <f t="shared" si="361"/>
        <v>1</v>
      </c>
      <c r="K878" s="120">
        <f t="shared" si="362"/>
        <v>0</v>
      </c>
      <c r="L878" s="120">
        <f t="shared" si="363"/>
        <v>0</v>
      </c>
      <c r="M878" s="246">
        <f t="shared" si="364"/>
        <v>0</v>
      </c>
      <c r="N878" s="121">
        <f t="shared" si="365"/>
        <v>1</v>
      </c>
      <c r="O878" s="246">
        <f t="shared" si="366"/>
        <v>0.98</v>
      </c>
      <c r="P878" s="121">
        <f t="shared" si="367"/>
        <v>0</v>
      </c>
      <c r="Q878" s="121">
        <f t="shared" si="368"/>
        <v>0</v>
      </c>
      <c r="R878" s="121">
        <f t="shared" si="369"/>
        <v>0.375</v>
      </c>
      <c r="S878" s="121" t="str">
        <f t="shared" si="370"/>
        <v/>
      </c>
      <c r="T878" s="121" t="str">
        <f t="shared" si="371"/>
        <v/>
      </c>
      <c r="U878" s="121">
        <f t="shared" si="372"/>
        <v>1</v>
      </c>
    </row>
    <row r="879" spans="1:21" x14ac:dyDescent="0.3">
      <c r="A879" s="187">
        <v>45</v>
      </c>
      <c r="B879" s="242">
        <f t="shared" si="373"/>
        <v>46997</v>
      </c>
      <c r="C879" s="243">
        <f t="shared" si="354"/>
        <v>47026</v>
      </c>
      <c r="D879" s="120">
        <f t="shared" si="355"/>
        <v>30</v>
      </c>
      <c r="E879" s="120">
        <f t="shared" si="356"/>
        <v>9</v>
      </c>
      <c r="F879" s="275">
        <f t="shared" si="357"/>
        <v>47012</v>
      </c>
      <c r="G879" s="120">
        <f t="shared" si="358"/>
        <v>24344</v>
      </c>
      <c r="H879" s="245">
        <f t="shared" si="359"/>
        <v>1</v>
      </c>
      <c r="I879" s="121">
        <f t="shared" si="360"/>
        <v>1</v>
      </c>
      <c r="J879" s="121">
        <f t="shared" si="361"/>
        <v>1</v>
      </c>
      <c r="K879" s="120">
        <f t="shared" si="362"/>
        <v>0</v>
      </c>
      <c r="L879" s="120">
        <f t="shared" si="363"/>
        <v>0</v>
      </c>
      <c r="M879" s="246">
        <f t="shared" si="364"/>
        <v>0</v>
      </c>
      <c r="N879" s="121">
        <f t="shared" si="365"/>
        <v>1</v>
      </c>
      <c r="O879" s="246">
        <f t="shared" si="366"/>
        <v>0.98</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87">
        <v>46</v>
      </c>
      <c r="B880" s="242">
        <f t="shared" si="373"/>
        <v>47027</v>
      </c>
      <c r="C880" s="243">
        <f t="shared" si="354"/>
        <v>47057</v>
      </c>
      <c r="D880" s="120">
        <f t="shared" si="355"/>
        <v>31</v>
      </c>
      <c r="E880" s="120">
        <f t="shared" si="356"/>
        <v>10</v>
      </c>
      <c r="F880" s="275">
        <f t="shared" si="357"/>
        <v>47042.5</v>
      </c>
      <c r="G880" s="120">
        <f t="shared" si="358"/>
        <v>24345</v>
      </c>
      <c r="H880" s="245">
        <f t="shared" si="359"/>
        <v>1</v>
      </c>
      <c r="I880" s="121">
        <f t="shared" si="360"/>
        <v>1</v>
      </c>
      <c r="J880" s="121">
        <f t="shared" si="361"/>
        <v>1</v>
      </c>
      <c r="K880" s="120">
        <f t="shared" si="362"/>
        <v>0</v>
      </c>
      <c r="L880" s="120">
        <f t="shared" si="363"/>
        <v>0</v>
      </c>
      <c r="M880" s="246">
        <f t="shared" si="364"/>
        <v>0</v>
      </c>
      <c r="N880" s="121">
        <f t="shared" si="365"/>
        <v>1</v>
      </c>
      <c r="O880" s="246">
        <f t="shared" si="366"/>
        <v>0.98</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87">
        <v>47</v>
      </c>
      <c r="B881" s="242">
        <f t="shared" si="373"/>
        <v>47058</v>
      </c>
      <c r="C881" s="243">
        <f t="shared" si="354"/>
        <v>47087</v>
      </c>
      <c r="D881" s="120">
        <f t="shared" si="355"/>
        <v>30</v>
      </c>
      <c r="E881" s="120">
        <f t="shared" si="356"/>
        <v>11</v>
      </c>
      <c r="F881" s="275">
        <f t="shared" si="357"/>
        <v>47073</v>
      </c>
      <c r="G881" s="120">
        <f t="shared" si="358"/>
        <v>24346</v>
      </c>
      <c r="H881" s="245">
        <f t="shared" si="359"/>
        <v>1</v>
      </c>
      <c r="I881" s="121">
        <f t="shared" si="360"/>
        <v>1</v>
      </c>
      <c r="J881" s="121">
        <f t="shared" si="361"/>
        <v>1</v>
      </c>
      <c r="K881" s="120">
        <f t="shared" si="362"/>
        <v>0</v>
      </c>
      <c r="L881" s="120">
        <f t="shared" si="363"/>
        <v>0</v>
      </c>
      <c r="M881" s="246">
        <f t="shared" si="364"/>
        <v>0</v>
      </c>
      <c r="N881" s="121">
        <f t="shared" si="365"/>
        <v>1</v>
      </c>
      <c r="O881" s="246">
        <f t="shared" si="366"/>
        <v>0.98</v>
      </c>
      <c r="P881" s="121">
        <f t="shared" si="367"/>
        <v>0</v>
      </c>
      <c r="Q881" s="121">
        <f t="shared" si="368"/>
        <v>0</v>
      </c>
      <c r="R881" s="121">
        <f t="shared" si="369"/>
        <v>0.125</v>
      </c>
      <c r="S881" s="121" t="str">
        <f t="shared" si="370"/>
        <v/>
      </c>
      <c r="T881" s="121" t="str">
        <f t="shared" si="371"/>
        <v/>
      </c>
      <c r="U881" s="121">
        <f t="shared" si="372"/>
        <v>1</v>
      </c>
    </row>
    <row r="882" spans="1:21" x14ac:dyDescent="0.3">
      <c r="A882" s="187">
        <v>48</v>
      </c>
      <c r="B882" s="242">
        <f t="shared" si="373"/>
        <v>47088</v>
      </c>
      <c r="C882" s="243">
        <f t="shared" si="354"/>
        <v>47118</v>
      </c>
      <c r="D882" s="120">
        <f t="shared" si="355"/>
        <v>31</v>
      </c>
      <c r="E882" s="120">
        <f t="shared" si="356"/>
        <v>12</v>
      </c>
      <c r="F882" s="275">
        <f t="shared" si="357"/>
        <v>47103.5</v>
      </c>
      <c r="G882" s="120">
        <f t="shared" si="358"/>
        <v>24347</v>
      </c>
      <c r="H882" s="245">
        <f t="shared" si="359"/>
        <v>1</v>
      </c>
      <c r="I882" s="121">
        <f t="shared" si="360"/>
        <v>1</v>
      </c>
      <c r="J882" s="121">
        <f t="shared" si="361"/>
        <v>1</v>
      </c>
      <c r="K882" s="120">
        <f t="shared" si="362"/>
        <v>0</v>
      </c>
      <c r="L882" s="120">
        <f t="shared" si="363"/>
        <v>0</v>
      </c>
      <c r="M882" s="246">
        <f t="shared" si="364"/>
        <v>0</v>
      </c>
      <c r="N882" s="121">
        <f t="shared" si="365"/>
        <v>1</v>
      </c>
      <c r="O882" s="246">
        <f t="shared" si="366"/>
        <v>0.98</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1651</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0.98800419401896411</v>
      </c>
      <c r="G883" s="224">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12</v>
      </c>
      <c r="D886" s="75">
        <f>IF(COUNTIF(se_state,$B886)=0,0,MATCH($B886,se_state,0))</f>
        <v>0</v>
      </c>
      <c r="E886" s="70">
        <f>IF($D886=0,0,INDEX(se_sum,$D886))</f>
        <v>0</v>
      </c>
      <c r="F886" s="224">
        <f>IF(N(INDEX(lr_mind,16))=0,1,INDEX(lr_mind,16))</f>
        <v>1</v>
      </c>
      <c r="G886" s="224">
        <f>IF(N(INDEX(lr_m0,16))=0,1,INDEX(lr_m0,16))</f>
        <v>0.99</v>
      </c>
      <c r="H886" s="74">
        <f>IF(N(INDEX(lr_m0asof,16))=0,DATE(nr_PlanYear-1,10,1),INDEX(lr_m0asof,16))</f>
        <v>46295</v>
      </c>
      <c r="I886" s="224">
        <f>IF(N(INDEX(lr_m1,16))=0,1,INDEX(lr_m1,16))</f>
        <v>0.995</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74">EOMONTH($B889,0)</f>
        <v>45688</v>
      </c>
      <c r="D889" s="120">
        <f t="shared" ref="D889:D936" si="375">$C889-$B889+1</f>
        <v>31</v>
      </c>
      <c r="E889" s="120">
        <f t="shared" ref="E889:E936" si="376">MONTH($B889)</f>
        <v>1</v>
      </c>
      <c r="F889" s="275">
        <f t="shared" ref="F889:F936" si="377">($B889+$C889+1)/2</f>
        <v>45673.5</v>
      </c>
      <c r="G889" s="120">
        <f t="shared" ref="G889:G936" si="378">YEAR($B889)*12+MONTH($B889)-1</f>
        <v>24300</v>
      </c>
      <c r="H889" s="245">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46">
        <f t="shared" ref="M889:M936" si="384">IF($K889=0,0,MIN(1,$L889/$D889))</f>
        <v>0</v>
      </c>
      <c r="N889" s="121">
        <f t="shared" ref="N889:N936" si="385">IF($K889=0,$J889,(1-$M889)*$I889+$M889*$J889)</f>
        <v>1</v>
      </c>
      <c r="O889" s="246">
        <f t="shared" ref="O889:O936" si="386">IF($F889&lt;$B$887,$E$887+$I$887*($F889-$A$887),IF($F889&lt;$C$887,$F$887+$J$887*($F889-$B$887),$G$887+$K$887*($F889-$C$887)))</f>
        <v>0.98318927789934352</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87">
        <v>2</v>
      </c>
      <c r="B890" s="242">
        <f t="shared" ref="B890:B936" si="393">EDATE($B889,1)</f>
        <v>45689</v>
      </c>
      <c r="C890" s="243">
        <f t="shared" si="374"/>
        <v>45716</v>
      </c>
      <c r="D890" s="120">
        <f t="shared" si="375"/>
        <v>28</v>
      </c>
      <c r="E890" s="120">
        <f t="shared" si="376"/>
        <v>2</v>
      </c>
      <c r="F890" s="275">
        <f t="shared" si="377"/>
        <v>45703</v>
      </c>
      <c r="G890" s="120">
        <f t="shared" si="378"/>
        <v>24301</v>
      </c>
      <c r="H890" s="245">
        <f t="shared" si="379"/>
        <v>1</v>
      </c>
      <c r="I890" s="121">
        <f t="shared" si="380"/>
        <v>1</v>
      </c>
      <c r="J890" s="121">
        <f t="shared" si="381"/>
        <v>1</v>
      </c>
      <c r="K890" s="120">
        <f t="shared" si="382"/>
        <v>0</v>
      </c>
      <c r="L890" s="120">
        <f t="shared" si="383"/>
        <v>0</v>
      </c>
      <c r="M890" s="246">
        <f t="shared" si="384"/>
        <v>0</v>
      </c>
      <c r="N890" s="121">
        <f t="shared" si="385"/>
        <v>1</v>
      </c>
      <c r="O890" s="246">
        <f t="shared" si="386"/>
        <v>0.98351203501094098</v>
      </c>
      <c r="P890" s="121">
        <f t="shared" si="387"/>
        <v>0.125</v>
      </c>
      <c r="Q890" s="121">
        <f t="shared" si="388"/>
        <v>0</v>
      </c>
      <c r="R890" s="121">
        <f t="shared" si="389"/>
        <v>0</v>
      </c>
      <c r="S890" s="121" t="str">
        <f t="shared" si="390"/>
        <v/>
      </c>
      <c r="T890" s="121" t="str">
        <f t="shared" si="391"/>
        <v/>
      </c>
      <c r="U890" s="121">
        <f t="shared" si="392"/>
        <v>1</v>
      </c>
    </row>
    <row r="891" spans="1:21" x14ac:dyDescent="0.3">
      <c r="A891" s="187">
        <v>3</v>
      </c>
      <c r="B891" s="242">
        <f t="shared" si="393"/>
        <v>45717</v>
      </c>
      <c r="C891" s="243">
        <f t="shared" si="374"/>
        <v>45747</v>
      </c>
      <c r="D891" s="120">
        <f t="shared" si="375"/>
        <v>31</v>
      </c>
      <c r="E891" s="120">
        <f t="shared" si="376"/>
        <v>3</v>
      </c>
      <c r="F891" s="275">
        <f t="shared" si="377"/>
        <v>45732.5</v>
      </c>
      <c r="G891" s="120">
        <f t="shared" si="378"/>
        <v>24302</v>
      </c>
      <c r="H891" s="245">
        <f t="shared" si="379"/>
        <v>1</v>
      </c>
      <c r="I891" s="121">
        <f t="shared" si="380"/>
        <v>1</v>
      </c>
      <c r="J891" s="121">
        <f t="shared" si="381"/>
        <v>1</v>
      </c>
      <c r="K891" s="120">
        <f t="shared" si="382"/>
        <v>0</v>
      </c>
      <c r="L891" s="120">
        <f t="shared" si="383"/>
        <v>0</v>
      </c>
      <c r="M891" s="246">
        <f t="shared" si="384"/>
        <v>0</v>
      </c>
      <c r="N891" s="121">
        <f t="shared" si="385"/>
        <v>1</v>
      </c>
      <c r="O891" s="246">
        <f t="shared" si="386"/>
        <v>0.98383479212253833</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87">
        <v>4</v>
      </c>
      <c r="B892" s="242">
        <f t="shared" si="393"/>
        <v>45748</v>
      </c>
      <c r="C892" s="243">
        <f t="shared" si="374"/>
        <v>45777</v>
      </c>
      <c r="D892" s="120">
        <f t="shared" si="375"/>
        <v>30</v>
      </c>
      <c r="E892" s="120">
        <f t="shared" si="376"/>
        <v>4</v>
      </c>
      <c r="F892" s="275">
        <f t="shared" si="377"/>
        <v>45763</v>
      </c>
      <c r="G892" s="120">
        <f t="shared" si="378"/>
        <v>24303</v>
      </c>
      <c r="H892" s="245">
        <f t="shared" si="379"/>
        <v>1</v>
      </c>
      <c r="I892" s="121">
        <f t="shared" si="380"/>
        <v>1</v>
      </c>
      <c r="J892" s="121">
        <f t="shared" si="381"/>
        <v>1</v>
      </c>
      <c r="K892" s="120">
        <f t="shared" si="382"/>
        <v>0</v>
      </c>
      <c r="L892" s="120">
        <f t="shared" si="383"/>
        <v>0</v>
      </c>
      <c r="M892" s="246">
        <f t="shared" si="384"/>
        <v>0</v>
      </c>
      <c r="N892" s="121">
        <f t="shared" si="385"/>
        <v>1</v>
      </c>
      <c r="O892" s="246">
        <f t="shared" si="386"/>
        <v>0.98416849015317287</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87">
        <v>5</v>
      </c>
      <c r="B893" s="242">
        <f t="shared" si="393"/>
        <v>45778</v>
      </c>
      <c r="C893" s="243">
        <f t="shared" si="374"/>
        <v>45808</v>
      </c>
      <c r="D893" s="120">
        <f t="shared" si="375"/>
        <v>31</v>
      </c>
      <c r="E893" s="120">
        <f t="shared" si="376"/>
        <v>5</v>
      </c>
      <c r="F893" s="275">
        <f t="shared" si="377"/>
        <v>45793.5</v>
      </c>
      <c r="G893" s="120">
        <f t="shared" si="378"/>
        <v>24304</v>
      </c>
      <c r="H893" s="245">
        <f t="shared" si="379"/>
        <v>1</v>
      </c>
      <c r="I893" s="121">
        <f t="shared" si="380"/>
        <v>1</v>
      </c>
      <c r="J893" s="121">
        <f t="shared" si="381"/>
        <v>1</v>
      </c>
      <c r="K893" s="120">
        <f t="shared" si="382"/>
        <v>0</v>
      </c>
      <c r="L893" s="120">
        <f t="shared" si="383"/>
        <v>0</v>
      </c>
      <c r="M893" s="246">
        <f t="shared" si="384"/>
        <v>0</v>
      </c>
      <c r="N893" s="121">
        <f t="shared" si="385"/>
        <v>1</v>
      </c>
      <c r="O893" s="246">
        <f t="shared" si="386"/>
        <v>0.98450218818380741</v>
      </c>
      <c r="P893" s="121">
        <f t="shared" si="387"/>
        <v>0.375</v>
      </c>
      <c r="Q893" s="121">
        <f t="shared" si="388"/>
        <v>0</v>
      </c>
      <c r="R893" s="121">
        <f t="shared" si="389"/>
        <v>0</v>
      </c>
      <c r="S893" s="121" t="str">
        <f t="shared" si="390"/>
        <v/>
      </c>
      <c r="T893" s="121" t="str">
        <f t="shared" si="391"/>
        <v/>
      </c>
      <c r="U893" s="121">
        <f t="shared" si="392"/>
        <v>1</v>
      </c>
    </row>
    <row r="894" spans="1:21" x14ac:dyDescent="0.3">
      <c r="A894" s="187">
        <v>6</v>
      </c>
      <c r="B894" s="242">
        <f t="shared" si="393"/>
        <v>45809</v>
      </c>
      <c r="C894" s="243">
        <f t="shared" si="374"/>
        <v>45838</v>
      </c>
      <c r="D894" s="120">
        <f t="shared" si="375"/>
        <v>30</v>
      </c>
      <c r="E894" s="120">
        <f t="shared" si="376"/>
        <v>6</v>
      </c>
      <c r="F894" s="275">
        <f t="shared" si="377"/>
        <v>45824</v>
      </c>
      <c r="G894" s="120">
        <f t="shared" si="378"/>
        <v>24305</v>
      </c>
      <c r="H894" s="245">
        <f t="shared" si="379"/>
        <v>1</v>
      </c>
      <c r="I894" s="121">
        <f t="shared" si="380"/>
        <v>1</v>
      </c>
      <c r="J894" s="121">
        <f t="shared" si="381"/>
        <v>1</v>
      </c>
      <c r="K894" s="120">
        <f t="shared" si="382"/>
        <v>0</v>
      </c>
      <c r="L894" s="120">
        <f t="shared" si="383"/>
        <v>0</v>
      </c>
      <c r="M894" s="246">
        <f t="shared" si="384"/>
        <v>0</v>
      </c>
      <c r="N894" s="121">
        <f t="shared" si="385"/>
        <v>1</v>
      </c>
      <c r="O894" s="246">
        <f t="shared" si="386"/>
        <v>0.98483588621444207</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87">
        <v>7</v>
      </c>
      <c r="B895" s="242">
        <f t="shared" si="393"/>
        <v>45839</v>
      </c>
      <c r="C895" s="243">
        <f t="shared" si="374"/>
        <v>45869</v>
      </c>
      <c r="D895" s="120">
        <f t="shared" si="375"/>
        <v>31</v>
      </c>
      <c r="E895" s="120">
        <f t="shared" si="376"/>
        <v>7</v>
      </c>
      <c r="F895" s="275">
        <f t="shared" si="377"/>
        <v>45854.5</v>
      </c>
      <c r="G895" s="120">
        <f t="shared" si="378"/>
        <v>24306</v>
      </c>
      <c r="H895" s="245">
        <f t="shared" si="379"/>
        <v>1</v>
      </c>
      <c r="I895" s="121">
        <f t="shared" si="380"/>
        <v>1</v>
      </c>
      <c r="J895" s="121">
        <f t="shared" si="381"/>
        <v>1</v>
      </c>
      <c r="K895" s="120">
        <f t="shared" si="382"/>
        <v>0</v>
      </c>
      <c r="L895" s="120">
        <f t="shared" si="383"/>
        <v>0</v>
      </c>
      <c r="M895" s="246">
        <f t="shared" si="384"/>
        <v>0</v>
      </c>
      <c r="N895" s="121">
        <f t="shared" si="385"/>
        <v>1</v>
      </c>
      <c r="O895" s="246">
        <f t="shared" si="386"/>
        <v>0.98516958424507661</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87">
        <v>8</v>
      </c>
      <c r="B896" s="242">
        <f t="shared" si="393"/>
        <v>45870</v>
      </c>
      <c r="C896" s="243">
        <f t="shared" si="374"/>
        <v>45900</v>
      </c>
      <c r="D896" s="120">
        <f t="shared" si="375"/>
        <v>31</v>
      </c>
      <c r="E896" s="120">
        <f t="shared" si="376"/>
        <v>8</v>
      </c>
      <c r="F896" s="275">
        <f t="shared" si="377"/>
        <v>45885.5</v>
      </c>
      <c r="G896" s="120">
        <f t="shared" si="378"/>
        <v>24307</v>
      </c>
      <c r="H896" s="245">
        <f t="shared" si="379"/>
        <v>1</v>
      </c>
      <c r="I896" s="121">
        <f t="shared" si="380"/>
        <v>1</v>
      </c>
      <c r="J896" s="121">
        <f t="shared" si="381"/>
        <v>1</v>
      </c>
      <c r="K896" s="120">
        <f t="shared" si="382"/>
        <v>0</v>
      </c>
      <c r="L896" s="120">
        <f t="shared" si="383"/>
        <v>0</v>
      </c>
      <c r="M896" s="246">
        <f t="shared" si="384"/>
        <v>0</v>
      </c>
      <c r="N896" s="121">
        <f t="shared" si="385"/>
        <v>1</v>
      </c>
      <c r="O896" s="246">
        <f t="shared" si="386"/>
        <v>0.98550875273522975</v>
      </c>
      <c r="P896" s="121">
        <f t="shared" si="387"/>
        <v>0.625</v>
      </c>
      <c r="Q896" s="121">
        <f t="shared" si="388"/>
        <v>0</v>
      </c>
      <c r="R896" s="121">
        <f t="shared" si="389"/>
        <v>0</v>
      </c>
      <c r="S896" s="121" t="str">
        <f t="shared" si="390"/>
        <v/>
      </c>
      <c r="T896" s="121" t="str">
        <f t="shared" si="391"/>
        <v/>
      </c>
      <c r="U896" s="121">
        <f t="shared" si="392"/>
        <v>1</v>
      </c>
    </row>
    <row r="897" spans="1:21" x14ac:dyDescent="0.3">
      <c r="A897" s="187">
        <v>9</v>
      </c>
      <c r="B897" s="242">
        <f t="shared" si="393"/>
        <v>45901</v>
      </c>
      <c r="C897" s="243">
        <f t="shared" si="374"/>
        <v>45930</v>
      </c>
      <c r="D897" s="120">
        <f t="shared" si="375"/>
        <v>30</v>
      </c>
      <c r="E897" s="120">
        <f t="shared" si="376"/>
        <v>9</v>
      </c>
      <c r="F897" s="275">
        <f t="shared" si="377"/>
        <v>45916</v>
      </c>
      <c r="G897" s="120">
        <f t="shared" si="378"/>
        <v>24308</v>
      </c>
      <c r="H897" s="245">
        <f t="shared" si="379"/>
        <v>1</v>
      </c>
      <c r="I897" s="121">
        <f t="shared" si="380"/>
        <v>1</v>
      </c>
      <c r="J897" s="121">
        <f t="shared" si="381"/>
        <v>1</v>
      </c>
      <c r="K897" s="120">
        <f t="shared" si="382"/>
        <v>0</v>
      </c>
      <c r="L897" s="120">
        <f t="shared" si="383"/>
        <v>0</v>
      </c>
      <c r="M897" s="246">
        <f t="shared" si="384"/>
        <v>0</v>
      </c>
      <c r="N897" s="121">
        <f t="shared" si="385"/>
        <v>1</v>
      </c>
      <c r="O897" s="246">
        <f t="shared" si="386"/>
        <v>0.9858424507658643</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87">
        <v>10</v>
      </c>
      <c r="B898" s="242">
        <f t="shared" si="393"/>
        <v>45931</v>
      </c>
      <c r="C898" s="243">
        <f t="shared" si="374"/>
        <v>45961</v>
      </c>
      <c r="D898" s="120">
        <f t="shared" si="375"/>
        <v>31</v>
      </c>
      <c r="E898" s="120">
        <f t="shared" si="376"/>
        <v>10</v>
      </c>
      <c r="F898" s="275">
        <f t="shared" si="377"/>
        <v>45946.5</v>
      </c>
      <c r="G898" s="120">
        <f t="shared" si="378"/>
        <v>24309</v>
      </c>
      <c r="H898" s="245">
        <f t="shared" si="379"/>
        <v>1</v>
      </c>
      <c r="I898" s="121">
        <f t="shared" si="380"/>
        <v>1</v>
      </c>
      <c r="J898" s="121">
        <f t="shared" si="381"/>
        <v>1</v>
      </c>
      <c r="K898" s="120">
        <f t="shared" si="382"/>
        <v>0</v>
      </c>
      <c r="L898" s="120">
        <f t="shared" si="383"/>
        <v>0</v>
      </c>
      <c r="M898" s="246">
        <f t="shared" si="384"/>
        <v>0</v>
      </c>
      <c r="N898" s="121">
        <f t="shared" si="385"/>
        <v>1</v>
      </c>
      <c r="O898" s="246">
        <f t="shared" si="386"/>
        <v>0.98617614879649895</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87">
        <v>11</v>
      </c>
      <c r="B899" s="242">
        <f t="shared" si="393"/>
        <v>45962</v>
      </c>
      <c r="C899" s="243">
        <f t="shared" si="374"/>
        <v>45991</v>
      </c>
      <c r="D899" s="120">
        <f t="shared" si="375"/>
        <v>30</v>
      </c>
      <c r="E899" s="120">
        <f t="shared" si="376"/>
        <v>11</v>
      </c>
      <c r="F899" s="275">
        <f t="shared" si="377"/>
        <v>45977</v>
      </c>
      <c r="G899" s="120">
        <f t="shared" si="378"/>
        <v>24310</v>
      </c>
      <c r="H899" s="245">
        <f t="shared" si="379"/>
        <v>1</v>
      </c>
      <c r="I899" s="121">
        <f t="shared" si="380"/>
        <v>1</v>
      </c>
      <c r="J899" s="121">
        <f t="shared" si="381"/>
        <v>1</v>
      </c>
      <c r="K899" s="120">
        <f t="shared" si="382"/>
        <v>0</v>
      </c>
      <c r="L899" s="120">
        <f t="shared" si="383"/>
        <v>0</v>
      </c>
      <c r="M899" s="246">
        <f t="shared" si="384"/>
        <v>0</v>
      </c>
      <c r="N899" s="121">
        <f t="shared" si="385"/>
        <v>1</v>
      </c>
      <c r="O899" s="246">
        <f t="shared" si="386"/>
        <v>0.9865098468271335</v>
      </c>
      <c r="P899" s="121">
        <f t="shared" si="387"/>
        <v>0.875</v>
      </c>
      <c r="Q899" s="121">
        <f t="shared" si="388"/>
        <v>0</v>
      </c>
      <c r="R899" s="121">
        <f t="shared" si="389"/>
        <v>0</v>
      </c>
      <c r="S899" s="121" t="str">
        <f t="shared" si="390"/>
        <v/>
      </c>
      <c r="T899" s="121" t="str">
        <f t="shared" si="391"/>
        <v/>
      </c>
      <c r="U899" s="121">
        <f t="shared" si="392"/>
        <v>1</v>
      </c>
    </row>
    <row r="900" spans="1:21" x14ac:dyDescent="0.3">
      <c r="A900" s="187">
        <v>12</v>
      </c>
      <c r="B900" s="242">
        <f t="shared" si="393"/>
        <v>45992</v>
      </c>
      <c r="C900" s="243">
        <f t="shared" si="374"/>
        <v>46022</v>
      </c>
      <c r="D900" s="120">
        <f t="shared" si="375"/>
        <v>31</v>
      </c>
      <c r="E900" s="120">
        <f t="shared" si="376"/>
        <v>12</v>
      </c>
      <c r="F900" s="275">
        <f t="shared" si="377"/>
        <v>46007.5</v>
      </c>
      <c r="G900" s="120">
        <f t="shared" si="378"/>
        <v>24311</v>
      </c>
      <c r="H900" s="245">
        <f t="shared" si="379"/>
        <v>1</v>
      </c>
      <c r="I900" s="121">
        <f t="shared" si="380"/>
        <v>1</v>
      </c>
      <c r="J900" s="121">
        <f t="shared" si="381"/>
        <v>1</v>
      </c>
      <c r="K900" s="120">
        <f t="shared" si="382"/>
        <v>0</v>
      </c>
      <c r="L900" s="120">
        <f t="shared" si="383"/>
        <v>0</v>
      </c>
      <c r="M900" s="246">
        <f t="shared" si="384"/>
        <v>0</v>
      </c>
      <c r="N900" s="121">
        <f t="shared" si="385"/>
        <v>1</v>
      </c>
      <c r="O900" s="246">
        <f t="shared" si="386"/>
        <v>0.98684354485776804</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87">
        <v>13</v>
      </c>
      <c r="B901" s="242">
        <f t="shared" si="393"/>
        <v>46023</v>
      </c>
      <c r="C901" s="243">
        <f t="shared" si="374"/>
        <v>46053</v>
      </c>
      <c r="D901" s="120">
        <f t="shared" si="375"/>
        <v>31</v>
      </c>
      <c r="E901" s="120">
        <f t="shared" si="376"/>
        <v>1</v>
      </c>
      <c r="F901" s="275">
        <f t="shared" si="377"/>
        <v>46038.5</v>
      </c>
      <c r="G901" s="120">
        <f t="shared" si="378"/>
        <v>24312</v>
      </c>
      <c r="H901" s="245">
        <f t="shared" si="379"/>
        <v>1</v>
      </c>
      <c r="I901" s="121">
        <f t="shared" si="380"/>
        <v>1</v>
      </c>
      <c r="J901" s="121">
        <f t="shared" si="381"/>
        <v>1</v>
      </c>
      <c r="K901" s="120">
        <f t="shared" si="382"/>
        <v>0</v>
      </c>
      <c r="L901" s="120">
        <f t="shared" si="383"/>
        <v>0</v>
      </c>
      <c r="M901" s="246">
        <f t="shared" si="384"/>
        <v>0</v>
      </c>
      <c r="N901" s="121">
        <f t="shared" si="385"/>
        <v>1</v>
      </c>
      <c r="O901" s="246">
        <f t="shared" si="386"/>
        <v>0.98718271334792118</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87">
        <v>14</v>
      </c>
      <c r="B902" s="242">
        <f t="shared" si="393"/>
        <v>46054</v>
      </c>
      <c r="C902" s="243">
        <f t="shared" si="374"/>
        <v>46081</v>
      </c>
      <c r="D902" s="120">
        <f t="shared" si="375"/>
        <v>28</v>
      </c>
      <c r="E902" s="120">
        <f t="shared" si="376"/>
        <v>2</v>
      </c>
      <c r="F902" s="275">
        <f t="shared" si="377"/>
        <v>46068</v>
      </c>
      <c r="G902" s="120">
        <f t="shared" si="378"/>
        <v>24313</v>
      </c>
      <c r="H902" s="245">
        <f t="shared" si="379"/>
        <v>1</v>
      </c>
      <c r="I902" s="121">
        <f t="shared" si="380"/>
        <v>1</v>
      </c>
      <c r="J902" s="121">
        <f t="shared" si="381"/>
        <v>1</v>
      </c>
      <c r="K902" s="120">
        <f t="shared" si="382"/>
        <v>0</v>
      </c>
      <c r="L902" s="120">
        <f t="shared" si="383"/>
        <v>0</v>
      </c>
      <c r="M902" s="246">
        <f t="shared" si="384"/>
        <v>0</v>
      </c>
      <c r="N902" s="121">
        <f t="shared" si="385"/>
        <v>1</v>
      </c>
      <c r="O902" s="246">
        <f t="shared" si="386"/>
        <v>0.98750547045951864</v>
      </c>
      <c r="P902" s="121">
        <f t="shared" si="387"/>
        <v>0.875</v>
      </c>
      <c r="Q902" s="121">
        <f t="shared" si="388"/>
        <v>0.125</v>
      </c>
      <c r="R902" s="121">
        <f t="shared" si="389"/>
        <v>0</v>
      </c>
      <c r="S902" s="121" t="str">
        <f t="shared" si="390"/>
        <v/>
      </c>
      <c r="T902" s="121" t="str">
        <f t="shared" si="391"/>
        <v/>
      </c>
      <c r="U902" s="121">
        <f t="shared" si="392"/>
        <v>1</v>
      </c>
    </row>
    <row r="903" spans="1:21" x14ac:dyDescent="0.3">
      <c r="A903" s="187">
        <v>15</v>
      </c>
      <c r="B903" s="242">
        <f t="shared" si="393"/>
        <v>46082</v>
      </c>
      <c r="C903" s="243">
        <f t="shared" si="374"/>
        <v>46112</v>
      </c>
      <c r="D903" s="120">
        <f t="shared" si="375"/>
        <v>31</v>
      </c>
      <c r="E903" s="120">
        <f t="shared" si="376"/>
        <v>3</v>
      </c>
      <c r="F903" s="275">
        <f t="shared" si="377"/>
        <v>46097.5</v>
      </c>
      <c r="G903" s="120">
        <f t="shared" si="378"/>
        <v>24314</v>
      </c>
      <c r="H903" s="245">
        <f t="shared" si="379"/>
        <v>1</v>
      </c>
      <c r="I903" s="121">
        <f t="shared" si="380"/>
        <v>1</v>
      </c>
      <c r="J903" s="121">
        <f t="shared" si="381"/>
        <v>1</v>
      </c>
      <c r="K903" s="120">
        <f t="shared" si="382"/>
        <v>0</v>
      </c>
      <c r="L903" s="120">
        <f t="shared" si="383"/>
        <v>0</v>
      </c>
      <c r="M903" s="246">
        <f t="shared" si="384"/>
        <v>0</v>
      </c>
      <c r="N903" s="121">
        <f t="shared" si="385"/>
        <v>1</v>
      </c>
      <c r="O903" s="246">
        <f t="shared" si="386"/>
        <v>0.98782822757111599</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87">
        <v>16</v>
      </c>
      <c r="B904" s="242">
        <f t="shared" si="393"/>
        <v>46113</v>
      </c>
      <c r="C904" s="243">
        <f t="shared" si="374"/>
        <v>46142</v>
      </c>
      <c r="D904" s="120">
        <f t="shared" si="375"/>
        <v>30</v>
      </c>
      <c r="E904" s="120">
        <f t="shared" si="376"/>
        <v>4</v>
      </c>
      <c r="F904" s="275">
        <f t="shared" si="377"/>
        <v>46128</v>
      </c>
      <c r="G904" s="120">
        <f t="shared" si="378"/>
        <v>24315</v>
      </c>
      <c r="H904" s="245">
        <f t="shared" si="379"/>
        <v>1</v>
      </c>
      <c r="I904" s="121">
        <f t="shared" si="380"/>
        <v>1</v>
      </c>
      <c r="J904" s="121">
        <f t="shared" si="381"/>
        <v>1.02</v>
      </c>
      <c r="K904" s="120">
        <f t="shared" si="382"/>
        <v>1</v>
      </c>
      <c r="L904" s="120">
        <f t="shared" si="383"/>
        <v>30</v>
      </c>
      <c r="M904" s="246">
        <f t="shared" si="384"/>
        <v>1</v>
      </c>
      <c r="N904" s="121">
        <f t="shared" si="385"/>
        <v>1.02</v>
      </c>
      <c r="O904" s="246">
        <f t="shared" si="386"/>
        <v>0.98816192560175053</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87">
        <v>17</v>
      </c>
      <c r="B905" s="242">
        <f t="shared" si="393"/>
        <v>46143</v>
      </c>
      <c r="C905" s="243">
        <f t="shared" si="374"/>
        <v>46173</v>
      </c>
      <c r="D905" s="120">
        <f t="shared" si="375"/>
        <v>31</v>
      </c>
      <c r="E905" s="120">
        <f t="shared" si="376"/>
        <v>5</v>
      </c>
      <c r="F905" s="275">
        <f t="shared" si="377"/>
        <v>46158.5</v>
      </c>
      <c r="G905" s="120">
        <f t="shared" si="378"/>
        <v>24316</v>
      </c>
      <c r="H905" s="245">
        <f t="shared" si="379"/>
        <v>1</v>
      </c>
      <c r="I905" s="121">
        <f t="shared" si="380"/>
        <v>1.02</v>
      </c>
      <c r="J905" s="121">
        <f t="shared" si="381"/>
        <v>1.02</v>
      </c>
      <c r="K905" s="120">
        <f t="shared" si="382"/>
        <v>0</v>
      </c>
      <c r="L905" s="120">
        <f t="shared" si="383"/>
        <v>0</v>
      </c>
      <c r="M905" s="246">
        <f t="shared" si="384"/>
        <v>0</v>
      </c>
      <c r="N905" s="121">
        <f t="shared" si="385"/>
        <v>1.02</v>
      </c>
      <c r="O905" s="246">
        <f t="shared" si="386"/>
        <v>0.98849562363238508</v>
      </c>
      <c r="P905" s="121">
        <f t="shared" si="387"/>
        <v>0.625</v>
      </c>
      <c r="Q905" s="121">
        <f t="shared" si="388"/>
        <v>0.375</v>
      </c>
      <c r="R905" s="121">
        <f t="shared" si="389"/>
        <v>0</v>
      </c>
      <c r="S905" s="121" t="str">
        <f t="shared" si="390"/>
        <v/>
      </c>
      <c r="T905" s="121" t="str">
        <f t="shared" si="391"/>
        <v/>
      </c>
      <c r="U905" s="121">
        <f t="shared" si="392"/>
        <v>1.02</v>
      </c>
    </row>
    <row r="906" spans="1:21" x14ac:dyDescent="0.3">
      <c r="A906" s="187">
        <v>18</v>
      </c>
      <c r="B906" s="242">
        <f t="shared" si="393"/>
        <v>46174</v>
      </c>
      <c r="C906" s="243">
        <f t="shared" si="374"/>
        <v>46203</v>
      </c>
      <c r="D906" s="120">
        <f t="shared" si="375"/>
        <v>30</v>
      </c>
      <c r="E906" s="120">
        <f t="shared" si="376"/>
        <v>6</v>
      </c>
      <c r="F906" s="275">
        <f t="shared" si="377"/>
        <v>46189</v>
      </c>
      <c r="G906" s="120">
        <f t="shared" si="378"/>
        <v>24317</v>
      </c>
      <c r="H906" s="245">
        <f t="shared" si="379"/>
        <v>1</v>
      </c>
      <c r="I906" s="121">
        <f t="shared" si="380"/>
        <v>1.02</v>
      </c>
      <c r="J906" s="121">
        <f t="shared" si="381"/>
        <v>1.02</v>
      </c>
      <c r="K906" s="120">
        <f t="shared" si="382"/>
        <v>0</v>
      </c>
      <c r="L906" s="120">
        <f t="shared" si="383"/>
        <v>0</v>
      </c>
      <c r="M906" s="246">
        <f t="shared" si="384"/>
        <v>0</v>
      </c>
      <c r="N906" s="121">
        <f t="shared" si="385"/>
        <v>1.02</v>
      </c>
      <c r="O906" s="246">
        <f t="shared" si="386"/>
        <v>0.98882932166301973</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87">
        <v>19</v>
      </c>
      <c r="B907" s="242">
        <f t="shared" si="393"/>
        <v>46204</v>
      </c>
      <c r="C907" s="243">
        <f t="shared" si="374"/>
        <v>46234</v>
      </c>
      <c r="D907" s="120">
        <f t="shared" si="375"/>
        <v>31</v>
      </c>
      <c r="E907" s="120">
        <f t="shared" si="376"/>
        <v>7</v>
      </c>
      <c r="F907" s="275">
        <f t="shared" si="377"/>
        <v>46219.5</v>
      </c>
      <c r="G907" s="120">
        <f t="shared" si="378"/>
        <v>24318</v>
      </c>
      <c r="H907" s="245">
        <f t="shared" si="379"/>
        <v>1</v>
      </c>
      <c r="I907" s="121">
        <f t="shared" si="380"/>
        <v>1.02</v>
      </c>
      <c r="J907" s="121">
        <f t="shared" si="381"/>
        <v>1.02</v>
      </c>
      <c r="K907" s="120">
        <f t="shared" si="382"/>
        <v>0</v>
      </c>
      <c r="L907" s="120">
        <f t="shared" si="383"/>
        <v>0</v>
      </c>
      <c r="M907" s="246">
        <f t="shared" si="384"/>
        <v>0</v>
      </c>
      <c r="N907" s="121">
        <f t="shared" si="385"/>
        <v>1.02</v>
      </c>
      <c r="O907" s="246">
        <f t="shared" si="386"/>
        <v>0.98916301969365428</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87">
        <v>20</v>
      </c>
      <c r="B908" s="242">
        <f t="shared" si="393"/>
        <v>46235</v>
      </c>
      <c r="C908" s="243">
        <f t="shared" si="374"/>
        <v>46265</v>
      </c>
      <c r="D908" s="120">
        <f t="shared" si="375"/>
        <v>31</v>
      </c>
      <c r="E908" s="120">
        <f t="shared" si="376"/>
        <v>8</v>
      </c>
      <c r="F908" s="275">
        <f t="shared" si="377"/>
        <v>46250.5</v>
      </c>
      <c r="G908" s="120">
        <f t="shared" si="378"/>
        <v>24319</v>
      </c>
      <c r="H908" s="245">
        <f t="shared" si="379"/>
        <v>1</v>
      </c>
      <c r="I908" s="121">
        <f t="shared" si="380"/>
        <v>1.02</v>
      </c>
      <c r="J908" s="121">
        <f t="shared" si="381"/>
        <v>1.02</v>
      </c>
      <c r="K908" s="120">
        <f t="shared" si="382"/>
        <v>0</v>
      </c>
      <c r="L908" s="120">
        <f t="shared" si="383"/>
        <v>0</v>
      </c>
      <c r="M908" s="246">
        <f t="shared" si="384"/>
        <v>0</v>
      </c>
      <c r="N908" s="121">
        <f t="shared" si="385"/>
        <v>1.02</v>
      </c>
      <c r="O908" s="246">
        <f t="shared" si="386"/>
        <v>0.98950218818380742</v>
      </c>
      <c r="P908" s="121">
        <f t="shared" si="387"/>
        <v>0.375</v>
      </c>
      <c r="Q908" s="121">
        <f t="shared" si="388"/>
        <v>0.625</v>
      </c>
      <c r="R908" s="121">
        <f t="shared" si="389"/>
        <v>0</v>
      </c>
      <c r="S908" s="121" t="str">
        <f t="shared" si="390"/>
        <v/>
      </c>
      <c r="T908" s="121" t="str">
        <f t="shared" si="391"/>
        <v/>
      </c>
      <c r="U908" s="121">
        <f t="shared" si="392"/>
        <v>1.02</v>
      </c>
    </row>
    <row r="909" spans="1:21" x14ac:dyDescent="0.3">
      <c r="A909" s="187">
        <v>21</v>
      </c>
      <c r="B909" s="242">
        <f t="shared" si="393"/>
        <v>46266</v>
      </c>
      <c r="C909" s="243">
        <f t="shared" si="374"/>
        <v>46295</v>
      </c>
      <c r="D909" s="120">
        <f t="shared" si="375"/>
        <v>30</v>
      </c>
      <c r="E909" s="120">
        <f t="shared" si="376"/>
        <v>9</v>
      </c>
      <c r="F909" s="275">
        <f t="shared" si="377"/>
        <v>46281</v>
      </c>
      <c r="G909" s="120">
        <f t="shared" si="378"/>
        <v>24320</v>
      </c>
      <c r="H909" s="245">
        <f t="shared" si="379"/>
        <v>1</v>
      </c>
      <c r="I909" s="121">
        <f t="shared" si="380"/>
        <v>1.02</v>
      </c>
      <c r="J909" s="121">
        <f t="shared" si="381"/>
        <v>1.02</v>
      </c>
      <c r="K909" s="120">
        <f t="shared" si="382"/>
        <v>0</v>
      </c>
      <c r="L909" s="120">
        <f t="shared" si="383"/>
        <v>0</v>
      </c>
      <c r="M909" s="246">
        <f t="shared" si="384"/>
        <v>0</v>
      </c>
      <c r="N909" s="121">
        <f t="shared" si="385"/>
        <v>1.02</v>
      </c>
      <c r="O909" s="246">
        <f t="shared" si="386"/>
        <v>0.98983588621444196</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87">
        <v>22</v>
      </c>
      <c r="B910" s="242">
        <f t="shared" si="393"/>
        <v>46296</v>
      </c>
      <c r="C910" s="243">
        <f t="shared" si="374"/>
        <v>46326</v>
      </c>
      <c r="D910" s="120">
        <f t="shared" si="375"/>
        <v>31</v>
      </c>
      <c r="E910" s="120">
        <f t="shared" si="376"/>
        <v>10</v>
      </c>
      <c r="F910" s="275">
        <f t="shared" si="377"/>
        <v>46311.5</v>
      </c>
      <c r="G910" s="120">
        <f t="shared" si="378"/>
        <v>24321</v>
      </c>
      <c r="H910" s="245">
        <f t="shared" si="379"/>
        <v>1</v>
      </c>
      <c r="I910" s="121">
        <f t="shared" si="380"/>
        <v>1.02</v>
      </c>
      <c r="J910" s="121">
        <f t="shared" si="381"/>
        <v>1.02</v>
      </c>
      <c r="K910" s="120">
        <f t="shared" si="382"/>
        <v>0</v>
      </c>
      <c r="L910" s="120">
        <f t="shared" si="383"/>
        <v>0</v>
      </c>
      <c r="M910" s="246">
        <f t="shared" si="384"/>
        <v>0</v>
      </c>
      <c r="N910" s="121">
        <f t="shared" si="385"/>
        <v>1.02</v>
      </c>
      <c r="O910" s="246">
        <f t="shared" si="386"/>
        <v>0.99016958424507662</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87">
        <v>23</v>
      </c>
      <c r="B911" s="242">
        <f t="shared" si="393"/>
        <v>46327</v>
      </c>
      <c r="C911" s="243">
        <f t="shared" si="374"/>
        <v>46356</v>
      </c>
      <c r="D911" s="120">
        <f t="shared" si="375"/>
        <v>30</v>
      </c>
      <c r="E911" s="120">
        <f t="shared" si="376"/>
        <v>11</v>
      </c>
      <c r="F911" s="275">
        <f t="shared" si="377"/>
        <v>46342</v>
      </c>
      <c r="G911" s="120">
        <f t="shared" si="378"/>
        <v>24322</v>
      </c>
      <c r="H911" s="245">
        <f t="shared" si="379"/>
        <v>1</v>
      </c>
      <c r="I911" s="121">
        <f t="shared" si="380"/>
        <v>1.02</v>
      </c>
      <c r="J911" s="121">
        <f t="shared" si="381"/>
        <v>1.02</v>
      </c>
      <c r="K911" s="120">
        <f t="shared" si="382"/>
        <v>0</v>
      </c>
      <c r="L911" s="120">
        <f t="shared" si="383"/>
        <v>0</v>
      </c>
      <c r="M911" s="246">
        <f t="shared" si="384"/>
        <v>0</v>
      </c>
      <c r="N911" s="121">
        <f t="shared" si="385"/>
        <v>1.02</v>
      </c>
      <c r="O911" s="246">
        <f t="shared" si="386"/>
        <v>0.99050328227571116</v>
      </c>
      <c r="P911" s="121">
        <f t="shared" si="387"/>
        <v>0.125</v>
      </c>
      <c r="Q911" s="121">
        <f t="shared" si="388"/>
        <v>0.875</v>
      </c>
      <c r="R911" s="121">
        <f t="shared" si="389"/>
        <v>0</v>
      </c>
      <c r="S911" s="121" t="str">
        <f t="shared" si="390"/>
        <v/>
      </c>
      <c r="T911" s="121" t="str">
        <f t="shared" si="391"/>
        <v/>
      </c>
      <c r="U911" s="121">
        <f t="shared" si="392"/>
        <v>1.02</v>
      </c>
    </row>
    <row r="912" spans="1:21" x14ac:dyDescent="0.3">
      <c r="A912" s="187">
        <v>24</v>
      </c>
      <c r="B912" s="242">
        <f t="shared" si="393"/>
        <v>46357</v>
      </c>
      <c r="C912" s="243">
        <f t="shared" si="374"/>
        <v>46387</v>
      </c>
      <c r="D912" s="120">
        <f t="shared" si="375"/>
        <v>31</v>
      </c>
      <c r="E912" s="120">
        <f t="shared" si="376"/>
        <v>12</v>
      </c>
      <c r="F912" s="275">
        <f t="shared" si="377"/>
        <v>46372.5</v>
      </c>
      <c r="G912" s="120">
        <f t="shared" si="378"/>
        <v>24323</v>
      </c>
      <c r="H912" s="245">
        <f t="shared" si="379"/>
        <v>1</v>
      </c>
      <c r="I912" s="121">
        <f t="shared" si="380"/>
        <v>1.02</v>
      </c>
      <c r="J912" s="121">
        <f t="shared" si="381"/>
        <v>1.02</v>
      </c>
      <c r="K912" s="120">
        <f t="shared" si="382"/>
        <v>0</v>
      </c>
      <c r="L912" s="120">
        <f t="shared" si="383"/>
        <v>0</v>
      </c>
      <c r="M912" s="246">
        <f t="shared" si="384"/>
        <v>0</v>
      </c>
      <c r="N912" s="121">
        <f t="shared" si="385"/>
        <v>1.02</v>
      </c>
      <c r="O912" s="246">
        <f t="shared" si="386"/>
        <v>0.9908369803063457</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87">
        <v>25</v>
      </c>
      <c r="B913" s="242">
        <f t="shared" si="393"/>
        <v>46388</v>
      </c>
      <c r="C913" s="243">
        <f t="shared" si="374"/>
        <v>46418</v>
      </c>
      <c r="D913" s="120">
        <f t="shared" si="375"/>
        <v>31</v>
      </c>
      <c r="E913" s="120">
        <f t="shared" si="376"/>
        <v>1</v>
      </c>
      <c r="F913" s="275">
        <f t="shared" si="377"/>
        <v>46403.5</v>
      </c>
      <c r="G913" s="120">
        <f t="shared" si="378"/>
        <v>24324</v>
      </c>
      <c r="H913" s="245">
        <f t="shared" si="379"/>
        <v>1</v>
      </c>
      <c r="I913" s="121">
        <f t="shared" si="380"/>
        <v>1.02</v>
      </c>
      <c r="J913" s="121">
        <f t="shared" si="381"/>
        <v>1.02</v>
      </c>
      <c r="K913" s="120">
        <f t="shared" si="382"/>
        <v>0</v>
      </c>
      <c r="L913" s="120">
        <f t="shared" si="383"/>
        <v>0</v>
      </c>
      <c r="M913" s="246">
        <f t="shared" si="384"/>
        <v>0</v>
      </c>
      <c r="N913" s="121">
        <f t="shared" si="385"/>
        <v>1.02</v>
      </c>
      <c r="O913" s="246">
        <f t="shared" si="386"/>
        <v>0.99117614879649885</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87">
        <v>26</v>
      </c>
      <c r="B914" s="242">
        <f t="shared" si="393"/>
        <v>46419</v>
      </c>
      <c r="C914" s="243">
        <f t="shared" si="374"/>
        <v>46446</v>
      </c>
      <c r="D914" s="120">
        <f t="shared" si="375"/>
        <v>28</v>
      </c>
      <c r="E914" s="120">
        <f t="shared" si="376"/>
        <v>2</v>
      </c>
      <c r="F914" s="275">
        <f t="shared" si="377"/>
        <v>46433</v>
      </c>
      <c r="G914" s="120">
        <f t="shared" si="378"/>
        <v>24325</v>
      </c>
      <c r="H914" s="245">
        <f t="shared" si="379"/>
        <v>1</v>
      </c>
      <c r="I914" s="121">
        <f t="shared" si="380"/>
        <v>1.02</v>
      </c>
      <c r="J914" s="121">
        <f t="shared" si="381"/>
        <v>1.02</v>
      </c>
      <c r="K914" s="120">
        <f t="shared" si="382"/>
        <v>0</v>
      </c>
      <c r="L914" s="120">
        <f t="shared" si="383"/>
        <v>0</v>
      </c>
      <c r="M914" s="246">
        <f t="shared" si="384"/>
        <v>0</v>
      </c>
      <c r="N914" s="121">
        <f t="shared" si="385"/>
        <v>1.02</v>
      </c>
      <c r="O914" s="246">
        <f t="shared" si="386"/>
        <v>0.99149890590809631</v>
      </c>
      <c r="P914" s="121">
        <f t="shared" si="387"/>
        <v>0</v>
      </c>
      <c r="Q914" s="121">
        <f t="shared" si="388"/>
        <v>0.875</v>
      </c>
      <c r="R914" s="121">
        <f t="shared" si="389"/>
        <v>0.125</v>
      </c>
      <c r="S914" s="121" t="str">
        <f t="shared" si="390"/>
        <v/>
      </c>
      <c r="T914" s="121" t="str">
        <f t="shared" si="391"/>
        <v/>
      </c>
      <c r="U914" s="121">
        <f t="shared" si="392"/>
        <v>1.02</v>
      </c>
    </row>
    <row r="915" spans="1:21" x14ac:dyDescent="0.3">
      <c r="A915" s="187">
        <v>27</v>
      </c>
      <c r="B915" s="242">
        <f t="shared" si="393"/>
        <v>46447</v>
      </c>
      <c r="C915" s="243">
        <f t="shared" si="374"/>
        <v>46477</v>
      </c>
      <c r="D915" s="120">
        <f t="shared" si="375"/>
        <v>31</v>
      </c>
      <c r="E915" s="120">
        <f t="shared" si="376"/>
        <v>3</v>
      </c>
      <c r="F915" s="275">
        <f t="shared" si="377"/>
        <v>46462.5</v>
      </c>
      <c r="G915" s="120">
        <f t="shared" si="378"/>
        <v>24326</v>
      </c>
      <c r="H915" s="245">
        <f t="shared" si="379"/>
        <v>1</v>
      </c>
      <c r="I915" s="121">
        <f t="shared" si="380"/>
        <v>1.02</v>
      </c>
      <c r="J915" s="121">
        <f t="shared" si="381"/>
        <v>1.02</v>
      </c>
      <c r="K915" s="120">
        <f t="shared" si="382"/>
        <v>0</v>
      </c>
      <c r="L915" s="120">
        <f t="shared" si="383"/>
        <v>0</v>
      </c>
      <c r="M915" s="246">
        <f t="shared" si="384"/>
        <v>0</v>
      </c>
      <c r="N915" s="121">
        <f t="shared" si="385"/>
        <v>1.02</v>
      </c>
      <c r="O915" s="246">
        <f t="shared" si="386"/>
        <v>0.99182166301969366</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87">
        <v>28</v>
      </c>
      <c r="B916" s="242">
        <f t="shared" si="393"/>
        <v>46478</v>
      </c>
      <c r="C916" s="243">
        <f t="shared" si="374"/>
        <v>46507</v>
      </c>
      <c r="D916" s="120">
        <f t="shared" si="375"/>
        <v>30</v>
      </c>
      <c r="E916" s="120">
        <f t="shared" si="376"/>
        <v>4</v>
      </c>
      <c r="F916" s="275">
        <f t="shared" si="377"/>
        <v>46493</v>
      </c>
      <c r="G916" s="120">
        <f t="shared" si="378"/>
        <v>24327</v>
      </c>
      <c r="H916" s="245">
        <f t="shared" si="379"/>
        <v>1</v>
      </c>
      <c r="I916" s="121">
        <f t="shared" si="380"/>
        <v>1.02</v>
      </c>
      <c r="J916" s="121">
        <f t="shared" si="381"/>
        <v>1.02</v>
      </c>
      <c r="K916" s="120">
        <f t="shared" si="382"/>
        <v>0</v>
      </c>
      <c r="L916" s="120">
        <f t="shared" si="383"/>
        <v>0</v>
      </c>
      <c r="M916" s="246">
        <f t="shared" si="384"/>
        <v>0</v>
      </c>
      <c r="N916" s="121">
        <f t="shared" si="385"/>
        <v>1.02</v>
      </c>
      <c r="O916" s="246">
        <f t="shared" si="386"/>
        <v>0.9921553610503282</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87">
        <v>29</v>
      </c>
      <c r="B917" s="242">
        <f t="shared" si="393"/>
        <v>46508</v>
      </c>
      <c r="C917" s="243">
        <f t="shared" si="374"/>
        <v>46538</v>
      </c>
      <c r="D917" s="120">
        <f t="shared" si="375"/>
        <v>31</v>
      </c>
      <c r="E917" s="120">
        <f t="shared" si="376"/>
        <v>5</v>
      </c>
      <c r="F917" s="275">
        <f t="shared" si="377"/>
        <v>46523.5</v>
      </c>
      <c r="G917" s="120">
        <f t="shared" si="378"/>
        <v>24328</v>
      </c>
      <c r="H917" s="245">
        <f t="shared" si="379"/>
        <v>1</v>
      </c>
      <c r="I917" s="121">
        <f t="shared" si="380"/>
        <v>1.02</v>
      </c>
      <c r="J917" s="121">
        <f t="shared" si="381"/>
        <v>1.02</v>
      </c>
      <c r="K917" s="120">
        <f t="shared" si="382"/>
        <v>0</v>
      </c>
      <c r="L917" s="120">
        <f t="shared" si="383"/>
        <v>0</v>
      </c>
      <c r="M917" s="246">
        <f t="shared" si="384"/>
        <v>0</v>
      </c>
      <c r="N917" s="121">
        <f t="shared" si="385"/>
        <v>1.02</v>
      </c>
      <c r="O917" s="246">
        <f t="shared" si="386"/>
        <v>0.99248905908096274</v>
      </c>
      <c r="P917" s="121">
        <f t="shared" si="387"/>
        <v>0</v>
      </c>
      <c r="Q917" s="121">
        <f t="shared" si="388"/>
        <v>0.625</v>
      </c>
      <c r="R917" s="121">
        <f t="shared" si="389"/>
        <v>0.375</v>
      </c>
      <c r="S917" s="121" t="str">
        <f t="shared" si="390"/>
        <v/>
      </c>
      <c r="T917" s="121" t="str">
        <f t="shared" si="391"/>
        <v/>
      </c>
      <c r="U917" s="121">
        <f t="shared" si="392"/>
        <v>1.02</v>
      </c>
    </row>
    <row r="918" spans="1:21" x14ac:dyDescent="0.3">
      <c r="A918" s="187">
        <v>30</v>
      </c>
      <c r="B918" s="242">
        <f t="shared" si="393"/>
        <v>46539</v>
      </c>
      <c r="C918" s="243">
        <f t="shared" si="374"/>
        <v>46568</v>
      </c>
      <c r="D918" s="120">
        <f t="shared" si="375"/>
        <v>30</v>
      </c>
      <c r="E918" s="120">
        <f t="shared" si="376"/>
        <v>6</v>
      </c>
      <c r="F918" s="275">
        <f t="shared" si="377"/>
        <v>46554</v>
      </c>
      <c r="G918" s="120">
        <f t="shared" si="378"/>
        <v>24329</v>
      </c>
      <c r="H918" s="245">
        <f t="shared" si="379"/>
        <v>1</v>
      </c>
      <c r="I918" s="121">
        <f t="shared" si="380"/>
        <v>1.02</v>
      </c>
      <c r="J918" s="121">
        <f t="shared" si="381"/>
        <v>1.02</v>
      </c>
      <c r="K918" s="120">
        <f t="shared" si="382"/>
        <v>0</v>
      </c>
      <c r="L918" s="120">
        <f t="shared" si="383"/>
        <v>0</v>
      </c>
      <c r="M918" s="246">
        <f t="shared" si="384"/>
        <v>0</v>
      </c>
      <c r="N918" s="121">
        <f t="shared" si="385"/>
        <v>1.02</v>
      </c>
      <c r="O918" s="246">
        <f t="shared" si="386"/>
        <v>0.9928227571115974</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87">
        <v>31</v>
      </c>
      <c r="B919" s="242">
        <f t="shared" si="393"/>
        <v>46569</v>
      </c>
      <c r="C919" s="243">
        <f t="shared" si="374"/>
        <v>46599</v>
      </c>
      <c r="D919" s="120">
        <f t="shared" si="375"/>
        <v>31</v>
      </c>
      <c r="E919" s="120">
        <f t="shared" si="376"/>
        <v>7</v>
      </c>
      <c r="F919" s="275">
        <f t="shared" si="377"/>
        <v>46584.5</v>
      </c>
      <c r="G919" s="120">
        <f t="shared" si="378"/>
        <v>24330</v>
      </c>
      <c r="H919" s="245">
        <f t="shared" si="379"/>
        <v>1</v>
      </c>
      <c r="I919" s="121">
        <f t="shared" si="380"/>
        <v>1.02</v>
      </c>
      <c r="J919" s="121">
        <f t="shared" si="381"/>
        <v>1.02</v>
      </c>
      <c r="K919" s="120">
        <f t="shared" si="382"/>
        <v>0</v>
      </c>
      <c r="L919" s="120">
        <f t="shared" si="383"/>
        <v>0</v>
      </c>
      <c r="M919" s="246">
        <f t="shared" si="384"/>
        <v>0</v>
      </c>
      <c r="N919" s="121">
        <f t="shared" si="385"/>
        <v>1.02</v>
      </c>
      <c r="O919" s="246">
        <f t="shared" si="386"/>
        <v>0.99315645514223194</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87">
        <v>32</v>
      </c>
      <c r="B920" s="242">
        <f t="shared" si="393"/>
        <v>46600</v>
      </c>
      <c r="C920" s="243">
        <f t="shared" si="374"/>
        <v>46630</v>
      </c>
      <c r="D920" s="120">
        <f t="shared" si="375"/>
        <v>31</v>
      </c>
      <c r="E920" s="120">
        <f t="shared" si="376"/>
        <v>8</v>
      </c>
      <c r="F920" s="275">
        <f t="shared" si="377"/>
        <v>46615.5</v>
      </c>
      <c r="G920" s="120">
        <f t="shared" si="378"/>
        <v>24331</v>
      </c>
      <c r="H920" s="245">
        <f t="shared" si="379"/>
        <v>1</v>
      </c>
      <c r="I920" s="121">
        <f t="shared" si="380"/>
        <v>1.02</v>
      </c>
      <c r="J920" s="121">
        <f t="shared" si="381"/>
        <v>1.02</v>
      </c>
      <c r="K920" s="120">
        <f t="shared" si="382"/>
        <v>0</v>
      </c>
      <c r="L920" s="120">
        <f t="shared" si="383"/>
        <v>0</v>
      </c>
      <c r="M920" s="246">
        <f t="shared" si="384"/>
        <v>0</v>
      </c>
      <c r="N920" s="121">
        <f t="shared" si="385"/>
        <v>1.02</v>
      </c>
      <c r="O920" s="246">
        <f t="shared" si="386"/>
        <v>0.99349562363238508</v>
      </c>
      <c r="P920" s="121">
        <f t="shared" si="387"/>
        <v>0</v>
      </c>
      <c r="Q920" s="121">
        <f t="shared" si="388"/>
        <v>0.375</v>
      </c>
      <c r="R920" s="121">
        <f t="shared" si="389"/>
        <v>0.625</v>
      </c>
      <c r="S920" s="121" t="str">
        <f t="shared" si="390"/>
        <v/>
      </c>
      <c r="T920" s="121" t="str">
        <f t="shared" si="391"/>
        <v/>
      </c>
      <c r="U920" s="121">
        <f t="shared" si="392"/>
        <v>1.02</v>
      </c>
    </row>
    <row r="921" spans="1:21" x14ac:dyDescent="0.3">
      <c r="A921" s="187">
        <v>33</v>
      </c>
      <c r="B921" s="242">
        <f t="shared" si="393"/>
        <v>46631</v>
      </c>
      <c r="C921" s="243">
        <f t="shared" si="374"/>
        <v>46660</v>
      </c>
      <c r="D921" s="120">
        <f t="shared" si="375"/>
        <v>30</v>
      </c>
      <c r="E921" s="120">
        <f t="shared" si="376"/>
        <v>9</v>
      </c>
      <c r="F921" s="275">
        <f t="shared" si="377"/>
        <v>46646</v>
      </c>
      <c r="G921" s="120">
        <f t="shared" si="378"/>
        <v>24332</v>
      </c>
      <c r="H921" s="245">
        <f t="shared" si="379"/>
        <v>1</v>
      </c>
      <c r="I921" s="121">
        <f t="shared" si="380"/>
        <v>1.02</v>
      </c>
      <c r="J921" s="121">
        <f t="shared" si="381"/>
        <v>1.02</v>
      </c>
      <c r="K921" s="120">
        <f t="shared" si="382"/>
        <v>0</v>
      </c>
      <c r="L921" s="120">
        <f t="shared" si="383"/>
        <v>0</v>
      </c>
      <c r="M921" s="246">
        <f t="shared" si="384"/>
        <v>0</v>
      </c>
      <c r="N921" s="121">
        <f t="shared" si="385"/>
        <v>1.02</v>
      </c>
      <c r="O921" s="246">
        <f t="shared" si="386"/>
        <v>0.99382932166301974</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87">
        <v>34</v>
      </c>
      <c r="B922" s="242">
        <f t="shared" si="393"/>
        <v>46661</v>
      </c>
      <c r="C922" s="243">
        <f t="shared" si="374"/>
        <v>46691</v>
      </c>
      <c r="D922" s="120">
        <f t="shared" si="375"/>
        <v>31</v>
      </c>
      <c r="E922" s="120">
        <f t="shared" si="376"/>
        <v>10</v>
      </c>
      <c r="F922" s="275">
        <f t="shared" si="377"/>
        <v>46676.5</v>
      </c>
      <c r="G922" s="120">
        <f t="shared" si="378"/>
        <v>24333</v>
      </c>
      <c r="H922" s="245">
        <f t="shared" si="379"/>
        <v>1</v>
      </c>
      <c r="I922" s="121">
        <f t="shared" si="380"/>
        <v>1.02</v>
      </c>
      <c r="J922" s="121">
        <f t="shared" si="381"/>
        <v>1.02</v>
      </c>
      <c r="K922" s="120">
        <f t="shared" si="382"/>
        <v>0</v>
      </c>
      <c r="L922" s="120">
        <f t="shared" si="383"/>
        <v>0</v>
      </c>
      <c r="M922" s="246">
        <f t="shared" si="384"/>
        <v>0</v>
      </c>
      <c r="N922" s="121">
        <f t="shared" si="385"/>
        <v>1.02</v>
      </c>
      <c r="O922" s="246">
        <f t="shared" si="386"/>
        <v>0.99416301969365428</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87">
        <v>35</v>
      </c>
      <c r="B923" s="242">
        <f t="shared" si="393"/>
        <v>46692</v>
      </c>
      <c r="C923" s="243">
        <f t="shared" si="374"/>
        <v>46721</v>
      </c>
      <c r="D923" s="120">
        <f t="shared" si="375"/>
        <v>30</v>
      </c>
      <c r="E923" s="120">
        <f t="shared" si="376"/>
        <v>11</v>
      </c>
      <c r="F923" s="275">
        <f t="shared" si="377"/>
        <v>46707</v>
      </c>
      <c r="G923" s="120">
        <f t="shared" si="378"/>
        <v>24334</v>
      </c>
      <c r="H923" s="245">
        <f t="shared" si="379"/>
        <v>1</v>
      </c>
      <c r="I923" s="121">
        <f t="shared" si="380"/>
        <v>1.02</v>
      </c>
      <c r="J923" s="121">
        <f t="shared" si="381"/>
        <v>1.02</v>
      </c>
      <c r="K923" s="120">
        <f t="shared" si="382"/>
        <v>0</v>
      </c>
      <c r="L923" s="120">
        <f t="shared" si="383"/>
        <v>0</v>
      </c>
      <c r="M923" s="246">
        <f t="shared" si="384"/>
        <v>0</v>
      </c>
      <c r="N923" s="121">
        <f t="shared" si="385"/>
        <v>1.02</v>
      </c>
      <c r="O923" s="246">
        <f t="shared" si="386"/>
        <v>0.99449671772428883</v>
      </c>
      <c r="P923" s="121">
        <f t="shared" si="387"/>
        <v>0</v>
      </c>
      <c r="Q923" s="121">
        <f t="shared" si="388"/>
        <v>0.125</v>
      </c>
      <c r="R923" s="121">
        <f t="shared" si="389"/>
        <v>0.875</v>
      </c>
      <c r="S923" s="121" t="str">
        <f t="shared" si="390"/>
        <v/>
      </c>
      <c r="T923" s="121" t="str">
        <f t="shared" si="391"/>
        <v/>
      </c>
      <c r="U923" s="121">
        <f t="shared" si="392"/>
        <v>1.02</v>
      </c>
    </row>
    <row r="924" spans="1:21" x14ac:dyDescent="0.3">
      <c r="A924" s="187">
        <v>36</v>
      </c>
      <c r="B924" s="242">
        <f t="shared" si="393"/>
        <v>46722</v>
      </c>
      <c r="C924" s="243">
        <f t="shared" si="374"/>
        <v>46752</v>
      </c>
      <c r="D924" s="120">
        <f t="shared" si="375"/>
        <v>31</v>
      </c>
      <c r="E924" s="120">
        <f t="shared" si="376"/>
        <v>12</v>
      </c>
      <c r="F924" s="275">
        <f t="shared" si="377"/>
        <v>46737.5</v>
      </c>
      <c r="G924" s="120">
        <f t="shared" si="378"/>
        <v>24335</v>
      </c>
      <c r="H924" s="245">
        <f t="shared" si="379"/>
        <v>1</v>
      </c>
      <c r="I924" s="121">
        <f t="shared" si="380"/>
        <v>1.02</v>
      </c>
      <c r="J924" s="121">
        <f t="shared" si="381"/>
        <v>1.02</v>
      </c>
      <c r="K924" s="120">
        <f t="shared" si="382"/>
        <v>0</v>
      </c>
      <c r="L924" s="120">
        <f t="shared" si="383"/>
        <v>0</v>
      </c>
      <c r="M924" s="246">
        <f t="shared" si="384"/>
        <v>0</v>
      </c>
      <c r="N924" s="121">
        <f t="shared" si="385"/>
        <v>1.02</v>
      </c>
      <c r="O924" s="246">
        <f t="shared" si="386"/>
        <v>0.99483041575492337</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87">
        <v>37</v>
      </c>
      <c r="B925" s="242">
        <f t="shared" si="393"/>
        <v>46753</v>
      </c>
      <c r="C925" s="243">
        <f t="shared" si="374"/>
        <v>46783</v>
      </c>
      <c r="D925" s="120">
        <f t="shared" si="375"/>
        <v>31</v>
      </c>
      <c r="E925" s="120">
        <f t="shared" si="376"/>
        <v>1</v>
      </c>
      <c r="F925" s="275">
        <f t="shared" si="377"/>
        <v>46768.5</v>
      </c>
      <c r="G925" s="120">
        <f t="shared" si="378"/>
        <v>24336</v>
      </c>
      <c r="H925" s="245">
        <f t="shared" si="379"/>
        <v>1</v>
      </c>
      <c r="I925" s="121">
        <f t="shared" si="380"/>
        <v>1.02</v>
      </c>
      <c r="J925" s="121">
        <f t="shared" si="381"/>
        <v>1.02</v>
      </c>
      <c r="K925" s="120">
        <f t="shared" si="382"/>
        <v>0</v>
      </c>
      <c r="L925" s="120">
        <f t="shared" si="383"/>
        <v>0</v>
      </c>
      <c r="M925" s="246">
        <f t="shared" si="384"/>
        <v>0</v>
      </c>
      <c r="N925" s="121">
        <f t="shared" si="385"/>
        <v>1.02</v>
      </c>
      <c r="O925" s="246">
        <f t="shared" si="386"/>
        <v>0.995</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87">
        <v>38</v>
      </c>
      <c r="B926" s="242">
        <f t="shared" si="393"/>
        <v>46784</v>
      </c>
      <c r="C926" s="243">
        <f t="shared" si="374"/>
        <v>46812</v>
      </c>
      <c r="D926" s="120">
        <f t="shared" si="375"/>
        <v>29</v>
      </c>
      <c r="E926" s="120">
        <f t="shared" si="376"/>
        <v>2</v>
      </c>
      <c r="F926" s="275">
        <f t="shared" si="377"/>
        <v>46798.5</v>
      </c>
      <c r="G926" s="120">
        <f t="shared" si="378"/>
        <v>24337</v>
      </c>
      <c r="H926" s="245">
        <f t="shared" si="379"/>
        <v>1</v>
      </c>
      <c r="I926" s="121">
        <f t="shared" si="380"/>
        <v>1.02</v>
      </c>
      <c r="J926" s="121">
        <f t="shared" si="381"/>
        <v>1.02</v>
      </c>
      <c r="K926" s="120">
        <f t="shared" si="382"/>
        <v>0</v>
      </c>
      <c r="L926" s="120">
        <f t="shared" si="383"/>
        <v>0</v>
      </c>
      <c r="M926" s="246">
        <f t="shared" si="384"/>
        <v>0</v>
      </c>
      <c r="N926" s="121">
        <f t="shared" si="385"/>
        <v>1.02</v>
      </c>
      <c r="O926" s="246">
        <f t="shared" si="386"/>
        <v>0.995</v>
      </c>
      <c r="P926" s="121">
        <f t="shared" si="387"/>
        <v>0</v>
      </c>
      <c r="Q926" s="121">
        <f t="shared" si="388"/>
        <v>0</v>
      </c>
      <c r="R926" s="121">
        <f t="shared" si="389"/>
        <v>0.875</v>
      </c>
      <c r="S926" s="121" t="str">
        <f t="shared" si="390"/>
        <v/>
      </c>
      <c r="T926" s="121" t="str">
        <f t="shared" si="391"/>
        <v/>
      </c>
      <c r="U926" s="121">
        <f t="shared" si="392"/>
        <v>1.02</v>
      </c>
    </row>
    <row r="927" spans="1:21" x14ac:dyDescent="0.3">
      <c r="A927" s="187">
        <v>39</v>
      </c>
      <c r="B927" s="242">
        <f t="shared" si="393"/>
        <v>46813</v>
      </c>
      <c r="C927" s="243">
        <f t="shared" si="374"/>
        <v>46843</v>
      </c>
      <c r="D927" s="120">
        <f t="shared" si="375"/>
        <v>31</v>
      </c>
      <c r="E927" s="120">
        <f t="shared" si="376"/>
        <v>3</v>
      </c>
      <c r="F927" s="275">
        <f t="shared" si="377"/>
        <v>46828.5</v>
      </c>
      <c r="G927" s="120">
        <f t="shared" si="378"/>
        <v>24338</v>
      </c>
      <c r="H927" s="245">
        <f t="shared" si="379"/>
        <v>1</v>
      </c>
      <c r="I927" s="121">
        <f t="shared" si="380"/>
        <v>1.02</v>
      </c>
      <c r="J927" s="121">
        <f t="shared" si="381"/>
        <v>1.02</v>
      </c>
      <c r="K927" s="120">
        <f t="shared" si="382"/>
        <v>0</v>
      </c>
      <c r="L927" s="120">
        <f t="shared" si="383"/>
        <v>0</v>
      </c>
      <c r="M927" s="246">
        <f t="shared" si="384"/>
        <v>0</v>
      </c>
      <c r="N927" s="121">
        <f t="shared" si="385"/>
        <v>1.02</v>
      </c>
      <c r="O927" s="246">
        <f t="shared" si="386"/>
        <v>0.995</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87">
        <v>40</v>
      </c>
      <c r="B928" s="242">
        <f t="shared" si="393"/>
        <v>46844</v>
      </c>
      <c r="C928" s="243">
        <f t="shared" si="374"/>
        <v>46873</v>
      </c>
      <c r="D928" s="120">
        <f t="shared" si="375"/>
        <v>30</v>
      </c>
      <c r="E928" s="120">
        <f t="shared" si="376"/>
        <v>4</v>
      </c>
      <c r="F928" s="275">
        <f t="shared" si="377"/>
        <v>46859</v>
      </c>
      <c r="G928" s="120">
        <f t="shared" si="378"/>
        <v>24339</v>
      </c>
      <c r="H928" s="245">
        <f t="shared" si="379"/>
        <v>1</v>
      </c>
      <c r="I928" s="121">
        <f t="shared" si="380"/>
        <v>1.02</v>
      </c>
      <c r="J928" s="121">
        <f t="shared" si="381"/>
        <v>1.02</v>
      </c>
      <c r="K928" s="120">
        <f t="shared" si="382"/>
        <v>0</v>
      </c>
      <c r="L928" s="120">
        <f t="shared" si="383"/>
        <v>0</v>
      </c>
      <c r="M928" s="246">
        <f t="shared" si="384"/>
        <v>0</v>
      </c>
      <c r="N928" s="121">
        <f t="shared" si="385"/>
        <v>1.02</v>
      </c>
      <c r="O928" s="246">
        <f t="shared" si="386"/>
        <v>0.995</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87">
        <v>41</v>
      </c>
      <c r="B929" s="242">
        <f t="shared" si="393"/>
        <v>46874</v>
      </c>
      <c r="C929" s="243">
        <f t="shared" si="374"/>
        <v>46904</v>
      </c>
      <c r="D929" s="120">
        <f t="shared" si="375"/>
        <v>31</v>
      </c>
      <c r="E929" s="120">
        <f t="shared" si="376"/>
        <v>5</v>
      </c>
      <c r="F929" s="275">
        <f t="shared" si="377"/>
        <v>46889.5</v>
      </c>
      <c r="G929" s="120">
        <f t="shared" si="378"/>
        <v>24340</v>
      </c>
      <c r="H929" s="245">
        <f t="shared" si="379"/>
        <v>1</v>
      </c>
      <c r="I929" s="121">
        <f t="shared" si="380"/>
        <v>1.02</v>
      </c>
      <c r="J929" s="121">
        <f t="shared" si="381"/>
        <v>1.02</v>
      </c>
      <c r="K929" s="120">
        <f t="shared" si="382"/>
        <v>0</v>
      </c>
      <c r="L929" s="120">
        <f t="shared" si="383"/>
        <v>0</v>
      </c>
      <c r="M929" s="246">
        <f t="shared" si="384"/>
        <v>0</v>
      </c>
      <c r="N929" s="121">
        <f t="shared" si="385"/>
        <v>1.02</v>
      </c>
      <c r="O929" s="246">
        <f t="shared" si="386"/>
        <v>0.995</v>
      </c>
      <c r="P929" s="121">
        <f t="shared" si="387"/>
        <v>0</v>
      </c>
      <c r="Q929" s="121">
        <f t="shared" si="388"/>
        <v>0</v>
      </c>
      <c r="R929" s="121">
        <f t="shared" si="389"/>
        <v>0.625</v>
      </c>
      <c r="S929" s="121" t="str">
        <f t="shared" si="390"/>
        <v/>
      </c>
      <c r="T929" s="121" t="str">
        <f t="shared" si="391"/>
        <v/>
      </c>
      <c r="U929" s="121">
        <f t="shared" si="392"/>
        <v>1.02</v>
      </c>
    </row>
    <row r="930" spans="1:21" x14ac:dyDescent="0.3">
      <c r="A930" s="187">
        <v>42</v>
      </c>
      <c r="B930" s="242">
        <f t="shared" si="393"/>
        <v>46905</v>
      </c>
      <c r="C930" s="243">
        <f t="shared" si="374"/>
        <v>46934</v>
      </c>
      <c r="D930" s="120">
        <f t="shared" si="375"/>
        <v>30</v>
      </c>
      <c r="E930" s="120">
        <f t="shared" si="376"/>
        <v>6</v>
      </c>
      <c r="F930" s="275">
        <f t="shared" si="377"/>
        <v>46920</v>
      </c>
      <c r="G930" s="120">
        <f t="shared" si="378"/>
        <v>24341</v>
      </c>
      <c r="H930" s="245">
        <f t="shared" si="379"/>
        <v>1</v>
      </c>
      <c r="I930" s="121">
        <f t="shared" si="380"/>
        <v>1.02</v>
      </c>
      <c r="J930" s="121">
        <f t="shared" si="381"/>
        <v>1.02</v>
      </c>
      <c r="K930" s="120">
        <f t="shared" si="382"/>
        <v>0</v>
      </c>
      <c r="L930" s="120">
        <f t="shared" si="383"/>
        <v>0</v>
      </c>
      <c r="M930" s="246">
        <f t="shared" si="384"/>
        <v>0</v>
      </c>
      <c r="N930" s="121">
        <f t="shared" si="385"/>
        <v>1.02</v>
      </c>
      <c r="O930" s="246">
        <f t="shared" si="386"/>
        <v>0.995</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87">
        <v>43</v>
      </c>
      <c r="B931" s="242">
        <f t="shared" si="393"/>
        <v>46935</v>
      </c>
      <c r="C931" s="243">
        <f t="shared" si="374"/>
        <v>46965</v>
      </c>
      <c r="D931" s="120">
        <f t="shared" si="375"/>
        <v>31</v>
      </c>
      <c r="E931" s="120">
        <f t="shared" si="376"/>
        <v>7</v>
      </c>
      <c r="F931" s="275">
        <f t="shared" si="377"/>
        <v>46950.5</v>
      </c>
      <c r="G931" s="120">
        <f t="shared" si="378"/>
        <v>24342</v>
      </c>
      <c r="H931" s="245">
        <f t="shared" si="379"/>
        <v>1</v>
      </c>
      <c r="I931" s="121">
        <f t="shared" si="380"/>
        <v>1.02</v>
      </c>
      <c r="J931" s="121">
        <f t="shared" si="381"/>
        <v>1.02</v>
      </c>
      <c r="K931" s="120">
        <f t="shared" si="382"/>
        <v>0</v>
      </c>
      <c r="L931" s="120">
        <f t="shared" si="383"/>
        <v>0</v>
      </c>
      <c r="M931" s="246">
        <f t="shared" si="384"/>
        <v>0</v>
      </c>
      <c r="N931" s="121">
        <f t="shared" si="385"/>
        <v>1.02</v>
      </c>
      <c r="O931" s="246">
        <f t="shared" si="386"/>
        <v>0.995</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87">
        <v>44</v>
      </c>
      <c r="B932" s="242">
        <f t="shared" si="393"/>
        <v>46966</v>
      </c>
      <c r="C932" s="243">
        <f t="shared" si="374"/>
        <v>46996</v>
      </c>
      <c r="D932" s="120">
        <f t="shared" si="375"/>
        <v>31</v>
      </c>
      <c r="E932" s="120">
        <f t="shared" si="376"/>
        <v>8</v>
      </c>
      <c r="F932" s="275">
        <f t="shared" si="377"/>
        <v>46981.5</v>
      </c>
      <c r="G932" s="120">
        <f t="shared" si="378"/>
        <v>24343</v>
      </c>
      <c r="H932" s="245">
        <f t="shared" si="379"/>
        <v>1</v>
      </c>
      <c r="I932" s="121">
        <f t="shared" si="380"/>
        <v>1.02</v>
      </c>
      <c r="J932" s="121">
        <f t="shared" si="381"/>
        <v>1.02</v>
      </c>
      <c r="K932" s="120">
        <f t="shared" si="382"/>
        <v>0</v>
      </c>
      <c r="L932" s="120">
        <f t="shared" si="383"/>
        <v>0</v>
      </c>
      <c r="M932" s="246">
        <f t="shared" si="384"/>
        <v>0</v>
      </c>
      <c r="N932" s="121">
        <f t="shared" si="385"/>
        <v>1.02</v>
      </c>
      <c r="O932" s="246">
        <f t="shared" si="386"/>
        <v>0.995</v>
      </c>
      <c r="P932" s="121">
        <f t="shared" si="387"/>
        <v>0</v>
      </c>
      <c r="Q932" s="121">
        <f t="shared" si="388"/>
        <v>0</v>
      </c>
      <c r="R932" s="121">
        <f t="shared" si="389"/>
        <v>0.375</v>
      </c>
      <c r="S932" s="121" t="str">
        <f t="shared" si="390"/>
        <v/>
      </c>
      <c r="T932" s="121" t="str">
        <f t="shared" si="391"/>
        <v/>
      </c>
      <c r="U932" s="121">
        <f t="shared" si="392"/>
        <v>1.02</v>
      </c>
    </row>
    <row r="933" spans="1:21" x14ac:dyDescent="0.3">
      <c r="A933" s="187">
        <v>45</v>
      </c>
      <c r="B933" s="242">
        <f t="shared" si="393"/>
        <v>46997</v>
      </c>
      <c r="C933" s="243">
        <f t="shared" si="374"/>
        <v>47026</v>
      </c>
      <c r="D933" s="120">
        <f t="shared" si="375"/>
        <v>30</v>
      </c>
      <c r="E933" s="120">
        <f t="shared" si="376"/>
        <v>9</v>
      </c>
      <c r="F933" s="275">
        <f t="shared" si="377"/>
        <v>47012</v>
      </c>
      <c r="G933" s="120">
        <f t="shared" si="378"/>
        <v>24344</v>
      </c>
      <c r="H933" s="245">
        <f t="shared" si="379"/>
        <v>1</v>
      </c>
      <c r="I933" s="121">
        <f t="shared" si="380"/>
        <v>1.02</v>
      </c>
      <c r="J933" s="121">
        <f t="shared" si="381"/>
        <v>1.02</v>
      </c>
      <c r="K933" s="120">
        <f t="shared" si="382"/>
        <v>0</v>
      </c>
      <c r="L933" s="120">
        <f t="shared" si="383"/>
        <v>0</v>
      </c>
      <c r="M933" s="246">
        <f t="shared" si="384"/>
        <v>0</v>
      </c>
      <c r="N933" s="121">
        <f t="shared" si="385"/>
        <v>1.02</v>
      </c>
      <c r="O933" s="246">
        <f t="shared" si="386"/>
        <v>0.995</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87">
        <v>46</v>
      </c>
      <c r="B934" s="242">
        <f t="shared" si="393"/>
        <v>47027</v>
      </c>
      <c r="C934" s="243">
        <f t="shared" si="374"/>
        <v>47057</v>
      </c>
      <c r="D934" s="120">
        <f t="shared" si="375"/>
        <v>31</v>
      </c>
      <c r="E934" s="120">
        <f t="shared" si="376"/>
        <v>10</v>
      </c>
      <c r="F934" s="275">
        <f t="shared" si="377"/>
        <v>47042.5</v>
      </c>
      <c r="G934" s="120">
        <f t="shared" si="378"/>
        <v>24345</v>
      </c>
      <c r="H934" s="245">
        <f t="shared" si="379"/>
        <v>1</v>
      </c>
      <c r="I934" s="121">
        <f t="shared" si="380"/>
        <v>1.02</v>
      </c>
      <c r="J934" s="121">
        <f t="shared" si="381"/>
        <v>1.02</v>
      </c>
      <c r="K934" s="120">
        <f t="shared" si="382"/>
        <v>0</v>
      </c>
      <c r="L934" s="120">
        <f t="shared" si="383"/>
        <v>0</v>
      </c>
      <c r="M934" s="246">
        <f t="shared" si="384"/>
        <v>0</v>
      </c>
      <c r="N934" s="121">
        <f t="shared" si="385"/>
        <v>1.02</v>
      </c>
      <c r="O934" s="246">
        <f t="shared" si="386"/>
        <v>0.995</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87">
        <v>47</v>
      </c>
      <c r="B935" s="242">
        <f t="shared" si="393"/>
        <v>47058</v>
      </c>
      <c r="C935" s="243">
        <f t="shared" si="374"/>
        <v>47087</v>
      </c>
      <c r="D935" s="120">
        <f t="shared" si="375"/>
        <v>30</v>
      </c>
      <c r="E935" s="120">
        <f t="shared" si="376"/>
        <v>11</v>
      </c>
      <c r="F935" s="275">
        <f t="shared" si="377"/>
        <v>47073</v>
      </c>
      <c r="G935" s="120">
        <f t="shared" si="378"/>
        <v>24346</v>
      </c>
      <c r="H935" s="245">
        <f t="shared" si="379"/>
        <v>1</v>
      </c>
      <c r="I935" s="121">
        <f t="shared" si="380"/>
        <v>1.02</v>
      </c>
      <c r="J935" s="121">
        <f t="shared" si="381"/>
        <v>1.02</v>
      </c>
      <c r="K935" s="120">
        <f t="shared" si="382"/>
        <v>0</v>
      </c>
      <c r="L935" s="120">
        <f t="shared" si="383"/>
        <v>0</v>
      </c>
      <c r="M935" s="246">
        <f t="shared" si="384"/>
        <v>0</v>
      </c>
      <c r="N935" s="121">
        <f t="shared" si="385"/>
        <v>1.02</v>
      </c>
      <c r="O935" s="246">
        <f t="shared" si="386"/>
        <v>0.995</v>
      </c>
      <c r="P935" s="121">
        <f t="shared" si="387"/>
        <v>0</v>
      </c>
      <c r="Q935" s="121">
        <f t="shared" si="388"/>
        <v>0</v>
      </c>
      <c r="R935" s="121">
        <f t="shared" si="389"/>
        <v>0.125</v>
      </c>
      <c r="S935" s="121" t="str">
        <f t="shared" si="390"/>
        <v/>
      </c>
      <c r="T935" s="121" t="str">
        <f t="shared" si="391"/>
        <v/>
      </c>
      <c r="U935" s="121">
        <f t="shared" si="392"/>
        <v>1.02</v>
      </c>
    </row>
    <row r="936" spans="1:21" x14ac:dyDescent="0.3">
      <c r="A936" s="187">
        <v>48</v>
      </c>
      <c r="B936" s="242">
        <f t="shared" si="393"/>
        <v>47088</v>
      </c>
      <c r="C936" s="243">
        <f t="shared" si="374"/>
        <v>47118</v>
      </c>
      <c r="D936" s="120">
        <f t="shared" si="375"/>
        <v>31</v>
      </c>
      <c r="E936" s="120">
        <f t="shared" si="376"/>
        <v>12</v>
      </c>
      <c r="F936" s="275">
        <f t="shared" si="377"/>
        <v>47103.5</v>
      </c>
      <c r="G936" s="120">
        <f t="shared" si="378"/>
        <v>24347</v>
      </c>
      <c r="H936" s="245">
        <f t="shared" si="379"/>
        <v>1</v>
      </c>
      <c r="I936" s="121">
        <f t="shared" si="380"/>
        <v>1.02</v>
      </c>
      <c r="J936" s="121">
        <f t="shared" si="381"/>
        <v>1.02</v>
      </c>
      <c r="K936" s="120">
        <f t="shared" si="382"/>
        <v>0</v>
      </c>
      <c r="L936" s="120">
        <f t="shared" si="383"/>
        <v>0</v>
      </c>
      <c r="M936" s="246">
        <f t="shared" si="384"/>
        <v>0</v>
      </c>
      <c r="N936" s="121">
        <f t="shared" si="385"/>
        <v>1.02</v>
      </c>
      <c r="O936" s="246">
        <f t="shared" si="386"/>
        <v>0.995</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1651</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24">
        <f>SUMPRODUCT($H$889:$H$936,$Q$889:$Q$936,$O$889:$O$936)/SUMPRODUCT($H$889:$H$936,$Q$889:$Q$936)</f>
        <v>0.99099790299051793</v>
      </c>
      <c r="G937" s="224">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row>
    <row r="940" spans="1:21" x14ac:dyDescent="0.3">
      <c r="A940" s="6" t="str">
        <f>INDEX(lr_key,17)</f>
        <v>ABD|SC</v>
      </c>
      <c r="B940" s="6" t="str">
        <f>INDEX(lr_state,17)</f>
        <v>SC</v>
      </c>
      <c r="C940" s="75">
        <f>nr_TermMonths</f>
        <v>12</v>
      </c>
      <c r="D940" s="75">
        <f>IF(COUNTIF(se_state,$B940)=0,0,MATCH($B940,se_state,0))</f>
        <v>0</v>
      </c>
      <c r="E940" s="70">
        <f>IF($D940=0,0,INDEX(se_sum,$D940))</f>
        <v>0</v>
      </c>
      <c r="F940" s="224">
        <f>IF(N(INDEX(lr_mind,17))=0,1,INDEX(lr_mind,17))</f>
        <v>1</v>
      </c>
      <c r="G940" s="224">
        <f>IF(N(INDEX(lr_m0,17))=0,1,INDEX(lr_m0,17))</f>
        <v>0.99</v>
      </c>
      <c r="H940" s="74">
        <f>IF(N(INDEX(lr_m0asof,17))=0,DATE(nr_PlanYear-1,10,1),INDEX(lr_m0asof,17))</f>
        <v>46295</v>
      </c>
      <c r="I940" s="224">
        <f>IF(N(INDEX(lr_m1,17))=0,1,INDEX(lr_m1,17))</f>
        <v>1.01</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94">EOMONTH($B943,0)</f>
        <v>45688</v>
      </c>
      <c r="D943" s="120">
        <f t="shared" ref="D943:D990" si="395">$C943-$B943+1</f>
        <v>31</v>
      </c>
      <c r="E943" s="120">
        <f t="shared" ref="E943:E990" si="396">MONTH($B943)</f>
        <v>1</v>
      </c>
      <c r="F943" s="275">
        <f t="shared" ref="F943:F990" si="397">($B943+$C943+1)/2</f>
        <v>45673.5</v>
      </c>
      <c r="G943" s="120">
        <f t="shared" ref="G943:G990" si="398">YEAR($B943)*12+MONTH($B943)-1</f>
        <v>24300</v>
      </c>
      <c r="H943" s="245">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46">
        <f t="shared" ref="M943:M990" si="404">IF($K943=0,0,MIN(1,$L943/$D943))</f>
        <v>0</v>
      </c>
      <c r="N943" s="121">
        <f t="shared" ref="N943:N990" si="405">IF($K943=0,$J943,(1-$M943)*$I943+$M943*$J943)</f>
        <v>1</v>
      </c>
      <c r="O943" s="246">
        <f t="shared" ref="O943:O990" si="406">IF($F943&lt;$B$941,$E$941+$I$941*($F943-$A$941),IF($F943&lt;$C$941,$F$941+$J$941*($F943-$B$941),$G$941+$K$941*($F943-$C$941)))</f>
        <v>0.96275711159737409</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87">
        <v>2</v>
      </c>
      <c r="B944" s="242">
        <f t="shared" ref="B944:B990" si="413">EDATE($B943,1)</f>
        <v>45689</v>
      </c>
      <c r="C944" s="243">
        <f t="shared" si="394"/>
        <v>45716</v>
      </c>
      <c r="D944" s="120">
        <f t="shared" si="395"/>
        <v>28</v>
      </c>
      <c r="E944" s="120">
        <f t="shared" si="396"/>
        <v>2</v>
      </c>
      <c r="F944" s="275">
        <f t="shared" si="397"/>
        <v>45703</v>
      </c>
      <c r="G944" s="120">
        <f t="shared" si="398"/>
        <v>24301</v>
      </c>
      <c r="H944" s="245">
        <f t="shared" si="399"/>
        <v>1</v>
      </c>
      <c r="I944" s="121">
        <f t="shared" si="400"/>
        <v>1</v>
      </c>
      <c r="J944" s="121">
        <f t="shared" si="401"/>
        <v>1</v>
      </c>
      <c r="K944" s="120">
        <f t="shared" si="402"/>
        <v>0</v>
      </c>
      <c r="L944" s="120">
        <f t="shared" si="403"/>
        <v>0</v>
      </c>
      <c r="M944" s="246">
        <f t="shared" si="404"/>
        <v>0</v>
      </c>
      <c r="N944" s="121">
        <f t="shared" si="405"/>
        <v>1</v>
      </c>
      <c r="O944" s="246">
        <f t="shared" si="406"/>
        <v>0.9640481400437636</v>
      </c>
      <c r="P944" s="121">
        <f t="shared" si="407"/>
        <v>0.125</v>
      </c>
      <c r="Q944" s="121">
        <f t="shared" si="408"/>
        <v>0</v>
      </c>
      <c r="R944" s="121">
        <f t="shared" si="409"/>
        <v>0</v>
      </c>
      <c r="S944" s="121" t="str">
        <f t="shared" si="410"/>
        <v/>
      </c>
      <c r="T944" s="121" t="str">
        <f t="shared" si="411"/>
        <v/>
      </c>
      <c r="U944" s="121">
        <f t="shared" si="412"/>
        <v>1</v>
      </c>
    </row>
    <row r="945" spans="1:21" x14ac:dyDescent="0.3">
      <c r="A945" s="187">
        <v>3</v>
      </c>
      <c r="B945" s="242">
        <f t="shared" si="413"/>
        <v>45717</v>
      </c>
      <c r="C945" s="243">
        <f t="shared" si="394"/>
        <v>45747</v>
      </c>
      <c r="D945" s="120">
        <f t="shared" si="395"/>
        <v>31</v>
      </c>
      <c r="E945" s="120">
        <f t="shared" si="396"/>
        <v>3</v>
      </c>
      <c r="F945" s="275">
        <f t="shared" si="397"/>
        <v>45732.5</v>
      </c>
      <c r="G945" s="120">
        <f t="shared" si="398"/>
        <v>24302</v>
      </c>
      <c r="H945" s="245">
        <f t="shared" si="399"/>
        <v>1</v>
      </c>
      <c r="I945" s="121">
        <f t="shared" si="400"/>
        <v>1</v>
      </c>
      <c r="J945" s="121">
        <f t="shared" si="401"/>
        <v>1</v>
      </c>
      <c r="K945" s="120">
        <f t="shared" si="402"/>
        <v>0</v>
      </c>
      <c r="L945" s="120">
        <f t="shared" si="403"/>
        <v>0</v>
      </c>
      <c r="M945" s="246">
        <f t="shared" si="404"/>
        <v>0</v>
      </c>
      <c r="N945" s="121">
        <f t="shared" si="405"/>
        <v>1</v>
      </c>
      <c r="O945" s="246">
        <f t="shared" si="406"/>
        <v>0.96533916849015311</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87">
        <v>4</v>
      </c>
      <c r="B946" s="242">
        <f t="shared" si="413"/>
        <v>45748</v>
      </c>
      <c r="C946" s="243">
        <f t="shared" si="394"/>
        <v>45777</v>
      </c>
      <c r="D946" s="120">
        <f t="shared" si="395"/>
        <v>30</v>
      </c>
      <c r="E946" s="120">
        <f t="shared" si="396"/>
        <v>4</v>
      </c>
      <c r="F946" s="275">
        <f t="shared" si="397"/>
        <v>45763</v>
      </c>
      <c r="G946" s="120">
        <f t="shared" si="398"/>
        <v>24303</v>
      </c>
      <c r="H946" s="245">
        <f t="shared" si="399"/>
        <v>1</v>
      </c>
      <c r="I946" s="121">
        <f t="shared" si="400"/>
        <v>1</v>
      </c>
      <c r="J946" s="121">
        <f t="shared" si="401"/>
        <v>1</v>
      </c>
      <c r="K946" s="120">
        <f t="shared" si="402"/>
        <v>0</v>
      </c>
      <c r="L946" s="120">
        <f t="shared" si="403"/>
        <v>0</v>
      </c>
      <c r="M946" s="246">
        <f t="shared" si="404"/>
        <v>0</v>
      </c>
      <c r="N946" s="121">
        <f t="shared" si="405"/>
        <v>1</v>
      </c>
      <c r="O946" s="246">
        <f t="shared" si="406"/>
        <v>0.9666739606126914</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87">
        <v>5</v>
      </c>
      <c r="B947" s="242">
        <f t="shared" si="413"/>
        <v>45778</v>
      </c>
      <c r="C947" s="243">
        <f t="shared" si="394"/>
        <v>45808</v>
      </c>
      <c r="D947" s="120">
        <f t="shared" si="395"/>
        <v>31</v>
      </c>
      <c r="E947" s="120">
        <f t="shared" si="396"/>
        <v>5</v>
      </c>
      <c r="F947" s="275">
        <f t="shared" si="397"/>
        <v>45793.5</v>
      </c>
      <c r="G947" s="120">
        <f t="shared" si="398"/>
        <v>24304</v>
      </c>
      <c r="H947" s="245">
        <f t="shared" si="399"/>
        <v>1</v>
      </c>
      <c r="I947" s="121">
        <f t="shared" si="400"/>
        <v>1</v>
      </c>
      <c r="J947" s="121">
        <f t="shared" si="401"/>
        <v>1</v>
      </c>
      <c r="K947" s="120">
        <f t="shared" si="402"/>
        <v>0</v>
      </c>
      <c r="L947" s="120">
        <f t="shared" si="403"/>
        <v>0</v>
      </c>
      <c r="M947" s="246">
        <f t="shared" si="404"/>
        <v>0</v>
      </c>
      <c r="N947" s="121">
        <f t="shared" si="405"/>
        <v>1</v>
      </c>
      <c r="O947" s="246">
        <f t="shared" si="406"/>
        <v>0.96800875273522968</v>
      </c>
      <c r="P947" s="121">
        <f t="shared" si="407"/>
        <v>0.375</v>
      </c>
      <c r="Q947" s="121">
        <f t="shared" si="408"/>
        <v>0</v>
      </c>
      <c r="R947" s="121">
        <f t="shared" si="409"/>
        <v>0</v>
      </c>
      <c r="S947" s="121" t="str">
        <f t="shared" si="410"/>
        <v/>
      </c>
      <c r="T947" s="121" t="str">
        <f t="shared" si="411"/>
        <v/>
      </c>
      <c r="U947" s="121">
        <f t="shared" si="412"/>
        <v>1</v>
      </c>
    </row>
    <row r="948" spans="1:21" x14ac:dyDescent="0.3">
      <c r="A948" s="187">
        <v>6</v>
      </c>
      <c r="B948" s="242">
        <f t="shared" si="413"/>
        <v>45809</v>
      </c>
      <c r="C948" s="243">
        <f t="shared" si="394"/>
        <v>45838</v>
      </c>
      <c r="D948" s="120">
        <f t="shared" si="395"/>
        <v>30</v>
      </c>
      <c r="E948" s="120">
        <f t="shared" si="396"/>
        <v>6</v>
      </c>
      <c r="F948" s="275">
        <f t="shared" si="397"/>
        <v>45824</v>
      </c>
      <c r="G948" s="120">
        <f t="shared" si="398"/>
        <v>24305</v>
      </c>
      <c r="H948" s="245">
        <f t="shared" si="399"/>
        <v>1</v>
      </c>
      <c r="I948" s="121">
        <f t="shared" si="400"/>
        <v>1</v>
      </c>
      <c r="J948" s="121">
        <f t="shared" si="401"/>
        <v>1</v>
      </c>
      <c r="K948" s="120">
        <f t="shared" si="402"/>
        <v>0</v>
      </c>
      <c r="L948" s="120">
        <f t="shared" si="403"/>
        <v>0</v>
      </c>
      <c r="M948" s="246">
        <f t="shared" si="404"/>
        <v>0</v>
      </c>
      <c r="N948" s="121">
        <f t="shared" si="405"/>
        <v>1</v>
      </c>
      <c r="O948" s="246">
        <f t="shared" si="406"/>
        <v>0.96934354485776797</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87">
        <v>7</v>
      </c>
      <c r="B949" s="242">
        <f t="shared" si="413"/>
        <v>45839</v>
      </c>
      <c r="C949" s="243">
        <f t="shared" si="394"/>
        <v>45869</v>
      </c>
      <c r="D949" s="120">
        <f t="shared" si="395"/>
        <v>31</v>
      </c>
      <c r="E949" s="120">
        <f t="shared" si="396"/>
        <v>7</v>
      </c>
      <c r="F949" s="275">
        <f t="shared" si="397"/>
        <v>45854.5</v>
      </c>
      <c r="G949" s="120">
        <f t="shared" si="398"/>
        <v>24306</v>
      </c>
      <c r="H949" s="245">
        <f t="shared" si="399"/>
        <v>1</v>
      </c>
      <c r="I949" s="121">
        <f t="shared" si="400"/>
        <v>1</v>
      </c>
      <c r="J949" s="121">
        <f t="shared" si="401"/>
        <v>1</v>
      </c>
      <c r="K949" s="120">
        <f t="shared" si="402"/>
        <v>0</v>
      </c>
      <c r="L949" s="120">
        <f t="shared" si="403"/>
        <v>0</v>
      </c>
      <c r="M949" s="246">
        <f t="shared" si="404"/>
        <v>0</v>
      </c>
      <c r="N949" s="121">
        <f t="shared" si="405"/>
        <v>1</v>
      </c>
      <c r="O949" s="246">
        <f t="shared" si="406"/>
        <v>0.97067833698030626</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87">
        <v>8</v>
      </c>
      <c r="B950" s="242">
        <f t="shared" si="413"/>
        <v>45870</v>
      </c>
      <c r="C950" s="243">
        <f t="shared" si="394"/>
        <v>45900</v>
      </c>
      <c r="D950" s="120">
        <f t="shared" si="395"/>
        <v>31</v>
      </c>
      <c r="E950" s="120">
        <f t="shared" si="396"/>
        <v>8</v>
      </c>
      <c r="F950" s="275">
        <f t="shared" si="397"/>
        <v>45885.5</v>
      </c>
      <c r="G950" s="120">
        <f t="shared" si="398"/>
        <v>24307</v>
      </c>
      <c r="H950" s="245">
        <f t="shared" si="399"/>
        <v>1</v>
      </c>
      <c r="I950" s="121">
        <f t="shared" si="400"/>
        <v>1</v>
      </c>
      <c r="J950" s="121">
        <f t="shared" si="401"/>
        <v>1</v>
      </c>
      <c r="K950" s="120">
        <f t="shared" si="402"/>
        <v>0</v>
      </c>
      <c r="L950" s="120">
        <f t="shared" si="403"/>
        <v>0</v>
      </c>
      <c r="M950" s="246">
        <f t="shared" si="404"/>
        <v>0</v>
      </c>
      <c r="N950" s="121">
        <f t="shared" si="405"/>
        <v>1</v>
      </c>
      <c r="O950" s="246">
        <f t="shared" si="406"/>
        <v>0.97203501094091893</v>
      </c>
      <c r="P950" s="121">
        <f t="shared" si="407"/>
        <v>0.625</v>
      </c>
      <c r="Q950" s="121">
        <f t="shared" si="408"/>
        <v>0</v>
      </c>
      <c r="R950" s="121">
        <f t="shared" si="409"/>
        <v>0</v>
      </c>
      <c r="S950" s="121" t="str">
        <f t="shared" si="410"/>
        <v/>
      </c>
      <c r="T950" s="121" t="str">
        <f t="shared" si="411"/>
        <v/>
      </c>
      <c r="U950" s="121">
        <f t="shared" si="412"/>
        <v>1</v>
      </c>
    </row>
    <row r="951" spans="1:21" x14ac:dyDescent="0.3">
      <c r="A951" s="187">
        <v>9</v>
      </c>
      <c r="B951" s="242">
        <f t="shared" si="413"/>
        <v>45901</v>
      </c>
      <c r="C951" s="243">
        <f t="shared" si="394"/>
        <v>45930</v>
      </c>
      <c r="D951" s="120">
        <f t="shared" si="395"/>
        <v>30</v>
      </c>
      <c r="E951" s="120">
        <f t="shared" si="396"/>
        <v>9</v>
      </c>
      <c r="F951" s="275">
        <f t="shared" si="397"/>
        <v>45916</v>
      </c>
      <c r="G951" s="120">
        <f t="shared" si="398"/>
        <v>24308</v>
      </c>
      <c r="H951" s="245">
        <f t="shared" si="399"/>
        <v>1</v>
      </c>
      <c r="I951" s="121">
        <f t="shared" si="400"/>
        <v>1</v>
      </c>
      <c r="J951" s="121">
        <f t="shared" si="401"/>
        <v>1</v>
      </c>
      <c r="K951" s="120">
        <f t="shared" si="402"/>
        <v>0</v>
      </c>
      <c r="L951" s="120">
        <f t="shared" si="403"/>
        <v>0</v>
      </c>
      <c r="M951" s="246">
        <f t="shared" si="404"/>
        <v>0</v>
      </c>
      <c r="N951" s="121">
        <f t="shared" si="405"/>
        <v>1</v>
      </c>
      <c r="O951" s="246">
        <f t="shared" si="406"/>
        <v>0.97336980306345722</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87">
        <v>10</v>
      </c>
      <c r="B952" s="242">
        <f t="shared" si="413"/>
        <v>45931</v>
      </c>
      <c r="C952" s="243">
        <f t="shared" si="394"/>
        <v>45961</v>
      </c>
      <c r="D952" s="120">
        <f t="shared" si="395"/>
        <v>31</v>
      </c>
      <c r="E952" s="120">
        <f t="shared" si="396"/>
        <v>10</v>
      </c>
      <c r="F952" s="275">
        <f t="shared" si="397"/>
        <v>45946.5</v>
      </c>
      <c r="G952" s="120">
        <f t="shared" si="398"/>
        <v>24309</v>
      </c>
      <c r="H952" s="245">
        <f t="shared" si="399"/>
        <v>1</v>
      </c>
      <c r="I952" s="121">
        <f t="shared" si="400"/>
        <v>1</v>
      </c>
      <c r="J952" s="121">
        <f t="shared" si="401"/>
        <v>1</v>
      </c>
      <c r="K952" s="120">
        <f t="shared" si="402"/>
        <v>0</v>
      </c>
      <c r="L952" s="120">
        <f t="shared" si="403"/>
        <v>0</v>
      </c>
      <c r="M952" s="246">
        <f t="shared" si="404"/>
        <v>0</v>
      </c>
      <c r="N952" s="121">
        <f t="shared" si="405"/>
        <v>1</v>
      </c>
      <c r="O952" s="246">
        <f t="shared" si="406"/>
        <v>0.97470459518599561</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87">
        <v>11</v>
      </c>
      <c r="B953" s="242">
        <f t="shared" si="413"/>
        <v>45962</v>
      </c>
      <c r="C953" s="243">
        <f t="shared" si="394"/>
        <v>45991</v>
      </c>
      <c r="D953" s="120">
        <f t="shared" si="395"/>
        <v>30</v>
      </c>
      <c r="E953" s="120">
        <f t="shared" si="396"/>
        <v>11</v>
      </c>
      <c r="F953" s="275">
        <f t="shared" si="397"/>
        <v>45977</v>
      </c>
      <c r="G953" s="120">
        <f t="shared" si="398"/>
        <v>24310</v>
      </c>
      <c r="H953" s="245">
        <f t="shared" si="399"/>
        <v>1</v>
      </c>
      <c r="I953" s="121">
        <f t="shared" si="400"/>
        <v>1</v>
      </c>
      <c r="J953" s="121">
        <f t="shared" si="401"/>
        <v>1</v>
      </c>
      <c r="K953" s="120">
        <f t="shared" si="402"/>
        <v>0</v>
      </c>
      <c r="L953" s="120">
        <f t="shared" si="403"/>
        <v>0</v>
      </c>
      <c r="M953" s="246">
        <f t="shared" si="404"/>
        <v>0</v>
      </c>
      <c r="N953" s="121">
        <f t="shared" si="405"/>
        <v>1</v>
      </c>
      <c r="O953" s="246">
        <f t="shared" si="406"/>
        <v>0.9760393873085339</v>
      </c>
      <c r="P953" s="121">
        <f t="shared" si="407"/>
        <v>0.875</v>
      </c>
      <c r="Q953" s="121">
        <f t="shared" si="408"/>
        <v>0</v>
      </c>
      <c r="R953" s="121">
        <f t="shared" si="409"/>
        <v>0</v>
      </c>
      <c r="S953" s="121" t="str">
        <f t="shared" si="410"/>
        <v/>
      </c>
      <c r="T953" s="121" t="str">
        <f t="shared" si="411"/>
        <v/>
      </c>
      <c r="U953" s="121">
        <f t="shared" si="412"/>
        <v>1</v>
      </c>
    </row>
    <row r="954" spans="1:21" x14ac:dyDescent="0.3">
      <c r="A954" s="187">
        <v>12</v>
      </c>
      <c r="B954" s="242">
        <f t="shared" si="413"/>
        <v>45992</v>
      </c>
      <c r="C954" s="243">
        <f t="shared" si="394"/>
        <v>46022</v>
      </c>
      <c r="D954" s="120">
        <f t="shared" si="395"/>
        <v>31</v>
      </c>
      <c r="E954" s="120">
        <f t="shared" si="396"/>
        <v>12</v>
      </c>
      <c r="F954" s="275">
        <f t="shared" si="397"/>
        <v>46007.5</v>
      </c>
      <c r="G954" s="120">
        <f t="shared" si="398"/>
        <v>24311</v>
      </c>
      <c r="H954" s="245">
        <f t="shared" si="399"/>
        <v>1</v>
      </c>
      <c r="I954" s="121">
        <f t="shared" si="400"/>
        <v>1</v>
      </c>
      <c r="J954" s="121">
        <f t="shared" si="401"/>
        <v>1</v>
      </c>
      <c r="K954" s="120">
        <f t="shared" si="402"/>
        <v>0</v>
      </c>
      <c r="L954" s="120">
        <f t="shared" si="403"/>
        <v>0</v>
      </c>
      <c r="M954" s="246">
        <f t="shared" si="404"/>
        <v>0</v>
      </c>
      <c r="N954" s="121">
        <f t="shared" si="405"/>
        <v>1</v>
      </c>
      <c r="O954" s="246">
        <f t="shared" si="406"/>
        <v>0.97737417943107219</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87">
        <v>13</v>
      </c>
      <c r="B955" s="242">
        <f t="shared" si="413"/>
        <v>46023</v>
      </c>
      <c r="C955" s="243">
        <f t="shared" si="394"/>
        <v>46053</v>
      </c>
      <c r="D955" s="120">
        <f t="shared" si="395"/>
        <v>31</v>
      </c>
      <c r="E955" s="120">
        <f t="shared" si="396"/>
        <v>1</v>
      </c>
      <c r="F955" s="275">
        <f t="shared" si="397"/>
        <v>46038.5</v>
      </c>
      <c r="G955" s="120">
        <f t="shared" si="398"/>
        <v>24312</v>
      </c>
      <c r="H955" s="245">
        <f t="shared" si="399"/>
        <v>1</v>
      </c>
      <c r="I955" s="121">
        <f t="shared" si="400"/>
        <v>1</v>
      </c>
      <c r="J955" s="121">
        <f t="shared" si="401"/>
        <v>1</v>
      </c>
      <c r="K955" s="120">
        <f t="shared" si="402"/>
        <v>0</v>
      </c>
      <c r="L955" s="120">
        <f t="shared" si="403"/>
        <v>0</v>
      </c>
      <c r="M955" s="246">
        <f t="shared" si="404"/>
        <v>0</v>
      </c>
      <c r="N955" s="121">
        <f t="shared" si="405"/>
        <v>1</v>
      </c>
      <c r="O955" s="246">
        <f t="shared" si="406"/>
        <v>0.97873085339168486</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87">
        <v>14</v>
      </c>
      <c r="B956" s="242">
        <f t="shared" si="413"/>
        <v>46054</v>
      </c>
      <c r="C956" s="243">
        <f t="shared" si="394"/>
        <v>46081</v>
      </c>
      <c r="D956" s="120">
        <f t="shared" si="395"/>
        <v>28</v>
      </c>
      <c r="E956" s="120">
        <f t="shared" si="396"/>
        <v>2</v>
      </c>
      <c r="F956" s="275">
        <f t="shared" si="397"/>
        <v>46068</v>
      </c>
      <c r="G956" s="120">
        <f t="shared" si="398"/>
        <v>24313</v>
      </c>
      <c r="H956" s="245">
        <f t="shared" si="399"/>
        <v>1</v>
      </c>
      <c r="I956" s="121">
        <f t="shared" si="400"/>
        <v>1</v>
      </c>
      <c r="J956" s="121">
        <f t="shared" si="401"/>
        <v>1</v>
      </c>
      <c r="K956" s="120">
        <f t="shared" si="402"/>
        <v>0</v>
      </c>
      <c r="L956" s="120">
        <f t="shared" si="403"/>
        <v>0</v>
      </c>
      <c r="M956" s="246">
        <f t="shared" si="404"/>
        <v>0</v>
      </c>
      <c r="N956" s="121">
        <f t="shared" si="405"/>
        <v>1</v>
      </c>
      <c r="O956" s="246">
        <f t="shared" si="406"/>
        <v>0.98002188183807437</v>
      </c>
      <c r="P956" s="121">
        <f t="shared" si="407"/>
        <v>0.875</v>
      </c>
      <c r="Q956" s="121">
        <f t="shared" si="408"/>
        <v>0.125</v>
      </c>
      <c r="R956" s="121">
        <f t="shared" si="409"/>
        <v>0</v>
      </c>
      <c r="S956" s="121" t="str">
        <f t="shared" si="410"/>
        <v/>
      </c>
      <c r="T956" s="121" t="str">
        <f t="shared" si="411"/>
        <v/>
      </c>
      <c r="U956" s="121">
        <f t="shared" si="412"/>
        <v>1</v>
      </c>
    </row>
    <row r="957" spans="1:21" x14ac:dyDescent="0.3">
      <c r="A957" s="187">
        <v>15</v>
      </c>
      <c r="B957" s="242">
        <f t="shared" si="413"/>
        <v>46082</v>
      </c>
      <c r="C957" s="243">
        <f t="shared" si="394"/>
        <v>46112</v>
      </c>
      <c r="D957" s="120">
        <f t="shared" si="395"/>
        <v>31</v>
      </c>
      <c r="E957" s="120">
        <f t="shared" si="396"/>
        <v>3</v>
      </c>
      <c r="F957" s="275">
        <f t="shared" si="397"/>
        <v>46097.5</v>
      </c>
      <c r="G957" s="120">
        <f t="shared" si="398"/>
        <v>24314</v>
      </c>
      <c r="H957" s="245">
        <f t="shared" si="399"/>
        <v>1</v>
      </c>
      <c r="I957" s="121">
        <f t="shared" si="400"/>
        <v>1</v>
      </c>
      <c r="J957" s="121">
        <f t="shared" si="401"/>
        <v>1</v>
      </c>
      <c r="K957" s="120">
        <f t="shared" si="402"/>
        <v>0</v>
      </c>
      <c r="L957" s="120">
        <f t="shared" si="403"/>
        <v>0</v>
      </c>
      <c r="M957" s="246">
        <f t="shared" si="404"/>
        <v>0</v>
      </c>
      <c r="N957" s="121">
        <f t="shared" si="405"/>
        <v>1</v>
      </c>
      <c r="O957" s="246">
        <f t="shared" si="406"/>
        <v>0.98131291028446388</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87">
        <v>16</v>
      </c>
      <c r="B958" s="242">
        <f t="shared" si="413"/>
        <v>46113</v>
      </c>
      <c r="C958" s="243">
        <f t="shared" si="394"/>
        <v>46142</v>
      </c>
      <c r="D958" s="120">
        <f t="shared" si="395"/>
        <v>30</v>
      </c>
      <c r="E958" s="120">
        <f t="shared" si="396"/>
        <v>4</v>
      </c>
      <c r="F958" s="275">
        <f t="shared" si="397"/>
        <v>46128</v>
      </c>
      <c r="G958" s="120">
        <f t="shared" si="398"/>
        <v>24315</v>
      </c>
      <c r="H958" s="245">
        <f t="shared" si="399"/>
        <v>1</v>
      </c>
      <c r="I958" s="121">
        <f t="shared" si="400"/>
        <v>1</v>
      </c>
      <c r="J958" s="121">
        <f t="shared" si="401"/>
        <v>1</v>
      </c>
      <c r="K958" s="120">
        <f t="shared" si="402"/>
        <v>0</v>
      </c>
      <c r="L958" s="120">
        <f t="shared" si="403"/>
        <v>0</v>
      </c>
      <c r="M958" s="246">
        <f t="shared" si="404"/>
        <v>0</v>
      </c>
      <c r="N958" s="121">
        <f t="shared" si="405"/>
        <v>1</v>
      </c>
      <c r="O958" s="246">
        <f t="shared" si="406"/>
        <v>0.98264770240700217</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87">
        <v>17</v>
      </c>
      <c r="B959" s="242">
        <f t="shared" si="413"/>
        <v>46143</v>
      </c>
      <c r="C959" s="243">
        <f t="shared" si="394"/>
        <v>46173</v>
      </c>
      <c r="D959" s="120">
        <f t="shared" si="395"/>
        <v>31</v>
      </c>
      <c r="E959" s="120">
        <f t="shared" si="396"/>
        <v>5</v>
      </c>
      <c r="F959" s="275">
        <f t="shared" si="397"/>
        <v>46158.5</v>
      </c>
      <c r="G959" s="120">
        <f t="shared" si="398"/>
        <v>24316</v>
      </c>
      <c r="H959" s="245">
        <f t="shared" si="399"/>
        <v>1</v>
      </c>
      <c r="I959" s="121">
        <f t="shared" si="400"/>
        <v>1</v>
      </c>
      <c r="J959" s="121">
        <f t="shared" si="401"/>
        <v>1.03</v>
      </c>
      <c r="K959" s="120">
        <f t="shared" si="402"/>
        <v>1</v>
      </c>
      <c r="L959" s="120">
        <f t="shared" si="403"/>
        <v>31</v>
      </c>
      <c r="M959" s="246">
        <f t="shared" si="404"/>
        <v>1</v>
      </c>
      <c r="N959" s="121">
        <f t="shared" si="405"/>
        <v>1.03</v>
      </c>
      <c r="O959" s="246">
        <f t="shared" si="406"/>
        <v>0.98398249452954045</v>
      </c>
      <c r="P959" s="121">
        <f t="shared" si="407"/>
        <v>0.625</v>
      </c>
      <c r="Q959" s="121">
        <f t="shared" si="408"/>
        <v>0.375</v>
      </c>
      <c r="R959" s="121">
        <f t="shared" si="409"/>
        <v>0</v>
      </c>
      <c r="S959" s="121" t="str">
        <f t="shared" si="410"/>
        <v/>
      </c>
      <c r="T959" s="121" t="str">
        <f t="shared" si="411"/>
        <v/>
      </c>
      <c r="U959" s="121">
        <f t="shared" si="412"/>
        <v>1.03</v>
      </c>
    </row>
    <row r="960" spans="1:21" x14ac:dyDescent="0.3">
      <c r="A960" s="187">
        <v>18</v>
      </c>
      <c r="B960" s="242">
        <f t="shared" si="413"/>
        <v>46174</v>
      </c>
      <c r="C960" s="243">
        <f t="shared" si="394"/>
        <v>46203</v>
      </c>
      <c r="D960" s="120">
        <f t="shared" si="395"/>
        <v>30</v>
      </c>
      <c r="E960" s="120">
        <f t="shared" si="396"/>
        <v>6</v>
      </c>
      <c r="F960" s="275">
        <f t="shared" si="397"/>
        <v>46189</v>
      </c>
      <c r="G960" s="120">
        <f t="shared" si="398"/>
        <v>24317</v>
      </c>
      <c r="H960" s="245">
        <f t="shared" si="399"/>
        <v>1</v>
      </c>
      <c r="I960" s="121">
        <f t="shared" si="400"/>
        <v>1.03</v>
      </c>
      <c r="J960" s="121">
        <f t="shared" si="401"/>
        <v>1.03</v>
      </c>
      <c r="K960" s="120">
        <f t="shared" si="402"/>
        <v>0</v>
      </c>
      <c r="L960" s="120">
        <f t="shared" si="403"/>
        <v>0</v>
      </c>
      <c r="M960" s="246">
        <f t="shared" si="404"/>
        <v>0</v>
      </c>
      <c r="N960" s="121">
        <f t="shared" si="405"/>
        <v>1.03</v>
      </c>
      <c r="O960" s="246">
        <f t="shared" si="406"/>
        <v>0.98531728665207874</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87">
        <v>19</v>
      </c>
      <c r="B961" s="242">
        <f t="shared" si="413"/>
        <v>46204</v>
      </c>
      <c r="C961" s="243">
        <f t="shared" si="394"/>
        <v>46234</v>
      </c>
      <c r="D961" s="120">
        <f t="shared" si="395"/>
        <v>31</v>
      </c>
      <c r="E961" s="120">
        <f t="shared" si="396"/>
        <v>7</v>
      </c>
      <c r="F961" s="275">
        <f t="shared" si="397"/>
        <v>46219.5</v>
      </c>
      <c r="G961" s="120">
        <f t="shared" si="398"/>
        <v>24318</v>
      </c>
      <c r="H961" s="245">
        <f t="shared" si="399"/>
        <v>1</v>
      </c>
      <c r="I961" s="121">
        <f t="shared" si="400"/>
        <v>1.03</v>
      </c>
      <c r="J961" s="121">
        <f t="shared" si="401"/>
        <v>1.03</v>
      </c>
      <c r="K961" s="120">
        <f t="shared" si="402"/>
        <v>0</v>
      </c>
      <c r="L961" s="120">
        <f t="shared" si="403"/>
        <v>0</v>
      </c>
      <c r="M961" s="246">
        <f t="shared" si="404"/>
        <v>0</v>
      </c>
      <c r="N961" s="121">
        <f t="shared" si="405"/>
        <v>1.03</v>
      </c>
      <c r="O961" s="246">
        <f t="shared" si="406"/>
        <v>0.98665207877461703</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87">
        <v>20</v>
      </c>
      <c r="B962" s="242">
        <f t="shared" si="413"/>
        <v>46235</v>
      </c>
      <c r="C962" s="243">
        <f t="shared" si="394"/>
        <v>46265</v>
      </c>
      <c r="D962" s="120">
        <f t="shared" si="395"/>
        <v>31</v>
      </c>
      <c r="E962" s="120">
        <f t="shared" si="396"/>
        <v>8</v>
      </c>
      <c r="F962" s="275">
        <f t="shared" si="397"/>
        <v>46250.5</v>
      </c>
      <c r="G962" s="120">
        <f t="shared" si="398"/>
        <v>24319</v>
      </c>
      <c r="H962" s="245">
        <f t="shared" si="399"/>
        <v>1</v>
      </c>
      <c r="I962" s="121">
        <f t="shared" si="400"/>
        <v>1.03</v>
      </c>
      <c r="J962" s="121">
        <f t="shared" si="401"/>
        <v>1.03</v>
      </c>
      <c r="K962" s="120">
        <f t="shared" si="402"/>
        <v>0</v>
      </c>
      <c r="L962" s="120">
        <f t="shared" si="403"/>
        <v>0</v>
      </c>
      <c r="M962" s="246">
        <f t="shared" si="404"/>
        <v>0</v>
      </c>
      <c r="N962" s="121">
        <f t="shared" si="405"/>
        <v>1.03</v>
      </c>
      <c r="O962" s="246">
        <f t="shared" si="406"/>
        <v>0.9880087527352297</v>
      </c>
      <c r="P962" s="121">
        <f t="shared" si="407"/>
        <v>0.375</v>
      </c>
      <c r="Q962" s="121">
        <f t="shared" si="408"/>
        <v>0.625</v>
      </c>
      <c r="R962" s="121">
        <f t="shared" si="409"/>
        <v>0</v>
      </c>
      <c r="S962" s="121" t="str">
        <f t="shared" si="410"/>
        <v/>
      </c>
      <c r="T962" s="121" t="str">
        <f t="shared" si="411"/>
        <v/>
      </c>
      <c r="U962" s="121">
        <f t="shared" si="412"/>
        <v>1.03</v>
      </c>
    </row>
    <row r="963" spans="1:21" x14ac:dyDescent="0.3">
      <c r="A963" s="187">
        <v>21</v>
      </c>
      <c r="B963" s="242">
        <f t="shared" si="413"/>
        <v>46266</v>
      </c>
      <c r="C963" s="243">
        <f t="shared" si="394"/>
        <v>46295</v>
      </c>
      <c r="D963" s="120">
        <f t="shared" si="395"/>
        <v>30</v>
      </c>
      <c r="E963" s="120">
        <f t="shared" si="396"/>
        <v>9</v>
      </c>
      <c r="F963" s="275">
        <f t="shared" si="397"/>
        <v>46281</v>
      </c>
      <c r="G963" s="120">
        <f t="shared" si="398"/>
        <v>24320</v>
      </c>
      <c r="H963" s="245">
        <f t="shared" si="399"/>
        <v>1</v>
      </c>
      <c r="I963" s="121">
        <f t="shared" si="400"/>
        <v>1.03</v>
      </c>
      <c r="J963" s="121">
        <f t="shared" si="401"/>
        <v>1.03</v>
      </c>
      <c r="K963" s="120">
        <f t="shared" si="402"/>
        <v>0</v>
      </c>
      <c r="L963" s="120">
        <f t="shared" si="403"/>
        <v>0</v>
      </c>
      <c r="M963" s="246">
        <f t="shared" si="404"/>
        <v>0</v>
      </c>
      <c r="N963" s="121">
        <f t="shared" si="405"/>
        <v>1.03</v>
      </c>
      <c r="O963" s="246">
        <f t="shared" si="406"/>
        <v>0.98934354485776799</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87">
        <v>22</v>
      </c>
      <c r="B964" s="242">
        <f t="shared" si="413"/>
        <v>46296</v>
      </c>
      <c r="C964" s="243">
        <f t="shared" si="394"/>
        <v>46326</v>
      </c>
      <c r="D964" s="120">
        <f t="shared" si="395"/>
        <v>31</v>
      </c>
      <c r="E964" s="120">
        <f t="shared" si="396"/>
        <v>10</v>
      </c>
      <c r="F964" s="275">
        <f t="shared" si="397"/>
        <v>46311.5</v>
      </c>
      <c r="G964" s="120">
        <f t="shared" si="398"/>
        <v>24321</v>
      </c>
      <c r="H964" s="245">
        <f t="shared" si="399"/>
        <v>1</v>
      </c>
      <c r="I964" s="121">
        <f t="shared" si="400"/>
        <v>1.03</v>
      </c>
      <c r="J964" s="121">
        <f t="shared" si="401"/>
        <v>1.03</v>
      </c>
      <c r="K964" s="120">
        <f t="shared" si="402"/>
        <v>0</v>
      </c>
      <c r="L964" s="120">
        <f t="shared" si="403"/>
        <v>0</v>
      </c>
      <c r="M964" s="246">
        <f t="shared" si="404"/>
        <v>0</v>
      </c>
      <c r="N964" s="121">
        <f t="shared" si="405"/>
        <v>1.03</v>
      </c>
      <c r="O964" s="246">
        <f t="shared" si="406"/>
        <v>0.99067833698030638</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87">
        <v>23</v>
      </c>
      <c r="B965" s="242">
        <f t="shared" si="413"/>
        <v>46327</v>
      </c>
      <c r="C965" s="243">
        <f t="shared" si="394"/>
        <v>46356</v>
      </c>
      <c r="D965" s="120">
        <f t="shared" si="395"/>
        <v>30</v>
      </c>
      <c r="E965" s="120">
        <f t="shared" si="396"/>
        <v>11</v>
      </c>
      <c r="F965" s="275">
        <f t="shared" si="397"/>
        <v>46342</v>
      </c>
      <c r="G965" s="120">
        <f t="shared" si="398"/>
        <v>24322</v>
      </c>
      <c r="H965" s="245">
        <f t="shared" si="399"/>
        <v>1</v>
      </c>
      <c r="I965" s="121">
        <f t="shared" si="400"/>
        <v>1.03</v>
      </c>
      <c r="J965" s="121">
        <f t="shared" si="401"/>
        <v>1.03</v>
      </c>
      <c r="K965" s="120">
        <f t="shared" si="402"/>
        <v>0</v>
      </c>
      <c r="L965" s="120">
        <f t="shared" si="403"/>
        <v>0</v>
      </c>
      <c r="M965" s="246">
        <f t="shared" si="404"/>
        <v>0</v>
      </c>
      <c r="N965" s="121">
        <f t="shared" si="405"/>
        <v>1.03</v>
      </c>
      <c r="O965" s="246">
        <f t="shared" si="406"/>
        <v>0.99201312910284467</v>
      </c>
      <c r="P965" s="121">
        <f t="shared" si="407"/>
        <v>0.125</v>
      </c>
      <c r="Q965" s="121">
        <f t="shared" si="408"/>
        <v>0.875</v>
      </c>
      <c r="R965" s="121">
        <f t="shared" si="409"/>
        <v>0</v>
      </c>
      <c r="S965" s="121" t="str">
        <f t="shared" si="410"/>
        <v/>
      </c>
      <c r="T965" s="121" t="str">
        <f t="shared" si="411"/>
        <v/>
      </c>
      <c r="U965" s="121">
        <f t="shared" si="412"/>
        <v>1.03</v>
      </c>
    </row>
    <row r="966" spans="1:21" x14ac:dyDescent="0.3">
      <c r="A966" s="187">
        <v>24</v>
      </c>
      <c r="B966" s="242">
        <f t="shared" si="413"/>
        <v>46357</v>
      </c>
      <c r="C966" s="243">
        <f t="shared" si="394"/>
        <v>46387</v>
      </c>
      <c r="D966" s="120">
        <f t="shared" si="395"/>
        <v>31</v>
      </c>
      <c r="E966" s="120">
        <f t="shared" si="396"/>
        <v>12</v>
      </c>
      <c r="F966" s="275">
        <f t="shared" si="397"/>
        <v>46372.5</v>
      </c>
      <c r="G966" s="120">
        <f t="shared" si="398"/>
        <v>24323</v>
      </c>
      <c r="H966" s="245">
        <f t="shared" si="399"/>
        <v>1</v>
      </c>
      <c r="I966" s="121">
        <f t="shared" si="400"/>
        <v>1.03</v>
      </c>
      <c r="J966" s="121">
        <f t="shared" si="401"/>
        <v>1.03</v>
      </c>
      <c r="K966" s="120">
        <f t="shared" si="402"/>
        <v>0</v>
      </c>
      <c r="L966" s="120">
        <f t="shared" si="403"/>
        <v>0</v>
      </c>
      <c r="M966" s="246">
        <f t="shared" si="404"/>
        <v>0</v>
      </c>
      <c r="N966" s="121">
        <f t="shared" si="405"/>
        <v>1.03</v>
      </c>
      <c r="O966" s="246">
        <f t="shared" si="406"/>
        <v>0.99334792122538296</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87">
        <v>25</v>
      </c>
      <c r="B967" s="242">
        <f t="shared" si="413"/>
        <v>46388</v>
      </c>
      <c r="C967" s="243">
        <f t="shared" si="394"/>
        <v>46418</v>
      </c>
      <c r="D967" s="120">
        <f t="shared" si="395"/>
        <v>31</v>
      </c>
      <c r="E967" s="120">
        <f t="shared" si="396"/>
        <v>1</v>
      </c>
      <c r="F967" s="275">
        <f t="shared" si="397"/>
        <v>46403.5</v>
      </c>
      <c r="G967" s="120">
        <f t="shared" si="398"/>
        <v>24324</v>
      </c>
      <c r="H967" s="245">
        <f t="shared" si="399"/>
        <v>1</v>
      </c>
      <c r="I967" s="121">
        <f t="shared" si="400"/>
        <v>1.03</v>
      </c>
      <c r="J967" s="121">
        <f t="shared" si="401"/>
        <v>1.03</v>
      </c>
      <c r="K967" s="120">
        <f t="shared" si="402"/>
        <v>0</v>
      </c>
      <c r="L967" s="120">
        <f t="shared" si="403"/>
        <v>0</v>
      </c>
      <c r="M967" s="246">
        <f t="shared" si="404"/>
        <v>0</v>
      </c>
      <c r="N967" s="121">
        <f t="shared" si="405"/>
        <v>1.03</v>
      </c>
      <c r="O967" s="246">
        <f t="shared" si="406"/>
        <v>0.99470459518599563</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87">
        <v>26</v>
      </c>
      <c r="B968" s="242">
        <f t="shared" si="413"/>
        <v>46419</v>
      </c>
      <c r="C968" s="243">
        <f t="shared" si="394"/>
        <v>46446</v>
      </c>
      <c r="D968" s="120">
        <f t="shared" si="395"/>
        <v>28</v>
      </c>
      <c r="E968" s="120">
        <f t="shared" si="396"/>
        <v>2</v>
      </c>
      <c r="F968" s="275">
        <f t="shared" si="397"/>
        <v>46433</v>
      </c>
      <c r="G968" s="120">
        <f t="shared" si="398"/>
        <v>24325</v>
      </c>
      <c r="H968" s="245">
        <f t="shared" si="399"/>
        <v>1</v>
      </c>
      <c r="I968" s="121">
        <f t="shared" si="400"/>
        <v>1.03</v>
      </c>
      <c r="J968" s="121">
        <f t="shared" si="401"/>
        <v>1.03</v>
      </c>
      <c r="K968" s="120">
        <f t="shared" si="402"/>
        <v>0</v>
      </c>
      <c r="L968" s="120">
        <f t="shared" si="403"/>
        <v>0</v>
      </c>
      <c r="M968" s="246">
        <f t="shared" si="404"/>
        <v>0</v>
      </c>
      <c r="N968" s="121">
        <f t="shared" si="405"/>
        <v>1.03</v>
      </c>
      <c r="O968" s="246">
        <f t="shared" si="406"/>
        <v>0.99599562363238514</v>
      </c>
      <c r="P968" s="121">
        <f t="shared" si="407"/>
        <v>0</v>
      </c>
      <c r="Q968" s="121">
        <f t="shared" si="408"/>
        <v>0.875</v>
      </c>
      <c r="R968" s="121">
        <f t="shared" si="409"/>
        <v>0.125</v>
      </c>
      <c r="S968" s="121" t="str">
        <f t="shared" si="410"/>
        <v/>
      </c>
      <c r="T968" s="121" t="str">
        <f t="shared" si="411"/>
        <v/>
      </c>
      <c r="U968" s="121">
        <f t="shared" si="412"/>
        <v>1.03</v>
      </c>
    </row>
    <row r="969" spans="1:21" x14ac:dyDescent="0.3">
      <c r="A969" s="187">
        <v>27</v>
      </c>
      <c r="B969" s="242">
        <f t="shared" si="413"/>
        <v>46447</v>
      </c>
      <c r="C969" s="243">
        <f t="shared" si="394"/>
        <v>46477</v>
      </c>
      <c r="D969" s="120">
        <f t="shared" si="395"/>
        <v>31</v>
      </c>
      <c r="E969" s="120">
        <f t="shared" si="396"/>
        <v>3</v>
      </c>
      <c r="F969" s="275">
        <f t="shared" si="397"/>
        <v>46462.5</v>
      </c>
      <c r="G969" s="120">
        <f t="shared" si="398"/>
        <v>24326</v>
      </c>
      <c r="H969" s="245">
        <f t="shared" si="399"/>
        <v>1</v>
      </c>
      <c r="I969" s="121">
        <f t="shared" si="400"/>
        <v>1.03</v>
      </c>
      <c r="J969" s="121">
        <f t="shared" si="401"/>
        <v>1.03</v>
      </c>
      <c r="K969" s="120">
        <f t="shared" si="402"/>
        <v>0</v>
      </c>
      <c r="L969" s="120">
        <f t="shared" si="403"/>
        <v>0</v>
      </c>
      <c r="M969" s="246">
        <f t="shared" si="404"/>
        <v>0</v>
      </c>
      <c r="N969" s="121">
        <f t="shared" si="405"/>
        <v>1.03</v>
      </c>
      <c r="O969" s="246">
        <f t="shared" si="406"/>
        <v>0.99728665207877465</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87">
        <v>28</v>
      </c>
      <c r="B970" s="242">
        <f t="shared" si="413"/>
        <v>46478</v>
      </c>
      <c r="C970" s="243">
        <f t="shared" si="394"/>
        <v>46507</v>
      </c>
      <c r="D970" s="120">
        <f t="shared" si="395"/>
        <v>30</v>
      </c>
      <c r="E970" s="120">
        <f t="shared" si="396"/>
        <v>4</v>
      </c>
      <c r="F970" s="275">
        <f t="shared" si="397"/>
        <v>46493</v>
      </c>
      <c r="G970" s="120">
        <f t="shared" si="398"/>
        <v>24327</v>
      </c>
      <c r="H970" s="245">
        <f t="shared" si="399"/>
        <v>1</v>
      </c>
      <c r="I970" s="121">
        <f t="shared" si="400"/>
        <v>1.03</v>
      </c>
      <c r="J970" s="121">
        <f t="shared" si="401"/>
        <v>1.03</v>
      </c>
      <c r="K970" s="120">
        <f t="shared" si="402"/>
        <v>0</v>
      </c>
      <c r="L970" s="120">
        <f t="shared" si="403"/>
        <v>0</v>
      </c>
      <c r="M970" s="246">
        <f t="shared" si="404"/>
        <v>0</v>
      </c>
      <c r="N970" s="121">
        <f t="shared" si="405"/>
        <v>1.03</v>
      </c>
      <c r="O970" s="246">
        <f t="shared" si="406"/>
        <v>0.99862144420131294</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87">
        <v>29</v>
      </c>
      <c r="B971" s="242">
        <f t="shared" si="413"/>
        <v>46508</v>
      </c>
      <c r="C971" s="243">
        <f t="shared" si="394"/>
        <v>46538</v>
      </c>
      <c r="D971" s="120">
        <f t="shared" si="395"/>
        <v>31</v>
      </c>
      <c r="E971" s="120">
        <f t="shared" si="396"/>
        <v>5</v>
      </c>
      <c r="F971" s="275">
        <f t="shared" si="397"/>
        <v>46523.5</v>
      </c>
      <c r="G971" s="120">
        <f t="shared" si="398"/>
        <v>24328</v>
      </c>
      <c r="H971" s="245">
        <f t="shared" si="399"/>
        <v>1</v>
      </c>
      <c r="I971" s="121">
        <f t="shared" si="400"/>
        <v>1.03</v>
      </c>
      <c r="J971" s="121">
        <f t="shared" si="401"/>
        <v>1.03</v>
      </c>
      <c r="K971" s="120">
        <f t="shared" si="402"/>
        <v>0</v>
      </c>
      <c r="L971" s="120">
        <f t="shared" si="403"/>
        <v>0</v>
      </c>
      <c r="M971" s="246">
        <f t="shared" si="404"/>
        <v>0</v>
      </c>
      <c r="N971" s="121">
        <f t="shared" si="405"/>
        <v>1.03</v>
      </c>
      <c r="O971" s="246">
        <f t="shared" si="406"/>
        <v>0.99995623632385122</v>
      </c>
      <c r="P971" s="121">
        <f t="shared" si="407"/>
        <v>0</v>
      </c>
      <c r="Q971" s="121">
        <f t="shared" si="408"/>
        <v>0.625</v>
      </c>
      <c r="R971" s="121">
        <f t="shared" si="409"/>
        <v>0.375</v>
      </c>
      <c r="S971" s="121" t="str">
        <f t="shared" si="410"/>
        <v/>
      </c>
      <c r="T971" s="121" t="str">
        <f t="shared" si="411"/>
        <v/>
      </c>
      <c r="U971" s="121">
        <f t="shared" si="412"/>
        <v>1.03</v>
      </c>
    </row>
    <row r="972" spans="1:21" x14ac:dyDescent="0.3">
      <c r="A972" s="187">
        <v>30</v>
      </c>
      <c r="B972" s="242">
        <f t="shared" si="413"/>
        <v>46539</v>
      </c>
      <c r="C972" s="243">
        <f t="shared" si="394"/>
        <v>46568</v>
      </c>
      <c r="D972" s="120">
        <f t="shared" si="395"/>
        <v>30</v>
      </c>
      <c r="E972" s="120">
        <f t="shared" si="396"/>
        <v>6</v>
      </c>
      <c r="F972" s="275">
        <f t="shared" si="397"/>
        <v>46554</v>
      </c>
      <c r="G972" s="120">
        <f t="shared" si="398"/>
        <v>24329</v>
      </c>
      <c r="H972" s="245">
        <f t="shared" si="399"/>
        <v>1</v>
      </c>
      <c r="I972" s="121">
        <f t="shared" si="400"/>
        <v>1.03</v>
      </c>
      <c r="J972" s="121">
        <f t="shared" si="401"/>
        <v>1.03</v>
      </c>
      <c r="K972" s="120">
        <f t="shared" si="402"/>
        <v>0</v>
      </c>
      <c r="L972" s="120">
        <f t="shared" si="403"/>
        <v>0</v>
      </c>
      <c r="M972" s="246">
        <f t="shared" si="404"/>
        <v>0</v>
      </c>
      <c r="N972" s="121">
        <f t="shared" si="405"/>
        <v>1.03</v>
      </c>
      <c r="O972" s="246">
        <f t="shared" si="406"/>
        <v>1.0012910284463894</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87">
        <v>31</v>
      </c>
      <c r="B973" s="242">
        <f t="shared" si="413"/>
        <v>46569</v>
      </c>
      <c r="C973" s="243">
        <f t="shared" si="394"/>
        <v>46599</v>
      </c>
      <c r="D973" s="120">
        <f t="shared" si="395"/>
        <v>31</v>
      </c>
      <c r="E973" s="120">
        <f t="shared" si="396"/>
        <v>7</v>
      </c>
      <c r="F973" s="275">
        <f t="shared" si="397"/>
        <v>46584.5</v>
      </c>
      <c r="G973" s="120">
        <f t="shared" si="398"/>
        <v>24330</v>
      </c>
      <c r="H973" s="245">
        <f t="shared" si="399"/>
        <v>1</v>
      </c>
      <c r="I973" s="121">
        <f t="shared" si="400"/>
        <v>1.03</v>
      </c>
      <c r="J973" s="121">
        <f t="shared" si="401"/>
        <v>1.03</v>
      </c>
      <c r="K973" s="120">
        <f t="shared" si="402"/>
        <v>0</v>
      </c>
      <c r="L973" s="120">
        <f t="shared" si="403"/>
        <v>0</v>
      </c>
      <c r="M973" s="246">
        <f t="shared" si="404"/>
        <v>0</v>
      </c>
      <c r="N973" s="121">
        <f t="shared" si="405"/>
        <v>1.03</v>
      </c>
      <c r="O973" s="246">
        <f t="shared" si="406"/>
        <v>1.0026258205689278</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87">
        <v>32</v>
      </c>
      <c r="B974" s="242">
        <f t="shared" si="413"/>
        <v>46600</v>
      </c>
      <c r="C974" s="243">
        <f t="shared" si="394"/>
        <v>46630</v>
      </c>
      <c r="D974" s="120">
        <f t="shared" si="395"/>
        <v>31</v>
      </c>
      <c r="E974" s="120">
        <f t="shared" si="396"/>
        <v>8</v>
      </c>
      <c r="F974" s="275">
        <f t="shared" si="397"/>
        <v>46615.5</v>
      </c>
      <c r="G974" s="120">
        <f t="shared" si="398"/>
        <v>24331</v>
      </c>
      <c r="H974" s="245">
        <f t="shared" si="399"/>
        <v>1</v>
      </c>
      <c r="I974" s="121">
        <f t="shared" si="400"/>
        <v>1.03</v>
      </c>
      <c r="J974" s="121">
        <f t="shared" si="401"/>
        <v>1.03</v>
      </c>
      <c r="K974" s="120">
        <f t="shared" si="402"/>
        <v>0</v>
      </c>
      <c r="L974" s="120">
        <f t="shared" si="403"/>
        <v>0</v>
      </c>
      <c r="M974" s="246">
        <f t="shared" si="404"/>
        <v>0</v>
      </c>
      <c r="N974" s="121">
        <f t="shared" si="405"/>
        <v>1.03</v>
      </c>
      <c r="O974" s="246">
        <f t="shared" si="406"/>
        <v>1.0039824945295406</v>
      </c>
      <c r="P974" s="121">
        <f t="shared" si="407"/>
        <v>0</v>
      </c>
      <c r="Q974" s="121">
        <f t="shared" si="408"/>
        <v>0.375</v>
      </c>
      <c r="R974" s="121">
        <f t="shared" si="409"/>
        <v>0.625</v>
      </c>
      <c r="S974" s="121" t="str">
        <f t="shared" si="410"/>
        <v/>
      </c>
      <c r="T974" s="121" t="str">
        <f t="shared" si="411"/>
        <v/>
      </c>
      <c r="U974" s="121">
        <f t="shared" si="412"/>
        <v>1.03</v>
      </c>
    </row>
    <row r="975" spans="1:21" x14ac:dyDescent="0.3">
      <c r="A975" s="187">
        <v>33</v>
      </c>
      <c r="B975" s="242">
        <f t="shared" si="413"/>
        <v>46631</v>
      </c>
      <c r="C975" s="243">
        <f t="shared" si="394"/>
        <v>46660</v>
      </c>
      <c r="D975" s="120">
        <f t="shared" si="395"/>
        <v>30</v>
      </c>
      <c r="E975" s="120">
        <f t="shared" si="396"/>
        <v>9</v>
      </c>
      <c r="F975" s="275">
        <f t="shared" si="397"/>
        <v>46646</v>
      </c>
      <c r="G975" s="120">
        <f t="shared" si="398"/>
        <v>24332</v>
      </c>
      <c r="H975" s="245">
        <f t="shared" si="399"/>
        <v>1</v>
      </c>
      <c r="I975" s="121">
        <f t="shared" si="400"/>
        <v>1.03</v>
      </c>
      <c r="J975" s="121">
        <f t="shared" si="401"/>
        <v>1.03</v>
      </c>
      <c r="K975" s="120">
        <f t="shared" si="402"/>
        <v>0</v>
      </c>
      <c r="L975" s="120">
        <f t="shared" si="403"/>
        <v>0</v>
      </c>
      <c r="M975" s="246">
        <f t="shared" si="404"/>
        <v>0</v>
      </c>
      <c r="N975" s="121">
        <f t="shared" si="405"/>
        <v>1.03</v>
      </c>
      <c r="O975" s="246">
        <f t="shared" si="406"/>
        <v>1.0053172866520788</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87">
        <v>34</v>
      </c>
      <c r="B976" s="242">
        <f t="shared" si="413"/>
        <v>46661</v>
      </c>
      <c r="C976" s="243">
        <f t="shared" si="394"/>
        <v>46691</v>
      </c>
      <c r="D976" s="120">
        <f t="shared" si="395"/>
        <v>31</v>
      </c>
      <c r="E976" s="120">
        <f t="shared" si="396"/>
        <v>10</v>
      </c>
      <c r="F976" s="275">
        <f t="shared" si="397"/>
        <v>46676.5</v>
      </c>
      <c r="G976" s="120">
        <f t="shared" si="398"/>
        <v>24333</v>
      </c>
      <c r="H976" s="245">
        <f t="shared" si="399"/>
        <v>1</v>
      </c>
      <c r="I976" s="121">
        <f t="shared" si="400"/>
        <v>1.03</v>
      </c>
      <c r="J976" s="121">
        <f t="shared" si="401"/>
        <v>1.03</v>
      </c>
      <c r="K976" s="120">
        <f t="shared" si="402"/>
        <v>0</v>
      </c>
      <c r="L976" s="120">
        <f t="shared" si="403"/>
        <v>0</v>
      </c>
      <c r="M976" s="246">
        <f t="shared" si="404"/>
        <v>0</v>
      </c>
      <c r="N976" s="121">
        <f t="shared" si="405"/>
        <v>1.03</v>
      </c>
      <c r="O976" s="246">
        <f t="shared" si="406"/>
        <v>1.0066520787746172</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87">
        <v>35</v>
      </c>
      <c r="B977" s="242">
        <f t="shared" si="413"/>
        <v>46692</v>
      </c>
      <c r="C977" s="243">
        <f t="shared" si="394"/>
        <v>46721</v>
      </c>
      <c r="D977" s="120">
        <f t="shared" si="395"/>
        <v>30</v>
      </c>
      <c r="E977" s="120">
        <f t="shared" si="396"/>
        <v>11</v>
      </c>
      <c r="F977" s="275">
        <f t="shared" si="397"/>
        <v>46707</v>
      </c>
      <c r="G977" s="120">
        <f t="shared" si="398"/>
        <v>24334</v>
      </c>
      <c r="H977" s="245">
        <f t="shared" si="399"/>
        <v>1</v>
      </c>
      <c r="I977" s="121">
        <f t="shared" si="400"/>
        <v>1.03</v>
      </c>
      <c r="J977" s="121">
        <f t="shared" si="401"/>
        <v>1.03</v>
      </c>
      <c r="K977" s="120">
        <f t="shared" si="402"/>
        <v>0</v>
      </c>
      <c r="L977" s="120">
        <f t="shared" si="403"/>
        <v>0</v>
      </c>
      <c r="M977" s="246">
        <f t="shared" si="404"/>
        <v>0</v>
      </c>
      <c r="N977" s="121">
        <f t="shared" si="405"/>
        <v>1.03</v>
      </c>
      <c r="O977" s="246">
        <f t="shared" si="406"/>
        <v>1.0079868708971553</v>
      </c>
      <c r="P977" s="121">
        <f t="shared" si="407"/>
        <v>0</v>
      </c>
      <c r="Q977" s="121">
        <f t="shared" si="408"/>
        <v>0.125</v>
      </c>
      <c r="R977" s="121">
        <f t="shared" si="409"/>
        <v>0.875</v>
      </c>
      <c r="S977" s="121" t="str">
        <f t="shared" si="410"/>
        <v/>
      </c>
      <c r="T977" s="121" t="str">
        <f t="shared" si="411"/>
        <v/>
      </c>
      <c r="U977" s="121">
        <f t="shared" si="412"/>
        <v>1.03</v>
      </c>
    </row>
    <row r="978" spans="1:21" x14ac:dyDescent="0.3">
      <c r="A978" s="187">
        <v>36</v>
      </c>
      <c r="B978" s="242">
        <f t="shared" si="413"/>
        <v>46722</v>
      </c>
      <c r="C978" s="243">
        <f t="shared" si="394"/>
        <v>46752</v>
      </c>
      <c r="D978" s="120">
        <f t="shared" si="395"/>
        <v>31</v>
      </c>
      <c r="E978" s="120">
        <f t="shared" si="396"/>
        <v>12</v>
      </c>
      <c r="F978" s="275">
        <f t="shared" si="397"/>
        <v>46737.5</v>
      </c>
      <c r="G978" s="120">
        <f t="shared" si="398"/>
        <v>24335</v>
      </c>
      <c r="H978" s="245">
        <f t="shared" si="399"/>
        <v>1</v>
      </c>
      <c r="I978" s="121">
        <f t="shared" si="400"/>
        <v>1.03</v>
      </c>
      <c r="J978" s="121">
        <f t="shared" si="401"/>
        <v>1.03</v>
      </c>
      <c r="K978" s="120">
        <f t="shared" si="402"/>
        <v>0</v>
      </c>
      <c r="L978" s="120">
        <f t="shared" si="403"/>
        <v>0</v>
      </c>
      <c r="M978" s="246">
        <f t="shared" si="404"/>
        <v>0</v>
      </c>
      <c r="N978" s="121">
        <f t="shared" si="405"/>
        <v>1.03</v>
      </c>
      <c r="O978" s="246">
        <f t="shared" si="406"/>
        <v>1.0093216630196937</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87">
        <v>37</v>
      </c>
      <c r="B979" s="242">
        <f t="shared" si="413"/>
        <v>46753</v>
      </c>
      <c r="C979" s="243">
        <f t="shared" si="394"/>
        <v>46783</v>
      </c>
      <c r="D979" s="120">
        <f t="shared" si="395"/>
        <v>31</v>
      </c>
      <c r="E979" s="120">
        <f t="shared" si="396"/>
        <v>1</v>
      </c>
      <c r="F979" s="275">
        <f t="shared" si="397"/>
        <v>46768.5</v>
      </c>
      <c r="G979" s="120">
        <f t="shared" si="398"/>
        <v>24336</v>
      </c>
      <c r="H979" s="245">
        <f t="shared" si="399"/>
        <v>1</v>
      </c>
      <c r="I979" s="121">
        <f t="shared" si="400"/>
        <v>1.03</v>
      </c>
      <c r="J979" s="121">
        <f t="shared" si="401"/>
        <v>1.03</v>
      </c>
      <c r="K979" s="120">
        <f t="shared" si="402"/>
        <v>0</v>
      </c>
      <c r="L979" s="120">
        <f t="shared" si="403"/>
        <v>0</v>
      </c>
      <c r="M979" s="246">
        <f t="shared" si="404"/>
        <v>0</v>
      </c>
      <c r="N979" s="121">
        <f t="shared" si="405"/>
        <v>1.03</v>
      </c>
      <c r="O979" s="246">
        <f t="shared" si="406"/>
        <v>1.01</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87">
        <v>38</v>
      </c>
      <c r="B980" s="242">
        <f t="shared" si="413"/>
        <v>46784</v>
      </c>
      <c r="C980" s="243">
        <f t="shared" si="394"/>
        <v>46812</v>
      </c>
      <c r="D980" s="120">
        <f t="shared" si="395"/>
        <v>29</v>
      </c>
      <c r="E980" s="120">
        <f t="shared" si="396"/>
        <v>2</v>
      </c>
      <c r="F980" s="275">
        <f t="shared" si="397"/>
        <v>46798.5</v>
      </c>
      <c r="G980" s="120">
        <f t="shared" si="398"/>
        <v>24337</v>
      </c>
      <c r="H980" s="245">
        <f t="shared" si="399"/>
        <v>1</v>
      </c>
      <c r="I980" s="121">
        <f t="shared" si="400"/>
        <v>1.03</v>
      </c>
      <c r="J980" s="121">
        <f t="shared" si="401"/>
        <v>1.03</v>
      </c>
      <c r="K980" s="120">
        <f t="shared" si="402"/>
        <v>0</v>
      </c>
      <c r="L980" s="120">
        <f t="shared" si="403"/>
        <v>0</v>
      </c>
      <c r="M980" s="246">
        <f t="shared" si="404"/>
        <v>0</v>
      </c>
      <c r="N980" s="121">
        <f t="shared" si="405"/>
        <v>1.03</v>
      </c>
      <c r="O980" s="246">
        <f t="shared" si="406"/>
        <v>1.01</v>
      </c>
      <c r="P980" s="121">
        <f t="shared" si="407"/>
        <v>0</v>
      </c>
      <c r="Q980" s="121">
        <f t="shared" si="408"/>
        <v>0</v>
      </c>
      <c r="R980" s="121">
        <f t="shared" si="409"/>
        <v>0.875</v>
      </c>
      <c r="S980" s="121" t="str">
        <f t="shared" si="410"/>
        <v/>
      </c>
      <c r="T980" s="121" t="str">
        <f t="shared" si="411"/>
        <v/>
      </c>
      <c r="U980" s="121">
        <f t="shared" si="412"/>
        <v>1.03</v>
      </c>
    </row>
    <row r="981" spans="1:21" x14ac:dyDescent="0.3">
      <c r="A981" s="187">
        <v>39</v>
      </c>
      <c r="B981" s="242">
        <f t="shared" si="413"/>
        <v>46813</v>
      </c>
      <c r="C981" s="243">
        <f t="shared" si="394"/>
        <v>46843</v>
      </c>
      <c r="D981" s="120">
        <f t="shared" si="395"/>
        <v>31</v>
      </c>
      <c r="E981" s="120">
        <f t="shared" si="396"/>
        <v>3</v>
      </c>
      <c r="F981" s="275">
        <f t="shared" si="397"/>
        <v>46828.5</v>
      </c>
      <c r="G981" s="120">
        <f t="shared" si="398"/>
        <v>24338</v>
      </c>
      <c r="H981" s="245">
        <f t="shared" si="399"/>
        <v>1</v>
      </c>
      <c r="I981" s="121">
        <f t="shared" si="400"/>
        <v>1.03</v>
      </c>
      <c r="J981" s="121">
        <f t="shared" si="401"/>
        <v>1.03</v>
      </c>
      <c r="K981" s="120">
        <f t="shared" si="402"/>
        <v>0</v>
      </c>
      <c r="L981" s="120">
        <f t="shared" si="403"/>
        <v>0</v>
      </c>
      <c r="M981" s="246">
        <f t="shared" si="404"/>
        <v>0</v>
      </c>
      <c r="N981" s="121">
        <f t="shared" si="405"/>
        <v>1.03</v>
      </c>
      <c r="O981" s="246">
        <f t="shared" si="406"/>
        <v>1.01</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87">
        <v>40</v>
      </c>
      <c r="B982" s="242">
        <f t="shared" si="413"/>
        <v>46844</v>
      </c>
      <c r="C982" s="243">
        <f t="shared" si="394"/>
        <v>46873</v>
      </c>
      <c r="D982" s="120">
        <f t="shared" si="395"/>
        <v>30</v>
      </c>
      <c r="E982" s="120">
        <f t="shared" si="396"/>
        <v>4</v>
      </c>
      <c r="F982" s="275">
        <f t="shared" si="397"/>
        <v>46859</v>
      </c>
      <c r="G982" s="120">
        <f t="shared" si="398"/>
        <v>24339</v>
      </c>
      <c r="H982" s="245">
        <f t="shared" si="399"/>
        <v>1</v>
      </c>
      <c r="I982" s="121">
        <f t="shared" si="400"/>
        <v>1.03</v>
      </c>
      <c r="J982" s="121">
        <f t="shared" si="401"/>
        <v>1.03</v>
      </c>
      <c r="K982" s="120">
        <f t="shared" si="402"/>
        <v>0</v>
      </c>
      <c r="L982" s="120">
        <f t="shared" si="403"/>
        <v>0</v>
      </c>
      <c r="M982" s="246">
        <f t="shared" si="404"/>
        <v>0</v>
      </c>
      <c r="N982" s="121">
        <f t="shared" si="405"/>
        <v>1.03</v>
      </c>
      <c r="O982" s="246">
        <f t="shared" si="406"/>
        <v>1.01</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87">
        <v>41</v>
      </c>
      <c r="B983" s="242">
        <f t="shared" si="413"/>
        <v>46874</v>
      </c>
      <c r="C983" s="243">
        <f t="shared" si="394"/>
        <v>46904</v>
      </c>
      <c r="D983" s="120">
        <f t="shared" si="395"/>
        <v>31</v>
      </c>
      <c r="E983" s="120">
        <f t="shared" si="396"/>
        <v>5</v>
      </c>
      <c r="F983" s="275">
        <f t="shared" si="397"/>
        <v>46889.5</v>
      </c>
      <c r="G983" s="120">
        <f t="shared" si="398"/>
        <v>24340</v>
      </c>
      <c r="H983" s="245">
        <f t="shared" si="399"/>
        <v>1</v>
      </c>
      <c r="I983" s="121">
        <f t="shared" si="400"/>
        <v>1.03</v>
      </c>
      <c r="J983" s="121">
        <f t="shared" si="401"/>
        <v>1.03</v>
      </c>
      <c r="K983" s="120">
        <f t="shared" si="402"/>
        <v>0</v>
      </c>
      <c r="L983" s="120">
        <f t="shared" si="403"/>
        <v>0</v>
      </c>
      <c r="M983" s="246">
        <f t="shared" si="404"/>
        <v>0</v>
      </c>
      <c r="N983" s="121">
        <f t="shared" si="405"/>
        <v>1.03</v>
      </c>
      <c r="O983" s="246">
        <f t="shared" si="406"/>
        <v>1.01</v>
      </c>
      <c r="P983" s="121">
        <f t="shared" si="407"/>
        <v>0</v>
      </c>
      <c r="Q983" s="121">
        <f t="shared" si="408"/>
        <v>0</v>
      </c>
      <c r="R983" s="121">
        <f t="shared" si="409"/>
        <v>0.625</v>
      </c>
      <c r="S983" s="121" t="str">
        <f t="shared" si="410"/>
        <v/>
      </c>
      <c r="T983" s="121" t="str">
        <f t="shared" si="411"/>
        <v/>
      </c>
      <c r="U983" s="121">
        <f t="shared" si="412"/>
        <v>1.03</v>
      </c>
    </row>
    <row r="984" spans="1:21" x14ac:dyDescent="0.3">
      <c r="A984" s="187">
        <v>42</v>
      </c>
      <c r="B984" s="242">
        <f t="shared" si="413"/>
        <v>46905</v>
      </c>
      <c r="C984" s="243">
        <f t="shared" si="394"/>
        <v>46934</v>
      </c>
      <c r="D984" s="120">
        <f t="shared" si="395"/>
        <v>30</v>
      </c>
      <c r="E984" s="120">
        <f t="shared" si="396"/>
        <v>6</v>
      </c>
      <c r="F984" s="275">
        <f t="shared" si="397"/>
        <v>46920</v>
      </c>
      <c r="G984" s="120">
        <f t="shared" si="398"/>
        <v>24341</v>
      </c>
      <c r="H984" s="245">
        <f t="shared" si="399"/>
        <v>1</v>
      </c>
      <c r="I984" s="121">
        <f t="shared" si="400"/>
        <v>1.03</v>
      </c>
      <c r="J984" s="121">
        <f t="shared" si="401"/>
        <v>1.03</v>
      </c>
      <c r="K984" s="120">
        <f t="shared" si="402"/>
        <v>0</v>
      </c>
      <c r="L984" s="120">
        <f t="shared" si="403"/>
        <v>0</v>
      </c>
      <c r="M984" s="246">
        <f t="shared" si="404"/>
        <v>0</v>
      </c>
      <c r="N984" s="121">
        <f t="shared" si="405"/>
        <v>1.03</v>
      </c>
      <c r="O984" s="246">
        <f t="shared" si="406"/>
        <v>1.01</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87">
        <v>43</v>
      </c>
      <c r="B985" s="242">
        <f t="shared" si="413"/>
        <v>46935</v>
      </c>
      <c r="C985" s="243">
        <f t="shared" si="394"/>
        <v>46965</v>
      </c>
      <c r="D985" s="120">
        <f t="shared" si="395"/>
        <v>31</v>
      </c>
      <c r="E985" s="120">
        <f t="shared" si="396"/>
        <v>7</v>
      </c>
      <c r="F985" s="275">
        <f t="shared" si="397"/>
        <v>46950.5</v>
      </c>
      <c r="G985" s="120">
        <f t="shared" si="398"/>
        <v>24342</v>
      </c>
      <c r="H985" s="245">
        <f t="shared" si="399"/>
        <v>1</v>
      </c>
      <c r="I985" s="121">
        <f t="shared" si="400"/>
        <v>1.03</v>
      </c>
      <c r="J985" s="121">
        <f t="shared" si="401"/>
        <v>1.03</v>
      </c>
      <c r="K985" s="120">
        <f t="shared" si="402"/>
        <v>0</v>
      </c>
      <c r="L985" s="120">
        <f t="shared" si="403"/>
        <v>0</v>
      </c>
      <c r="M985" s="246">
        <f t="shared" si="404"/>
        <v>0</v>
      </c>
      <c r="N985" s="121">
        <f t="shared" si="405"/>
        <v>1.03</v>
      </c>
      <c r="O985" s="246">
        <f t="shared" si="406"/>
        <v>1.01</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87">
        <v>44</v>
      </c>
      <c r="B986" s="242">
        <f t="shared" si="413"/>
        <v>46966</v>
      </c>
      <c r="C986" s="243">
        <f t="shared" si="394"/>
        <v>46996</v>
      </c>
      <c r="D986" s="120">
        <f t="shared" si="395"/>
        <v>31</v>
      </c>
      <c r="E986" s="120">
        <f t="shared" si="396"/>
        <v>8</v>
      </c>
      <c r="F986" s="275">
        <f t="shared" si="397"/>
        <v>46981.5</v>
      </c>
      <c r="G986" s="120">
        <f t="shared" si="398"/>
        <v>24343</v>
      </c>
      <c r="H986" s="245">
        <f t="shared" si="399"/>
        <v>1</v>
      </c>
      <c r="I986" s="121">
        <f t="shared" si="400"/>
        <v>1.03</v>
      </c>
      <c r="J986" s="121">
        <f t="shared" si="401"/>
        <v>1.03</v>
      </c>
      <c r="K986" s="120">
        <f t="shared" si="402"/>
        <v>0</v>
      </c>
      <c r="L986" s="120">
        <f t="shared" si="403"/>
        <v>0</v>
      </c>
      <c r="M986" s="246">
        <f t="shared" si="404"/>
        <v>0</v>
      </c>
      <c r="N986" s="121">
        <f t="shared" si="405"/>
        <v>1.03</v>
      </c>
      <c r="O986" s="246">
        <f t="shared" si="406"/>
        <v>1.01</v>
      </c>
      <c r="P986" s="121">
        <f t="shared" si="407"/>
        <v>0</v>
      </c>
      <c r="Q986" s="121">
        <f t="shared" si="408"/>
        <v>0</v>
      </c>
      <c r="R986" s="121">
        <f t="shared" si="409"/>
        <v>0.375</v>
      </c>
      <c r="S986" s="121" t="str">
        <f t="shared" si="410"/>
        <v/>
      </c>
      <c r="T986" s="121" t="str">
        <f t="shared" si="411"/>
        <v/>
      </c>
      <c r="U986" s="121">
        <f t="shared" si="412"/>
        <v>1.03</v>
      </c>
    </row>
    <row r="987" spans="1:21" x14ac:dyDescent="0.3">
      <c r="A987" s="187">
        <v>45</v>
      </c>
      <c r="B987" s="242">
        <f t="shared" si="413"/>
        <v>46997</v>
      </c>
      <c r="C987" s="243">
        <f t="shared" si="394"/>
        <v>47026</v>
      </c>
      <c r="D987" s="120">
        <f t="shared" si="395"/>
        <v>30</v>
      </c>
      <c r="E987" s="120">
        <f t="shared" si="396"/>
        <v>9</v>
      </c>
      <c r="F987" s="275">
        <f t="shared" si="397"/>
        <v>47012</v>
      </c>
      <c r="G987" s="120">
        <f t="shared" si="398"/>
        <v>24344</v>
      </c>
      <c r="H987" s="245">
        <f t="shared" si="399"/>
        <v>1</v>
      </c>
      <c r="I987" s="121">
        <f t="shared" si="400"/>
        <v>1.03</v>
      </c>
      <c r="J987" s="121">
        <f t="shared" si="401"/>
        <v>1.03</v>
      </c>
      <c r="K987" s="120">
        <f t="shared" si="402"/>
        <v>0</v>
      </c>
      <c r="L987" s="120">
        <f t="shared" si="403"/>
        <v>0</v>
      </c>
      <c r="M987" s="246">
        <f t="shared" si="404"/>
        <v>0</v>
      </c>
      <c r="N987" s="121">
        <f t="shared" si="405"/>
        <v>1.03</v>
      </c>
      <c r="O987" s="246">
        <f t="shared" si="406"/>
        <v>1.01</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87">
        <v>46</v>
      </c>
      <c r="B988" s="242">
        <f t="shared" si="413"/>
        <v>47027</v>
      </c>
      <c r="C988" s="243">
        <f t="shared" si="394"/>
        <v>47057</v>
      </c>
      <c r="D988" s="120">
        <f t="shared" si="395"/>
        <v>31</v>
      </c>
      <c r="E988" s="120">
        <f t="shared" si="396"/>
        <v>10</v>
      </c>
      <c r="F988" s="275">
        <f t="shared" si="397"/>
        <v>47042.5</v>
      </c>
      <c r="G988" s="120">
        <f t="shared" si="398"/>
        <v>24345</v>
      </c>
      <c r="H988" s="245">
        <f t="shared" si="399"/>
        <v>1</v>
      </c>
      <c r="I988" s="121">
        <f t="shared" si="400"/>
        <v>1.03</v>
      </c>
      <c r="J988" s="121">
        <f t="shared" si="401"/>
        <v>1.03</v>
      </c>
      <c r="K988" s="120">
        <f t="shared" si="402"/>
        <v>0</v>
      </c>
      <c r="L988" s="120">
        <f t="shared" si="403"/>
        <v>0</v>
      </c>
      <c r="M988" s="246">
        <f t="shared" si="404"/>
        <v>0</v>
      </c>
      <c r="N988" s="121">
        <f t="shared" si="405"/>
        <v>1.03</v>
      </c>
      <c r="O988" s="246">
        <f t="shared" si="406"/>
        <v>1.01</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87">
        <v>47</v>
      </c>
      <c r="B989" s="242">
        <f t="shared" si="413"/>
        <v>47058</v>
      </c>
      <c r="C989" s="243">
        <f t="shared" si="394"/>
        <v>47087</v>
      </c>
      <c r="D989" s="120">
        <f t="shared" si="395"/>
        <v>30</v>
      </c>
      <c r="E989" s="120">
        <f t="shared" si="396"/>
        <v>11</v>
      </c>
      <c r="F989" s="275">
        <f t="shared" si="397"/>
        <v>47073</v>
      </c>
      <c r="G989" s="120">
        <f t="shared" si="398"/>
        <v>24346</v>
      </c>
      <c r="H989" s="245">
        <f t="shared" si="399"/>
        <v>1</v>
      </c>
      <c r="I989" s="121">
        <f t="shared" si="400"/>
        <v>1.03</v>
      </c>
      <c r="J989" s="121">
        <f t="shared" si="401"/>
        <v>1.03</v>
      </c>
      <c r="K989" s="120">
        <f t="shared" si="402"/>
        <v>0</v>
      </c>
      <c r="L989" s="120">
        <f t="shared" si="403"/>
        <v>0</v>
      </c>
      <c r="M989" s="246">
        <f t="shared" si="404"/>
        <v>0</v>
      </c>
      <c r="N989" s="121">
        <f t="shared" si="405"/>
        <v>1.03</v>
      </c>
      <c r="O989" s="246">
        <f t="shared" si="406"/>
        <v>1.01</v>
      </c>
      <c r="P989" s="121">
        <f t="shared" si="407"/>
        <v>0</v>
      </c>
      <c r="Q989" s="121">
        <f t="shared" si="408"/>
        <v>0</v>
      </c>
      <c r="R989" s="121">
        <f t="shared" si="409"/>
        <v>0.125</v>
      </c>
      <c r="S989" s="121" t="str">
        <f t="shared" si="410"/>
        <v/>
      </c>
      <c r="T989" s="121" t="str">
        <f t="shared" si="411"/>
        <v/>
      </c>
      <c r="U989" s="121">
        <f t="shared" si="412"/>
        <v>1.03</v>
      </c>
    </row>
    <row r="990" spans="1:21" x14ac:dyDescent="0.3">
      <c r="A990" s="187">
        <v>48</v>
      </c>
      <c r="B990" s="242">
        <f t="shared" si="413"/>
        <v>47088</v>
      </c>
      <c r="C990" s="243">
        <f t="shared" si="394"/>
        <v>47118</v>
      </c>
      <c r="D990" s="120">
        <f t="shared" si="395"/>
        <v>31</v>
      </c>
      <c r="E990" s="120">
        <f t="shared" si="396"/>
        <v>12</v>
      </c>
      <c r="F990" s="275">
        <f t="shared" si="397"/>
        <v>47103.5</v>
      </c>
      <c r="G990" s="120">
        <f t="shared" si="398"/>
        <v>24347</v>
      </c>
      <c r="H990" s="245">
        <f t="shared" si="399"/>
        <v>1</v>
      </c>
      <c r="I990" s="121">
        <f t="shared" si="400"/>
        <v>1.03</v>
      </c>
      <c r="J990" s="121">
        <f t="shared" si="401"/>
        <v>1.03</v>
      </c>
      <c r="K990" s="120">
        <f t="shared" si="402"/>
        <v>0</v>
      </c>
      <c r="L990" s="120">
        <f t="shared" si="403"/>
        <v>0</v>
      </c>
      <c r="M990" s="246">
        <f t="shared" si="404"/>
        <v>0</v>
      </c>
      <c r="N990" s="121">
        <f t="shared" si="405"/>
        <v>1.03</v>
      </c>
      <c r="O990" s="246">
        <f t="shared" si="406"/>
        <v>1.01</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1651</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24">
        <f>SUMPRODUCT($H$943:$H$990,$Q$943:$Q$990,$O$943:$O$990)/SUMPRODUCT($H$943:$H$990,$Q$943:$Q$990)</f>
        <v>0.99399161196207142</v>
      </c>
      <c r="G991" s="224">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row>
    <row r="994" spans="1:21" x14ac:dyDescent="0.3">
      <c r="A994" s="6" t="str">
        <f>INDEX(lr_key,18)</f>
        <v>ABD|TN</v>
      </c>
      <c r="B994" s="6" t="str">
        <f>INDEX(lr_state,18)</f>
        <v>TN</v>
      </c>
      <c r="C994" s="75">
        <f>nr_TermMonths</f>
        <v>12</v>
      </c>
      <c r="D994" s="75">
        <f>IF(COUNTIF(se_state,$B994)=0,0,MATCH($B994,se_state,0))</f>
        <v>0</v>
      </c>
      <c r="E994" s="70">
        <f>IF($D994=0,0,INDEX(se_sum,$D994))</f>
        <v>0</v>
      </c>
      <c r="F994" s="224">
        <f>IF(N(INDEX(lr_mind,18))=0,1,INDEX(lr_mind,18))</f>
        <v>1</v>
      </c>
      <c r="G994" s="224">
        <f>IF(N(INDEX(lr_m0,18))=0,1,INDEX(lr_m0,18))</f>
        <v>0.99</v>
      </c>
      <c r="H994" s="74">
        <f>IF(N(INDEX(lr_m0asof,18))=0,DATE(nr_PlanYear-1,10,1),INDEX(lr_m0asof,18))</f>
        <v>46295</v>
      </c>
      <c r="I994" s="224">
        <f>IF(N(INDEX(lr_m1,18))=0,1,INDEX(lr_m1,18))</f>
        <v>0.99</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414">EOMONTH($B997,0)</f>
        <v>45688</v>
      </c>
      <c r="D997" s="120">
        <f t="shared" ref="D997:D1044" si="415">$C997-$B997+1</f>
        <v>31</v>
      </c>
      <c r="E997" s="120">
        <f t="shared" ref="E997:E1044" si="416">MONTH($B997)</f>
        <v>1</v>
      </c>
      <c r="F997" s="275">
        <f t="shared" ref="F997:F1044" si="417">($B997+$C997+1)/2</f>
        <v>45673.5</v>
      </c>
      <c r="G997" s="120">
        <f t="shared" ref="G997:G1044" si="418">YEAR($B997)*12+MONTH($B997)-1</f>
        <v>24300</v>
      </c>
      <c r="H997" s="245">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46">
        <f t="shared" ref="M997:M1044" si="424">IF($K997=0,0,MIN(1,$L997/$D997))</f>
        <v>0</v>
      </c>
      <c r="N997" s="121">
        <f t="shared" ref="N997:N1044" si="425">IF($K997=0,$J997,(1-$M997)*$I997+$M997*$J997)</f>
        <v>1</v>
      </c>
      <c r="O997" s="246">
        <f t="shared" ref="O997:O1044" si="426">IF($F997&lt;$B$995,$E$995+$I$995*($F997-$A$995),IF($F997&lt;$C$995,$F$995+$J$995*($F997-$B$995),$G$995+$K$995*($F997-$C$995)))</f>
        <v>0.99</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87">
        <v>2</v>
      </c>
      <c r="B998" s="242">
        <f t="shared" ref="B998:B1044" si="433">EDATE($B997,1)</f>
        <v>45689</v>
      </c>
      <c r="C998" s="243">
        <f t="shared" si="414"/>
        <v>45716</v>
      </c>
      <c r="D998" s="120">
        <f t="shared" si="415"/>
        <v>28</v>
      </c>
      <c r="E998" s="120">
        <f t="shared" si="416"/>
        <v>2</v>
      </c>
      <c r="F998" s="275">
        <f t="shared" si="417"/>
        <v>45703</v>
      </c>
      <c r="G998" s="120">
        <f t="shared" si="418"/>
        <v>24301</v>
      </c>
      <c r="H998" s="245">
        <f t="shared" si="419"/>
        <v>1</v>
      </c>
      <c r="I998" s="121">
        <f t="shared" si="420"/>
        <v>1</v>
      </c>
      <c r="J998" s="121">
        <f t="shared" si="421"/>
        <v>1</v>
      </c>
      <c r="K998" s="120">
        <f t="shared" si="422"/>
        <v>0</v>
      </c>
      <c r="L998" s="120">
        <f t="shared" si="423"/>
        <v>0</v>
      </c>
      <c r="M998" s="246">
        <f t="shared" si="424"/>
        <v>0</v>
      </c>
      <c r="N998" s="121">
        <f t="shared" si="425"/>
        <v>1</v>
      </c>
      <c r="O998" s="246">
        <f t="shared" si="426"/>
        <v>0.99</v>
      </c>
      <c r="P998" s="121">
        <f t="shared" si="427"/>
        <v>0.125</v>
      </c>
      <c r="Q998" s="121">
        <f t="shared" si="428"/>
        <v>0</v>
      </c>
      <c r="R998" s="121">
        <f t="shared" si="429"/>
        <v>0</v>
      </c>
      <c r="S998" s="121" t="str">
        <f t="shared" si="430"/>
        <v/>
      </c>
      <c r="T998" s="121" t="str">
        <f t="shared" si="431"/>
        <v/>
      </c>
      <c r="U998" s="121">
        <f t="shared" si="432"/>
        <v>1</v>
      </c>
    </row>
    <row r="999" spans="1:21" x14ac:dyDescent="0.3">
      <c r="A999" s="187">
        <v>3</v>
      </c>
      <c r="B999" s="242">
        <f t="shared" si="433"/>
        <v>45717</v>
      </c>
      <c r="C999" s="243">
        <f t="shared" si="414"/>
        <v>45747</v>
      </c>
      <c r="D999" s="120">
        <f t="shared" si="415"/>
        <v>31</v>
      </c>
      <c r="E999" s="120">
        <f t="shared" si="416"/>
        <v>3</v>
      </c>
      <c r="F999" s="275">
        <f t="shared" si="417"/>
        <v>45732.5</v>
      </c>
      <c r="G999" s="120">
        <f t="shared" si="418"/>
        <v>24302</v>
      </c>
      <c r="H999" s="245">
        <f t="shared" si="419"/>
        <v>1</v>
      </c>
      <c r="I999" s="121">
        <f t="shared" si="420"/>
        <v>1</v>
      </c>
      <c r="J999" s="121">
        <f t="shared" si="421"/>
        <v>1</v>
      </c>
      <c r="K999" s="120">
        <f t="shared" si="422"/>
        <v>0</v>
      </c>
      <c r="L999" s="120">
        <f t="shared" si="423"/>
        <v>0</v>
      </c>
      <c r="M999" s="246">
        <f t="shared" si="424"/>
        <v>0</v>
      </c>
      <c r="N999" s="121">
        <f t="shared" si="425"/>
        <v>1</v>
      </c>
      <c r="O999" s="246">
        <f t="shared" si="426"/>
        <v>0.99</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87">
        <v>4</v>
      </c>
      <c r="B1000" s="242">
        <f t="shared" si="433"/>
        <v>45748</v>
      </c>
      <c r="C1000" s="243">
        <f t="shared" si="414"/>
        <v>45777</v>
      </c>
      <c r="D1000" s="120">
        <f t="shared" si="415"/>
        <v>30</v>
      </c>
      <c r="E1000" s="120">
        <f t="shared" si="416"/>
        <v>4</v>
      </c>
      <c r="F1000" s="275">
        <f t="shared" si="417"/>
        <v>45763</v>
      </c>
      <c r="G1000" s="120">
        <f t="shared" si="418"/>
        <v>24303</v>
      </c>
      <c r="H1000" s="245">
        <f t="shared" si="419"/>
        <v>1</v>
      </c>
      <c r="I1000" s="121">
        <f t="shared" si="420"/>
        <v>1</v>
      </c>
      <c r="J1000" s="121">
        <f t="shared" si="421"/>
        <v>1</v>
      </c>
      <c r="K1000" s="120">
        <f t="shared" si="422"/>
        <v>0</v>
      </c>
      <c r="L1000" s="120">
        <f t="shared" si="423"/>
        <v>0</v>
      </c>
      <c r="M1000" s="246">
        <f t="shared" si="424"/>
        <v>0</v>
      </c>
      <c r="N1000" s="121">
        <f t="shared" si="425"/>
        <v>1</v>
      </c>
      <c r="O1000" s="246">
        <f t="shared" si="426"/>
        <v>0.99</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87">
        <v>5</v>
      </c>
      <c r="B1001" s="242">
        <f t="shared" si="433"/>
        <v>45778</v>
      </c>
      <c r="C1001" s="243">
        <f t="shared" si="414"/>
        <v>45808</v>
      </c>
      <c r="D1001" s="120">
        <f t="shared" si="415"/>
        <v>31</v>
      </c>
      <c r="E1001" s="120">
        <f t="shared" si="416"/>
        <v>5</v>
      </c>
      <c r="F1001" s="275">
        <f t="shared" si="417"/>
        <v>45793.5</v>
      </c>
      <c r="G1001" s="120">
        <f t="shared" si="418"/>
        <v>24304</v>
      </c>
      <c r="H1001" s="245">
        <f t="shared" si="419"/>
        <v>1</v>
      </c>
      <c r="I1001" s="121">
        <f t="shared" si="420"/>
        <v>1</v>
      </c>
      <c r="J1001" s="121">
        <f t="shared" si="421"/>
        <v>1</v>
      </c>
      <c r="K1001" s="120">
        <f t="shared" si="422"/>
        <v>0</v>
      </c>
      <c r="L1001" s="120">
        <f t="shared" si="423"/>
        <v>0</v>
      </c>
      <c r="M1001" s="246">
        <f t="shared" si="424"/>
        <v>0</v>
      </c>
      <c r="N1001" s="121">
        <f t="shared" si="425"/>
        <v>1</v>
      </c>
      <c r="O1001" s="246">
        <f t="shared" si="426"/>
        <v>0.99</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87">
        <v>6</v>
      </c>
      <c r="B1002" s="242">
        <f t="shared" si="433"/>
        <v>45809</v>
      </c>
      <c r="C1002" s="243">
        <f t="shared" si="414"/>
        <v>45838</v>
      </c>
      <c r="D1002" s="120">
        <f t="shared" si="415"/>
        <v>30</v>
      </c>
      <c r="E1002" s="120">
        <f t="shared" si="416"/>
        <v>6</v>
      </c>
      <c r="F1002" s="275">
        <f t="shared" si="417"/>
        <v>45824</v>
      </c>
      <c r="G1002" s="120">
        <f t="shared" si="418"/>
        <v>24305</v>
      </c>
      <c r="H1002" s="245">
        <f t="shared" si="419"/>
        <v>1</v>
      </c>
      <c r="I1002" s="121">
        <f t="shared" si="420"/>
        <v>1</v>
      </c>
      <c r="J1002" s="121">
        <f t="shared" si="421"/>
        <v>1</v>
      </c>
      <c r="K1002" s="120">
        <f t="shared" si="422"/>
        <v>0</v>
      </c>
      <c r="L1002" s="120">
        <f t="shared" si="423"/>
        <v>0</v>
      </c>
      <c r="M1002" s="246">
        <f t="shared" si="424"/>
        <v>0</v>
      </c>
      <c r="N1002" s="121">
        <f t="shared" si="425"/>
        <v>1</v>
      </c>
      <c r="O1002" s="246">
        <f t="shared" si="426"/>
        <v>0.99</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87">
        <v>7</v>
      </c>
      <c r="B1003" s="242">
        <f t="shared" si="433"/>
        <v>45839</v>
      </c>
      <c r="C1003" s="243">
        <f t="shared" si="414"/>
        <v>45869</v>
      </c>
      <c r="D1003" s="120">
        <f t="shared" si="415"/>
        <v>31</v>
      </c>
      <c r="E1003" s="120">
        <f t="shared" si="416"/>
        <v>7</v>
      </c>
      <c r="F1003" s="275">
        <f t="shared" si="417"/>
        <v>45854.5</v>
      </c>
      <c r="G1003" s="120">
        <f t="shared" si="418"/>
        <v>24306</v>
      </c>
      <c r="H1003" s="245">
        <f t="shared" si="419"/>
        <v>1</v>
      </c>
      <c r="I1003" s="121">
        <f t="shared" si="420"/>
        <v>1</v>
      </c>
      <c r="J1003" s="121">
        <f t="shared" si="421"/>
        <v>1</v>
      </c>
      <c r="K1003" s="120">
        <f t="shared" si="422"/>
        <v>0</v>
      </c>
      <c r="L1003" s="120">
        <f t="shared" si="423"/>
        <v>0</v>
      </c>
      <c r="M1003" s="246">
        <f t="shared" si="424"/>
        <v>0</v>
      </c>
      <c r="N1003" s="121">
        <f t="shared" si="425"/>
        <v>1</v>
      </c>
      <c r="O1003" s="246">
        <f t="shared" si="426"/>
        <v>0.99</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87">
        <v>8</v>
      </c>
      <c r="B1004" s="242">
        <f t="shared" si="433"/>
        <v>45870</v>
      </c>
      <c r="C1004" s="243">
        <f t="shared" si="414"/>
        <v>45900</v>
      </c>
      <c r="D1004" s="120">
        <f t="shared" si="415"/>
        <v>31</v>
      </c>
      <c r="E1004" s="120">
        <f t="shared" si="416"/>
        <v>8</v>
      </c>
      <c r="F1004" s="275">
        <f t="shared" si="417"/>
        <v>45885.5</v>
      </c>
      <c r="G1004" s="120">
        <f t="shared" si="418"/>
        <v>24307</v>
      </c>
      <c r="H1004" s="245">
        <f t="shared" si="419"/>
        <v>1</v>
      </c>
      <c r="I1004" s="121">
        <f t="shared" si="420"/>
        <v>1</v>
      </c>
      <c r="J1004" s="121">
        <f t="shared" si="421"/>
        <v>1</v>
      </c>
      <c r="K1004" s="120">
        <f t="shared" si="422"/>
        <v>0</v>
      </c>
      <c r="L1004" s="120">
        <f t="shared" si="423"/>
        <v>0</v>
      </c>
      <c r="M1004" s="246">
        <f t="shared" si="424"/>
        <v>0</v>
      </c>
      <c r="N1004" s="121">
        <f t="shared" si="425"/>
        <v>1</v>
      </c>
      <c r="O1004" s="246">
        <f t="shared" si="426"/>
        <v>0.99</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87">
        <v>9</v>
      </c>
      <c r="B1005" s="242">
        <f t="shared" si="433"/>
        <v>45901</v>
      </c>
      <c r="C1005" s="243">
        <f t="shared" si="414"/>
        <v>45930</v>
      </c>
      <c r="D1005" s="120">
        <f t="shared" si="415"/>
        <v>30</v>
      </c>
      <c r="E1005" s="120">
        <f t="shared" si="416"/>
        <v>9</v>
      </c>
      <c r="F1005" s="275">
        <f t="shared" si="417"/>
        <v>45916</v>
      </c>
      <c r="G1005" s="120">
        <f t="shared" si="418"/>
        <v>24308</v>
      </c>
      <c r="H1005" s="245">
        <f t="shared" si="419"/>
        <v>1</v>
      </c>
      <c r="I1005" s="121">
        <f t="shared" si="420"/>
        <v>1</v>
      </c>
      <c r="J1005" s="121">
        <f t="shared" si="421"/>
        <v>1</v>
      </c>
      <c r="K1005" s="120">
        <f t="shared" si="422"/>
        <v>0</v>
      </c>
      <c r="L1005" s="120">
        <f t="shared" si="423"/>
        <v>0</v>
      </c>
      <c r="M1005" s="246">
        <f t="shared" si="424"/>
        <v>0</v>
      </c>
      <c r="N1005" s="121">
        <f t="shared" si="425"/>
        <v>1</v>
      </c>
      <c r="O1005" s="246">
        <f t="shared" si="426"/>
        <v>0.99</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87">
        <v>10</v>
      </c>
      <c r="B1006" s="242">
        <f t="shared" si="433"/>
        <v>45931</v>
      </c>
      <c r="C1006" s="243">
        <f t="shared" si="414"/>
        <v>45961</v>
      </c>
      <c r="D1006" s="120">
        <f t="shared" si="415"/>
        <v>31</v>
      </c>
      <c r="E1006" s="120">
        <f t="shared" si="416"/>
        <v>10</v>
      </c>
      <c r="F1006" s="275">
        <f t="shared" si="417"/>
        <v>45946.5</v>
      </c>
      <c r="G1006" s="120">
        <f t="shared" si="418"/>
        <v>24309</v>
      </c>
      <c r="H1006" s="245">
        <f t="shared" si="419"/>
        <v>1</v>
      </c>
      <c r="I1006" s="121">
        <f t="shared" si="420"/>
        <v>1</v>
      </c>
      <c r="J1006" s="121">
        <f t="shared" si="421"/>
        <v>1</v>
      </c>
      <c r="K1006" s="120">
        <f t="shared" si="422"/>
        <v>0</v>
      </c>
      <c r="L1006" s="120">
        <f t="shared" si="423"/>
        <v>0</v>
      </c>
      <c r="M1006" s="246">
        <f t="shared" si="424"/>
        <v>0</v>
      </c>
      <c r="N1006" s="121">
        <f t="shared" si="425"/>
        <v>1</v>
      </c>
      <c r="O1006" s="246">
        <f t="shared" si="426"/>
        <v>0.99</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87">
        <v>11</v>
      </c>
      <c r="B1007" s="242">
        <f t="shared" si="433"/>
        <v>45962</v>
      </c>
      <c r="C1007" s="243">
        <f t="shared" si="414"/>
        <v>45991</v>
      </c>
      <c r="D1007" s="120">
        <f t="shared" si="415"/>
        <v>30</v>
      </c>
      <c r="E1007" s="120">
        <f t="shared" si="416"/>
        <v>11</v>
      </c>
      <c r="F1007" s="275">
        <f t="shared" si="417"/>
        <v>45977</v>
      </c>
      <c r="G1007" s="120">
        <f t="shared" si="418"/>
        <v>24310</v>
      </c>
      <c r="H1007" s="245">
        <f t="shared" si="419"/>
        <v>1</v>
      </c>
      <c r="I1007" s="121">
        <f t="shared" si="420"/>
        <v>1</v>
      </c>
      <c r="J1007" s="121">
        <f t="shared" si="421"/>
        <v>1</v>
      </c>
      <c r="K1007" s="120">
        <f t="shared" si="422"/>
        <v>0</v>
      </c>
      <c r="L1007" s="120">
        <f t="shared" si="423"/>
        <v>0</v>
      </c>
      <c r="M1007" s="246">
        <f t="shared" si="424"/>
        <v>0</v>
      </c>
      <c r="N1007" s="121">
        <f t="shared" si="425"/>
        <v>1</v>
      </c>
      <c r="O1007" s="246">
        <f t="shared" si="426"/>
        <v>0.99</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87">
        <v>12</v>
      </c>
      <c r="B1008" s="242">
        <f t="shared" si="433"/>
        <v>45992</v>
      </c>
      <c r="C1008" s="243">
        <f t="shared" si="414"/>
        <v>46022</v>
      </c>
      <c r="D1008" s="120">
        <f t="shared" si="415"/>
        <v>31</v>
      </c>
      <c r="E1008" s="120">
        <f t="shared" si="416"/>
        <v>12</v>
      </c>
      <c r="F1008" s="275">
        <f t="shared" si="417"/>
        <v>46007.5</v>
      </c>
      <c r="G1008" s="120">
        <f t="shared" si="418"/>
        <v>24311</v>
      </c>
      <c r="H1008" s="245">
        <f t="shared" si="419"/>
        <v>1</v>
      </c>
      <c r="I1008" s="121">
        <f t="shared" si="420"/>
        <v>1</v>
      </c>
      <c r="J1008" s="121">
        <f t="shared" si="421"/>
        <v>1</v>
      </c>
      <c r="K1008" s="120">
        <f t="shared" si="422"/>
        <v>0</v>
      </c>
      <c r="L1008" s="120">
        <f t="shared" si="423"/>
        <v>0</v>
      </c>
      <c r="M1008" s="246">
        <f t="shared" si="424"/>
        <v>0</v>
      </c>
      <c r="N1008" s="121">
        <f t="shared" si="425"/>
        <v>1</v>
      </c>
      <c r="O1008" s="246">
        <f t="shared" si="426"/>
        <v>0.99</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87">
        <v>13</v>
      </c>
      <c r="B1009" s="242">
        <f t="shared" si="433"/>
        <v>46023</v>
      </c>
      <c r="C1009" s="243">
        <f t="shared" si="414"/>
        <v>46053</v>
      </c>
      <c r="D1009" s="120">
        <f t="shared" si="415"/>
        <v>31</v>
      </c>
      <c r="E1009" s="120">
        <f t="shared" si="416"/>
        <v>1</v>
      </c>
      <c r="F1009" s="275">
        <f t="shared" si="417"/>
        <v>46038.5</v>
      </c>
      <c r="G1009" s="120">
        <f t="shared" si="418"/>
        <v>24312</v>
      </c>
      <c r="H1009" s="245">
        <f t="shared" si="419"/>
        <v>1</v>
      </c>
      <c r="I1009" s="121">
        <f t="shared" si="420"/>
        <v>1</v>
      </c>
      <c r="J1009" s="121">
        <f t="shared" si="421"/>
        <v>1</v>
      </c>
      <c r="K1009" s="120">
        <f t="shared" si="422"/>
        <v>0</v>
      </c>
      <c r="L1009" s="120">
        <f t="shared" si="423"/>
        <v>0</v>
      </c>
      <c r="M1009" s="246">
        <f t="shared" si="424"/>
        <v>0</v>
      </c>
      <c r="N1009" s="121">
        <f t="shared" si="425"/>
        <v>1</v>
      </c>
      <c r="O1009" s="246">
        <f t="shared" si="426"/>
        <v>0.99</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87">
        <v>14</v>
      </c>
      <c r="B1010" s="242">
        <f t="shared" si="433"/>
        <v>46054</v>
      </c>
      <c r="C1010" s="243">
        <f t="shared" si="414"/>
        <v>46081</v>
      </c>
      <c r="D1010" s="120">
        <f t="shared" si="415"/>
        <v>28</v>
      </c>
      <c r="E1010" s="120">
        <f t="shared" si="416"/>
        <v>2</v>
      </c>
      <c r="F1010" s="275">
        <f t="shared" si="417"/>
        <v>46068</v>
      </c>
      <c r="G1010" s="120">
        <f t="shared" si="418"/>
        <v>24313</v>
      </c>
      <c r="H1010" s="245">
        <f t="shared" si="419"/>
        <v>1</v>
      </c>
      <c r="I1010" s="121">
        <f t="shared" si="420"/>
        <v>1</v>
      </c>
      <c r="J1010" s="121">
        <f t="shared" si="421"/>
        <v>1</v>
      </c>
      <c r="K1010" s="120">
        <f t="shared" si="422"/>
        <v>0</v>
      </c>
      <c r="L1010" s="120">
        <f t="shared" si="423"/>
        <v>0</v>
      </c>
      <c r="M1010" s="246">
        <f t="shared" si="424"/>
        <v>0</v>
      </c>
      <c r="N1010" s="121">
        <f t="shared" si="425"/>
        <v>1</v>
      </c>
      <c r="O1010" s="246">
        <f t="shared" si="426"/>
        <v>0.99</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87">
        <v>15</v>
      </c>
      <c r="B1011" s="242">
        <f t="shared" si="433"/>
        <v>46082</v>
      </c>
      <c r="C1011" s="243">
        <f t="shared" si="414"/>
        <v>46112</v>
      </c>
      <c r="D1011" s="120">
        <f t="shared" si="415"/>
        <v>31</v>
      </c>
      <c r="E1011" s="120">
        <f t="shared" si="416"/>
        <v>3</v>
      </c>
      <c r="F1011" s="275">
        <f t="shared" si="417"/>
        <v>46097.5</v>
      </c>
      <c r="G1011" s="120">
        <f t="shared" si="418"/>
        <v>24314</v>
      </c>
      <c r="H1011" s="245">
        <f t="shared" si="419"/>
        <v>1</v>
      </c>
      <c r="I1011" s="121">
        <f t="shared" si="420"/>
        <v>1</v>
      </c>
      <c r="J1011" s="121">
        <f t="shared" si="421"/>
        <v>1</v>
      </c>
      <c r="K1011" s="120">
        <f t="shared" si="422"/>
        <v>0</v>
      </c>
      <c r="L1011" s="120">
        <f t="shared" si="423"/>
        <v>0</v>
      </c>
      <c r="M1011" s="246">
        <f t="shared" si="424"/>
        <v>0</v>
      </c>
      <c r="N1011" s="121">
        <f t="shared" si="425"/>
        <v>1</v>
      </c>
      <c r="O1011" s="246">
        <f t="shared" si="426"/>
        <v>0.99</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87">
        <v>16</v>
      </c>
      <c r="B1012" s="242">
        <f t="shared" si="433"/>
        <v>46113</v>
      </c>
      <c r="C1012" s="243">
        <f t="shared" si="414"/>
        <v>46142</v>
      </c>
      <c r="D1012" s="120">
        <f t="shared" si="415"/>
        <v>30</v>
      </c>
      <c r="E1012" s="120">
        <f t="shared" si="416"/>
        <v>4</v>
      </c>
      <c r="F1012" s="275">
        <f t="shared" si="417"/>
        <v>46128</v>
      </c>
      <c r="G1012" s="120">
        <f t="shared" si="418"/>
        <v>24315</v>
      </c>
      <c r="H1012" s="245">
        <f t="shared" si="419"/>
        <v>1</v>
      </c>
      <c r="I1012" s="121">
        <f t="shared" si="420"/>
        <v>1</v>
      </c>
      <c r="J1012" s="121">
        <f t="shared" si="421"/>
        <v>1</v>
      </c>
      <c r="K1012" s="120">
        <f t="shared" si="422"/>
        <v>0</v>
      </c>
      <c r="L1012" s="120">
        <f t="shared" si="423"/>
        <v>0</v>
      </c>
      <c r="M1012" s="246">
        <f t="shared" si="424"/>
        <v>0</v>
      </c>
      <c r="N1012" s="121">
        <f t="shared" si="425"/>
        <v>1</v>
      </c>
      <c r="O1012" s="246">
        <f t="shared" si="426"/>
        <v>0.99</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87">
        <v>17</v>
      </c>
      <c r="B1013" s="242">
        <f t="shared" si="433"/>
        <v>46143</v>
      </c>
      <c r="C1013" s="243">
        <f t="shared" si="414"/>
        <v>46173</v>
      </c>
      <c r="D1013" s="120">
        <f t="shared" si="415"/>
        <v>31</v>
      </c>
      <c r="E1013" s="120">
        <f t="shared" si="416"/>
        <v>5</v>
      </c>
      <c r="F1013" s="275">
        <f t="shared" si="417"/>
        <v>46158.5</v>
      </c>
      <c r="G1013" s="120">
        <f t="shared" si="418"/>
        <v>24316</v>
      </c>
      <c r="H1013" s="245">
        <f t="shared" si="419"/>
        <v>1</v>
      </c>
      <c r="I1013" s="121">
        <f t="shared" si="420"/>
        <v>1</v>
      </c>
      <c r="J1013" s="121">
        <f t="shared" si="421"/>
        <v>1</v>
      </c>
      <c r="K1013" s="120">
        <f t="shared" si="422"/>
        <v>0</v>
      </c>
      <c r="L1013" s="120">
        <f t="shared" si="423"/>
        <v>0</v>
      </c>
      <c r="M1013" s="246">
        <f t="shared" si="424"/>
        <v>0</v>
      </c>
      <c r="N1013" s="121">
        <f t="shared" si="425"/>
        <v>1</v>
      </c>
      <c r="O1013" s="246">
        <f t="shared" si="426"/>
        <v>0.99</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87">
        <v>18</v>
      </c>
      <c r="B1014" s="242">
        <f t="shared" si="433"/>
        <v>46174</v>
      </c>
      <c r="C1014" s="243">
        <f t="shared" si="414"/>
        <v>46203</v>
      </c>
      <c r="D1014" s="120">
        <f t="shared" si="415"/>
        <v>30</v>
      </c>
      <c r="E1014" s="120">
        <f t="shared" si="416"/>
        <v>6</v>
      </c>
      <c r="F1014" s="275">
        <f t="shared" si="417"/>
        <v>46189</v>
      </c>
      <c r="G1014" s="120">
        <f t="shared" si="418"/>
        <v>24317</v>
      </c>
      <c r="H1014" s="245">
        <f t="shared" si="419"/>
        <v>1</v>
      </c>
      <c r="I1014" s="121">
        <f t="shared" si="420"/>
        <v>1</v>
      </c>
      <c r="J1014" s="121">
        <f t="shared" si="421"/>
        <v>1</v>
      </c>
      <c r="K1014" s="120">
        <f t="shared" si="422"/>
        <v>0</v>
      </c>
      <c r="L1014" s="120">
        <f t="shared" si="423"/>
        <v>0</v>
      </c>
      <c r="M1014" s="246">
        <f t="shared" si="424"/>
        <v>0</v>
      </c>
      <c r="N1014" s="121">
        <f t="shared" si="425"/>
        <v>1</v>
      </c>
      <c r="O1014" s="246">
        <f t="shared" si="426"/>
        <v>0.99</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87">
        <v>19</v>
      </c>
      <c r="B1015" s="242">
        <f t="shared" si="433"/>
        <v>46204</v>
      </c>
      <c r="C1015" s="243">
        <f t="shared" si="414"/>
        <v>46234</v>
      </c>
      <c r="D1015" s="120">
        <f t="shared" si="415"/>
        <v>31</v>
      </c>
      <c r="E1015" s="120">
        <f t="shared" si="416"/>
        <v>7</v>
      </c>
      <c r="F1015" s="275">
        <f t="shared" si="417"/>
        <v>46219.5</v>
      </c>
      <c r="G1015" s="120">
        <f t="shared" si="418"/>
        <v>24318</v>
      </c>
      <c r="H1015" s="245">
        <f t="shared" si="419"/>
        <v>1</v>
      </c>
      <c r="I1015" s="121">
        <f t="shared" si="420"/>
        <v>1</v>
      </c>
      <c r="J1015" s="121">
        <f t="shared" si="421"/>
        <v>1</v>
      </c>
      <c r="K1015" s="120">
        <f t="shared" si="422"/>
        <v>0</v>
      </c>
      <c r="L1015" s="120">
        <f t="shared" si="423"/>
        <v>0</v>
      </c>
      <c r="M1015" s="246">
        <f t="shared" si="424"/>
        <v>0</v>
      </c>
      <c r="N1015" s="121">
        <f t="shared" si="425"/>
        <v>1</v>
      </c>
      <c r="O1015" s="246">
        <f t="shared" si="426"/>
        <v>0.99</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87">
        <v>20</v>
      </c>
      <c r="B1016" s="242">
        <f t="shared" si="433"/>
        <v>46235</v>
      </c>
      <c r="C1016" s="243">
        <f t="shared" si="414"/>
        <v>46265</v>
      </c>
      <c r="D1016" s="120">
        <f t="shared" si="415"/>
        <v>31</v>
      </c>
      <c r="E1016" s="120">
        <f t="shared" si="416"/>
        <v>8</v>
      </c>
      <c r="F1016" s="275">
        <f t="shared" si="417"/>
        <v>46250.5</v>
      </c>
      <c r="G1016" s="120">
        <f t="shared" si="418"/>
        <v>24319</v>
      </c>
      <c r="H1016" s="245">
        <f t="shared" si="419"/>
        <v>1</v>
      </c>
      <c r="I1016" s="121">
        <f t="shared" si="420"/>
        <v>1</v>
      </c>
      <c r="J1016" s="121">
        <f t="shared" si="421"/>
        <v>1</v>
      </c>
      <c r="K1016" s="120">
        <f t="shared" si="422"/>
        <v>0</v>
      </c>
      <c r="L1016" s="120">
        <f t="shared" si="423"/>
        <v>0</v>
      </c>
      <c r="M1016" s="246">
        <f t="shared" si="424"/>
        <v>0</v>
      </c>
      <c r="N1016" s="121">
        <f t="shared" si="425"/>
        <v>1</v>
      </c>
      <c r="O1016" s="246">
        <f t="shared" si="426"/>
        <v>0.99</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87">
        <v>21</v>
      </c>
      <c r="B1017" s="242">
        <f t="shared" si="433"/>
        <v>46266</v>
      </c>
      <c r="C1017" s="243">
        <f t="shared" si="414"/>
        <v>46295</v>
      </c>
      <c r="D1017" s="120">
        <f t="shared" si="415"/>
        <v>30</v>
      </c>
      <c r="E1017" s="120">
        <f t="shared" si="416"/>
        <v>9</v>
      </c>
      <c r="F1017" s="275">
        <f t="shared" si="417"/>
        <v>46281</v>
      </c>
      <c r="G1017" s="120">
        <f t="shared" si="418"/>
        <v>24320</v>
      </c>
      <c r="H1017" s="245">
        <f t="shared" si="419"/>
        <v>1</v>
      </c>
      <c r="I1017" s="121">
        <f t="shared" si="420"/>
        <v>1</v>
      </c>
      <c r="J1017" s="121">
        <f t="shared" si="421"/>
        <v>1</v>
      </c>
      <c r="K1017" s="120">
        <f t="shared" si="422"/>
        <v>0</v>
      </c>
      <c r="L1017" s="120">
        <f t="shared" si="423"/>
        <v>0</v>
      </c>
      <c r="M1017" s="246">
        <f t="shared" si="424"/>
        <v>0</v>
      </c>
      <c r="N1017" s="121">
        <f t="shared" si="425"/>
        <v>1</v>
      </c>
      <c r="O1017" s="246">
        <f t="shared" si="426"/>
        <v>0.99</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87">
        <v>22</v>
      </c>
      <c r="B1018" s="242">
        <f t="shared" si="433"/>
        <v>46296</v>
      </c>
      <c r="C1018" s="243">
        <f t="shared" si="414"/>
        <v>46326</v>
      </c>
      <c r="D1018" s="120">
        <f t="shared" si="415"/>
        <v>31</v>
      </c>
      <c r="E1018" s="120">
        <f t="shared" si="416"/>
        <v>10</v>
      </c>
      <c r="F1018" s="275">
        <f t="shared" si="417"/>
        <v>46311.5</v>
      </c>
      <c r="G1018" s="120">
        <f t="shared" si="418"/>
        <v>24321</v>
      </c>
      <c r="H1018" s="245">
        <f t="shared" si="419"/>
        <v>1</v>
      </c>
      <c r="I1018" s="121">
        <f t="shared" si="420"/>
        <v>1</v>
      </c>
      <c r="J1018" s="121">
        <f t="shared" si="421"/>
        <v>1</v>
      </c>
      <c r="K1018" s="120">
        <f t="shared" si="422"/>
        <v>0</v>
      </c>
      <c r="L1018" s="120">
        <f t="shared" si="423"/>
        <v>0</v>
      </c>
      <c r="M1018" s="246">
        <f t="shared" si="424"/>
        <v>0</v>
      </c>
      <c r="N1018" s="121">
        <f t="shared" si="425"/>
        <v>1</v>
      </c>
      <c r="O1018" s="246">
        <f t="shared" si="426"/>
        <v>0.99</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87">
        <v>23</v>
      </c>
      <c r="B1019" s="242">
        <f t="shared" si="433"/>
        <v>46327</v>
      </c>
      <c r="C1019" s="243">
        <f t="shared" si="414"/>
        <v>46356</v>
      </c>
      <c r="D1019" s="120">
        <f t="shared" si="415"/>
        <v>30</v>
      </c>
      <c r="E1019" s="120">
        <f t="shared" si="416"/>
        <v>11</v>
      </c>
      <c r="F1019" s="275">
        <f t="shared" si="417"/>
        <v>46342</v>
      </c>
      <c r="G1019" s="120">
        <f t="shared" si="418"/>
        <v>24322</v>
      </c>
      <c r="H1019" s="245">
        <f t="shared" si="419"/>
        <v>1</v>
      </c>
      <c r="I1019" s="121">
        <f t="shared" si="420"/>
        <v>1</v>
      </c>
      <c r="J1019" s="121">
        <f t="shared" si="421"/>
        <v>1</v>
      </c>
      <c r="K1019" s="120">
        <f t="shared" si="422"/>
        <v>0</v>
      </c>
      <c r="L1019" s="120">
        <f t="shared" si="423"/>
        <v>0</v>
      </c>
      <c r="M1019" s="246">
        <f t="shared" si="424"/>
        <v>0</v>
      </c>
      <c r="N1019" s="121">
        <f t="shared" si="425"/>
        <v>1</v>
      </c>
      <c r="O1019" s="246">
        <f t="shared" si="426"/>
        <v>0.99</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87">
        <v>24</v>
      </c>
      <c r="B1020" s="242">
        <f t="shared" si="433"/>
        <v>46357</v>
      </c>
      <c r="C1020" s="243">
        <f t="shared" si="414"/>
        <v>46387</v>
      </c>
      <c r="D1020" s="120">
        <f t="shared" si="415"/>
        <v>31</v>
      </c>
      <c r="E1020" s="120">
        <f t="shared" si="416"/>
        <v>12</v>
      </c>
      <c r="F1020" s="275">
        <f t="shared" si="417"/>
        <v>46372.5</v>
      </c>
      <c r="G1020" s="120">
        <f t="shared" si="418"/>
        <v>24323</v>
      </c>
      <c r="H1020" s="245">
        <f t="shared" si="419"/>
        <v>1</v>
      </c>
      <c r="I1020" s="121">
        <f t="shared" si="420"/>
        <v>1</v>
      </c>
      <c r="J1020" s="121">
        <f t="shared" si="421"/>
        <v>1</v>
      </c>
      <c r="K1020" s="120">
        <f t="shared" si="422"/>
        <v>0</v>
      </c>
      <c r="L1020" s="120">
        <f t="shared" si="423"/>
        <v>0</v>
      </c>
      <c r="M1020" s="246">
        <f t="shared" si="424"/>
        <v>0</v>
      </c>
      <c r="N1020" s="121">
        <f t="shared" si="425"/>
        <v>1</v>
      </c>
      <c r="O1020" s="246">
        <f t="shared" si="426"/>
        <v>0.99</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87">
        <v>25</v>
      </c>
      <c r="B1021" s="242">
        <f t="shared" si="433"/>
        <v>46388</v>
      </c>
      <c r="C1021" s="243">
        <f t="shared" si="414"/>
        <v>46418</v>
      </c>
      <c r="D1021" s="120">
        <f t="shared" si="415"/>
        <v>31</v>
      </c>
      <c r="E1021" s="120">
        <f t="shared" si="416"/>
        <v>1</v>
      </c>
      <c r="F1021" s="275">
        <f t="shared" si="417"/>
        <v>46403.5</v>
      </c>
      <c r="G1021" s="120">
        <f t="shared" si="418"/>
        <v>24324</v>
      </c>
      <c r="H1021" s="245">
        <f t="shared" si="419"/>
        <v>1</v>
      </c>
      <c r="I1021" s="121">
        <f t="shared" si="420"/>
        <v>1</v>
      </c>
      <c r="J1021" s="121">
        <f t="shared" si="421"/>
        <v>1</v>
      </c>
      <c r="K1021" s="120">
        <f t="shared" si="422"/>
        <v>0</v>
      </c>
      <c r="L1021" s="120">
        <f t="shared" si="423"/>
        <v>0</v>
      </c>
      <c r="M1021" s="246">
        <f t="shared" si="424"/>
        <v>0</v>
      </c>
      <c r="N1021" s="121">
        <f t="shared" si="425"/>
        <v>1</v>
      </c>
      <c r="O1021" s="246">
        <f t="shared" si="426"/>
        <v>0.99</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87">
        <v>26</v>
      </c>
      <c r="B1022" s="242">
        <f t="shared" si="433"/>
        <v>46419</v>
      </c>
      <c r="C1022" s="243">
        <f t="shared" si="414"/>
        <v>46446</v>
      </c>
      <c r="D1022" s="120">
        <f t="shared" si="415"/>
        <v>28</v>
      </c>
      <c r="E1022" s="120">
        <f t="shared" si="416"/>
        <v>2</v>
      </c>
      <c r="F1022" s="275">
        <f t="shared" si="417"/>
        <v>46433</v>
      </c>
      <c r="G1022" s="120">
        <f t="shared" si="418"/>
        <v>24325</v>
      </c>
      <c r="H1022" s="245">
        <f t="shared" si="419"/>
        <v>1</v>
      </c>
      <c r="I1022" s="121">
        <f t="shared" si="420"/>
        <v>1</v>
      </c>
      <c r="J1022" s="121">
        <f t="shared" si="421"/>
        <v>1</v>
      </c>
      <c r="K1022" s="120">
        <f t="shared" si="422"/>
        <v>0</v>
      </c>
      <c r="L1022" s="120">
        <f t="shared" si="423"/>
        <v>0</v>
      </c>
      <c r="M1022" s="246">
        <f t="shared" si="424"/>
        <v>0</v>
      </c>
      <c r="N1022" s="121">
        <f t="shared" si="425"/>
        <v>1</v>
      </c>
      <c r="O1022" s="246">
        <f t="shared" si="426"/>
        <v>0.99</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87">
        <v>27</v>
      </c>
      <c r="B1023" s="242">
        <f t="shared" si="433"/>
        <v>46447</v>
      </c>
      <c r="C1023" s="243">
        <f t="shared" si="414"/>
        <v>46477</v>
      </c>
      <c r="D1023" s="120">
        <f t="shared" si="415"/>
        <v>31</v>
      </c>
      <c r="E1023" s="120">
        <f t="shared" si="416"/>
        <v>3</v>
      </c>
      <c r="F1023" s="275">
        <f t="shared" si="417"/>
        <v>46462.5</v>
      </c>
      <c r="G1023" s="120">
        <f t="shared" si="418"/>
        <v>24326</v>
      </c>
      <c r="H1023" s="245">
        <f t="shared" si="419"/>
        <v>1</v>
      </c>
      <c r="I1023" s="121">
        <f t="shared" si="420"/>
        <v>1</v>
      </c>
      <c r="J1023" s="121">
        <f t="shared" si="421"/>
        <v>1</v>
      </c>
      <c r="K1023" s="120">
        <f t="shared" si="422"/>
        <v>0</v>
      </c>
      <c r="L1023" s="120">
        <f t="shared" si="423"/>
        <v>0</v>
      </c>
      <c r="M1023" s="246">
        <f t="shared" si="424"/>
        <v>0</v>
      </c>
      <c r="N1023" s="121">
        <f t="shared" si="425"/>
        <v>1</v>
      </c>
      <c r="O1023" s="246">
        <f t="shared" si="426"/>
        <v>0.99</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87">
        <v>28</v>
      </c>
      <c r="B1024" s="242">
        <f t="shared" si="433"/>
        <v>46478</v>
      </c>
      <c r="C1024" s="243">
        <f t="shared" si="414"/>
        <v>46507</v>
      </c>
      <c r="D1024" s="120">
        <f t="shared" si="415"/>
        <v>30</v>
      </c>
      <c r="E1024" s="120">
        <f t="shared" si="416"/>
        <v>4</v>
      </c>
      <c r="F1024" s="275">
        <f t="shared" si="417"/>
        <v>46493</v>
      </c>
      <c r="G1024" s="120">
        <f t="shared" si="418"/>
        <v>24327</v>
      </c>
      <c r="H1024" s="245">
        <f t="shared" si="419"/>
        <v>1</v>
      </c>
      <c r="I1024" s="121">
        <f t="shared" si="420"/>
        <v>1</v>
      </c>
      <c r="J1024" s="121">
        <f t="shared" si="421"/>
        <v>1</v>
      </c>
      <c r="K1024" s="120">
        <f t="shared" si="422"/>
        <v>0</v>
      </c>
      <c r="L1024" s="120">
        <f t="shared" si="423"/>
        <v>0</v>
      </c>
      <c r="M1024" s="246">
        <f t="shared" si="424"/>
        <v>0</v>
      </c>
      <c r="N1024" s="121">
        <f t="shared" si="425"/>
        <v>1</v>
      </c>
      <c r="O1024" s="246">
        <f t="shared" si="426"/>
        <v>0.99</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87">
        <v>29</v>
      </c>
      <c r="B1025" s="242">
        <f t="shared" si="433"/>
        <v>46508</v>
      </c>
      <c r="C1025" s="243">
        <f t="shared" si="414"/>
        <v>46538</v>
      </c>
      <c r="D1025" s="120">
        <f t="shared" si="415"/>
        <v>31</v>
      </c>
      <c r="E1025" s="120">
        <f t="shared" si="416"/>
        <v>5</v>
      </c>
      <c r="F1025" s="275">
        <f t="shared" si="417"/>
        <v>46523.5</v>
      </c>
      <c r="G1025" s="120">
        <f t="shared" si="418"/>
        <v>24328</v>
      </c>
      <c r="H1025" s="245">
        <f t="shared" si="419"/>
        <v>1</v>
      </c>
      <c r="I1025" s="121">
        <f t="shared" si="420"/>
        <v>1</v>
      </c>
      <c r="J1025" s="121">
        <f t="shared" si="421"/>
        <v>1</v>
      </c>
      <c r="K1025" s="120">
        <f t="shared" si="422"/>
        <v>0</v>
      </c>
      <c r="L1025" s="120">
        <f t="shared" si="423"/>
        <v>0</v>
      </c>
      <c r="M1025" s="246">
        <f t="shared" si="424"/>
        <v>0</v>
      </c>
      <c r="N1025" s="121">
        <f t="shared" si="425"/>
        <v>1</v>
      </c>
      <c r="O1025" s="246">
        <f t="shared" si="426"/>
        <v>0.99</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87">
        <v>30</v>
      </c>
      <c r="B1026" s="242">
        <f t="shared" si="433"/>
        <v>46539</v>
      </c>
      <c r="C1026" s="243">
        <f t="shared" si="414"/>
        <v>46568</v>
      </c>
      <c r="D1026" s="120">
        <f t="shared" si="415"/>
        <v>30</v>
      </c>
      <c r="E1026" s="120">
        <f t="shared" si="416"/>
        <v>6</v>
      </c>
      <c r="F1026" s="275">
        <f t="shared" si="417"/>
        <v>46554</v>
      </c>
      <c r="G1026" s="120">
        <f t="shared" si="418"/>
        <v>24329</v>
      </c>
      <c r="H1026" s="245">
        <f t="shared" si="419"/>
        <v>1</v>
      </c>
      <c r="I1026" s="121">
        <f t="shared" si="420"/>
        <v>1</v>
      </c>
      <c r="J1026" s="121">
        <f t="shared" si="421"/>
        <v>1</v>
      </c>
      <c r="K1026" s="120">
        <f t="shared" si="422"/>
        <v>0</v>
      </c>
      <c r="L1026" s="120">
        <f t="shared" si="423"/>
        <v>0</v>
      </c>
      <c r="M1026" s="246">
        <f t="shared" si="424"/>
        <v>0</v>
      </c>
      <c r="N1026" s="121">
        <f t="shared" si="425"/>
        <v>1</v>
      </c>
      <c r="O1026" s="246">
        <f t="shared" si="426"/>
        <v>0.99</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87">
        <v>31</v>
      </c>
      <c r="B1027" s="242">
        <f t="shared" si="433"/>
        <v>46569</v>
      </c>
      <c r="C1027" s="243">
        <f t="shared" si="414"/>
        <v>46599</v>
      </c>
      <c r="D1027" s="120">
        <f t="shared" si="415"/>
        <v>31</v>
      </c>
      <c r="E1027" s="120">
        <f t="shared" si="416"/>
        <v>7</v>
      </c>
      <c r="F1027" s="275">
        <f t="shared" si="417"/>
        <v>46584.5</v>
      </c>
      <c r="G1027" s="120">
        <f t="shared" si="418"/>
        <v>24330</v>
      </c>
      <c r="H1027" s="245">
        <f t="shared" si="419"/>
        <v>1</v>
      </c>
      <c r="I1027" s="121">
        <f t="shared" si="420"/>
        <v>1</v>
      </c>
      <c r="J1027" s="121">
        <f t="shared" si="421"/>
        <v>1</v>
      </c>
      <c r="K1027" s="120">
        <f t="shared" si="422"/>
        <v>0</v>
      </c>
      <c r="L1027" s="120">
        <f t="shared" si="423"/>
        <v>0</v>
      </c>
      <c r="M1027" s="246">
        <f t="shared" si="424"/>
        <v>0</v>
      </c>
      <c r="N1027" s="121">
        <f t="shared" si="425"/>
        <v>1</v>
      </c>
      <c r="O1027" s="246">
        <f t="shared" si="426"/>
        <v>0.99</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87">
        <v>32</v>
      </c>
      <c r="B1028" s="242">
        <f t="shared" si="433"/>
        <v>46600</v>
      </c>
      <c r="C1028" s="243">
        <f t="shared" si="414"/>
        <v>46630</v>
      </c>
      <c r="D1028" s="120">
        <f t="shared" si="415"/>
        <v>31</v>
      </c>
      <c r="E1028" s="120">
        <f t="shared" si="416"/>
        <v>8</v>
      </c>
      <c r="F1028" s="275">
        <f t="shared" si="417"/>
        <v>46615.5</v>
      </c>
      <c r="G1028" s="120">
        <f t="shared" si="418"/>
        <v>24331</v>
      </c>
      <c r="H1028" s="245">
        <f t="shared" si="419"/>
        <v>1</v>
      </c>
      <c r="I1028" s="121">
        <f t="shared" si="420"/>
        <v>1</v>
      </c>
      <c r="J1028" s="121">
        <f t="shared" si="421"/>
        <v>1.04</v>
      </c>
      <c r="K1028" s="120">
        <f t="shared" si="422"/>
        <v>1</v>
      </c>
      <c r="L1028" s="120">
        <f t="shared" si="423"/>
        <v>31</v>
      </c>
      <c r="M1028" s="246">
        <f t="shared" si="424"/>
        <v>1</v>
      </c>
      <c r="N1028" s="121">
        <f t="shared" si="425"/>
        <v>1.04</v>
      </c>
      <c r="O1028" s="246">
        <f t="shared" si="426"/>
        <v>0.99</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87">
        <v>33</v>
      </c>
      <c r="B1029" s="242">
        <f t="shared" si="433"/>
        <v>46631</v>
      </c>
      <c r="C1029" s="243">
        <f t="shared" si="414"/>
        <v>46660</v>
      </c>
      <c r="D1029" s="120">
        <f t="shared" si="415"/>
        <v>30</v>
      </c>
      <c r="E1029" s="120">
        <f t="shared" si="416"/>
        <v>9</v>
      </c>
      <c r="F1029" s="275">
        <f t="shared" si="417"/>
        <v>46646</v>
      </c>
      <c r="G1029" s="120">
        <f t="shared" si="418"/>
        <v>24332</v>
      </c>
      <c r="H1029" s="245">
        <f t="shared" si="419"/>
        <v>1</v>
      </c>
      <c r="I1029" s="121">
        <f t="shared" si="420"/>
        <v>1.04</v>
      </c>
      <c r="J1029" s="121">
        <f t="shared" si="421"/>
        <v>1.04</v>
      </c>
      <c r="K1029" s="120">
        <f t="shared" si="422"/>
        <v>0</v>
      </c>
      <c r="L1029" s="120">
        <f t="shared" si="423"/>
        <v>0</v>
      </c>
      <c r="M1029" s="246">
        <f t="shared" si="424"/>
        <v>0</v>
      </c>
      <c r="N1029" s="121">
        <f t="shared" si="425"/>
        <v>1.04</v>
      </c>
      <c r="O1029" s="246">
        <f t="shared" si="426"/>
        <v>0.99</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87">
        <v>34</v>
      </c>
      <c r="B1030" s="242">
        <f t="shared" si="433"/>
        <v>46661</v>
      </c>
      <c r="C1030" s="243">
        <f t="shared" si="414"/>
        <v>46691</v>
      </c>
      <c r="D1030" s="120">
        <f t="shared" si="415"/>
        <v>31</v>
      </c>
      <c r="E1030" s="120">
        <f t="shared" si="416"/>
        <v>10</v>
      </c>
      <c r="F1030" s="275">
        <f t="shared" si="417"/>
        <v>46676.5</v>
      </c>
      <c r="G1030" s="120">
        <f t="shared" si="418"/>
        <v>24333</v>
      </c>
      <c r="H1030" s="245">
        <f t="shared" si="419"/>
        <v>1</v>
      </c>
      <c r="I1030" s="121">
        <f t="shared" si="420"/>
        <v>1.04</v>
      </c>
      <c r="J1030" s="121">
        <f t="shared" si="421"/>
        <v>1.04</v>
      </c>
      <c r="K1030" s="120">
        <f t="shared" si="422"/>
        <v>0</v>
      </c>
      <c r="L1030" s="120">
        <f t="shared" si="423"/>
        <v>0</v>
      </c>
      <c r="M1030" s="246">
        <f t="shared" si="424"/>
        <v>0</v>
      </c>
      <c r="N1030" s="121">
        <f t="shared" si="425"/>
        <v>1.04</v>
      </c>
      <c r="O1030" s="246">
        <f t="shared" si="426"/>
        <v>0.99</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87">
        <v>35</v>
      </c>
      <c r="B1031" s="242">
        <f t="shared" si="433"/>
        <v>46692</v>
      </c>
      <c r="C1031" s="243">
        <f t="shared" si="414"/>
        <v>46721</v>
      </c>
      <c r="D1031" s="120">
        <f t="shared" si="415"/>
        <v>30</v>
      </c>
      <c r="E1031" s="120">
        <f t="shared" si="416"/>
        <v>11</v>
      </c>
      <c r="F1031" s="275">
        <f t="shared" si="417"/>
        <v>46707</v>
      </c>
      <c r="G1031" s="120">
        <f t="shared" si="418"/>
        <v>24334</v>
      </c>
      <c r="H1031" s="245">
        <f t="shared" si="419"/>
        <v>1</v>
      </c>
      <c r="I1031" s="121">
        <f t="shared" si="420"/>
        <v>1.04</v>
      </c>
      <c r="J1031" s="121">
        <f t="shared" si="421"/>
        <v>1.04</v>
      </c>
      <c r="K1031" s="120">
        <f t="shared" si="422"/>
        <v>0</v>
      </c>
      <c r="L1031" s="120">
        <f t="shared" si="423"/>
        <v>0</v>
      </c>
      <c r="M1031" s="246">
        <f t="shared" si="424"/>
        <v>0</v>
      </c>
      <c r="N1031" s="121">
        <f t="shared" si="425"/>
        <v>1.04</v>
      </c>
      <c r="O1031" s="246">
        <f t="shared" si="426"/>
        <v>0.99</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87">
        <v>36</v>
      </c>
      <c r="B1032" s="242">
        <f t="shared" si="433"/>
        <v>46722</v>
      </c>
      <c r="C1032" s="243">
        <f t="shared" si="414"/>
        <v>46752</v>
      </c>
      <c r="D1032" s="120">
        <f t="shared" si="415"/>
        <v>31</v>
      </c>
      <c r="E1032" s="120">
        <f t="shared" si="416"/>
        <v>12</v>
      </c>
      <c r="F1032" s="275">
        <f t="shared" si="417"/>
        <v>46737.5</v>
      </c>
      <c r="G1032" s="120">
        <f t="shared" si="418"/>
        <v>24335</v>
      </c>
      <c r="H1032" s="245">
        <f t="shared" si="419"/>
        <v>1</v>
      </c>
      <c r="I1032" s="121">
        <f t="shared" si="420"/>
        <v>1.04</v>
      </c>
      <c r="J1032" s="121">
        <f t="shared" si="421"/>
        <v>1.04</v>
      </c>
      <c r="K1032" s="120">
        <f t="shared" si="422"/>
        <v>0</v>
      </c>
      <c r="L1032" s="120">
        <f t="shared" si="423"/>
        <v>0</v>
      </c>
      <c r="M1032" s="246">
        <f t="shared" si="424"/>
        <v>0</v>
      </c>
      <c r="N1032" s="121">
        <f t="shared" si="425"/>
        <v>1.04</v>
      </c>
      <c r="O1032" s="246">
        <f t="shared" si="426"/>
        <v>0.99</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87">
        <v>37</v>
      </c>
      <c r="B1033" s="242">
        <f t="shared" si="433"/>
        <v>46753</v>
      </c>
      <c r="C1033" s="243">
        <f t="shared" si="414"/>
        <v>46783</v>
      </c>
      <c r="D1033" s="120">
        <f t="shared" si="415"/>
        <v>31</v>
      </c>
      <c r="E1033" s="120">
        <f t="shared" si="416"/>
        <v>1</v>
      </c>
      <c r="F1033" s="275">
        <f t="shared" si="417"/>
        <v>46768.5</v>
      </c>
      <c r="G1033" s="120">
        <f t="shared" si="418"/>
        <v>24336</v>
      </c>
      <c r="H1033" s="245">
        <f t="shared" si="419"/>
        <v>1</v>
      </c>
      <c r="I1033" s="121">
        <f t="shared" si="420"/>
        <v>1.04</v>
      </c>
      <c r="J1033" s="121">
        <f t="shared" si="421"/>
        <v>1.04</v>
      </c>
      <c r="K1033" s="120">
        <f t="shared" si="422"/>
        <v>0</v>
      </c>
      <c r="L1033" s="120">
        <f t="shared" si="423"/>
        <v>0</v>
      </c>
      <c r="M1033" s="246">
        <f t="shared" si="424"/>
        <v>0</v>
      </c>
      <c r="N1033" s="121">
        <f t="shared" si="425"/>
        <v>1.04</v>
      </c>
      <c r="O1033" s="246">
        <f t="shared" si="426"/>
        <v>0.99</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87">
        <v>38</v>
      </c>
      <c r="B1034" s="242">
        <f t="shared" si="433"/>
        <v>46784</v>
      </c>
      <c r="C1034" s="243">
        <f t="shared" si="414"/>
        <v>46812</v>
      </c>
      <c r="D1034" s="120">
        <f t="shared" si="415"/>
        <v>29</v>
      </c>
      <c r="E1034" s="120">
        <f t="shared" si="416"/>
        <v>2</v>
      </c>
      <c r="F1034" s="275">
        <f t="shared" si="417"/>
        <v>46798.5</v>
      </c>
      <c r="G1034" s="120">
        <f t="shared" si="418"/>
        <v>24337</v>
      </c>
      <c r="H1034" s="245">
        <f t="shared" si="419"/>
        <v>1</v>
      </c>
      <c r="I1034" s="121">
        <f t="shared" si="420"/>
        <v>1.04</v>
      </c>
      <c r="J1034" s="121">
        <f t="shared" si="421"/>
        <v>1.04</v>
      </c>
      <c r="K1034" s="120">
        <f t="shared" si="422"/>
        <v>0</v>
      </c>
      <c r="L1034" s="120">
        <f t="shared" si="423"/>
        <v>0</v>
      </c>
      <c r="M1034" s="246">
        <f t="shared" si="424"/>
        <v>0</v>
      </c>
      <c r="N1034" s="121">
        <f t="shared" si="425"/>
        <v>1.04</v>
      </c>
      <c r="O1034" s="246">
        <f t="shared" si="426"/>
        <v>0.99</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87">
        <v>39</v>
      </c>
      <c r="B1035" s="242">
        <f t="shared" si="433"/>
        <v>46813</v>
      </c>
      <c r="C1035" s="243">
        <f t="shared" si="414"/>
        <v>46843</v>
      </c>
      <c r="D1035" s="120">
        <f t="shared" si="415"/>
        <v>31</v>
      </c>
      <c r="E1035" s="120">
        <f t="shared" si="416"/>
        <v>3</v>
      </c>
      <c r="F1035" s="275">
        <f t="shared" si="417"/>
        <v>46828.5</v>
      </c>
      <c r="G1035" s="120">
        <f t="shared" si="418"/>
        <v>24338</v>
      </c>
      <c r="H1035" s="245">
        <f t="shared" si="419"/>
        <v>1</v>
      </c>
      <c r="I1035" s="121">
        <f t="shared" si="420"/>
        <v>1.04</v>
      </c>
      <c r="J1035" s="121">
        <f t="shared" si="421"/>
        <v>1.04</v>
      </c>
      <c r="K1035" s="120">
        <f t="shared" si="422"/>
        <v>0</v>
      </c>
      <c r="L1035" s="120">
        <f t="shared" si="423"/>
        <v>0</v>
      </c>
      <c r="M1035" s="246">
        <f t="shared" si="424"/>
        <v>0</v>
      </c>
      <c r="N1035" s="121">
        <f t="shared" si="425"/>
        <v>1.04</v>
      </c>
      <c r="O1035" s="246">
        <f t="shared" si="426"/>
        <v>0.99</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87">
        <v>40</v>
      </c>
      <c r="B1036" s="242">
        <f t="shared" si="433"/>
        <v>46844</v>
      </c>
      <c r="C1036" s="243">
        <f t="shared" si="414"/>
        <v>46873</v>
      </c>
      <c r="D1036" s="120">
        <f t="shared" si="415"/>
        <v>30</v>
      </c>
      <c r="E1036" s="120">
        <f t="shared" si="416"/>
        <v>4</v>
      </c>
      <c r="F1036" s="275">
        <f t="shared" si="417"/>
        <v>46859</v>
      </c>
      <c r="G1036" s="120">
        <f t="shared" si="418"/>
        <v>24339</v>
      </c>
      <c r="H1036" s="245">
        <f t="shared" si="419"/>
        <v>1</v>
      </c>
      <c r="I1036" s="121">
        <f t="shared" si="420"/>
        <v>1.04</v>
      </c>
      <c r="J1036" s="121">
        <f t="shared" si="421"/>
        <v>1.04</v>
      </c>
      <c r="K1036" s="120">
        <f t="shared" si="422"/>
        <v>0</v>
      </c>
      <c r="L1036" s="120">
        <f t="shared" si="423"/>
        <v>0</v>
      </c>
      <c r="M1036" s="246">
        <f t="shared" si="424"/>
        <v>0</v>
      </c>
      <c r="N1036" s="121">
        <f t="shared" si="425"/>
        <v>1.04</v>
      </c>
      <c r="O1036" s="246">
        <f t="shared" si="426"/>
        <v>0.99</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87">
        <v>41</v>
      </c>
      <c r="B1037" s="242">
        <f t="shared" si="433"/>
        <v>46874</v>
      </c>
      <c r="C1037" s="243">
        <f t="shared" si="414"/>
        <v>46904</v>
      </c>
      <c r="D1037" s="120">
        <f t="shared" si="415"/>
        <v>31</v>
      </c>
      <c r="E1037" s="120">
        <f t="shared" si="416"/>
        <v>5</v>
      </c>
      <c r="F1037" s="275">
        <f t="shared" si="417"/>
        <v>46889.5</v>
      </c>
      <c r="G1037" s="120">
        <f t="shared" si="418"/>
        <v>24340</v>
      </c>
      <c r="H1037" s="245">
        <f t="shared" si="419"/>
        <v>1</v>
      </c>
      <c r="I1037" s="121">
        <f t="shared" si="420"/>
        <v>1.04</v>
      </c>
      <c r="J1037" s="121">
        <f t="shared" si="421"/>
        <v>1.04</v>
      </c>
      <c r="K1037" s="120">
        <f t="shared" si="422"/>
        <v>0</v>
      </c>
      <c r="L1037" s="120">
        <f t="shared" si="423"/>
        <v>0</v>
      </c>
      <c r="M1037" s="246">
        <f t="shared" si="424"/>
        <v>0</v>
      </c>
      <c r="N1037" s="121">
        <f t="shared" si="425"/>
        <v>1.04</v>
      </c>
      <c r="O1037" s="246">
        <f t="shared" si="426"/>
        <v>0.99</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87">
        <v>42</v>
      </c>
      <c r="B1038" s="242">
        <f t="shared" si="433"/>
        <v>46905</v>
      </c>
      <c r="C1038" s="243">
        <f t="shared" si="414"/>
        <v>46934</v>
      </c>
      <c r="D1038" s="120">
        <f t="shared" si="415"/>
        <v>30</v>
      </c>
      <c r="E1038" s="120">
        <f t="shared" si="416"/>
        <v>6</v>
      </c>
      <c r="F1038" s="275">
        <f t="shared" si="417"/>
        <v>46920</v>
      </c>
      <c r="G1038" s="120">
        <f t="shared" si="418"/>
        <v>24341</v>
      </c>
      <c r="H1038" s="245">
        <f t="shared" si="419"/>
        <v>1</v>
      </c>
      <c r="I1038" s="121">
        <f t="shared" si="420"/>
        <v>1.04</v>
      </c>
      <c r="J1038" s="121">
        <f t="shared" si="421"/>
        <v>1.04</v>
      </c>
      <c r="K1038" s="120">
        <f t="shared" si="422"/>
        <v>0</v>
      </c>
      <c r="L1038" s="120">
        <f t="shared" si="423"/>
        <v>0</v>
      </c>
      <c r="M1038" s="246">
        <f t="shared" si="424"/>
        <v>0</v>
      </c>
      <c r="N1038" s="121">
        <f t="shared" si="425"/>
        <v>1.04</v>
      </c>
      <c r="O1038" s="246">
        <f t="shared" si="426"/>
        <v>0.99</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87">
        <v>43</v>
      </c>
      <c r="B1039" s="242">
        <f t="shared" si="433"/>
        <v>46935</v>
      </c>
      <c r="C1039" s="243">
        <f t="shared" si="414"/>
        <v>46965</v>
      </c>
      <c r="D1039" s="120">
        <f t="shared" si="415"/>
        <v>31</v>
      </c>
      <c r="E1039" s="120">
        <f t="shared" si="416"/>
        <v>7</v>
      </c>
      <c r="F1039" s="275">
        <f t="shared" si="417"/>
        <v>46950.5</v>
      </c>
      <c r="G1039" s="120">
        <f t="shared" si="418"/>
        <v>24342</v>
      </c>
      <c r="H1039" s="245">
        <f t="shared" si="419"/>
        <v>1</v>
      </c>
      <c r="I1039" s="121">
        <f t="shared" si="420"/>
        <v>1.04</v>
      </c>
      <c r="J1039" s="121">
        <f t="shared" si="421"/>
        <v>1.04</v>
      </c>
      <c r="K1039" s="120">
        <f t="shared" si="422"/>
        <v>0</v>
      </c>
      <c r="L1039" s="120">
        <f t="shared" si="423"/>
        <v>0</v>
      </c>
      <c r="M1039" s="246">
        <f t="shared" si="424"/>
        <v>0</v>
      </c>
      <c r="N1039" s="121">
        <f t="shared" si="425"/>
        <v>1.04</v>
      </c>
      <c r="O1039" s="246">
        <f t="shared" si="426"/>
        <v>0.99</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87">
        <v>44</v>
      </c>
      <c r="B1040" s="242">
        <f t="shared" si="433"/>
        <v>46966</v>
      </c>
      <c r="C1040" s="243">
        <f t="shared" si="414"/>
        <v>46996</v>
      </c>
      <c r="D1040" s="120">
        <f t="shared" si="415"/>
        <v>31</v>
      </c>
      <c r="E1040" s="120">
        <f t="shared" si="416"/>
        <v>8</v>
      </c>
      <c r="F1040" s="275">
        <f t="shared" si="417"/>
        <v>46981.5</v>
      </c>
      <c r="G1040" s="120">
        <f t="shared" si="418"/>
        <v>24343</v>
      </c>
      <c r="H1040" s="245">
        <f t="shared" si="419"/>
        <v>1</v>
      </c>
      <c r="I1040" s="121">
        <f t="shared" si="420"/>
        <v>1.04</v>
      </c>
      <c r="J1040" s="121">
        <f t="shared" si="421"/>
        <v>1.04</v>
      </c>
      <c r="K1040" s="120">
        <f t="shared" si="422"/>
        <v>0</v>
      </c>
      <c r="L1040" s="120">
        <f t="shared" si="423"/>
        <v>0</v>
      </c>
      <c r="M1040" s="246">
        <f t="shared" si="424"/>
        <v>0</v>
      </c>
      <c r="N1040" s="121">
        <f t="shared" si="425"/>
        <v>1.04</v>
      </c>
      <c r="O1040" s="246">
        <f t="shared" si="426"/>
        <v>0.99</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87">
        <v>45</v>
      </c>
      <c r="B1041" s="242">
        <f t="shared" si="433"/>
        <v>46997</v>
      </c>
      <c r="C1041" s="243">
        <f t="shared" si="414"/>
        <v>47026</v>
      </c>
      <c r="D1041" s="120">
        <f t="shared" si="415"/>
        <v>30</v>
      </c>
      <c r="E1041" s="120">
        <f t="shared" si="416"/>
        <v>9</v>
      </c>
      <c r="F1041" s="275">
        <f t="shared" si="417"/>
        <v>47012</v>
      </c>
      <c r="G1041" s="120">
        <f t="shared" si="418"/>
        <v>24344</v>
      </c>
      <c r="H1041" s="245">
        <f t="shared" si="419"/>
        <v>1</v>
      </c>
      <c r="I1041" s="121">
        <f t="shared" si="420"/>
        <v>1.04</v>
      </c>
      <c r="J1041" s="121">
        <f t="shared" si="421"/>
        <v>1.04</v>
      </c>
      <c r="K1041" s="120">
        <f t="shared" si="422"/>
        <v>0</v>
      </c>
      <c r="L1041" s="120">
        <f t="shared" si="423"/>
        <v>0</v>
      </c>
      <c r="M1041" s="246">
        <f t="shared" si="424"/>
        <v>0</v>
      </c>
      <c r="N1041" s="121">
        <f t="shared" si="425"/>
        <v>1.04</v>
      </c>
      <c r="O1041" s="246">
        <f t="shared" si="426"/>
        <v>0.99</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87">
        <v>46</v>
      </c>
      <c r="B1042" s="242">
        <f t="shared" si="433"/>
        <v>47027</v>
      </c>
      <c r="C1042" s="243">
        <f t="shared" si="414"/>
        <v>47057</v>
      </c>
      <c r="D1042" s="120">
        <f t="shared" si="415"/>
        <v>31</v>
      </c>
      <c r="E1042" s="120">
        <f t="shared" si="416"/>
        <v>10</v>
      </c>
      <c r="F1042" s="275">
        <f t="shared" si="417"/>
        <v>47042.5</v>
      </c>
      <c r="G1042" s="120">
        <f t="shared" si="418"/>
        <v>24345</v>
      </c>
      <c r="H1042" s="245">
        <f t="shared" si="419"/>
        <v>1</v>
      </c>
      <c r="I1042" s="121">
        <f t="shared" si="420"/>
        <v>1.04</v>
      </c>
      <c r="J1042" s="121">
        <f t="shared" si="421"/>
        <v>1.04</v>
      </c>
      <c r="K1042" s="120">
        <f t="shared" si="422"/>
        <v>0</v>
      </c>
      <c r="L1042" s="120">
        <f t="shared" si="423"/>
        <v>0</v>
      </c>
      <c r="M1042" s="246">
        <f t="shared" si="424"/>
        <v>0</v>
      </c>
      <c r="N1042" s="121">
        <f t="shared" si="425"/>
        <v>1.04</v>
      </c>
      <c r="O1042" s="246">
        <f t="shared" si="426"/>
        <v>0.99</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87">
        <v>47</v>
      </c>
      <c r="B1043" s="242">
        <f t="shared" si="433"/>
        <v>47058</v>
      </c>
      <c r="C1043" s="243">
        <f t="shared" si="414"/>
        <v>47087</v>
      </c>
      <c r="D1043" s="120">
        <f t="shared" si="415"/>
        <v>30</v>
      </c>
      <c r="E1043" s="120">
        <f t="shared" si="416"/>
        <v>11</v>
      </c>
      <c r="F1043" s="275">
        <f t="shared" si="417"/>
        <v>47073</v>
      </c>
      <c r="G1043" s="120">
        <f t="shared" si="418"/>
        <v>24346</v>
      </c>
      <c r="H1043" s="245">
        <f t="shared" si="419"/>
        <v>1</v>
      </c>
      <c r="I1043" s="121">
        <f t="shared" si="420"/>
        <v>1.04</v>
      </c>
      <c r="J1043" s="121">
        <f t="shared" si="421"/>
        <v>1.04</v>
      </c>
      <c r="K1043" s="120">
        <f t="shared" si="422"/>
        <v>0</v>
      </c>
      <c r="L1043" s="120">
        <f t="shared" si="423"/>
        <v>0</v>
      </c>
      <c r="M1043" s="246">
        <f t="shared" si="424"/>
        <v>0</v>
      </c>
      <c r="N1043" s="121">
        <f t="shared" si="425"/>
        <v>1.04</v>
      </c>
      <c r="O1043" s="246">
        <f t="shared" si="426"/>
        <v>0.99</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87">
        <v>48</v>
      </c>
      <c r="B1044" s="242">
        <f t="shared" si="433"/>
        <v>47088</v>
      </c>
      <c r="C1044" s="243">
        <f t="shared" si="414"/>
        <v>47118</v>
      </c>
      <c r="D1044" s="120">
        <f t="shared" si="415"/>
        <v>31</v>
      </c>
      <c r="E1044" s="120">
        <f t="shared" si="416"/>
        <v>12</v>
      </c>
      <c r="F1044" s="275">
        <f t="shared" si="417"/>
        <v>47103.5</v>
      </c>
      <c r="G1044" s="120">
        <f t="shared" si="418"/>
        <v>24347</v>
      </c>
      <c r="H1044" s="245">
        <f t="shared" si="419"/>
        <v>1</v>
      </c>
      <c r="I1044" s="121">
        <f t="shared" si="420"/>
        <v>1.04</v>
      </c>
      <c r="J1044" s="121">
        <f t="shared" si="421"/>
        <v>1.04</v>
      </c>
      <c r="K1044" s="120">
        <f t="shared" si="422"/>
        <v>0</v>
      </c>
      <c r="L1044" s="120">
        <f t="shared" si="423"/>
        <v>0</v>
      </c>
      <c r="M1044" s="246">
        <f t="shared" si="424"/>
        <v>0</v>
      </c>
      <c r="N1044" s="121">
        <f t="shared" si="425"/>
        <v>1.04</v>
      </c>
      <c r="O1044" s="246">
        <f t="shared" si="426"/>
        <v>0.99</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1651</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24">
        <f>SUMPRODUCT($H$997:$H$1044,$Q$997:$Q$1044,$O$997:$O$1044)/SUMPRODUCT($H$997:$H$1044,$Q$997:$Q$1044)</f>
        <v>0.9900000000000001</v>
      </c>
      <c r="G1045" s="224">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24">
        <f>IF(N(INDEX(lr_mind,19))=0,1,INDEX(lr_mind,19))</f>
        <v>1</v>
      </c>
      <c r="G1048" s="224">
        <f>IF(N(INDEX(lr_m0,19))=0,1,INDEX(lr_m0,19))</f>
        <v>0.99</v>
      </c>
      <c r="H1048" s="74">
        <f>IF(N(INDEX(lr_m0asof,19))=0,DATE(nr_PlanYear-1,10,1),INDEX(lr_m0asof,19))</f>
        <v>46295</v>
      </c>
      <c r="I1048" s="224">
        <f>IF(N(INDEX(lr_m1,19))=0,1,INDEX(lr_m1,19))</f>
        <v>1.0049999999999999</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34">EOMONTH($B1051,0)</f>
        <v>45688</v>
      </c>
      <c r="D1051" s="120">
        <f t="shared" ref="D1051:D1098" si="435">$C1051-$B1051+1</f>
        <v>31</v>
      </c>
      <c r="E1051" s="120">
        <f t="shared" ref="E1051:E1098" si="436">MONTH($B1051)</f>
        <v>1</v>
      </c>
      <c r="F1051" s="275">
        <f t="shared" ref="F1051:F1098" si="437">($B1051+$C1051+1)/2</f>
        <v>45673.5</v>
      </c>
      <c r="G1051" s="120">
        <f t="shared" ref="G1051:G1098" si="438">YEAR($B1051)*12+MONTH($B1051)-1</f>
        <v>24300</v>
      </c>
      <c r="H1051" s="245">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46">
        <f t="shared" ref="M1051:M1098" si="444">IF($K1051=0,0,MIN(1,$L1051/$D1051))</f>
        <v>0</v>
      </c>
      <c r="N1051" s="121">
        <f t="shared" ref="N1051:N1098" si="445">IF($K1051=0,$J1051,(1-$M1051)*$I1051+$M1051*$J1051)</f>
        <v>1</v>
      </c>
      <c r="O1051" s="246">
        <f t="shared" ref="O1051:O1098" si="446">IF($F1051&lt;$B$1049,$E$1049+$I$1049*($F1051-$A$1049),IF($F1051&lt;$C$1049,$F$1049+$J$1049*($F1051-$B$1049),$G$1049+$K$1049*($F1051-$C$1049)))</f>
        <v>0.96956783369803068</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87">
        <v>2</v>
      </c>
      <c r="B1052" s="242">
        <f t="shared" ref="B1052:B1098" si="453">EDATE($B1051,1)</f>
        <v>45689</v>
      </c>
      <c r="C1052" s="243">
        <f t="shared" si="434"/>
        <v>45716</v>
      </c>
      <c r="D1052" s="120">
        <f t="shared" si="435"/>
        <v>28</v>
      </c>
      <c r="E1052" s="120">
        <f t="shared" si="436"/>
        <v>2</v>
      </c>
      <c r="F1052" s="275">
        <f t="shared" si="437"/>
        <v>45703</v>
      </c>
      <c r="G1052" s="120">
        <f t="shared" si="438"/>
        <v>24301</v>
      </c>
      <c r="H1052" s="245">
        <f t="shared" si="439"/>
        <v>1</v>
      </c>
      <c r="I1052" s="121">
        <f t="shared" si="440"/>
        <v>1</v>
      </c>
      <c r="J1052" s="121">
        <f t="shared" si="441"/>
        <v>1</v>
      </c>
      <c r="K1052" s="120">
        <f t="shared" si="442"/>
        <v>0</v>
      </c>
      <c r="L1052" s="120">
        <f t="shared" si="443"/>
        <v>0</v>
      </c>
      <c r="M1052" s="246">
        <f t="shared" si="444"/>
        <v>0</v>
      </c>
      <c r="N1052" s="121">
        <f t="shared" si="445"/>
        <v>1</v>
      </c>
      <c r="O1052" s="246">
        <f t="shared" si="446"/>
        <v>0.97053610503282284</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87">
        <v>3</v>
      </c>
      <c r="B1053" s="242">
        <f t="shared" si="453"/>
        <v>45717</v>
      </c>
      <c r="C1053" s="243">
        <f t="shared" si="434"/>
        <v>45747</v>
      </c>
      <c r="D1053" s="120">
        <f t="shared" si="435"/>
        <v>31</v>
      </c>
      <c r="E1053" s="120">
        <f t="shared" si="436"/>
        <v>3</v>
      </c>
      <c r="F1053" s="275">
        <f t="shared" si="437"/>
        <v>45732.5</v>
      </c>
      <c r="G1053" s="120">
        <f t="shared" si="438"/>
        <v>24302</v>
      </c>
      <c r="H1053" s="245">
        <f t="shared" si="439"/>
        <v>1</v>
      </c>
      <c r="I1053" s="121">
        <f t="shared" si="440"/>
        <v>1</v>
      </c>
      <c r="J1053" s="121">
        <f t="shared" si="441"/>
        <v>1</v>
      </c>
      <c r="K1053" s="120">
        <f t="shared" si="442"/>
        <v>0</v>
      </c>
      <c r="L1053" s="120">
        <f t="shared" si="443"/>
        <v>0</v>
      </c>
      <c r="M1053" s="246">
        <f t="shared" si="444"/>
        <v>0</v>
      </c>
      <c r="N1053" s="121">
        <f t="shared" si="445"/>
        <v>1</v>
      </c>
      <c r="O1053" s="246">
        <f t="shared" si="446"/>
        <v>0.971504376367615</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87">
        <v>4</v>
      </c>
      <c r="B1054" s="242">
        <f t="shared" si="453"/>
        <v>45748</v>
      </c>
      <c r="C1054" s="243">
        <f t="shared" si="434"/>
        <v>45777</v>
      </c>
      <c r="D1054" s="120">
        <f t="shared" si="435"/>
        <v>30</v>
      </c>
      <c r="E1054" s="120">
        <f t="shared" si="436"/>
        <v>4</v>
      </c>
      <c r="F1054" s="275">
        <f t="shared" si="437"/>
        <v>45763</v>
      </c>
      <c r="G1054" s="120">
        <f t="shared" si="438"/>
        <v>24303</v>
      </c>
      <c r="H1054" s="245">
        <f t="shared" si="439"/>
        <v>1</v>
      </c>
      <c r="I1054" s="121">
        <f t="shared" si="440"/>
        <v>1</v>
      </c>
      <c r="J1054" s="121">
        <f t="shared" si="441"/>
        <v>1</v>
      </c>
      <c r="K1054" s="120">
        <f t="shared" si="442"/>
        <v>0</v>
      </c>
      <c r="L1054" s="120">
        <f t="shared" si="443"/>
        <v>0</v>
      </c>
      <c r="M1054" s="246">
        <f t="shared" si="444"/>
        <v>0</v>
      </c>
      <c r="N1054" s="121">
        <f t="shared" si="445"/>
        <v>1</v>
      </c>
      <c r="O1054" s="246">
        <f t="shared" si="446"/>
        <v>0.97250547045951863</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87">
        <v>5</v>
      </c>
      <c r="B1055" s="242">
        <f t="shared" si="453"/>
        <v>45778</v>
      </c>
      <c r="C1055" s="243">
        <f t="shared" si="434"/>
        <v>45808</v>
      </c>
      <c r="D1055" s="120">
        <f t="shared" si="435"/>
        <v>31</v>
      </c>
      <c r="E1055" s="120">
        <f t="shared" si="436"/>
        <v>5</v>
      </c>
      <c r="F1055" s="275">
        <f t="shared" si="437"/>
        <v>45793.5</v>
      </c>
      <c r="G1055" s="120">
        <f t="shared" si="438"/>
        <v>24304</v>
      </c>
      <c r="H1055" s="245">
        <f t="shared" si="439"/>
        <v>1</v>
      </c>
      <c r="I1055" s="121">
        <f t="shared" si="440"/>
        <v>1</v>
      </c>
      <c r="J1055" s="121">
        <f t="shared" si="441"/>
        <v>1</v>
      </c>
      <c r="K1055" s="120">
        <f t="shared" si="442"/>
        <v>0</v>
      </c>
      <c r="L1055" s="120">
        <f t="shared" si="443"/>
        <v>0</v>
      </c>
      <c r="M1055" s="246">
        <f t="shared" si="444"/>
        <v>0</v>
      </c>
      <c r="N1055" s="121">
        <f t="shared" si="445"/>
        <v>1</v>
      </c>
      <c r="O1055" s="246">
        <f t="shared" si="446"/>
        <v>0.97350656455142237</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87">
        <v>6</v>
      </c>
      <c r="B1056" s="242">
        <f t="shared" si="453"/>
        <v>45809</v>
      </c>
      <c r="C1056" s="243">
        <f t="shared" si="434"/>
        <v>45838</v>
      </c>
      <c r="D1056" s="120">
        <f t="shared" si="435"/>
        <v>30</v>
      </c>
      <c r="E1056" s="120">
        <f t="shared" si="436"/>
        <v>6</v>
      </c>
      <c r="F1056" s="275">
        <f t="shared" si="437"/>
        <v>45824</v>
      </c>
      <c r="G1056" s="120">
        <f t="shared" si="438"/>
        <v>24305</v>
      </c>
      <c r="H1056" s="245">
        <f t="shared" si="439"/>
        <v>1</v>
      </c>
      <c r="I1056" s="121">
        <f t="shared" si="440"/>
        <v>1</v>
      </c>
      <c r="J1056" s="121">
        <f t="shared" si="441"/>
        <v>1</v>
      </c>
      <c r="K1056" s="120">
        <f t="shared" si="442"/>
        <v>0</v>
      </c>
      <c r="L1056" s="120">
        <f t="shared" si="443"/>
        <v>0</v>
      </c>
      <c r="M1056" s="246">
        <f t="shared" si="444"/>
        <v>0</v>
      </c>
      <c r="N1056" s="121">
        <f t="shared" si="445"/>
        <v>1</v>
      </c>
      <c r="O1056" s="246">
        <f t="shared" si="446"/>
        <v>0.97450765864332611</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87">
        <v>7</v>
      </c>
      <c r="B1057" s="242">
        <f t="shared" si="453"/>
        <v>45839</v>
      </c>
      <c r="C1057" s="243">
        <f t="shared" si="434"/>
        <v>45869</v>
      </c>
      <c r="D1057" s="120">
        <f t="shared" si="435"/>
        <v>31</v>
      </c>
      <c r="E1057" s="120">
        <f t="shared" si="436"/>
        <v>7</v>
      </c>
      <c r="F1057" s="275">
        <f t="shared" si="437"/>
        <v>45854.5</v>
      </c>
      <c r="G1057" s="120">
        <f t="shared" si="438"/>
        <v>24306</v>
      </c>
      <c r="H1057" s="245">
        <f t="shared" si="439"/>
        <v>1</v>
      </c>
      <c r="I1057" s="121">
        <f t="shared" si="440"/>
        <v>1</v>
      </c>
      <c r="J1057" s="121">
        <f t="shared" si="441"/>
        <v>1</v>
      </c>
      <c r="K1057" s="120">
        <f t="shared" si="442"/>
        <v>0</v>
      </c>
      <c r="L1057" s="120">
        <f t="shared" si="443"/>
        <v>0</v>
      </c>
      <c r="M1057" s="246">
        <f t="shared" si="444"/>
        <v>0</v>
      </c>
      <c r="N1057" s="121">
        <f t="shared" si="445"/>
        <v>1</v>
      </c>
      <c r="O1057" s="246">
        <f t="shared" si="446"/>
        <v>0.97550875273522986</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87">
        <v>8</v>
      </c>
      <c r="B1058" s="242">
        <f t="shared" si="453"/>
        <v>45870</v>
      </c>
      <c r="C1058" s="243">
        <f t="shared" si="434"/>
        <v>45900</v>
      </c>
      <c r="D1058" s="120">
        <f t="shared" si="435"/>
        <v>31</v>
      </c>
      <c r="E1058" s="120">
        <f t="shared" si="436"/>
        <v>8</v>
      </c>
      <c r="F1058" s="275">
        <f t="shared" si="437"/>
        <v>45885.5</v>
      </c>
      <c r="G1058" s="120">
        <f t="shared" si="438"/>
        <v>24307</v>
      </c>
      <c r="H1058" s="245">
        <f t="shared" si="439"/>
        <v>1</v>
      </c>
      <c r="I1058" s="121">
        <f t="shared" si="440"/>
        <v>1</v>
      </c>
      <c r="J1058" s="121">
        <f t="shared" si="441"/>
        <v>1</v>
      </c>
      <c r="K1058" s="120">
        <f t="shared" si="442"/>
        <v>0</v>
      </c>
      <c r="L1058" s="120">
        <f t="shared" si="443"/>
        <v>0</v>
      </c>
      <c r="M1058" s="246">
        <f t="shared" si="444"/>
        <v>0</v>
      </c>
      <c r="N1058" s="121">
        <f t="shared" si="445"/>
        <v>1</v>
      </c>
      <c r="O1058" s="246">
        <f t="shared" si="446"/>
        <v>0.97652625820568928</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87">
        <v>9</v>
      </c>
      <c r="B1059" s="242">
        <f t="shared" si="453"/>
        <v>45901</v>
      </c>
      <c r="C1059" s="243">
        <f t="shared" si="434"/>
        <v>45930</v>
      </c>
      <c r="D1059" s="120">
        <f t="shared" si="435"/>
        <v>30</v>
      </c>
      <c r="E1059" s="120">
        <f t="shared" si="436"/>
        <v>9</v>
      </c>
      <c r="F1059" s="275">
        <f t="shared" si="437"/>
        <v>45916</v>
      </c>
      <c r="G1059" s="120">
        <f t="shared" si="438"/>
        <v>24308</v>
      </c>
      <c r="H1059" s="245">
        <f t="shared" si="439"/>
        <v>1</v>
      </c>
      <c r="I1059" s="121">
        <f t="shared" si="440"/>
        <v>1</v>
      </c>
      <c r="J1059" s="121">
        <f t="shared" si="441"/>
        <v>1</v>
      </c>
      <c r="K1059" s="120">
        <f t="shared" si="442"/>
        <v>0</v>
      </c>
      <c r="L1059" s="120">
        <f t="shared" si="443"/>
        <v>0</v>
      </c>
      <c r="M1059" s="246">
        <f t="shared" si="444"/>
        <v>0</v>
      </c>
      <c r="N1059" s="121">
        <f t="shared" si="445"/>
        <v>1</v>
      </c>
      <c r="O1059" s="246">
        <f t="shared" si="446"/>
        <v>0.97752735229759302</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87">
        <v>10</v>
      </c>
      <c r="B1060" s="242">
        <f t="shared" si="453"/>
        <v>45931</v>
      </c>
      <c r="C1060" s="243">
        <f t="shared" si="434"/>
        <v>45961</v>
      </c>
      <c r="D1060" s="120">
        <f t="shared" si="435"/>
        <v>31</v>
      </c>
      <c r="E1060" s="120">
        <f t="shared" si="436"/>
        <v>10</v>
      </c>
      <c r="F1060" s="275">
        <f t="shared" si="437"/>
        <v>45946.5</v>
      </c>
      <c r="G1060" s="120">
        <f t="shared" si="438"/>
        <v>24309</v>
      </c>
      <c r="H1060" s="245">
        <f t="shared" si="439"/>
        <v>1</v>
      </c>
      <c r="I1060" s="121">
        <f t="shared" si="440"/>
        <v>1</v>
      </c>
      <c r="J1060" s="121">
        <f t="shared" si="441"/>
        <v>1</v>
      </c>
      <c r="K1060" s="120">
        <f t="shared" si="442"/>
        <v>0</v>
      </c>
      <c r="L1060" s="120">
        <f t="shared" si="443"/>
        <v>0</v>
      </c>
      <c r="M1060" s="246">
        <f t="shared" si="444"/>
        <v>0</v>
      </c>
      <c r="N1060" s="121">
        <f t="shared" si="445"/>
        <v>1</v>
      </c>
      <c r="O1060" s="246">
        <f t="shared" si="446"/>
        <v>0.97852844638949676</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87">
        <v>11</v>
      </c>
      <c r="B1061" s="242">
        <f t="shared" si="453"/>
        <v>45962</v>
      </c>
      <c r="C1061" s="243">
        <f t="shared" si="434"/>
        <v>45991</v>
      </c>
      <c r="D1061" s="120">
        <f t="shared" si="435"/>
        <v>30</v>
      </c>
      <c r="E1061" s="120">
        <f t="shared" si="436"/>
        <v>11</v>
      </c>
      <c r="F1061" s="275">
        <f t="shared" si="437"/>
        <v>45977</v>
      </c>
      <c r="G1061" s="120">
        <f t="shared" si="438"/>
        <v>24310</v>
      </c>
      <c r="H1061" s="245">
        <f t="shared" si="439"/>
        <v>1</v>
      </c>
      <c r="I1061" s="121">
        <f t="shared" si="440"/>
        <v>1</v>
      </c>
      <c r="J1061" s="121">
        <f t="shared" si="441"/>
        <v>1</v>
      </c>
      <c r="K1061" s="120">
        <f t="shared" si="442"/>
        <v>0</v>
      </c>
      <c r="L1061" s="120">
        <f t="shared" si="443"/>
        <v>0</v>
      </c>
      <c r="M1061" s="246">
        <f t="shared" si="444"/>
        <v>0</v>
      </c>
      <c r="N1061" s="121">
        <f t="shared" si="445"/>
        <v>1</v>
      </c>
      <c r="O1061" s="246">
        <f t="shared" si="446"/>
        <v>0.97952954048140051</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87">
        <v>12</v>
      </c>
      <c r="B1062" s="242">
        <f t="shared" si="453"/>
        <v>45992</v>
      </c>
      <c r="C1062" s="243">
        <f t="shared" si="434"/>
        <v>46022</v>
      </c>
      <c r="D1062" s="120">
        <f t="shared" si="435"/>
        <v>31</v>
      </c>
      <c r="E1062" s="120">
        <f t="shared" si="436"/>
        <v>12</v>
      </c>
      <c r="F1062" s="275">
        <f t="shared" si="437"/>
        <v>46007.5</v>
      </c>
      <c r="G1062" s="120">
        <f t="shared" si="438"/>
        <v>24311</v>
      </c>
      <c r="H1062" s="245">
        <f t="shared" si="439"/>
        <v>1</v>
      </c>
      <c r="I1062" s="121">
        <f t="shared" si="440"/>
        <v>1</v>
      </c>
      <c r="J1062" s="121">
        <f t="shared" si="441"/>
        <v>1</v>
      </c>
      <c r="K1062" s="120">
        <f t="shared" si="442"/>
        <v>0</v>
      </c>
      <c r="L1062" s="120">
        <f t="shared" si="443"/>
        <v>0</v>
      </c>
      <c r="M1062" s="246">
        <f t="shared" si="444"/>
        <v>0</v>
      </c>
      <c r="N1062" s="121">
        <f t="shared" si="445"/>
        <v>1</v>
      </c>
      <c r="O1062" s="246">
        <f t="shared" si="446"/>
        <v>0.98053063457330414</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87">
        <v>13</v>
      </c>
      <c r="B1063" s="242">
        <f t="shared" si="453"/>
        <v>46023</v>
      </c>
      <c r="C1063" s="243">
        <f t="shared" si="434"/>
        <v>46053</v>
      </c>
      <c r="D1063" s="120">
        <f t="shared" si="435"/>
        <v>31</v>
      </c>
      <c r="E1063" s="120">
        <f t="shared" si="436"/>
        <v>1</v>
      </c>
      <c r="F1063" s="275">
        <f t="shared" si="437"/>
        <v>46038.5</v>
      </c>
      <c r="G1063" s="120">
        <f t="shared" si="438"/>
        <v>24312</v>
      </c>
      <c r="H1063" s="245">
        <f t="shared" si="439"/>
        <v>1</v>
      </c>
      <c r="I1063" s="121">
        <f t="shared" si="440"/>
        <v>1</v>
      </c>
      <c r="J1063" s="121">
        <f t="shared" si="441"/>
        <v>1</v>
      </c>
      <c r="K1063" s="120">
        <f t="shared" si="442"/>
        <v>0</v>
      </c>
      <c r="L1063" s="120">
        <f t="shared" si="443"/>
        <v>0</v>
      </c>
      <c r="M1063" s="246">
        <f t="shared" si="444"/>
        <v>0</v>
      </c>
      <c r="N1063" s="121">
        <f t="shared" si="445"/>
        <v>1</v>
      </c>
      <c r="O1063" s="246">
        <f t="shared" si="446"/>
        <v>0.98154814004376367</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87">
        <v>14</v>
      </c>
      <c r="B1064" s="242">
        <f t="shared" si="453"/>
        <v>46054</v>
      </c>
      <c r="C1064" s="243">
        <f t="shared" si="434"/>
        <v>46081</v>
      </c>
      <c r="D1064" s="120">
        <f t="shared" si="435"/>
        <v>28</v>
      </c>
      <c r="E1064" s="120">
        <f t="shared" si="436"/>
        <v>2</v>
      </c>
      <c r="F1064" s="275">
        <f t="shared" si="437"/>
        <v>46068</v>
      </c>
      <c r="G1064" s="120">
        <f t="shared" si="438"/>
        <v>24313</v>
      </c>
      <c r="H1064" s="245">
        <f t="shared" si="439"/>
        <v>1</v>
      </c>
      <c r="I1064" s="121">
        <f t="shared" si="440"/>
        <v>1</v>
      </c>
      <c r="J1064" s="121">
        <f t="shared" si="441"/>
        <v>1</v>
      </c>
      <c r="K1064" s="120">
        <f t="shared" si="442"/>
        <v>0</v>
      </c>
      <c r="L1064" s="120">
        <f t="shared" si="443"/>
        <v>0</v>
      </c>
      <c r="M1064" s="246">
        <f t="shared" si="444"/>
        <v>0</v>
      </c>
      <c r="N1064" s="121">
        <f t="shared" si="445"/>
        <v>1</v>
      </c>
      <c r="O1064" s="246">
        <f t="shared" si="446"/>
        <v>0.98251641137855583</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87">
        <v>15</v>
      </c>
      <c r="B1065" s="242">
        <f t="shared" si="453"/>
        <v>46082</v>
      </c>
      <c r="C1065" s="243">
        <f t="shared" si="434"/>
        <v>46112</v>
      </c>
      <c r="D1065" s="120">
        <f t="shared" si="435"/>
        <v>31</v>
      </c>
      <c r="E1065" s="120">
        <f t="shared" si="436"/>
        <v>3</v>
      </c>
      <c r="F1065" s="275">
        <f t="shared" si="437"/>
        <v>46097.5</v>
      </c>
      <c r="G1065" s="120">
        <f t="shared" si="438"/>
        <v>24314</v>
      </c>
      <c r="H1065" s="245">
        <f t="shared" si="439"/>
        <v>1</v>
      </c>
      <c r="I1065" s="121">
        <f t="shared" si="440"/>
        <v>1</v>
      </c>
      <c r="J1065" s="121">
        <f t="shared" si="441"/>
        <v>1</v>
      </c>
      <c r="K1065" s="120">
        <f t="shared" si="442"/>
        <v>0</v>
      </c>
      <c r="L1065" s="120">
        <f t="shared" si="443"/>
        <v>0</v>
      </c>
      <c r="M1065" s="246">
        <f t="shared" si="444"/>
        <v>0</v>
      </c>
      <c r="N1065" s="121">
        <f t="shared" si="445"/>
        <v>1</v>
      </c>
      <c r="O1065" s="246">
        <f t="shared" si="446"/>
        <v>0.98348468271334799</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87">
        <v>16</v>
      </c>
      <c r="B1066" s="242">
        <f t="shared" si="453"/>
        <v>46113</v>
      </c>
      <c r="C1066" s="243">
        <f t="shared" si="434"/>
        <v>46142</v>
      </c>
      <c r="D1066" s="120">
        <f t="shared" si="435"/>
        <v>30</v>
      </c>
      <c r="E1066" s="120">
        <f t="shared" si="436"/>
        <v>4</v>
      </c>
      <c r="F1066" s="275">
        <f t="shared" si="437"/>
        <v>46128</v>
      </c>
      <c r="G1066" s="120">
        <f t="shared" si="438"/>
        <v>24315</v>
      </c>
      <c r="H1066" s="245">
        <f t="shared" si="439"/>
        <v>1</v>
      </c>
      <c r="I1066" s="121">
        <f t="shared" si="440"/>
        <v>1</v>
      </c>
      <c r="J1066" s="121">
        <f t="shared" si="441"/>
        <v>1</v>
      </c>
      <c r="K1066" s="120">
        <f t="shared" si="442"/>
        <v>0</v>
      </c>
      <c r="L1066" s="120">
        <f t="shared" si="443"/>
        <v>0</v>
      </c>
      <c r="M1066" s="246">
        <f t="shared" si="444"/>
        <v>0</v>
      </c>
      <c r="N1066" s="121">
        <f t="shared" si="445"/>
        <v>1</v>
      </c>
      <c r="O1066" s="246">
        <f t="shared" si="446"/>
        <v>0.98448577680525162</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87">
        <v>17</v>
      </c>
      <c r="B1067" s="242">
        <f t="shared" si="453"/>
        <v>46143</v>
      </c>
      <c r="C1067" s="243">
        <f t="shared" si="434"/>
        <v>46173</v>
      </c>
      <c r="D1067" s="120">
        <f t="shared" si="435"/>
        <v>31</v>
      </c>
      <c r="E1067" s="120">
        <f t="shared" si="436"/>
        <v>5</v>
      </c>
      <c r="F1067" s="275">
        <f t="shared" si="437"/>
        <v>46158.5</v>
      </c>
      <c r="G1067" s="120">
        <f t="shared" si="438"/>
        <v>24316</v>
      </c>
      <c r="H1067" s="245">
        <f t="shared" si="439"/>
        <v>1</v>
      </c>
      <c r="I1067" s="121">
        <f t="shared" si="440"/>
        <v>1</v>
      </c>
      <c r="J1067" s="121">
        <f t="shared" si="441"/>
        <v>1</v>
      </c>
      <c r="K1067" s="120">
        <f t="shared" si="442"/>
        <v>0</v>
      </c>
      <c r="L1067" s="120">
        <f t="shared" si="443"/>
        <v>0</v>
      </c>
      <c r="M1067" s="246">
        <f t="shared" si="444"/>
        <v>0</v>
      </c>
      <c r="N1067" s="121">
        <f t="shared" si="445"/>
        <v>1</v>
      </c>
      <c r="O1067" s="246">
        <f t="shared" si="446"/>
        <v>0.98548687089715536</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87">
        <v>18</v>
      </c>
      <c r="B1068" s="242">
        <f t="shared" si="453"/>
        <v>46174</v>
      </c>
      <c r="C1068" s="243">
        <f t="shared" si="434"/>
        <v>46203</v>
      </c>
      <c r="D1068" s="120">
        <f t="shared" si="435"/>
        <v>30</v>
      </c>
      <c r="E1068" s="120">
        <f t="shared" si="436"/>
        <v>6</v>
      </c>
      <c r="F1068" s="275">
        <f t="shared" si="437"/>
        <v>46189</v>
      </c>
      <c r="G1068" s="120">
        <f t="shared" si="438"/>
        <v>24317</v>
      </c>
      <c r="H1068" s="245">
        <f t="shared" si="439"/>
        <v>1</v>
      </c>
      <c r="I1068" s="121">
        <f t="shared" si="440"/>
        <v>1</v>
      </c>
      <c r="J1068" s="121">
        <f t="shared" si="441"/>
        <v>1</v>
      </c>
      <c r="K1068" s="120">
        <f t="shared" si="442"/>
        <v>0</v>
      </c>
      <c r="L1068" s="120">
        <f t="shared" si="443"/>
        <v>0</v>
      </c>
      <c r="M1068" s="246">
        <f t="shared" si="444"/>
        <v>0</v>
      </c>
      <c r="N1068" s="121">
        <f t="shared" si="445"/>
        <v>1</v>
      </c>
      <c r="O1068" s="246">
        <f t="shared" si="446"/>
        <v>0.98648796498905911</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87">
        <v>19</v>
      </c>
      <c r="B1069" s="242">
        <f t="shared" si="453"/>
        <v>46204</v>
      </c>
      <c r="C1069" s="243">
        <f t="shared" si="434"/>
        <v>46234</v>
      </c>
      <c r="D1069" s="120">
        <f t="shared" si="435"/>
        <v>31</v>
      </c>
      <c r="E1069" s="120">
        <f t="shared" si="436"/>
        <v>7</v>
      </c>
      <c r="F1069" s="275">
        <f t="shared" si="437"/>
        <v>46219.5</v>
      </c>
      <c r="G1069" s="120">
        <f t="shared" si="438"/>
        <v>24318</v>
      </c>
      <c r="H1069" s="245">
        <f t="shared" si="439"/>
        <v>1</v>
      </c>
      <c r="I1069" s="121">
        <f t="shared" si="440"/>
        <v>1</v>
      </c>
      <c r="J1069" s="121">
        <f t="shared" si="441"/>
        <v>1.05</v>
      </c>
      <c r="K1069" s="120">
        <f t="shared" si="442"/>
        <v>1</v>
      </c>
      <c r="L1069" s="120">
        <f t="shared" si="443"/>
        <v>31</v>
      </c>
      <c r="M1069" s="246">
        <f t="shared" si="444"/>
        <v>1</v>
      </c>
      <c r="N1069" s="121">
        <f t="shared" si="445"/>
        <v>1.05</v>
      </c>
      <c r="O1069" s="246">
        <f t="shared" si="446"/>
        <v>0.98748905908096285</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87">
        <v>20</v>
      </c>
      <c r="B1070" s="242">
        <f t="shared" si="453"/>
        <v>46235</v>
      </c>
      <c r="C1070" s="243">
        <f t="shared" si="434"/>
        <v>46265</v>
      </c>
      <c r="D1070" s="120">
        <f t="shared" si="435"/>
        <v>31</v>
      </c>
      <c r="E1070" s="120">
        <f t="shared" si="436"/>
        <v>8</v>
      </c>
      <c r="F1070" s="275">
        <f t="shared" si="437"/>
        <v>46250.5</v>
      </c>
      <c r="G1070" s="120">
        <f t="shared" si="438"/>
        <v>24319</v>
      </c>
      <c r="H1070" s="245">
        <f t="shared" si="439"/>
        <v>1</v>
      </c>
      <c r="I1070" s="121">
        <f t="shared" si="440"/>
        <v>1.05</v>
      </c>
      <c r="J1070" s="121">
        <f t="shared" si="441"/>
        <v>1.05</v>
      </c>
      <c r="K1070" s="120">
        <f t="shared" si="442"/>
        <v>0</v>
      </c>
      <c r="L1070" s="120">
        <f t="shared" si="443"/>
        <v>0</v>
      </c>
      <c r="M1070" s="246">
        <f t="shared" si="444"/>
        <v>0</v>
      </c>
      <c r="N1070" s="121">
        <f t="shared" si="445"/>
        <v>1.05</v>
      </c>
      <c r="O1070" s="246">
        <f t="shared" si="446"/>
        <v>0.98850656455142227</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87">
        <v>21</v>
      </c>
      <c r="B1071" s="242">
        <f t="shared" si="453"/>
        <v>46266</v>
      </c>
      <c r="C1071" s="243">
        <f t="shared" si="434"/>
        <v>46295</v>
      </c>
      <c r="D1071" s="120">
        <f t="shared" si="435"/>
        <v>30</v>
      </c>
      <c r="E1071" s="120">
        <f t="shared" si="436"/>
        <v>9</v>
      </c>
      <c r="F1071" s="275">
        <f t="shared" si="437"/>
        <v>46281</v>
      </c>
      <c r="G1071" s="120">
        <f t="shared" si="438"/>
        <v>24320</v>
      </c>
      <c r="H1071" s="245">
        <f t="shared" si="439"/>
        <v>1</v>
      </c>
      <c r="I1071" s="121">
        <f t="shared" si="440"/>
        <v>1.05</v>
      </c>
      <c r="J1071" s="121">
        <f t="shared" si="441"/>
        <v>1.05</v>
      </c>
      <c r="K1071" s="120">
        <f t="shared" si="442"/>
        <v>0</v>
      </c>
      <c r="L1071" s="120">
        <f t="shared" si="443"/>
        <v>0</v>
      </c>
      <c r="M1071" s="246">
        <f t="shared" si="444"/>
        <v>0</v>
      </c>
      <c r="N1071" s="121">
        <f t="shared" si="445"/>
        <v>1.05</v>
      </c>
      <c r="O1071" s="246">
        <f t="shared" si="446"/>
        <v>0.98950765864332602</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87">
        <v>22</v>
      </c>
      <c r="B1072" s="242">
        <f t="shared" si="453"/>
        <v>46296</v>
      </c>
      <c r="C1072" s="243">
        <f t="shared" si="434"/>
        <v>46326</v>
      </c>
      <c r="D1072" s="120">
        <f t="shared" si="435"/>
        <v>31</v>
      </c>
      <c r="E1072" s="120">
        <f t="shared" si="436"/>
        <v>10</v>
      </c>
      <c r="F1072" s="275">
        <f t="shared" si="437"/>
        <v>46311.5</v>
      </c>
      <c r="G1072" s="120">
        <f t="shared" si="438"/>
        <v>24321</v>
      </c>
      <c r="H1072" s="245">
        <f t="shared" si="439"/>
        <v>1</v>
      </c>
      <c r="I1072" s="121">
        <f t="shared" si="440"/>
        <v>1.05</v>
      </c>
      <c r="J1072" s="121">
        <f t="shared" si="441"/>
        <v>1.05</v>
      </c>
      <c r="K1072" s="120">
        <f t="shared" si="442"/>
        <v>0</v>
      </c>
      <c r="L1072" s="120">
        <f t="shared" si="443"/>
        <v>0</v>
      </c>
      <c r="M1072" s="246">
        <f t="shared" si="444"/>
        <v>0</v>
      </c>
      <c r="N1072" s="121">
        <f t="shared" si="445"/>
        <v>1.05</v>
      </c>
      <c r="O1072" s="246">
        <f t="shared" si="446"/>
        <v>0.99050875273522976</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87">
        <v>23</v>
      </c>
      <c r="B1073" s="242">
        <f t="shared" si="453"/>
        <v>46327</v>
      </c>
      <c r="C1073" s="243">
        <f t="shared" si="434"/>
        <v>46356</v>
      </c>
      <c r="D1073" s="120">
        <f t="shared" si="435"/>
        <v>30</v>
      </c>
      <c r="E1073" s="120">
        <f t="shared" si="436"/>
        <v>11</v>
      </c>
      <c r="F1073" s="275">
        <f t="shared" si="437"/>
        <v>46342</v>
      </c>
      <c r="G1073" s="120">
        <f t="shared" si="438"/>
        <v>24322</v>
      </c>
      <c r="H1073" s="245">
        <f t="shared" si="439"/>
        <v>1</v>
      </c>
      <c r="I1073" s="121">
        <f t="shared" si="440"/>
        <v>1.05</v>
      </c>
      <c r="J1073" s="121">
        <f t="shared" si="441"/>
        <v>1.05</v>
      </c>
      <c r="K1073" s="120">
        <f t="shared" si="442"/>
        <v>0</v>
      </c>
      <c r="L1073" s="120">
        <f t="shared" si="443"/>
        <v>0</v>
      </c>
      <c r="M1073" s="246">
        <f t="shared" si="444"/>
        <v>0</v>
      </c>
      <c r="N1073" s="121">
        <f t="shared" si="445"/>
        <v>1.05</v>
      </c>
      <c r="O1073" s="246">
        <f t="shared" si="446"/>
        <v>0.9915098468271335</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87">
        <v>24</v>
      </c>
      <c r="B1074" s="242">
        <f t="shared" si="453"/>
        <v>46357</v>
      </c>
      <c r="C1074" s="243">
        <f t="shared" si="434"/>
        <v>46387</v>
      </c>
      <c r="D1074" s="120">
        <f t="shared" si="435"/>
        <v>31</v>
      </c>
      <c r="E1074" s="120">
        <f t="shared" si="436"/>
        <v>12</v>
      </c>
      <c r="F1074" s="275">
        <f t="shared" si="437"/>
        <v>46372.5</v>
      </c>
      <c r="G1074" s="120">
        <f t="shared" si="438"/>
        <v>24323</v>
      </c>
      <c r="H1074" s="245">
        <f t="shared" si="439"/>
        <v>1</v>
      </c>
      <c r="I1074" s="121">
        <f t="shared" si="440"/>
        <v>1.05</v>
      </c>
      <c r="J1074" s="121">
        <f t="shared" si="441"/>
        <v>1.05</v>
      </c>
      <c r="K1074" s="120">
        <f t="shared" si="442"/>
        <v>0</v>
      </c>
      <c r="L1074" s="120">
        <f t="shared" si="443"/>
        <v>0</v>
      </c>
      <c r="M1074" s="246">
        <f t="shared" si="444"/>
        <v>0</v>
      </c>
      <c r="N1074" s="121">
        <f t="shared" si="445"/>
        <v>1.05</v>
      </c>
      <c r="O1074" s="246">
        <f t="shared" si="446"/>
        <v>0.99251094091903713</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87">
        <v>25</v>
      </c>
      <c r="B1075" s="242">
        <f t="shared" si="453"/>
        <v>46388</v>
      </c>
      <c r="C1075" s="243">
        <f t="shared" si="434"/>
        <v>46418</v>
      </c>
      <c r="D1075" s="120">
        <f t="shared" si="435"/>
        <v>31</v>
      </c>
      <c r="E1075" s="120">
        <f t="shared" si="436"/>
        <v>1</v>
      </c>
      <c r="F1075" s="275">
        <f t="shared" si="437"/>
        <v>46403.5</v>
      </c>
      <c r="G1075" s="120">
        <f t="shared" si="438"/>
        <v>24324</v>
      </c>
      <c r="H1075" s="245">
        <f t="shared" si="439"/>
        <v>1</v>
      </c>
      <c r="I1075" s="121">
        <f t="shared" si="440"/>
        <v>1.05</v>
      </c>
      <c r="J1075" s="121">
        <f t="shared" si="441"/>
        <v>1.05</v>
      </c>
      <c r="K1075" s="120">
        <f t="shared" si="442"/>
        <v>0</v>
      </c>
      <c r="L1075" s="120">
        <f t="shared" si="443"/>
        <v>0</v>
      </c>
      <c r="M1075" s="246">
        <f t="shared" si="444"/>
        <v>0</v>
      </c>
      <c r="N1075" s="121">
        <f t="shared" si="445"/>
        <v>1.05</v>
      </c>
      <c r="O1075" s="246">
        <f t="shared" si="446"/>
        <v>0.99352844638949667</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87">
        <v>26</v>
      </c>
      <c r="B1076" s="242">
        <f t="shared" si="453"/>
        <v>46419</v>
      </c>
      <c r="C1076" s="243">
        <f t="shared" si="434"/>
        <v>46446</v>
      </c>
      <c r="D1076" s="120">
        <f t="shared" si="435"/>
        <v>28</v>
      </c>
      <c r="E1076" s="120">
        <f t="shared" si="436"/>
        <v>2</v>
      </c>
      <c r="F1076" s="275">
        <f t="shared" si="437"/>
        <v>46433</v>
      </c>
      <c r="G1076" s="120">
        <f t="shared" si="438"/>
        <v>24325</v>
      </c>
      <c r="H1076" s="245">
        <f t="shared" si="439"/>
        <v>1</v>
      </c>
      <c r="I1076" s="121">
        <f t="shared" si="440"/>
        <v>1.05</v>
      </c>
      <c r="J1076" s="121">
        <f t="shared" si="441"/>
        <v>1.05</v>
      </c>
      <c r="K1076" s="120">
        <f t="shared" si="442"/>
        <v>0</v>
      </c>
      <c r="L1076" s="120">
        <f t="shared" si="443"/>
        <v>0</v>
      </c>
      <c r="M1076" s="246">
        <f t="shared" si="444"/>
        <v>0</v>
      </c>
      <c r="N1076" s="121">
        <f t="shared" si="445"/>
        <v>1.05</v>
      </c>
      <c r="O1076" s="246">
        <f t="shared" si="446"/>
        <v>0.99449671772428883</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87">
        <v>27</v>
      </c>
      <c r="B1077" s="242">
        <f t="shared" si="453"/>
        <v>46447</v>
      </c>
      <c r="C1077" s="243">
        <f t="shared" si="434"/>
        <v>46477</v>
      </c>
      <c r="D1077" s="120">
        <f t="shared" si="435"/>
        <v>31</v>
      </c>
      <c r="E1077" s="120">
        <f t="shared" si="436"/>
        <v>3</v>
      </c>
      <c r="F1077" s="275">
        <f t="shared" si="437"/>
        <v>46462.5</v>
      </c>
      <c r="G1077" s="120">
        <f t="shared" si="438"/>
        <v>24326</v>
      </c>
      <c r="H1077" s="245">
        <f t="shared" si="439"/>
        <v>1</v>
      </c>
      <c r="I1077" s="121">
        <f t="shared" si="440"/>
        <v>1.05</v>
      </c>
      <c r="J1077" s="121">
        <f t="shared" si="441"/>
        <v>1.05</v>
      </c>
      <c r="K1077" s="120">
        <f t="shared" si="442"/>
        <v>0</v>
      </c>
      <c r="L1077" s="120">
        <f t="shared" si="443"/>
        <v>0</v>
      </c>
      <c r="M1077" s="246">
        <f t="shared" si="444"/>
        <v>0</v>
      </c>
      <c r="N1077" s="121">
        <f t="shared" si="445"/>
        <v>1.05</v>
      </c>
      <c r="O1077" s="246">
        <f t="shared" si="446"/>
        <v>0.99546498905908087</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87">
        <v>28</v>
      </c>
      <c r="B1078" s="242">
        <f t="shared" si="453"/>
        <v>46478</v>
      </c>
      <c r="C1078" s="243">
        <f t="shared" si="434"/>
        <v>46507</v>
      </c>
      <c r="D1078" s="120">
        <f t="shared" si="435"/>
        <v>30</v>
      </c>
      <c r="E1078" s="120">
        <f t="shared" si="436"/>
        <v>4</v>
      </c>
      <c r="F1078" s="275">
        <f t="shared" si="437"/>
        <v>46493</v>
      </c>
      <c r="G1078" s="120">
        <f t="shared" si="438"/>
        <v>24327</v>
      </c>
      <c r="H1078" s="245">
        <f t="shared" si="439"/>
        <v>1</v>
      </c>
      <c r="I1078" s="121">
        <f t="shared" si="440"/>
        <v>1.05</v>
      </c>
      <c r="J1078" s="121">
        <f t="shared" si="441"/>
        <v>1.05</v>
      </c>
      <c r="K1078" s="120">
        <f t="shared" si="442"/>
        <v>0</v>
      </c>
      <c r="L1078" s="120">
        <f t="shared" si="443"/>
        <v>0</v>
      </c>
      <c r="M1078" s="246">
        <f t="shared" si="444"/>
        <v>0</v>
      </c>
      <c r="N1078" s="121">
        <f t="shared" si="445"/>
        <v>1.05</v>
      </c>
      <c r="O1078" s="246">
        <f t="shared" si="446"/>
        <v>0.99646608315098462</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87">
        <v>29</v>
      </c>
      <c r="B1079" s="242">
        <f t="shared" si="453"/>
        <v>46508</v>
      </c>
      <c r="C1079" s="243">
        <f t="shared" si="434"/>
        <v>46538</v>
      </c>
      <c r="D1079" s="120">
        <f t="shared" si="435"/>
        <v>31</v>
      </c>
      <c r="E1079" s="120">
        <f t="shared" si="436"/>
        <v>5</v>
      </c>
      <c r="F1079" s="275">
        <f t="shared" si="437"/>
        <v>46523.5</v>
      </c>
      <c r="G1079" s="120">
        <f t="shared" si="438"/>
        <v>24328</v>
      </c>
      <c r="H1079" s="245">
        <f t="shared" si="439"/>
        <v>1</v>
      </c>
      <c r="I1079" s="121">
        <f t="shared" si="440"/>
        <v>1.05</v>
      </c>
      <c r="J1079" s="121">
        <f t="shared" si="441"/>
        <v>1.05</v>
      </c>
      <c r="K1079" s="120">
        <f t="shared" si="442"/>
        <v>0</v>
      </c>
      <c r="L1079" s="120">
        <f t="shared" si="443"/>
        <v>0</v>
      </c>
      <c r="M1079" s="246">
        <f t="shared" si="444"/>
        <v>0</v>
      </c>
      <c r="N1079" s="121">
        <f t="shared" si="445"/>
        <v>1.05</v>
      </c>
      <c r="O1079" s="246">
        <f t="shared" si="446"/>
        <v>0.99746717724288836</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87">
        <v>30</v>
      </c>
      <c r="B1080" s="242">
        <f t="shared" si="453"/>
        <v>46539</v>
      </c>
      <c r="C1080" s="243">
        <f t="shared" si="434"/>
        <v>46568</v>
      </c>
      <c r="D1080" s="120">
        <f t="shared" si="435"/>
        <v>30</v>
      </c>
      <c r="E1080" s="120">
        <f t="shared" si="436"/>
        <v>6</v>
      </c>
      <c r="F1080" s="275">
        <f t="shared" si="437"/>
        <v>46554</v>
      </c>
      <c r="G1080" s="120">
        <f t="shared" si="438"/>
        <v>24329</v>
      </c>
      <c r="H1080" s="245">
        <f t="shared" si="439"/>
        <v>1</v>
      </c>
      <c r="I1080" s="121">
        <f t="shared" si="440"/>
        <v>1.05</v>
      </c>
      <c r="J1080" s="121">
        <f t="shared" si="441"/>
        <v>1.05</v>
      </c>
      <c r="K1080" s="120">
        <f t="shared" si="442"/>
        <v>0</v>
      </c>
      <c r="L1080" s="120">
        <f t="shared" si="443"/>
        <v>0</v>
      </c>
      <c r="M1080" s="246">
        <f t="shared" si="444"/>
        <v>0</v>
      </c>
      <c r="N1080" s="121">
        <f t="shared" si="445"/>
        <v>1.05</v>
      </c>
      <c r="O1080" s="246">
        <f t="shared" si="446"/>
        <v>0.9984682713347921</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87">
        <v>31</v>
      </c>
      <c r="B1081" s="242">
        <f t="shared" si="453"/>
        <v>46569</v>
      </c>
      <c r="C1081" s="243">
        <f t="shared" si="434"/>
        <v>46599</v>
      </c>
      <c r="D1081" s="120">
        <f t="shared" si="435"/>
        <v>31</v>
      </c>
      <c r="E1081" s="120">
        <f t="shared" si="436"/>
        <v>7</v>
      </c>
      <c r="F1081" s="275">
        <f t="shared" si="437"/>
        <v>46584.5</v>
      </c>
      <c r="G1081" s="120">
        <f t="shared" si="438"/>
        <v>24330</v>
      </c>
      <c r="H1081" s="245">
        <f t="shared" si="439"/>
        <v>1</v>
      </c>
      <c r="I1081" s="121">
        <f t="shared" si="440"/>
        <v>1.05</v>
      </c>
      <c r="J1081" s="121">
        <f t="shared" si="441"/>
        <v>1.05</v>
      </c>
      <c r="K1081" s="120">
        <f t="shared" si="442"/>
        <v>0</v>
      </c>
      <c r="L1081" s="120">
        <f t="shared" si="443"/>
        <v>0</v>
      </c>
      <c r="M1081" s="246">
        <f t="shared" si="444"/>
        <v>0</v>
      </c>
      <c r="N1081" s="121">
        <f t="shared" si="445"/>
        <v>1.05</v>
      </c>
      <c r="O1081" s="246">
        <f t="shared" si="446"/>
        <v>0.99946936542669573</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87">
        <v>32</v>
      </c>
      <c r="B1082" s="242">
        <f t="shared" si="453"/>
        <v>46600</v>
      </c>
      <c r="C1082" s="243">
        <f t="shared" si="434"/>
        <v>46630</v>
      </c>
      <c r="D1082" s="120">
        <f t="shared" si="435"/>
        <v>31</v>
      </c>
      <c r="E1082" s="120">
        <f t="shared" si="436"/>
        <v>8</v>
      </c>
      <c r="F1082" s="275">
        <f t="shared" si="437"/>
        <v>46615.5</v>
      </c>
      <c r="G1082" s="120">
        <f t="shared" si="438"/>
        <v>24331</v>
      </c>
      <c r="H1082" s="245">
        <f t="shared" si="439"/>
        <v>1</v>
      </c>
      <c r="I1082" s="121">
        <f t="shared" si="440"/>
        <v>1.05</v>
      </c>
      <c r="J1082" s="121">
        <f t="shared" si="441"/>
        <v>1.05</v>
      </c>
      <c r="K1082" s="120">
        <f t="shared" si="442"/>
        <v>0</v>
      </c>
      <c r="L1082" s="120">
        <f t="shared" si="443"/>
        <v>0</v>
      </c>
      <c r="M1082" s="246">
        <f t="shared" si="444"/>
        <v>0</v>
      </c>
      <c r="N1082" s="121">
        <f t="shared" si="445"/>
        <v>1.05</v>
      </c>
      <c r="O1082" s="246">
        <f t="shared" si="446"/>
        <v>1.0004868708971553</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87">
        <v>33</v>
      </c>
      <c r="B1083" s="242">
        <f t="shared" si="453"/>
        <v>46631</v>
      </c>
      <c r="C1083" s="243">
        <f t="shared" si="434"/>
        <v>46660</v>
      </c>
      <c r="D1083" s="120">
        <f t="shared" si="435"/>
        <v>30</v>
      </c>
      <c r="E1083" s="120">
        <f t="shared" si="436"/>
        <v>9</v>
      </c>
      <c r="F1083" s="275">
        <f t="shared" si="437"/>
        <v>46646</v>
      </c>
      <c r="G1083" s="120">
        <f t="shared" si="438"/>
        <v>24332</v>
      </c>
      <c r="H1083" s="245">
        <f t="shared" si="439"/>
        <v>1</v>
      </c>
      <c r="I1083" s="121">
        <f t="shared" si="440"/>
        <v>1.05</v>
      </c>
      <c r="J1083" s="121">
        <f t="shared" si="441"/>
        <v>1.05</v>
      </c>
      <c r="K1083" s="120">
        <f t="shared" si="442"/>
        <v>0</v>
      </c>
      <c r="L1083" s="120">
        <f t="shared" si="443"/>
        <v>0</v>
      </c>
      <c r="M1083" s="246">
        <f t="shared" si="444"/>
        <v>0</v>
      </c>
      <c r="N1083" s="121">
        <f t="shared" si="445"/>
        <v>1.05</v>
      </c>
      <c r="O1083" s="246">
        <f t="shared" si="446"/>
        <v>1.0014879649890589</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87">
        <v>34</v>
      </c>
      <c r="B1084" s="242">
        <f t="shared" si="453"/>
        <v>46661</v>
      </c>
      <c r="C1084" s="243">
        <f t="shared" si="434"/>
        <v>46691</v>
      </c>
      <c r="D1084" s="120">
        <f t="shared" si="435"/>
        <v>31</v>
      </c>
      <c r="E1084" s="120">
        <f t="shared" si="436"/>
        <v>10</v>
      </c>
      <c r="F1084" s="275">
        <f t="shared" si="437"/>
        <v>46676.5</v>
      </c>
      <c r="G1084" s="120">
        <f t="shared" si="438"/>
        <v>24333</v>
      </c>
      <c r="H1084" s="245">
        <f t="shared" si="439"/>
        <v>1</v>
      </c>
      <c r="I1084" s="121">
        <f t="shared" si="440"/>
        <v>1.05</v>
      </c>
      <c r="J1084" s="121">
        <f t="shared" si="441"/>
        <v>1.05</v>
      </c>
      <c r="K1084" s="120">
        <f t="shared" si="442"/>
        <v>0</v>
      </c>
      <c r="L1084" s="120">
        <f t="shared" si="443"/>
        <v>0</v>
      </c>
      <c r="M1084" s="246">
        <f t="shared" si="444"/>
        <v>0</v>
      </c>
      <c r="N1084" s="121">
        <f t="shared" si="445"/>
        <v>1.05</v>
      </c>
      <c r="O1084" s="246">
        <f t="shared" si="446"/>
        <v>1.0024890590809628</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87">
        <v>35</v>
      </c>
      <c r="B1085" s="242">
        <f t="shared" si="453"/>
        <v>46692</v>
      </c>
      <c r="C1085" s="243">
        <f t="shared" si="434"/>
        <v>46721</v>
      </c>
      <c r="D1085" s="120">
        <f t="shared" si="435"/>
        <v>30</v>
      </c>
      <c r="E1085" s="120">
        <f t="shared" si="436"/>
        <v>11</v>
      </c>
      <c r="F1085" s="275">
        <f t="shared" si="437"/>
        <v>46707</v>
      </c>
      <c r="G1085" s="120">
        <f t="shared" si="438"/>
        <v>24334</v>
      </c>
      <c r="H1085" s="245">
        <f t="shared" si="439"/>
        <v>1</v>
      </c>
      <c r="I1085" s="121">
        <f t="shared" si="440"/>
        <v>1.05</v>
      </c>
      <c r="J1085" s="121">
        <f t="shared" si="441"/>
        <v>1.05</v>
      </c>
      <c r="K1085" s="120">
        <f t="shared" si="442"/>
        <v>0</v>
      </c>
      <c r="L1085" s="120">
        <f t="shared" si="443"/>
        <v>0</v>
      </c>
      <c r="M1085" s="246">
        <f t="shared" si="444"/>
        <v>0</v>
      </c>
      <c r="N1085" s="121">
        <f t="shared" si="445"/>
        <v>1.05</v>
      </c>
      <c r="O1085" s="246">
        <f t="shared" si="446"/>
        <v>1.0034901531728664</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87">
        <v>36</v>
      </c>
      <c r="B1086" s="242">
        <f t="shared" si="453"/>
        <v>46722</v>
      </c>
      <c r="C1086" s="243">
        <f t="shared" si="434"/>
        <v>46752</v>
      </c>
      <c r="D1086" s="120">
        <f t="shared" si="435"/>
        <v>31</v>
      </c>
      <c r="E1086" s="120">
        <f t="shared" si="436"/>
        <v>12</v>
      </c>
      <c r="F1086" s="275">
        <f t="shared" si="437"/>
        <v>46737.5</v>
      </c>
      <c r="G1086" s="120">
        <f t="shared" si="438"/>
        <v>24335</v>
      </c>
      <c r="H1086" s="245">
        <f t="shared" si="439"/>
        <v>1</v>
      </c>
      <c r="I1086" s="121">
        <f t="shared" si="440"/>
        <v>1.05</v>
      </c>
      <c r="J1086" s="121">
        <f t="shared" si="441"/>
        <v>1.05</v>
      </c>
      <c r="K1086" s="120">
        <f t="shared" si="442"/>
        <v>0</v>
      </c>
      <c r="L1086" s="120">
        <f t="shared" si="443"/>
        <v>0</v>
      </c>
      <c r="M1086" s="246">
        <f t="shared" si="444"/>
        <v>0</v>
      </c>
      <c r="N1086" s="121">
        <f t="shared" si="445"/>
        <v>1.05</v>
      </c>
      <c r="O1086" s="246">
        <f t="shared" si="446"/>
        <v>1.0044912472647702</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87">
        <v>37</v>
      </c>
      <c r="B1087" s="242">
        <f t="shared" si="453"/>
        <v>46753</v>
      </c>
      <c r="C1087" s="243">
        <f t="shared" si="434"/>
        <v>46783</v>
      </c>
      <c r="D1087" s="120">
        <f t="shared" si="435"/>
        <v>31</v>
      </c>
      <c r="E1087" s="120">
        <f t="shared" si="436"/>
        <v>1</v>
      </c>
      <c r="F1087" s="275">
        <f t="shared" si="437"/>
        <v>46768.5</v>
      </c>
      <c r="G1087" s="120">
        <f t="shared" si="438"/>
        <v>24336</v>
      </c>
      <c r="H1087" s="245">
        <f t="shared" si="439"/>
        <v>1</v>
      </c>
      <c r="I1087" s="121">
        <f t="shared" si="440"/>
        <v>1.05</v>
      </c>
      <c r="J1087" s="121">
        <f t="shared" si="441"/>
        <v>1.05</v>
      </c>
      <c r="K1087" s="120">
        <f t="shared" si="442"/>
        <v>0</v>
      </c>
      <c r="L1087" s="120">
        <f t="shared" si="443"/>
        <v>0</v>
      </c>
      <c r="M1087" s="246">
        <f t="shared" si="444"/>
        <v>0</v>
      </c>
      <c r="N1087" s="121">
        <f t="shared" si="445"/>
        <v>1.05</v>
      </c>
      <c r="O1087" s="246">
        <f t="shared" si="446"/>
        <v>1.0049999999999999</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87">
        <v>38</v>
      </c>
      <c r="B1088" s="242">
        <f t="shared" si="453"/>
        <v>46784</v>
      </c>
      <c r="C1088" s="243">
        <f t="shared" si="434"/>
        <v>46812</v>
      </c>
      <c r="D1088" s="120">
        <f t="shared" si="435"/>
        <v>29</v>
      </c>
      <c r="E1088" s="120">
        <f t="shared" si="436"/>
        <v>2</v>
      </c>
      <c r="F1088" s="275">
        <f t="shared" si="437"/>
        <v>46798.5</v>
      </c>
      <c r="G1088" s="120">
        <f t="shared" si="438"/>
        <v>24337</v>
      </c>
      <c r="H1088" s="245">
        <f t="shared" si="439"/>
        <v>1</v>
      </c>
      <c r="I1088" s="121">
        <f t="shared" si="440"/>
        <v>1.05</v>
      </c>
      <c r="J1088" s="121">
        <f t="shared" si="441"/>
        <v>1.05</v>
      </c>
      <c r="K1088" s="120">
        <f t="shared" si="442"/>
        <v>0</v>
      </c>
      <c r="L1088" s="120">
        <f t="shared" si="443"/>
        <v>0</v>
      </c>
      <c r="M1088" s="246">
        <f t="shared" si="444"/>
        <v>0</v>
      </c>
      <c r="N1088" s="121">
        <f t="shared" si="445"/>
        <v>1.05</v>
      </c>
      <c r="O1088" s="246">
        <f t="shared" si="446"/>
        <v>1.0049999999999999</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87">
        <v>39</v>
      </c>
      <c r="B1089" s="242">
        <f t="shared" si="453"/>
        <v>46813</v>
      </c>
      <c r="C1089" s="243">
        <f t="shared" si="434"/>
        <v>46843</v>
      </c>
      <c r="D1089" s="120">
        <f t="shared" si="435"/>
        <v>31</v>
      </c>
      <c r="E1089" s="120">
        <f t="shared" si="436"/>
        <v>3</v>
      </c>
      <c r="F1089" s="275">
        <f t="shared" si="437"/>
        <v>46828.5</v>
      </c>
      <c r="G1089" s="120">
        <f t="shared" si="438"/>
        <v>24338</v>
      </c>
      <c r="H1089" s="245">
        <f t="shared" si="439"/>
        <v>1</v>
      </c>
      <c r="I1089" s="121">
        <f t="shared" si="440"/>
        <v>1.05</v>
      </c>
      <c r="J1089" s="121">
        <f t="shared" si="441"/>
        <v>1.05</v>
      </c>
      <c r="K1089" s="120">
        <f t="shared" si="442"/>
        <v>0</v>
      </c>
      <c r="L1089" s="120">
        <f t="shared" si="443"/>
        <v>0</v>
      </c>
      <c r="M1089" s="246">
        <f t="shared" si="444"/>
        <v>0</v>
      </c>
      <c r="N1089" s="121">
        <f t="shared" si="445"/>
        <v>1.05</v>
      </c>
      <c r="O1089" s="246">
        <f t="shared" si="446"/>
        <v>1.0049999999999999</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87">
        <v>40</v>
      </c>
      <c r="B1090" s="242">
        <f t="shared" si="453"/>
        <v>46844</v>
      </c>
      <c r="C1090" s="243">
        <f t="shared" si="434"/>
        <v>46873</v>
      </c>
      <c r="D1090" s="120">
        <f t="shared" si="435"/>
        <v>30</v>
      </c>
      <c r="E1090" s="120">
        <f t="shared" si="436"/>
        <v>4</v>
      </c>
      <c r="F1090" s="275">
        <f t="shared" si="437"/>
        <v>46859</v>
      </c>
      <c r="G1090" s="120">
        <f t="shared" si="438"/>
        <v>24339</v>
      </c>
      <c r="H1090" s="245">
        <f t="shared" si="439"/>
        <v>1</v>
      </c>
      <c r="I1090" s="121">
        <f t="shared" si="440"/>
        <v>1.05</v>
      </c>
      <c r="J1090" s="121">
        <f t="shared" si="441"/>
        <v>1.05</v>
      </c>
      <c r="K1090" s="120">
        <f t="shared" si="442"/>
        <v>0</v>
      </c>
      <c r="L1090" s="120">
        <f t="shared" si="443"/>
        <v>0</v>
      </c>
      <c r="M1090" s="246">
        <f t="shared" si="444"/>
        <v>0</v>
      </c>
      <c r="N1090" s="121">
        <f t="shared" si="445"/>
        <v>1.05</v>
      </c>
      <c r="O1090" s="246">
        <f t="shared" si="446"/>
        <v>1.0049999999999999</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87">
        <v>41</v>
      </c>
      <c r="B1091" s="242">
        <f t="shared" si="453"/>
        <v>46874</v>
      </c>
      <c r="C1091" s="243">
        <f t="shared" si="434"/>
        <v>46904</v>
      </c>
      <c r="D1091" s="120">
        <f t="shared" si="435"/>
        <v>31</v>
      </c>
      <c r="E1091" s="120">
        <f t="shared" si="436"/>
        <v>5</v>
      </c>
      <c r="F1091" s="275">
        <f t="shared" si="437"/>
        <v>46889.5</v>
      </c>
      <c r="G1091" s="120">
        <f t="shared" si="438"/>
        <v>24340</v>
      </c>
      <c r="H1091" s="245">
        <f t="shared" si="439"/>
        <v>1</v>
      </c>
      <c r="I1091" s="121">
        <f t="shared" si="440"/>
        <v>1.05</v>
      </c>
      <c r="J1091" s="121">
        <f t="shared" si="441"/>
        <v>1.05</v>
      </c>
      <c r="K1091" s="120">
        <f t="shared" si="442"/>
        <v>0</v>
      </c>
      <c r="L1091" s="120">
        <f t="shared" si="443"/>
        <v>0</v>
      </c>
      <c r="M1091" s="246">
        <f t="shared" si="444"/>
        <v>0</v>
      </c>
      <c r="N1091" s="121">
        <f t="shared" si="445"/>
        <v>1.05</v>
      </c>
      <c r="O1091" s="246">
        <f t="shared" si="446"/>
        <v>1.0049999999999999</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87">
        <v>42</v>
      </c>
      <c r="B1092" s="242">
        <f t="shared" si="453"/>
        <v>46905</v>
      </c>
      <c r="C1092" s="243">
        <f t="shared" si="434"/>
        <v>46934</v>
      </c>
      <c r="D1092" s="120">
        <f t="shared" si="435"/>
        <v>30</v>
      </c>
      <c r="E1092" s="120">
        <f t="shared" si="436"/>
        <v>6</v>
      </c>
      <c r="F1092" s="275">
        <f t="shared" si="437"/>
        <v>46920</v>
      </c>
      <c r="G1092" s="120">
        <f t="shared" si="438"/>
        <v>24341</v>
      </c>
      <c r="H1092" s="245">
        <f t="shared" si="439"/>
        <v>1</v>
      </c>
      <c r="I1092" s="121">
        <f t="shared" si="440"/>
        <v>1.05</v>
      </c>
      <c r="J1092" s="121">
        <f t="shared" si="441"/>
        <v>1.05</v>
      </c>
      <c r="K1092" s="120">
        <f t="shared" si="442"/>
        <v>0</v>
      </c>
      <c r="L1092" s="120">
        <f t="shared" si="443"/>
        <v>0</v>
      </c>
      <c r="M1092" s="246">
        <f t="shared" si="444"/>
        <v>0</v>
      </c>
      <c r="N1092" s="121">
        <f t="shared" si="445"/>
        <v>1.05</v>
      </c>
      <c r="O1092" s="246">
        <f t="shared" si="446"/>
        <v>1.0049999999999999</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87">
        <v>43</v>
      </c>
      <c r="B1093" s="242">
        <f t="shared" si="453"/>
        <v>46935</v>
      </c>
      <c r="C1093" s="243">
        <f t="shared" si="434"/>
        <v>46965</v>
      </c>
      <c r="D1093" s="120">
        <f t="shared" si="435"/>
        <v>31</v>
      </c>
      <c r="E1093" s="120">
        <f t="shared" si="436"/>
        <v>7</v>
      </c>
      <c r="F1093" s="275">
        <f t="shared" si="437"/>
        <v>46950.5</v>
      </c>
      <c r="G1093" s="120">
        <f t="shared" si="438"/>
        <v>24342</v>
      </c>
      <c r="H1093" s="245">
        <f t="shared" si="439"/>
        <v>1</v>
      </c>
      <c r="I1093" s="121">
        <f t="shared" si="440"/>
        <v>1.05</v>
      </c>
      <c r="J1093" s="121">
        <f t="shared" si="441"/>
        <v>1.05</v>
      </c>
      <c r="K1093" s="120">
        <f t="shared" si="442"/>
        <v>0</v>
      </c>
      <c r="L1093" s="120">
        <f t="shared" si="443"/>
        <v>0</v>
      </c>
      <c r="M1093" s="246">
        <f t="shared" si="444"/>
        <v>0</v>
      </c>
      <c r="N1093" s="121">
        <f t="shared" si="445"/>
        <v>1.05</v>
      </c>
      <c r="O1093" s="246">
        <f t="shared" si="446"/>
        <v>1.0049999999999999</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87">
        <v>44</v>
      </c>
      <c r="B1094" s="242">
        <f t="shared" si="453"/>
        <v>46966</v>
      </c>
      <c r="C1094" s="243">
        <f t="shared" si="434"/>
        <v>46996</v>
      </c>
      <c r="D1094" s="120">
        <f t="shared" si="435"/>
        <v>31</v>
      </c>
      <c r="E1094" s="120">
        <f t="shared" si="436"/>
        <v>8</v>
      </c>
      <c r="F1094" s="275">
        <f t="shared" si="437"/>
        <v>46981.5</v>
      </c>
      <c r="G1094" s="120">
        <f t="shared" si="438"/>
        <v>24343</v>
      </c>
      <c r="H1094" s="245">
        <f t="shared" si="439"/>
        <v>1</v>
      </c>
      <c r="I1094" s="121">
        <f t="shared" si="440"/>
        <v>1.05</v>
      </c>
      <c r="J1094" s="121">
        <f t="shared" si="441"/>
        <v>1.05</v>
      </c>
      <c r="K1094" s="120">
        <f t="shared" si="442"/>
        <v>0</v>
      </c>
      <c r="L1094" s="120">
        <f t="shared" si="443"/>
        <v>0</v>
      </c>
      <c r="M1094" s="246">
        <f t="shared" si="444"/>
        <v>0</v>
      </c>
      <c r="N1094" s="121">
        <f t="shared" si="445"/>
        <v>1.05</v>
      </c>
      <c r="O1094" s="246">
        <f t="shared" si="446"/>
        <v>1.0049999999999999</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87">
        <v>45</v>
      </c>
      <c r="B1095" s="242">
        <f t="shared" si="453"/>
        <v>46997</v>
      </c>
      <c r="C1095" s="243">
        <f t="shared" si="434"/>
        <v>47026</v>
      </c>
      <c r="D1095" s="120">
        <f t="shared" si="435"/>
        <v>30</v>
      </c>
      <c r="E1095" s="120">
        <f t="shared" si="436"/>
        <v>9</v>
      </c>
      <c r="F1095" s="275">
        <f t="shared" si="437"/>
        <v>47012</v>
      </c>
      <c r="G1095" s="120">
        <f t="shared" si="438"/>
        <v>24344</v>
      </c>
      <c r="H1095" s="245">
        <f t="shared" si="439"/>
        <v>1</v>
      </c>
      <c r="I1095" s="121">
        <f t="shared" si="440"/>
        <v>1.05</v>
      </c>
      <c r="J1095" s="121">
        <f t="shared" si="441"/>
        <v>1.05</v>
      </c>
      <c r="K1095" s="120">
        <f t="shared" si="442"/>
        <v>0</v>
      </c>
      <c r="L1095" s="120">
        <f t="shared" si="443"/>
        <v>0</v>
      </c>
      <c r="M1095" s="246">
        <f t="shared" si="444"/>
        <v>0</v>
      </c>
      <c r="N1095" s="121">
        <f t="shared" si="445"/>
        <v>1.05</v>
      </c>
      <c r="O1095" s="246">
        <f t="shared" si="446"/>
        <v>1.0049999999999999</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87">
        <v>46</v>
      </c>
      <c r="B1096" s="242">
        <f t="shared" si="453"/>
        <v>47027</v>
      </c>
      <c r="C1096" s="243">
        <f t="shared" si="434"/>
        <v>47057</v>
      </c>
      <c r="D1096" s="120">
        <f t="shared" si="435"/>
        <v>31</v>
      </c>
      <c r="E1096" s="120">
        <f t="shared" si="436"/>
        <v>10</v>
      </c>
      <c r="F1096" s="275">
        <f t="shared" si="437"/>
        <v>47042.5</v>
      </c>
      <c r="G1096" s="120">
        <f t="shared" si="438"/>
        <v>24345</v>
      </c>
      <c r="H1096" s="245">
        <f t="shared" si="439"/>
        <v>1</v>
      </c>
      <c r="I1096" s="121">
        <f t="shared" si="440"/>
        <v>1.05</v>
      </c>
      <c r="J1096" s="121">
        <f t="shared" si="441"/>
        <v>1.05</v>
      </c>
      <c r="K1096" s="120">
        <f t="shared" si="442"/>
        <v>0</v>
      </c>
      <c r="L1096" s="120">
        <f t="shared" si="443"/>
        <v>0</v>
      </c>
      <c r="M1096" s="246">
        <f t="shared" si="444"/>
        <v>0</v>
      </c>
      <c r="N1096" s="121">
        <f t="shared" si="445"/>
        <v>1.05</v>
      </c>
      <c r="O1096" s="246">
        <f t="shared" si="446"/>
        <v>1.0049999999999999</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87">
        <v>47</v>
      </c>
      <c r="B1097" s="242">
        <f t="shared" si="453"/>
        <v>47058</v>
      </c>
      <c r="C1097" s="243">
        <f t="shared" si="434"/>
        <v>47087</v>
      </c>
      <c r="D1097" s="120">
        <f t="shared" si="435"/>
        <v>30</v>
      </c>
      <c r="E1097" s="120">
        <f t="shared" si="436"/>
        <v>11</v>
      </c>
      <c r="F1097" s="275">
        <f t="shared" si="437"/>
        <v>47073</v>
      </c>
      <c r="G1097" s="120">
        <f t="shared" si="438"/>
        <v>24346</v>
      </c>
      <c r="H1097" s="245">
        <f t="shared" si="439"/>
        <v>1</v>
      </c>
      <c r="I1097" s="121">
        <f t="shared" si="440"/>
        <v>1.05</v>
      </c>
      <c r="J1097" s="121">
        <f t="shared" si="441"/>
        <v>1.05</v>
      </c>
      <c r="K1097" s="120">
        <f t="shared" si="442"/>
        <v>0</v>
      </c>
      <c r="L1097" s="120">
        <f t="shared" si="443"/>
        <v>0</v>
      </c>
      <c r="M1097" s="246">
        <f t="shared" si="444"/>
        <v>0</v>
      </c>
      <c r="N1097" s="121">
        <f t="shared" si="445"/>
        <v>1.05</v>
      </c>
      <c r="O1097" s="246">
        <f t="shared" si="446"/>
        <v>1.0049999999999999</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87">
        <v>48</v>
      </c>
      <c r="B1098" s="242">
        <f t="shared" si="453"/>
        <v>47088</v>
      </c>
      <c r="C1098" s="243">
        <f t="shared" si="434"/>
        <v>47118</v>
      </c>
      <c r="D1098" s="120">
        <f t="shared" si="435"/>
        <v>31</v>
      </c>
      <c r="E1098" s="120">
        <f t="shared" si="436"/>
        <v>12</v>
      </c>
      <c r="F1098" s="275">
        <f t="shared" si="437"/>
        <v>47103.5</v>
      </c>
      <c r="G1098" s="120">
        <f t="shared" si="438"/>
        <v>24347</v>
      </c>
      <c r="H1098" s="245">
        <f t="shared" si="439"/>
        <v>1</v>
      </c>
      <c r="I1098" s="121">
        <f t="shared" si="440"/>
        <v>1.05</v>
      </c>
      <c r="J1098" s="121">
        <f t="shared" si="441"/>
        <v>1.05</v>
      </c>
      <c r="K1098" s="120">
        <f t="shared" si="442"/>
        <v>0</v>
      </c>
      <c r="L1098" s="120">
        <f t="shared" si="443"/>
        <v>0</v>
      </c>
      <c r="M1098" s="246">
        <f t="shared" si="444"/>
        <v>0</v>
      </c>
      <c r="N1098" s="121">
        <f t="shared" si="445"/>
        <v>1.05</v>
      </c>
      <c r="O1098" s="246">
        <f t="shared" si="446"/>
        <v>1.0049999999999999</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1651</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24">
        <f>SUMPRODUCT($H$1051:$H$1098,$Q$1051:$Q$1098,$O$1051:$O$1098)/SUMPRODUCT($H$1051:$H$1098,$Q$1051:$Q$1098)</f>
        <v>0.99299370897155337</v>
      </c>
      <c r="G1099" s="224">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24">
        <f>IF(N(INDEX(lr_mind,20))=0,1,INDEX(lr_mind,20))</f>
        <v>1</v>
      </c>
      <c r="G1102" s="224">
        <f>IF(N(INDEX(lr_m0,20))=0,1,INDEX(lr_m0,20))</f>
        <v>0.99</v>
      </c>
      <c r="H1102" s="74">
        <f>IF(N(INDEX(lr_m0asof,20))=0,DATE(nr_PlanYear-1,10,1),INDEX(lr_m0asof,20))</f>
        <v>46295</v>
      </c>
      <c r="I1102" s="224">
        <f>IF(N(INDEX(lr_m1,20))=0,1,INDEX(lr_m1,20))</f>
        <v>0.98499999999999999</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54">EOMONTH($B1105,0)</f>
        <v>45688</v>
      </c>
      <c r="D1105" s="120">
        <f t="shared" ref="D1105:D1152" si="455">$C1105-$B1105+1</f>
        <v>31</v>
      </c>
      <c r="E1105" s="120">
        <f t="shared" ref="E1105:E1152" si="456">MONTH($B1105)</f>
        <v>1</v>
      </c>
      <c r="F1105" s="275">
        <f t="shared" ref="F1105:F1152" si="457">($B1105+$C1105+1)/2</f>
        <v>45673.5</v>
      </c>
      <c r="G1105" s="120">
        <f t="shared" ref="G1105:G1152" si="458">YEAR($B1105)*12+MONTH($B1105)-1</f>
        <v>24300</v>
      </c>
      <c r="H1105" s="245">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46">
        <f t="shared" ref="M1105:M1152" si="464">IF($K1105=0,0,MIN(1,$L1105/$D1105))</f>
        <v>0</v>
      </c>
      <c r="N1105" s="121">
        <f t="shared" ref="N1105:N1152" si="465">IF($K1105=0,$J1105,(1-$M1105)*$I1105+$M1105*$J1105)</f>
        <v>1</v>
      </c>
      <c r="O1105" s="246">
        <f t="shared" ref="O1105:O1152" si="466">IF($F1105&lt;$B$1103,$E$1103+$I$1103*($F1105-$A$1103),IF($F1105&lt;$C$1103,$F$1103+$J$1103*($F1105-$B$1103),$G$1103+$K$1103*($F1105-$C$1103)))</f>
        <v>0.99681072210065647</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87">
        <v>2</v>
      </c>
      <c r="B1106" s="242">
        <f t="shared" ref="B1106:B1152" si="473">EDATE($B1105,1)</f>
        <v>45689</v>
      </c>
      <c r="C1106" s="243">
        <f t="shared" si="454"/>
        <v>45716</v>
      </c>
      <c r="D1106" s="120">
        <f t="shared" si="455"/>
        <v>28</v>
      </c>
      <c r="E1106" s="120">
        <f t="shared" si="456"/>
        <v>2</v>
      </c>
      <c r="F1106" s="275">
        <f t="shared" si="457"/>
        <v>45703</v>
      </c>
      <c r="G1106" s="120">
        <f t="shared" si="458"/>
        <v>24301</v>
      </c>
      <c r="H1106" s="245">
        <f t="shared" si="459"/>
        <v>1</v>
      </c>
      <c r="I1106" s="121">
        <f t="shared" si="460"/>
        <v>1</v>
      </c>
      <c r="J1106" s="121">
        <f t="shared" si="461"/>
        <v>1</v>
      </c>
      <c r="K1106" s="120">
        <f t="shared" si="462"/>
        <v>0</v>
      </c>
      <c r="L1106" s="120">
        <f t="shared" si="463"/>
        <v>0</v>
      </c>
      <c r="M1106" s="246">
        <f t="shared" si="464"/>
        <v>0</v>
      </c>
      <c r="N1106" s="121">
        <f t="shared" si="465"/>
        <v>1</v>
      </c>
      <c r="O1106" s="246">
        <f t="shared" si="466"/>
        <v>0.99648796498905901</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87">
        <v>3</v>
      </c>
      <c r="B1107" s="242">
        <f t="shared" si="473"/>
        <v>45717</v>
      </c>
      <c r="C1107" s="243">
        <f t="shared" si="454"/>
        <v>45747</v>
      </c>
      <c r="D1107" s="120">
        <f t="shared" si="455"/>
        <v>31</v>
      </c>
      <c r="E1107" s="120">
        <f t="shared" si="456"/>
        <v>3</v>
      </c>
      <c r="F1107" s="275">
        <f t="shared" si="457"/>
        <v>45732.5</v>
      </c>
      <c r="G1107" s="120">
        <f t="shared" si="458"/>
        <v>24302</v>
      </c>
      <c r="H1107" s="245">
        <f t="shared" si="459"/>
        <v>1</v>
      </c>
      <c r="I1107" s="121">
        <f t="shared" si="460"/>
        <v>1</v>
      </c>
      <c r="J1107" s="121">
        <f t="shared" si="461"/>
        <v>1</v>
      </c>
      <c r="K1107" s="120">
        <f t="shared" si="462"/>
        <v>0</v>
      </c>
      <c r="L1107" s="120">
        <f t="shared" si="463"/>
        <v>0</v>
      </c>
      <c r="M1107" s="246">
        <f t="shared" si="464"/>
        <v>0</v>
      </c>
      <c r="N1107" s="121">
        <f t="shared" si="465"/>
        <v>1</v>
      </c>
      <c r="O1107" s="246">
        <f t="shared" si="466"/>
        <v>0.99616520787746166</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87">
        <v>4</v>
      </c>
      <c r="B1108" s="242">
        <f t="shared" si="473"/>
        <v>45748</v>
      </c>
      <c r="C1108" s="243">
        <f t="shared" si="454"/>
        <v>45777</v>
      </c>
      <c r="D1108" s="120">
        <f t="shared" si="455"/>
        <v>30</v>
      </c>
      <c r="E1108" s="120">
        <f t="shared" si="456"/>
        <v>4</v>
      </c>
      <c r="F1108" s="275">
        <f t="shared" si="457"/>
        <v>45763</v>
      </c>
      <c r="G1108" s="120">
        <f t="shared" si="458"/>
        <v>24303</v>
      </c>
      <c r="H1108" s="245">
        <f t="shared" si="459"/>
        <v>1</v>
      </c>
      <c r="I1108" s="121">
        <f t="shared" si="460"/>
        <v>1</v>
      </c>
      <c r="J1108" s="121">
        <f t="shared" si="461"/>
        <v>1</v>
      </c>
      <c r="K1108" s="120">
        <f t="shared" si="462"/>
        <v>0</v>
      </c>
      <c r="L1108" s="120">
        <f t="shared" si="463"/>
        <v>0</v>
      </c>
      <c r="M1108" s="246">
        <f t="shared" si="464"/>
        <v>0</v>
      </c>
      <c r="N1108" s="121">
        <f t="shared" si="465"/>
        <v>1</v>
      </c>
      <c r="O1108" s="246">
        <f t="shared" si="466"/>
        <v>0.99583150984682711</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87">
        <v>5</v>
      </c>
      <c r="B1109" s="242">
        <f t="shared" si="473"/>
        <v>45778</v>
      </c>
      <c r="C1109" s="243">
        <f t="shared" si="454"/>
        <v>45808</v>
      </c>
      <c r="D1109" s="120">
        <f t="shared" si="455"/>
        <v>31</v>
      </c>
      <c r="E1109" s="120">
        <f t="shared" si="456"/>
        <v>5</v>
      </c>
      <c r="F1109" s="275">
        <f t="shared" si="457"/>
        <v>45793.5</v>
      </c>
      <c r="G1109" s="120">
        <f t="shared" si="458"/>
        <v>24304</v>
      </c>
      <c r="H1109" s="245">
        <f t="shared" si="459"/>
        <v>1</v>
      </c>
      <c r="I1109" s="121">
        <f t="shared" si="460"/>
        <v>1</v>
      </c>
      <c r="J1109" s="121">
        <f t="shared" si="461"/>
        <v>1</v>
      </c>
      <c r="K1109" s="120">
        <f t="shared" si="462"/>
        <v>0</v>
      </c>
      <c r="L1109" s="120">
        <f t="shared" si="463"/>
        <v>0</v>
      </c>
      <c r="M1109" s="246">
        <f t="shared" si="464"/>
        <v>0</v>
      </c>
      <c r="N1109" s="121">
        <f t="shared" si="465"/>
        <v>1</v>
      </c>
      <c r="O1109" s="246">
        <f t="shared" si="466"/>
        <v>0.99549781181619257</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87">
        <v>6</v>
      </c>
      <c r="B1110" s="242">
        <f t="shared" si="473"/>
        <v>45809</v>
      </c>
      <c r="C1110" s="243">
        <f t="shared" si="454"/>
        <v>45838</v>
      </c>
      <c r="D1110" s="120">
        <f t="shared" si="455"/>
        <v>30</v>
      </c>
      <c r="E1110" s="120">
        <f t="shared" si="456"/>
        <v>6</v>
      </c>
      <c r="F1110" s="275">
        <f t="shared" si="457"/>
        <v>45824</v>
      </c>
      <c r="G1110" s="120">
        <f t="shared" si="458"/>
        <v>24305</v>
      </c>
      <c r="H1110" s="245">
        <f t="shared" si="459"/>
        <v>1</v>
      </c>
      <c r="I1110" s="121">
        <f t="shared" si="460"/>
        <v>1</v>
      </c>
      <c r="J1110" s="121">
        <f t="shared" si="461"/>
        <v>1</v>
      </c>
      <c r="K1110" s="120">
        <f t="shared" si="462"/>
        <v>0</v>
      </c>
      <c r="L1110" s="120">
        <f t="shared" si="463"/>
        <v>0</v>
      </c>
      <c r="M1110" s="246">
        <f t="shared" si="464"/>
        <v>0</v>
      </c>
      <c r="N1110" s="121">
        <f t="shared" si="465"/>
        <v>1</v>
      </c>
      <c r="O1110" s="246">
        <f t="shared" si="466"/>
        <v>0.99516411378555791</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87">
        <v>7</v>
      </c>
      <c r="B1111" s="242">
        <f t="shared" si="473"/>
        <v>45839</v>
      </c>
      <c r="C1111" s="243">
        <f t="shared" si="454"/>
        <v>45869</v>
      </c>
      <c r="D1111" s="120">
        <f t="shared" si="455"/>
        <v>31</v>
      </c>
      <c r="E1111" s="120">
        <f t="shared" si="456"/>
        <v>7</v>
      </c>
      <c r="F1111" s="275">
        <f t="shared" si="457"/>
        <v>45854.5</v>
      </c>
      <c r="G1111" s="120">
        <f t="shared" si="458"/>
        <v>24306</v>
      </c>
      <c r="H1111" s="245">
        <f t="shared" si="459"/>
        <v>1</v>
      </c>
      <c r="I1111" s="121">
        <f t="shared" si="460"/>
        <v>1</v>
      </c>
      <c r="J1111" s="121">
        <f t="shared" si="461"/>
        <v>1</v>
      </c>
      <c r="K1111" s="120">
        <f t="shared" si="462"/>
        <v>0</v>
      </c>
      <c r="L1111" s="120">
        <f t="shared" si="463"/>
        <v>0</v>
      </c>
      <c r="M1111" s="246">
        <f t="shared" si="464"/>
        <v>0</v>
      </c>
      <c r="N1111" s="121">
        <f t="shared" si="465"/>
        <v>1</v>
      </c>
      <c r="O1111" s="246">
        <f t="shared" si="466"/>
        <v>0.99483041575492337</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87">
        <v>8</v>
      </c>
      <c r="B1112" s="242">
        <f t="shared" si="473"/>
        <v>45870</v>
      </c>
      <c r="C1112" s="243">
        <f t="shared" si="454"/>
        <v>45900</v>
      </c>
      <c r="D1112" s="120">
        <f t="shared" si="455"/>
        <v>31</v>
      </c>
      <c r="E1112" s="120">
        <f t="shared" si="456"/>
        <v>8</v>
      </c>
      <c r="F1112" s="275">
        <f t="shared" si="457"/>
        <v>45885.5</v>
      </c>
      <c r="G1112" s="120">
        <f t="shared" si="458"/>
        <v>24307</v>
      </c>
      <c r="H1112" s="245">
        <f t="shared" si="459"/>
        <v>1</v>
      </c>
      <c r="I1112" s="121">
        <f t="shared" si="460"/>
        <v>1</v>
      </c>
      <c r="J1112" s="121">
        <f t="shared" si="461"/>
        <v>1</v>
      </c>
      <c r="K1112" s="120">
        <f t="shared" si="462"/>
        <v>0</v>
      </c>
      <c r="L1112" s="120">
        <f t="shared" si="463"/>
        <v>0</v>
      </c>
      <c r="M1112" s="246">
        <f t="shared" si="464"/>
        <v>0</v>
      </c>
      <c r="N1112" s="121">
        <f t="shared" si="465"/>
        <v>1</v>
      </c>
      <c r="O1112" s="246">
        <f t="shared" si="466"/>
        <v>0.99449124726477023</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87">
        <v>9</v>
      </c>
      <c r="B1113" s="242">
        <f t="shared" si="473"/>
        <v>45901</v>
      </c>
      <c r="C1113" s="243">
        <f t="shared" si="454"/>
        <v>45930</v>
      </c>
      <c r="D1113" s="120">
        <f t="shared" si="455"/>
        <v>30</v>
      </c>
      <c r="E1113" s="120">
        <f t="shared" si="456"/>
        <v>9</v>
      </c>
      <c r="F1113" s="275">
        <f t="shared" si="457"/>
        <v>45916</v>
      </c>
      <c r="G1113" s="120">
        <f t="shared" si="458"/>
        <v>24308</v>
      </c>
      <c r="H1113" s="245">
        <f t="shared" si="459"/>
        <v>1</v>
      </c>
      <c r="I1113" s="121">
        <f t="shared" si="460"/>
        <v>1</v>
      </c>
      <c r="J1113" s="121">
        <f t="shared" si="461"/>
        <v>1</v>
      </c>
      <c r="K1113" s="120">
        <f t="shared" si="462"/>
        <v>0</v>
      </c>
      <c r="L1113" s="120">
        <f t="shared" si="463"/>
        <v>0</v>
      </c>
      <c r="M1113" s="246">
        <f t="shared" si="464"/>
        <v>0</v>
      </c>
      <c r="N1113" s="121">
        <f t="shared" si="465"/>
        <v>1</v>
      </c>
      <c r="O1113" s="246">
        <f t="shared" si="466"/>
        <v>0.99415754923413568</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87">
        <v>10</v>
      </c>
      <c r="B1114" s="242">
        <f t="shared" si="473"/>
        <v>45931</v>
      </c>
      <c r="C1114" s="243">
        <f t="shared" si="454"/>
        <v>45961</v>
      </c>
      <c r="D1114" s="120">
        <f t="shared" si="455"/>
        <v>31</v>
      </c>
      <c r="E1114" s="120">
        <f t="shared" si="456"/>
        <v>10</v>
      </c>
      <c r="F1114" s="275">
        <f t="shared" si="457"/>
        <v>45946.5</v>
      </c>
      <c r="G1114" s="120">
        <f t="shared" si="458"/>
        <v>24309</v>
      </c>
      <c r="H1114" s="245">
        <f t="shared" si="459"/>
        <v>1</v>
      </c>
      <c r="I1114" s="121">
        <f t="shared" si="460"/>
        <v>1</v>
      </c>
      <c r="J1114" s="121">
        <f t="shared" si="461"/>
        <v>1</v>
      </c>
      <c r="K1114" s="120">
        <f t="shared" si="462"/>
        <v>0</v>
      </c>
      <c r="L1114" s="120">
        <f t="shared" si="463"/>
        <v>0</v>
      </c>
      <c r="M1114" s="246">
        <f t="shared" si="464"/>
        <v>0</v>
      </c>
      <c r="N1114" s="121">
        <f t="shared" si="465"/>
        <v>1</v>
      </c>
      <c r="O1114" s="246">
        <f t="shared" si="466"/>
        <v>0.99382385120350103</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87">
        <v>11</v>
      </c>
      <c r="B1115" s="242">
        <f t="shared" si="473"/>
        <v>45962</v>
      </c>
      <c r="C1115" s="243">
        <f t="shared" si="454"/>
        <v>45991</v>
      </c>
      <c r="D1115" s="120">
        <f t="shared" si="455"/>
        <v>30</v>
      </c>
      <c r="E1115" s="120">
        <f t="shared" si="456"/>
        <v>11</v>
      </c>
      <c r="F1115" s="275">
        <f t="shared" si="457"/>
        <v>45977</v>
      </c>
      <c r="G1115" s="120">
        <f t="shared" si="458"/>
        <v>24310</v>
      </c>
      <c r="H1115" s="245">
        <f t="shared" si="459"/>
        <v>1</v>
      </c>
      <c r="I1115" s="121">
        <f t="shared" si="460"/>
        <v>1</v>
      </c>
      <c r="J1115" s="121">
        <f t="shared" si="461"/>
        <v>1</v>
      </c>
      <c r="K1115" s="120">
        <f t="shared" si="462"/>
        <v>0</v>
      </c>
      <c r="L1115" s="120">
        <f t="shared" si="463"/>
        <v>0</v>
      </c>
      <c r="M1115" s="246">
        <f t="shared" si="464"/>
        <v>0</v>
      </c>
      <c r="N1115" s="121">
        <f t="shared" si="465"/>
        <v>1</v>
      </c>
      <c r="O1115" s="246">
        <f t="shared" si="466"/>
        <v>0.99349015317286649</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87">
        <v>12</v>
      </c>
      <c r="B1116" s="242">
        <f t="shared" si="473"/>
        <v>45992</v>
      </c>
      <c r="C1116" s="243">
        <f t="shared" si="454"/>
        <v>46022</v>
      </c>
      <c r="D1116" s="120">
        <f t="shared" si="455"/>
        <v>31</v>
      </c>
      <c r="E1116" s="120">
        <f t="shared" si="456"/>
        <v>12</v>
      </c>
      <c r="F1116" s="275">
        <f t="shared" si="457"/>
        <v>46007.5</v>
      </c>
      <c r="G1116" s="120">
        <f t="shared" si="458"/>
        <v>24311</v>
      </c>
      <c r="H1116" s="245">
        <f t="shared" si="459"/>
        <v>1</v>
      </c>
      <c r="I1116" s="121">
        <f t="shared" si="460"/>
        <v>1</v>
      </c>
      <c r="J1116" s="121">
        <f t="shared" si="461"/>
        <v>1</v>
      </c>
      <c r="K1116" s="120">
        <f t="shared" si="462"/>
        <v>0</v>
      </c>
      <c r="L1116" s="120">
        <f t="shared" si="463"/>
        <v>0</v>
      </c>
      <c r="M1116" s="246">
        <f t="shared" si="464"/>
        <v>0</v>
      </c>
      <c r="N1116" s="121">
        <f t="shared" si="465"/>
        <v>1</v>
      </c>
      <c r="O1116" s="246">
        <f t="shared" si="466"/>
        <v>0.99315645514223194</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87">
        <v>13</v>
      </c>
      <c r="B1117" s="242">
        <f t="shared" si="473"/>
        <v>46023</v>
      </c>
      <c r="C1117" s="243">
        <f t="shared" si="454"/>
        <v>46053</v>
      </c>
      <c r="D1117" s="120">
        <f t="shared" si="455"/>
        <v>31</v>
      </c>
      <c r="E1117" s="120">
        <f t="shared" si="456"/>
        <v>1</v>
      </c>
      <c r="F1117" s="275">
        <f t="shared" si="457"/>
        <v>46038.5</v>
      </c>
      <c r="G1117" s="120">
        <f t="shared" si="458"/>
        <v>24312</v>
      </c>
      <c r="H1117" s="245">
        <f t="shared" si="459"/>
        <v>1</v>
      </c>
      <c r="I1117" s="121">
        <f t="shared" si="460"/>
        <v>1</v>
      </c>
      <c r="J1117" s="121">
        <f t="shared" si="461"/>
        <v>1</v>
      </c>
      <c r="K1117" s="120">
        <f t="shared" si="462"/>
        <v>0</v>
      </c>
      <c r="L1117" s="120">
        <f t="shared" si="463"/>
        <v>0</v>
      </c>
      <c r="M1117" s="246">
        <f t="shared" si="464"/>
        <v>0</v>
      </c>
      <c r="N1117" s="121">
        <f t="shared" si="465"/>
        <v>1</v>
      </c>
      <c r="O1117" s="246">
        <f t="shared" si="466"/>
        <v>0.9928172866520788</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87">
        <v>14</v>
      </c>
      <c r="B1118" s="242">
        <f t="shared" si="473"/>
        <v>46054</v>
      </c>
      <c r="C1118" s="243">
        <f t="shared" si="454"/>
        <v>46081</v>
      </c>
      <c r="D1118" s="120">
        <f t="shared" si="455"/>
        <v>28</v>
      </c>
      <c r="E1118" s="120">
        <f t="shared" si="456"/>
        <v>2</v>
      </c>
      <c r="F1118" s="275">
        <f t="shared" si="457"/>
        <v>46068</v>
      </c>
      <c r="G1118" s="120">
        <f t="shared" si="458"/>
        <v>24313</v>
      </c>
      <c r="H1118" s="245">
        <f t="shared" si="459"/>
        <v>1</v>
      </c>
      <c r="I1118" s="121">
        <f t="shared" si="460"/>
        <v>1</v>
      </c>
      <c r="J1118" s="121">
        <f t="shared" si="461"/>
        <v>1</v>
      </c>
      <c r="K1118" s="120">
        <f t="shared" si="462"/>
        <v>0</v>
      </c>
      <c r="L1118" s="120">
        <f t="shared" si="463"/>
        <v>0</v>
      </c>
      <c r="M1118" s="246">
        <f t="shared" si="464"/>
        <v>0</v>
      </c>
      <c r="N1118" s="121">
        <f t="shared" si="465"/>
        <v>1</v>
      </c>
      <c r="O1118" s="246">
        <f t="shared" si="466"/>
        <v>0.99249452954048134</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87">
        <v>15</v>
      </c>
      <c r="B1119" s="242">
        <f t="shared" si="473"/>
        <v>46082</v>
      </c>
      <c r="C1119" s="243">
        <f t="shared" si="454"/>
        <v>46112</v>
      </c>
      <c r="D1119" s="120">
        <f t="shared" si="455"/>
        <v>31</v>
      </c>
      <c r="E1119" s="120">
        <f t="shared" si="456"/>
        <v>3</v>
      </c>
      <c r="F1119" s="275">
        <f t="shared" si="457"/>
        <v>46097.5</v>
      </c>
      <c r="G1119" s="120">
        <f t="shared" si="458"/>
        <v>24314</v>
      </c>
      <c r="H1119" s="245">
        <f t="shared" si="459"/>
        <v>1</v>
      </c>
      <c r="I1119" s="121">
        <f t="shared" si="460"/>
        <v>1</v>
      </c>
      <c r="J1119" s="121">
        <f t="shared" si="461"/>
        <v>1</v>
      </c>
      <c r="K1119" s="120">
        <f t="shared" si="462"/>
        <v>0</v>
      </c>
      <c r="L1119" s="120">
        <f t="shared" si="463"/>
        <v>0</v>
      </c>
      <c r="M1119" s="246">
        <f t="shared" si="464"/>
        <v>0</v>
      </c>
      <c r="N1119" s="121">
        <f t="shared" si="465"/>
        <v>1</v>
      </c>
      <c r="O1119" s="246">
        <f t="shared" si="466"/>
        <v>0.99217177242888399</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87">
        <v>16</v>
      </c>
      <c r="B1120" s="242">
        <f t="shared" si="473"/>
        <v>46113</v>
      </c>
      <c r="C1120" s="243">
        <f t="shared" si="454"/>
        <v>46142</v>
      </c>
      <c r="D1120" s="120">
        <f t="shared" si="455"/>
        <v>30</v>
      </c>
      <c r="E1120" s="120">
        <f t="shared" si="456"/>
        <v>4</v>
      </c>
      <c r="F1120" s="275">
        <f t="shared" si="457"/>
        <v>46128</v>
      </c>
      <c r="G1120" s="120">
        <f t="shared" si="458"/>
        <v>24315</v>
      </c>
      <c r="H1120" s="245">
        <f t="shared" si="459"/>
        <v>1</v>
      </c>
      <c r="I1120" s="121">
        <f t="shared" si="460"/>
        <v>1</v>
      </c>
      <c r="J1120" s="121">
        <f t="shared" si="461"/>
        <v>1</v>
      </c>
      <c r="K1120" s="120">
        <f t="shared" si="462"/>
        <v>0</v>
      </c>
      <c r="L1120" s="120">
        <f t="shared" si="463"/>
        <v>0</v>
      </c>
      <c r="M1120" s="246">
        <f t="shared" si="464"/>
        <v>0</v>
      </c>
      <c r="N1120" s="121">
        <f t="shared" si="465"/>
        <v>1</v>
      </c>
      <c r="O1120" s="246">
        <f t="shared" si="466"/>
        <v>0.99183807439824945</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87">
        <v>17</v>
      </c>
      <c r="B1121" s="242">
        <f t="shared" si="473"/>
        <v>46143</v>
      </c>
      <c r="C1121" s="243">
        <f t="shared" si="454"/>
        <v>46173</v>
      </c>
      <c r="D1121" s="120">
        <f t="shared" si="455"/>
        <v>31</v>
      </c>
      <c r="E1121" s="120">
        <f t="shared" si="456"/>
        <v>5</v>
      </c>
      <c r="F1121" s="275">
        <f t="shared" si="457"/>
        <v>46158.5</v>
      </c>
      <c r="G1121" s="120">
        <f t="shared" si="458"/>
        <v>24316</v>
      </c>
      <c r="H1121" s="245">
        <f t="shared" si="459"/>
        <v>1</v>
      </c>
      <c r="I1121" s="121">
        <f t="shared" si="460"/>
        <v>1</v>
      </c>
      <c r="J1121" s="121">
        <f t="shared" si="461"/>
        <v>1</v>
      </c>
      <c r="K1121" s="120">
        <f t="shared" si="462"/>
        <v>0</v>
      </c>
      <c r="L1121" s="120">
        <f t="shared" si="463"/>
        <v>0</v>
      </c>
      <c r="M1121" s="246">
        <f t="shared" si="464"/>
        <v>0</v>
      </c>
      <c r="N1121" s="121">
        <f t="shared" si="465"/>
        <v>1</v>
      </c>
      <c r="O1121" s="246">
        <f t="shared" si="466"/>
        <v>0.9915043763676149</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87">
        <v>18</v>
      </c>
      <c r="B1122" s="242">
        <f t="shared" si="473"/>
        <v>46174</v>
      </c>
      <c r="C1122" s="243">
        <f t="shared" si="454"/>
        <v>46203</v>
      </c>
      <c r="D1122" s="120">
        <f t="shared" si="455"/>
        <v>30</v>
      </c>
      <c r="E1122" s="120">
        <f t="shared" si="456"/>
        <v>6</v>
      </c>
      <c r="F1122" s="275">
        <f t="shared" si="457"/>
        <v>46189</v>
      </c>
      <c r="G1122" s="120">
        <f t="shared" si="458"/>
        <v>24317</v>
      </c>
      <c r="H1122" s="245">
        <f t="shared" si="459"/>
        <v>1</v>
      </c>
      <c r="I1122" s="121">
        <f t="shared" si="460"/>
        <v>1</v>
      </c>
      <c r="J1122" s="121">
        <f t="shared" si="461"/>
        <v>1</v>
      </c>
      <c r="K1122" s="120">
        <f t="shared" si="462"/>
        <v>0</v>
      </c>
      <c r="L1122" s="120">
        <f t="shared" si="463"/>
        <v>0</v>
      </c>
      <c r="M1122" s="246">
        <f t="shared" si="464"/>
        <v>0</v>
      </c>
      <c r="N1122" s="121">
        <f t="shared" si="465"/>
        <v>1</v>
      </c>
      <c r="O1122" s="246">
        <f t="shared" si="466"/>
        <v>0.99117067833698025</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87">
        <v>19</v>
      </c>
      <c r="B1123" s="242">
        <f t="shared" si="473"/>
        <v>46204</v>
      </c>
      <c r="C1123" s="243">
        <f t="shared" si="454"/>
        <v>46234</v>
      </c>
      <c r="D1123" s="120">
        <f t="shared" si="455"/>
        <v>31</v>
      </c>
      <c r="E1123" s="120">
        <f t="shared" si="456"/>
        <v>7</v>
      </c>
      <c r="F1123" s="275">
        <f t="shared" si="457"/>
        <v>46219.5</v>
      </c>
      <c r="G1123" s="120">
        <f t="shared" si="458"/>
        <v>24318</v>
      </c>
      <c r="H1123" s="245">
        <f t="shared" si="459"/>
        <v>1</v>
      </c>
      <c r="I1123" s="121">
        <f t="shared" si="460"/>
        <v>1</v>
      </c>
      <c r="J1123" s="121">
        <f t="shared" si="461"/>
        <v>1</v>
      </c>
      <c r="K1123" s="120">
        <f t="shared" si="462"/>
        <v>0</v>
      </c>
      <c r="L1123" s="120">
        <f t="shared" si="463"/>
        <v>0</v>
      </c>
      <c r="M1123" s="246">
        <f t="shared" si="464"/>
        <v>0</v>
      </c>
      <c r="N1123" s="121">
        <f t="shared" si="465"/>
        <v>1</v>
      </c>
      <c r="O1123" s="246">
        <f t="shared" si="466"/>
        <v>0.9908369803063457</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87">
        <v>20</v>
      </c>
      <c r="B1124" s="242">
        <f t="shared" si="473"/>
        <v>46235</v>
      </c>
      <c r="C1124" s="243">
        <f t="shared" si="454"/>
        <v>46265</v>
      </c>
      <c r="D1124" s="120">
        <f t="shared" si="455"/>
        <v>31</v>
      </c>
      <c r="E1124" s="120">
        <f t="shared" si="456"/>
        <v>8</v>
      </c>
      <c r="F1124" s="275">
        <f t="shared" si="457"/>
        <v>46250.5</v>
      </c>
      <c r="G1124" s="120">
        <f t="shared" si="458"/>
        <v>24319</v>
      </c>
      <c r="H1124" s="245">
        <f t="shared" si="459"/>
        <v>1</v>
      </c>
      <c r="I1124" s="121">
        <f t="shared" si="460"/>
        <v>1</v>
      </c>
      <c r="J1124" s="121">
        <f t="shared" si="461"/>
        <v>1.06</v>
      </c>
      <c r="K1124" s="120">
        <f t="shared" si="462"/>
        <v>1</v>
      </c>
      <c r="L1124" s="120">
        <f t="shared" si="463"/>
        <v>31</v>
      </c>
      <c r="M1124" s="246">
        <f t="shared" si="464"/>
        <v>1</v>
      </c>
      <c r="N1124" s="121">
        <f t="shared" si="465"/>
        <v>1.06</v>
      </c>
      <c r="O1124" s="246">
        <f t="shared" si="466"/>
        <v>0.99049781181619256</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87">
        <v>21</v>
      </c>
      <c r="B1125" s="242">
        <f t="shared" si="473"/>
        <v>46266</v>
      </c>
      <c r="C1125" s="243">
        <f t="shared" si="454"/>
        <v>46295</v>
      </c>
      <c r="D1125" s="120">
        <f t="shared" si="455"/>
        <v>30</v>
      </c>
      <c r="E1125" s="120">
        <f t="shared" si="456"/>
        <v>9</v>
      </c>
      <c r="F1125" s="275">
        <f t="shared" si="457"/>
        <v>46281</v>
      </c>
      <c r="G1125" s="120">
        <f t="shared" si="458"/>
        <v>24320</v>
      </c>
      <c r="H1125" s="245">
        <f t="shared" si="459"/>
        <v>1</v>
      </c>
      <c r="I1125" s="121">
        <f t="shared" si="460"/>
        <v>1.06</v>
      </c>
      <c r="J1125" s="121">
        <f t="shared" si="461"/>
        <v>1.06</v>
      </c>
      <c r="K1125" s="120">
        <f t="shared" si="462"/>
        <v>0</v>
      </c>
      <c r="L1125" s="120">
        <f t="shared" si="463"/>
        <v>0</v>
      </c>
      <c r="M1125" s="246">
        <f t="shared" si="464"/>
        <v>0</v>
      </c>
      <c r="N1125" s="121">
        <f t="shared" si="465"/>
        <v>1.06</v>
      </c>
      <c r="O1125" s="246">
        <f t="shared" si="466"/>
        <v>0.99016411378555802</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87">
        <v>22</v>
      </c>
      <c r="B1126" s="242">
        <f t="shared" si="473"/>
        <v>46296</v>
      </c>
      <c r="C1126" s="243">
        <f t="shared" si="454"/>
        <v>46326</v>
      </c>
      <c r="D1126" s="120">
        <f t="shared" si="455"/>
        <v>31</v>
      </c>
      <c r="E1126" s="120">
        <f t="shared" si="456"/>
        <v>10</v>
      </c>
      <c r="F1126" s="275">
        <f t="shared" si="457"/>
        <v>46311.5</v>
      </c>
      <c r="G1126" s="120">
        <f t="shared" si="458"/>
        <v>24321</v>
      </c>
      <c r="H1126" s="245">
        <f t="shared" si="459"/>
        <v>1</v>
      </c>
      <c r="I1126" s="121">
        <f t="shared" si="460"/>
        <v>1.06</v>
      </c>
      <c r="J1126" s="121">
        <f t="shared" si="461"/>
        <v>1.06</v>
      </c>
      <c r="K1126" s="120">
        <f t="shared" si="462"/>
        <v>0</v>
      </c>
      <c r="L1126" s="120">
        <f t="shared" si="463"/>
        <v>0</v>
      </c>
      <c r="M1126" s="246">
        <f t="shared" si="464"/>
        <v>0</v>
      </c>
      <c r="N1126" s="121">
        <f t="shared" si="465"/>
        <v>1.06</v>
      </c>
      <c r="O1126" s="246">
        <f t="shared" si="466"/>
        <v>0.98983041575492337</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87">
        <v>23</v>
      </c>
      <c r="B1127" s="242">
        <f t="shared" si="473"/>
        <v>46327</v>
      </c>
      <c r="C1127" s="243">
        <f t="shared" si="454"/>
        <v>46356</v>
      </c>
      <c r="D1127" s="120">
        <f t="shared" si="455"/>
        <v>30</v>
      </c>
      <c r="E1127" s="120">
        <f t="shared" si="456"/>
        <v>11</v>
      </c>
      <c r="F1127" s="275">
        <f t="shared" si="457"/>
        <v>46342</v>
      </c>
      <c r="G1127" s="120">
        <f t="shared" si="458"/>
        <v>24322</v>
      </c>
      <c r="H1127" s="245">
        <f t="shared" si="459"/>
        <v>1</v>
      </c>
      <c r="I1127" s="121">
        <f t="shared" si="460"/>
        <v>1.06</v>
      </c>
      <c r="J1127" s="121">
        <f t="shared" si="461"/>
        <v>1.06</v>
      </c>
      <c r="K1127" s="120">
        <f t="shared" si="462"/>
        <v>0</v>
      </c>
      <c r="L1127" s="120">
        <f t="shared" si="463"/>
        <v>0</v>
      </c>
      <c r="M1127" s="246">
        <f t="shared" si="464"/>
        <v>0</v>
      </c>
      <c r="N1127" s="121">
        <f t="shared" si="465"/>
        <v>1.06</v>
      </c>
      <c r="O1127" s="246">
        <f t="shared" si="466"/>
        <v>0.98949671772428882</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87">
        <v>24</v>
      </c>
      <c r="B1128" s="242">
        <f t="shared" si="473"/>
        <v>46357</v>
      </c>
      <c r="C1128" s="243">
        <f t="shared" si="454"/>
        <v>46387</v>
      </c>
      <c r="D1128" s="120">
        <f t="shared" si="455"/>
        <v>31</v>
      </c>
      <c r="E1128" s="120">
        <f t="shared" si="456"/>
        <v>12</v>
      </c>
      <c r="F1128" s="275">
        <f t="shared" si="457"/>
        <v>46372.5</v>
      </c>
      <c r="G1128" s="120">
        <f t="shared" si="458"/>
        <v>24323</v>
      </c>
      <c r="H1128" s="245">
        <f t="shared" si="459"/>
        <v>1</v>
      </c>
      <c r="I1128" s="121">
        <f t="shared" si="460"/>
        <v>1.06</v>
      </c>
      <c r="J1128" s="121">
        <f t="shared" si="461"/>
        <v>1.06</v>
      </c>
      <c r="K1128" s="120">
        <f t="shared" si="462"/>
        <v>0</v>
      </c>
      <c r="L1128" s="120">
        <f t="shared" si="463"/>
        <v>0</v>
      </c>
      <c r="M1128" s="246">
        <f t="shared" si="464"/>
        <v>0</v>
      </c>
      <c r="N1128" s="121">
        <f t="shared" si="465"/>
        <v>1.06</v>
      </c>
      <c r="O1128" s="246">
        <f t="shared" si="466"/>
        <v>0.98916301969365428</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87">
        <v>25</v>
      </c>
      <c r="B1129" s="242">
        <f t="shared" si="473"/>
        <v>46388</v>
      </c>
      <c r="C1129" s="243">
        <f t="shared" si="454"/>
        <v>46418</v>
      </c>
      <c r="D1129" s="120">
        <f t="shared" si="455"/>
        <v>31</v>
      </c>
      <c r="E1129" s="120">
        <f t="shared" si="456"/>
        <v>1</v>
      </c>
      <c r="F1129" s="275">
        <f t="shared" si="457"/>
        <v>46403.5</v>
      </c>
      <c r="G1129" s="120">
        <f t="shared" si="458"/>
        <v>24324</v>
      </c>
      <c r="H1129" s="245">
        <f t="shared" si="459"/>
        <v>1</v>
      </c>
      <c r="I1129" s="121">
        <f t="shared" si="460"/>
        <v>1.06</v>
      </c>
      <c r="J1129" s="121">
        <f t="shared" si="461"/>
        <v>1.06</v>
      </c>
      <c r="K1129" s="120">
        <f t="shared" si="462"/>
        <v>0</v>
      </c>
      <c r="L1129" s="120">
        <f t="shared" si="463"/>
        <v>0</v>
      </c>
      <c r="M1129" s="246">
        <f t="shared" si="464"/>
        <v>0</v>
      </c>
      <c r="N1129" s="121">
        <f t="shared" si="465"/>
        <v>1.06</v>
      </c>
      <c r="O1129" s="246">
        <f t="shared" si="466"/>
        <v>0.98882385120350114</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87">
        <v>26</v>
      </c>
      <c r="B1130" s="242">
        <f t="shared" si="473"/>
        <v>46419</v>
      </c>
      <c r="C1130" s="243">
        <f t="shared" si="454"/>
        <v>46446</v>
      </c>
      <c r="D1130" s="120">
        <f t="shared" si="455"/>
        <v>28</v>
      </c>
      <c r="E1130" s="120">
        <f t="shared" si="456"/>
        <v>2</v>
      </c>
      <c r="F1130" s="275">
        <f t="shared" si="457"/>
        <v>46433</v>
      </c>
      <c r="G1130" s="120">
        <f t="shared" si="458"/>
        <v>24325</v>
      </c>
      <c r="H1130" s="245">
        <f t="shared" si="459"/>
        <v>1</v>
      </c>
      <c r="I1130" s="121">
        <f t="shared" si="460"/>
        <v>1.06</v>
      </c>
      <c r="J1130" s="121">
        <f t="shared" si="461"/>
        <v>1.06</v>
      </c>
      <c r="K1130" s="120">
        <f t="shared" si="462"/>
        <v>0</v>
      </c>
      <c r="L1130" s="120">
        <f t="shared" si="463"/>
        <v>0</v>
      </c>
      <c r="M1130" s="246">
        <f t="shared" si="464"/>
        <v>0</v>
      </c>
      <c r="N1130" s="121">
        <f t="shared" si="465"/>
        <v>1.06</v>
      </c>
      <c r="O1130" s="246">
        <f t="shared" si="466"/>
        <v>0.98850109409190368</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87">
        <v>27</v>
      </c>
      <c r="B1131" s="242">
        <f t="shared" si="473"/>
        <v>46447</v>
      </c>
      <c r="C1131" s="243">
        <f t="shared" si="454"/>
        <v>46477</v>
      </c>
      <c r="D1131" s="120">
        <f t="shared" si="455"/>
        <v>31</v>
      </c>
      <c r="E1131" s="120">
        <f t="shared" si="456"/>
        <v>3</v>
      </c>
      <c r="F1131" s="275">
        <f t="shared" si="457"/>
        <v>46462.5</v>
      </c>
      <c r="G1131" s="120">
        <f t="shared" si="458"/>
        <v>24326</v>
      </c>
      <c r="H1131" s="245">
        <f t="shared" si="459"/>
        <v>1</v>
      </c>
      <c r="I1131" s="121">
        <f t="shared" si="460"/>
        <v>1.06</v>
      </c>
      <c r="J1131" s="121">
        <f t="shared" si="461"/>
        <v>1.06</v>
      </c>
      <c r="K1131" s="120">
        <f t="shared" si="462"/>
        <v>0</v>
      </c>
      <c r="L1131" s="120">
        <f t="shared" si="463"/>
        <v>0</v>
      </c>
      <c r="M1131" s="246">
        <f t="shared" si="464"/>
        <v>0</v>
      </c>
      <c r="N1131" s="121">
        <f t="shared" si="465"/>
        <v>1.06</v>
      </c>
      <c r="O1131" s="246">
        <f t="shared" si="466"/>
        <v>0.98817833698030633</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87">
        <v>28</v>
      </c>
      <c r="B1132" s="242">
        <f t="shared" si="473"/>
        <v>46478</v>
      </c>
      <c r="C1132" s="243">
        <f t="shared" si="454"/>
        <v>46507</v>
      </c>
      <c r="D1132" s="120">
        <f t="shared" si="455"/>
        <v>30</v>
      </c>
      <c r="E1132" s="120">
        <f t="shared" si="456"/>
        <v>4</v>
      </c>
      <c r="F1132" s="275">
        <f t="shared" si="457"/>
        <v>46493</v>
      </c>
      <c r="G1132" s="120">
        <f t="shared" si="458"/>
        <v>24327</v>
      </c>
      <c r="H1132" s="245">
        <f t="shared" si="459"/>
        <v>1</v>
      </c>
      <c r="I1132" s="121">
        <f t="shared" si="460"/>
        <v>1.06</v>
      </c>
      <c r="J1132" s="121">
        <f t="shared" si="461"/>
        <v>1.06</v>
      </c>
      <c r="K1132" s="120">
        <f t="shared" si="462"/>
        <v>0</v>
      </c>
      <c r="L1132" s="120">
        <f t="shared" si="463"/>
        <v>0</v>
      </c>
      <c r="M1132" s="246">
        <f t="shared" si="464"/>
        <v>0</v>
      </c>
      <c r="N1132" s="121">
        <f t="shared" si="465"/>
        <v>1.06</v>
      </c>
      <c r="O1132" s="246">
        <f t="shared" si="466"/>
        <v>0.98784463894967178</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87">
        <v>29</v>
      </c>
      <c r="B1133" s="242">
        <f t="shared" si="473"/>
        <v>46508</v>
      </c>
      <c r="C1133" s="243">
        <f t="shared" si="454"/>
        <v>46538</v>
      </c>
      <c r="D1133" s="120">
        <f t="shared" si="455"/>
        <v>31</v>
      </c>
      <c r="E1133" s="120">
        <f t="shared" si="456"/>
        <v>5</v>
      </c>
      <c r="F1133" s="275">
        <f t="shared" si="457"/>
        <v>46523.5</v>
      </c>
      <c r="G1133" s="120">
        <f t="shared" si="458"/>
        <v>24328</v>
      </c>
      <c r="H1133" s="245">
        <f t="shared" si="459"/>
        <v>1</v>
      </c>
      <c r="I1133" s="121">
        <f t="shared" si="460"/>
        <v>1.06</v>
      </c>
      <c r="J1133" s="121">
        <f t="shared" si="461"/>
        <v>1.06</v>
      </c>
      <c r="K1133" s="120">
        <f t="shared" si="462"/>
        <v>0</v>
      </c>
      <c r="L1133" s="120">
        <f t="shared" si="463"/>
        <v>0</v>
      </c>
      <c r="M1133" s="246">
        <f t="shared" si="464"/>
        <v>0</v>
      </c>
      <c r="N1133" s="121">
        <f t="shared" si="465"/>
        <v>1.06</v>
      </c>
      <c r="O1133" s="246">
        <f t="shared" si="466"/>
        <v>0.98751094091903724</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87">
        <v>30</v>
      </c>
      <c r="B1134" s="242">
        <f t="shared" si="473"/>
        <v>46539</v>
      </c>
      <c r="C1134" s="243">
        <f t="shared" si="454"/>
        <v>46568</v>
      </c>
      <c r="D1134" s="120">
        <f t="shared" si="455"/>
        <v>30</v>
      </c>
      <c r="E1134" s="120">
        <f t="shared" si="456"/>
        <v>6</v>
      </c>
      <c r="F1134" s="275">
        <f t="shared" si="457"/>
        <v>46554</v>
      </c>
      <c r="G1134" s="120">
        <f t="shared" si="458"/>
        <v>24329</v>
      </c>
      <c r="H1134" s="245">
        <f t="shared" si="459"/>
        <v>1</v>
      </c>
      <c r="I1134" s="121">
        <f t="shared" si="460"/>
        <v>1.06</v>
      </c>
      <c r="J1134" s="121">
        <f t="shared" si="461"/>
        <v>1.06</v>
      </c>
      <c r="K1134" s="120">
        <f t="shared" si="462"/>
        <v>0</v>
      </c>
      <c r="L1134" s="120">
        <f t="shared" si="463"/>
        <v>0</v>
      </c>
      <c r="M1134" s="246">
        <f t="shared" si="464"/>
        <v>0</v>
      </c>
      <c r="N1134" s="121">
        <f t="shared" si="465"/>
        <v>1.06</v>
      </c>
      <c r="O1134" s="246">
        <f t="shared" si="466"/>
        <v>0.98717724288840258</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87">
        <v>31</v>
      </c>
      <c r="B1135" s="242">
        <f t="shared" si="473"/>
        <v>46569</v>
      </c>
      <c r="C1135" s="243">
        <f t="shared" si="454"/>
        <v>46599</v>
      </c>
      <c r="D1135" s="120">
        <f t="shared" si="455"/>
        <v>31</v>
      </c>
      <c r="E1135" s="120">
        <f t="shared" si="456"/>
        <v>7</v>
      </c>
      <c r="F1135" s="275">
        <f t="shared" si="457"/>
        <v>46584.5</v>
      </c>
      <c r="G1135" s="120">
        <f t="shared" si="458"/>
        <v>24330</v>
      </c>
      <c r="H1135" s="245">
        <f t="shared" si="459"/>
        <v>1</v>
      </c>
      <c r="I1135" s="121">
        <f t="shared" si="460"/>
        <v>1.06</v>
      </c>
      <c r="J1135" s="121">
        <f t="shared" si="461"/>
        <v>1.06</v>
      </c>
      <c r="K1135" s="120">
        <f t="shared" si="462"/>
        <v>0</v>
      </c>
      <c r="L1135" s="120">
        <f t="shared" si="463"/>
        <v>0</v>
      </c>
      <c r="M1135" s="246">
        <f t="shared" si="464"/>
        <v>0</v>
      </c>
      <c r="N1135" s="121">
        <f t="shared" si="465"/>
        <v>1.06</v>
      </c>
      <c r="O1135" s="246">
        <f t="shared" si="466"/>
        <v>0.98684354485776804</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87">
        <v>32</v>
      </c>
      <c r="B1136" s="242">
        <f t="shared" si="473"/>
        <v>46600</v>
      </c>
      <c r="C1136" s="243">
        <f t="shared" si="454"/>
        <v>46630</v>
      </c>
      <c r="D1136" s="120">
        <f t="shared" si="455"/>
        <v>31</v>
      </c>
      <c r="E1136" s="120">
        <f t="shared" si="456"/>
        <v>8</v>
      </c>
      <c r="F1136" s="275">
        <f t="shared" si="457"/>
        <v>46615.5</v>
      </c>
      <c r="G1136" s="120">
        <f t="shared" si="458"/>
        <v>24331</v>
      </c>
      <c r="H1136" s="245">
        <f t="shared" si="459"/>
        <v>1</v>
      </c>
      <c r="I1136" s="121">
        <f t="shared" si="460"/>
        <v>1.06</v>
      </c>
      <c r="J1136" s="121">
        <f t="shared" si="461"/>
        <v>1.06</v>
      </c>
      <c r="K1136" s="120">
        <f t="shared" si="462"/>
        <v>0</v>
      </c>
      <c r="L1136" s="120">
        <f t="shared" si="463"/>
        <v>0</v>
      </c>
      <c r="M1136" s="246">
        <f t="shared" si="464"/>
        <v>0</v>
      </c>
      <c r="N1136" s="121">
        <f t="shared" si="465"/>
        <v>1.06</v>
      </c>
      <c r="O1136" s="246">
        <f t="shared" si="466"/>
        <v>0.9865043763676149</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87">
        <v>33</v>
      </c>
      <c r="B1137" s="242">
        <f t="shared" si="473"/>
        <v>46631</v>
      </c>
      <c r="C1137" s="243">
        <f t="shared" si="454"/>
        <v>46660</v>
      </c>
      <c r="D1137" s="120">
        <f t="shared" si="455"/>
        <v>30</v>
      </c>
      <c r="E1137" s="120">
        <f t="shared" si="456"/>
        <v>9</v>
      </c>
      <c r="F1137" s="275">
        <f t="shared" si="457"/>
        <v>46646</v>
      </c>
      <c r="G1137" s="120">
        <f t="shared" si="458"/>
        <v>24332</v>
      </c>
      <c r="H1137" s="245">
        <f t="shared" si="459"/>
        <v>1</v>
      </c>
      <c r="I1137" s="121">
        <f t="shared" si="460"/>
        <v>1.06</v>
      </c>
      <c r="J1137" s="121">
        <f t="shared" si="461"/>
        <v>1.06</v>
      </c>
      <c r="K1137" s="120">
        <f t="shared" si="462"/>
        <v>0</v>
      </c>
      <c r="L1137" s="120">
        <f t="shared" si="463"/>
        <v>0</v>
      </c>
      <c r="M1137" s="246">
        <f t="shared" si="464"/>
        <v>0</v>
      </c>
      <c r="N1137" s="121">
        <f t="shared" si="465"/>
        <v>1.06</v>
      </c>
      <c r="O1137" s="246">
        <f t="shared" si="466"/>
        <v>0.98617067833698024</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87">
        <v>34</v>
      </c>
      <c r="B1138" s="242">
        <f t="shared" si="473"/>
        <v>46661</v>
      </c>
      <c r="C1138" s="243">
        <f t="shared" si="454"/>
        <v>46691</v>
      </c>
      <c r="D1138" s="120">
        <f t="shared" si="455"/>
        <v>31</v>
      </c>
      <c r="E1138" s="120">
        <f t="shared" si="456"/>
        <v>10</v>
      </c>
      <c r="F1138" s="275">
        <f t="shared" si="457"/>
        <v>46676.5</v>
      </c>
      <c r="G1138" s="120">
        <f t="shared" si="458"/>
        <v>24333</v>
      </c>
      <c r="H1138" s="245">
        <f t="shared" si="459"/>
        <v>1</v>
      </c>
      <c r="I1138" s="121">
        <f t="shared" si="460"/>
        <v>1.06</v>
      </c>
      <c r="J1138" s="121">
        <f t="shared" si="461"/>
        <v>1.06</v>
      </c>
      <c r="K1138" s="120">
        <f t="shared" si="462"/>
        <v>0</v>
      </c>
      <c r="L1138" s="120">
        <f t="shared" si="463"/>
        <v>0</v>
      </c>
      <c r="M1138" s="246">
        <f t="shared" si="464"/>
        <v>0</v>
      </c>
      <c r="N1138" s="121">
        <f t="shared" si="465"/>
        <v>1.06</v>
      </c>
      <c r="O1138" s="246">
        <f t="shared" si="466"/>
        <v>0.9858369803063457</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87">
        <v>35</v>
      </c>
      <c r="B1139" s="242">
        <f t="shared" si="473"/>
        <v>46692</v>
      </c>
      <c r="C1139" s="243">
        <f t="shared" si="454"/>
        <v>46721</v>
      </c>
      <c r="D1139" s="120">
        <f t="shared" si="455"/>
        <v>30</v>
      </c>
      <c r="E1139" s="120">
        <f t="shared" si="456"/>
        <v>11</v>
      </c>
      <c r="F1139" s="275">
        <f t="shared" si="457"/>
        <v>46707</v>
      </c>
      <c r="G1139" s="120">
        <f t="shared" si="458"/>
        <v>24334</v>
      </c>
      <c r="H1139" s="245">
        <f t="shared" si="459"/>
        <v>1</v>
      </c>
      <c r="I1139" s="121">
        <f t="shared" si="460"/>
        <v>1.06</v>
      </c>
      <c r="J1139" s="121">
        <f t="shared" si="461"/>
        <v>1.06</v>
      </c>
      <c r="K1139" s="120">
        <f t="shared" si="462"/>
        <v>0</v>
      </c>
      <c r="L1139" s="120">
        <f t="shared" si="463"/>
        <v>0</v>
      </c>
      <c r="M1139" s="246">
        <f t="shared" si="464"/>
        <v>0</v>
      </c>
      <c r="N1139" s="121">
        <f t="shared" si="465"/>
        <v>1.06</v>
      </c>
      <c r="O1139" s="246">
        <f t="shared" si="466"/>
        <v>0.98550328227571116</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87">
        <v>36</v>
      </c>
      <c r="B1140" s="242">
        <f t="shared" si="473"/>
        <v>46722</v>
      </c>
      <c r="C1140" s="243">
        <f t="shared" si="454"/>
        <v>46752</v>
      </c>
      <c r="D1140" s="120">
        <f t="shared" si="455"/>
        <v>31</v>
      </c>
      <c r="E1140" s="120">
        <f t="shared" si="456"/>
        <v>12</v>
      </c>
      <c r="F1140" s="275">
        <f t="shared" si="457"/>
        <v>46737.5</v>
      </c>
      <c r="G1140" s="120">
        <f t="shared" si="458"/>
        <v>24335</v>
      </c>
      <c r="H1140" s="245">
        <f t="shared" si="459"/>
        <v>1</v>
      </c>
      <c r="I1140" s="121">
        <f t="shared" si="460"/>
        <v>1.06</v>
      </c>
      <c r="J1140" s="121">
        <f t="shared" si="461"/>
        <v>1.06</v>
      </c>
      <c r="K1140" s="120">
        <f t="shared" si="462"/>
        <v>0</v>
      </c>
      <c r="L1140" s="120">
        <f t="shared" si="463"/>
        <v>0</v>
      </c>
      <c r="M1140" s="246">
        <f t="shared" si="464"/>
        <v>0</v>
      </c>
      <c r="N1140" s="121">
        <f t="shared" si="465"/>
        <v>1.06</v>
      </c>
      <c r="O1140" s="246">
        <f t="shared" si="466"/>
        <v>0.98516958424507661</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87">
        <v>37</v>
      </c>
      <c r="B1141" s="242">
        <f t="shared" si="473"/>
        <v>46753</v>
      </c>
      <c r="C1141" s="243">
        <f t="shared" si="454"/>
        <v>46783</v>
      </c>
      <c r="D1141" s="120">
        <f t="shared" si="455"/>
        <v>31</v>
      </c>
      <c r="E1141" s="120">
        <f t="shared" si="456"/>
        <v>1</v>
      </c>
      <c r="F1141" s="275">
        <f t="shared" si="457"/>
        <v>46768.5</v>
      </c>
      <c r="G1141" s="120">
        <f t="shared" si="458"/>
        <v>24336</v>
      </c>
      <c r="H1141" s="245">
        <f t="shared" si="459"/>
        <v>1</v>
      </c>
      <c r="I1141" s="121">
        <f t="shared" si="460"/>
        <v>1.06</v>
      </c>
      <c r="J1141" s="121">
        <f t="shared" si="461"/>
        <v>1.06</v>
      </c>
      <c r="K1141" s="120">
        <f t="shared" si="462"/>
        <v>0</v>
      </c>
      <c r="L1141" s="120">
        <f t="shared" si="463"/>
        <v>0</v>
      </c>
      <c r="M1141" s="246">
        <f t="shared" si="464"/>
        <v>0</v>
      </c>
      <c r="N1141" s="121">
        <f t="shared" si="465"/>
        <v>1.06</v>
      </c>
      <c r="O1141" s="246">
        <f t="shared" si="466"/>
        <v>0.98499999999999999</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87">
        <v>38</v>
      </c>
      <c r="B1142" s="242">
        <f t="shared" si="473"/>
        <v>46784</v>
      </c>
      <c r="C1142" s="243">
        <f t="shared" si="454"/>
        <v>46812</v>
      </c>
      <c r="D1142" s="120">
        <f t="shared" si="455"/>
        <v>29</v>
      </c>
      <c r="E1142" s="120">
        <f t="shared" si="456"/>
        <v>2</v>
      </c>
      <c r="F1142" s="275">
        <f t="shared" si="457"/>
        <v>46798.5</v>
      </c>
      <c r="G1142" s="120">
        <f t="shared" si="458"/>
        <v>24337</v>
      </c>
      <c r="H1142" s="245">
        <f t="shared" si="459"/>
        <v>1</v>
      </c>
      <c r="I1142" s="121">
        <f t="shared" si="460"/>
        <v>1.06</v>
      </c>
      <c r="J1142" s="121">
        <f t="shared" si="461"/>
        <v>1.06</v>
      </c>
      <c r="K1142" s="120">
        <f t="shared" si="462"/>
        <v>0</v>
      </c>
      <c r="L1142" s="120">
        <f t="shared" si="463"/>
        <v>0</v>
      </c>
      <c r="M1142" s="246">
        <f t="shared" si="464"/>
        <v>0</v>
      </c>
      <c r="N1142" s="121">
        <f t="shared" si="465"/>
        <v>1.06</v>
      </c>
      <c r="O1142" s="246">
        <f t="shared" si="466"/>
        <v>0.98499999999999999</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87">
        <v>39</v>
      </c>
      <c r="B1143" s="242">
        <f t="shared" si="473"/>
        <v>46813</v>
      </c>
      <c r="C1143" s="243">
        <f t="shared" si="454"/>
        <v>46843</v>
      </c>
      <c r="D1143" s="120">
        <f t="shared" si="455"/>
        <v>31</v>
      </c>
      <c r="E1143" s="120">
        <f t="shared" si="456"/>
        <v>3</v>
      </c>
      <c r="F1143" s="275">
        <f t="shared" si="457"/>
        <v>46828.5</v>
      </c>
      <c r="G1143" s="120">
        <f t="shared" si="458"/>
        <v>24338</v>
      </c>
      <c r="H1143" s="245">
        <f t="shared" si="459"/>
        <v>1</v>
      </c>
      <c r="I1143" s="121">
        <f t="shared" si="460"/>
        <v>1.06</v>
      </c>
      <c r="J1143" s="121">
        <f t="shared" si="461"/>
        <v>1.06</v>
      </c>
      <c r="K1143" s="120">
        <f t="shared" si="462"/>
        <v>0</v>
      </c>
      <c r="L1143" s="120">
        <f t="shared" si="463"/>
        <v>0</v>
      </c>
      <c r="M1143" s="246">
        <f t="shared" si="464"/>
        <v>0</v>
      </c>
      <c r="N1143" s="121">
        <f t="shared" si="465"/>
        <v>1.06</v>
      </c>
      <c r="O1143" s="246">
        <f t="shared" si="466"/>
        <v>0.98499999999999999</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87">
        <v>40</v>
      </c>
      <c r="B1144" s="242">
        <f t="shared" si="473"/>
        <v>46844</v>
      </c>
      <c r="C1144" s="243">
        <f t="shared" si="454"/>
        <v>46873</v>
      </c>
      <c r="D1144" s="120">
        <f t="shared" si="455"/>
        <v>30</v>
      </c>
      <c r="E1144" s="120">
        <f t="shared" si="456"/>
        <v>4</v>
      </c>
      <c r="F1144" s="275">
        <f t="shared" si="457"/>
        <v>46859</v>
      </c>
      <c r="G1144" s="120">
        <f t="shared" si="458"/>
        <v>24339</v>
      </c>
      <c r="H1144" s="245">
        <f t="shared" si="459"/>
        <v>1</v>
      </c>
      <c r="I1144" s="121">
        <f t="shared" si="460"/>
        <v>1.06</v>
      </c>
      <c r="J1144" s="121">
        <f t="shared" si="461"/>
        <v>1.06</v>
      </c>
      <c r="K1144" s="120">
        <f t="shared" si="462"/>
        <v>0</v>
      </c>
      <c r="L1144" s="120">
        <f t="shared" si="463"/>
        <v>0</v>
      </c>
      <c r="M1144" s="246">
        <f t="shared" si="464"/>
        <v>0</v>
      </c>
      <c r="N1144" s="121">
        <f t="shared" si="465"/>
        <v>1.06</v>
      </c>
      <c r="O1144" s="246">
        <f t="shared" si="466"/>
        <v>0.98499999999999999</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87">
        <v>41</v>
      </c>
      <c r="B1145" s="242">
        <f t="shared" si="473"/>
        <v>46874</v>
      </c>
      <c r="C1145" s="243">
        <f t="shared" si="454"/>
        <v>46904</v>
      </c>
      <c r="D1145" s="120">
        <f t="shared" si="455"/>
        <v>31</v>
      </c>
      <c r="E1145" s="120">
        <f t="shared" si="456"/>
        <v>5</v>
      </c>
      <c r="F1145" s="275">
        <f t="shared" si="457"/>
        <v>46889.5</v>
      </c>
      <c r="G1145" s="120">
        <f t="shared" si="458"/>
        <v>24340</v>
      </c>
      <c r="H1145" s="245">
        <f t="shared" si="459"/>
        <v>1</v>
      </c>
      <c r="I1145" s="121">
        <f t="shared" si="460"/>
        <v>1.06</v>
      </c>
      <c r="J1145" s="121">
        <f t="shared" si="461"/>
        <v>1.06</v>
      </c>
      <c r="K1145" s="120">
        <f t="shared" si="462"/>
        <v>0</v>
      </c>
      <c r="L1145" s="120">
        <f t="shared" si="463"/>
        <v>0</v>
      </c>
      <c r="M1145" s="246">
        <f t="shared" si="464"/>
        <v>0</v>
      </c>
      <c r="N1145" s="121">
        <f t="shared" si="465"/>
        <v>1.06</v>
      </c>
      <c r="O1145" s="246">
        <f t="shared" si="466"/>
        <v>0.98499999999999999</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87">
        <v>42</v>
      </c>
      <c r="B1146" s="242">
        <f t="shared" si="473"/>
        <v>46905</v>
      </c>
      <c r="C1146" s="243">
        <f t="shared" si="454"/>
        <v>46934</v>
      </c>
      <c r="D1146" s="120">
        <f t="shared" si="455"/>
        <v>30</v>
      </c>
      <c r="E1146" s="120">
        <f t="shared" si="456"/>
        <v>6</v>
      </c>
      <c r="F1146" s="275">
        <f t="shared" si="457"/>
        <v>46920</v>
      </c>
      <c r="G1146" s="120">
        <f t="shared" si="458"/>
        <v>24341</v>
      </c>
      <c r="H1146" s="245">
        <f t="shared" si="459"/>
        <v>1</v>
      </c>
      <c r="I1146" s="121">
        <f t="shared" si="460"/>
        <v>1.06</v>
      </c>
      <c r="J1146" s="121">
        <f t="shared" si="461"/>
        <v>1.06</v>
      </c>
      <c r="K1146" s="120">
        <f t="shared" si="462"/>
        <v>0</v>
      </c>
      <c r="L1146" s="120">
        <f t="shared" si="463"/>
        <v>0</v>
      </c>
      <c r="M1146" s="246">
        <f t="shared" si="464"/>
        <v>0</v>
      </c>
      <c r="N1146" s="121">
        <f t="shared" si="465"/>
        <v>1.06</v>
      </c>
      <c r="O1146" s="246">
        <f t="shared" si="466"/>
        <v>0.98499999999999999</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87">
        <v>43</v>
      </c>
      <c r="B1147" s="242">
        <f t="shared" si="473"/>
        <v>46935</v>
      </c>
      <c r="C1147" s="243">
        <f t="shared" si="454"/>
        <v>46965</v>
      </c>
      <c r="D1147" s="120">
        <f t="shared" si="455"/>
        <v>31</v>
      </c>
      <c r="E1147" s="120">
        <f t="shared" si="456"/>
        <v>7</v>
      </c>
      <c r="F1147" s="275">
        <f t="shared" si="457"/>
        <v>46950.5</v>
      </c>
      <c r="G1147" s="120">
        <f t="shared" si="458"/>
        <v>24342</v>
      </c>
      <c r="H1147" s="245">
        <f t="shared" si="459"/>
        <v>1</v>
      </c>
      <c r="I1147" s="121">
        <f t="shared" si="460"/>
        <v>1.06</v>
      </c>
      <c r="J1147" s="121">
        <f t="shared" si="461"/>
        <v>1.06</v>
      </c>
      <c r="K1147" s="120">
        <f t="shared" si="462"/>
        <v>0</v>
      </c>
      <c r="L1147" s="120">
        <f t="shared" si="463"/>
        <v>0</v>
      </c>
      <c r="M1147" s="246">
        <f t="shared" si="464"/>
        <v>0</v>
      </c>
      <c r="N1147" s="121">
        <f t="shared" si="465"/>
        <v>1.06</v>
      </c>
      <c r="O1147" s="246">
        <f t="shared" si="466"/>
        <v>0.98499999999999999</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87">
        <v>44</v>
      </c>
      <c r="B1148" s="242">
        <f t="shared" si="473"/>
        <v>46966</v>
      </c>
      <c r="C1148" s="243">
        <f t="shared" si="454"/>
        <v>46996</v>
      </c>
      <c r="D1148" s="120">
        <f t="shared" si="455"/>
        <v>31</v>
      </c>
      <c r="E1148" s="120">
        <f t="shared" si="456"/>
        <v>8</v>
      </c>
      <c r="F1148" s="275">
        <f t="shared" si="457"/>
        <v>46981.5</v>
      </c>
      <c r="G1148" s="120">
        <f t="shared" si="458"/>
        <v>24343</v>
      </c>
      <c r="H1148" s="245">
        <f t="shared" si="459"/>
        <v>1</v>
      </c>
      <c r="I1148" s="121">
        <f t="shared" si="460"/>
        <v>1.06</v>
      </c>
      <c r="J1148" s="121">
        <f t="shared" si="461"/>
        <v>1.06</v>
      </c>
      <c r="K1148" s="120">
        <f t="shared" si="462"/>
        <v>0</v>
      </c>
      <c r="L1148" s="120">
        <f t="shared" si="463"/>
        <v>0</v>
      </c>
      <c r="M1148" s="246">
        <f t="shared" si="464"/>
        <v>0</v>
      </c>
      <c r="N1148" s="121">
        <f t="shared" si="465"/>
        <v>1.06</v>
      </c>
      <c r="O1148" s="246">
        <f t="shared" si="466"/>
        <v>0.98499999999999999</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87">
        <v>45</v>
      </c>
      <c r="B1149" s="242">
        <f t="shared" si="473"/>
        <v>46997</v>
      </c>
      <c r="C1149" s="243">
        <f t="shared" si="454"/>
        <v>47026</v>
      </c>
      <c r="D1149" s="120">
        <f t="shared" si="455"/>
        <v>30</v>
      </c>
      <c r="E1149" s="120">
        <f t="shared" si="456"/>
        <v>9</v>
      </c>
      <c r="F1149" s="275">
        <f t="shared" si="457"/>
        <v>47012</v>
      </c>
      <c r="G1149" s="120">
        <f t="shared" si="458"/>
        <v>24344</v>
      </c>
      <c r="H1149" s="245">
        <f t="shared" si="459"/>
        <v>1</v>
      </c>
      <c r="I1149" s="121">
        <f t="shared" si="460"/>
        <v>1.06</v>
      </c>
      <c r="J1149" s="121">
        <f t="shared" si="461"/>
        <v>1.06</v>
      </c>
      <c r="K1149" s="120">
        <f t="shared" si="462"/>
        <v>0</v>
      </c>
      <c r="L1149" s="120">
        <f t="shared" si="463"/>
        <v>0</v>
      </c>
      <c r="M1149" s="246">
        <f t="shared" si="464"/>
        <v>0</v>
      </c>
      <c r="N1149" s="121">
        <f t="shared" si="465"/>
        <v>1.06</v>
      </c>
      <c r="O1149" s="246">
        <f t="shared" si="466"/>
        <v>0.98499999999999999</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87">
        <v>46</v>
      </c>
      <c r="B1150" s="242">
        <f t="shared" si="473"/>
        <v>47027</v>
      </c>
      <c r="C1150" s="243">
        <f t="shared" si="454"/>
        <v>47057</v>
      </c>
      <c r="D1150" s="120">
        <f t="shared" si="455"/>
        <v>31</v>
      </c>
      <c r="E1150" s="120">
        <f t="shared" si="456"/>
        <v>10</v>
      </c>
      <c r="F1150" s="275">
        <f t="shared" si="457"/>
        <v>47042.5</v>
      </c>
      <c r="G1150" s="120">
        <f t="shared" si="458"/>
        <v>24345</v>
      </c>
      <c r="H1150" s="245">
        <f t="shared" si="459"/>
        <v>1</v>
      </c>
      <c r="I1150" s="121">
        <f t="shared" si="460"/>
        <v>1.06</v>
      </c>
      <c r="J1150" s="121">
        <f t="shared" si="461"/>
        <v>1.06</v>
      </c>
      <c r="K1150" s="120">
        <f t="shared" si="462"/>
        <v>0</v>
      </c>
      <c r="L1150" s="120">
        <f t="shared" si="463"/>
        <v>0</v>
      </c>
      <c r="M1150" s="246">
        <f t="shared" si="464"/>
        <v>0</v>
      </c>
      <c r="N1150" s="121">
        <f t="shared" si="465"/>
        <v>1.06</v>
      </c>
      <c r="O1150" s="246">
        <f t="shared" si="466"/>
        <v>0.98499999999999999</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87">
        <v>47</v>
      </c>
      <c r="B1151" s="242">
        <f t="shared" si="473"/>
        <v>47058</v>
      </c>
      <c r="C1151" s="243">
        <f t="shared" si="454"/>
        <v>47087</v>
      </c>
      <c r="D1151" s="120">
        <f t="shared" si="455"/>
        <v>30</v>
      </c>
      <c r="E1151" s="120">
        <f t="shared" si="456"/>
        <v>11</v>
      </c>
      <c r="F1151" s="275">
        <f t="shared" si="457"/>
        <v>47073</v>
      </c>
      <c r="G1151" s="120">
        <f t="shared" si="458"/>
        <v>24346</v>
      </c>
      <c r="H1151" s="245">
        <f t="shared" si="459"/>
        <v>1</v>
      </c>
      <c r="I1151" s="121">
        <f t="shared" si="460"/>
        <v>1.06</v>
      </c>
      <c r="J1151" s="121">
        <f t="shared" si="461"/>
        <v>1.06</v>
      </c>
      <c r="K1151" s="120">
        <f t="shared" si="462"/>
        <v>0</v>
      </c>
      <c r="L1151" s="120">
        <f t="shared" si="463"/>
        <v>0</v>
      </c>
      <c r="M1151" s="246">
        <f t="shared" si="464"/>
        <v>0</v>
      </c>
      <c r="N1151" s="121">
        <f t="shared" si="465"/>
        <v>1.06</v>
      </c>
      <c r="O1151" s="246">
        <f t="shared" si="466"/>
        <v>0.98499999999999999</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87">
        <v>48</v>
      </c>
      <c r="B1152" s="242">
        <f t="shared" si="473"/>
        <v>47088</v>
      </c>
      <c r="C1152" s="243">
        <f t="shared" si="454"/>
        <v>47118</v>
      </c>
      <c r="D1152" s="120">
        <f t="shared" si="455"/>
        <v>31</v>
      </c>
      <c r="E1152" s="120">
        <f t="shared" si="456"/>
        <v>12</v>
      </c>
      <c r="F1152" s="275">
        <f t="shared" si="457"/>
        <v>47103.5</v>
      </c>
      <c r="G1152" s="120">
        <f t="shared" si="458"/>
        <v>24347</v>
      </c>
      <c r="H1152" s="245">
        <f t="shared" si="459"/>
        <v>1</v>
      </c>
      <c r="I1152" s="121">
        <f t="shared" si="460"/>
        <v>1.06</v>
      </c>
      <c r="J1152" s="121">
        <f t="shared" si="461"/>
        <v>1.06</v>
      </c>
      <c r="K1152" s="120">
        <f t="shared" si="462"/>
        <v>0</v>
      </c>
      <c r="L1152" s="120">
        <f t="shared" si="463"/>
        <v>0</v>
      </c>
      <c r="M1152" s="246">
        <f t="shared" si="464"/>
        <v>0</v>
      </c>
      <c r="N1152" s="121">
        <f t="shared" si="465"/>
        <v>1.06</v>
      </c>
      <c r="O1152" s="246">
        <f t="shared" si="466"/>
        <v>0.98499999999999999</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1651</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24">
        <f>SUMPRODUCT($H$1105:$H$1152,$Q$1105:$Q$1152,$O$1105:$O$1152)/SUMPRODUCT($H$1105:$H$1152,$Q$1105:$Q$1152)</f>
        <v>0.98900209700948194</v>
      </c>
      <c r="G1153" s="224">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24">
        <f>IF(N(INDEX(lr_mind,21))=0,1,INDEX(lr_mind,21))</f>
        <v>1</v>
      </c>
      <c r="G1156" s="224">
        <f>IF(N(INDEX(lr_m0,21))=0,1,INDEX(lr_m0,21))</f>
        <v>0.99</v>
      </c>
      <c r="H1156" s="74">
        <f>IF(N(INDEX(lr_m0asof,21))=0,DATE(nr_PlanYear-1,10,1),INDEX(lr_m0asof,21))</f>
        <v>46295</v>
      </c>
      <c r="I1156" s="224">
        <f>IF(N(INDEX(lr_m1,21))=0,1,INDEX(lr_m1,21))</f>
        <v>1</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74">EOMONTH($B1159,0)</f>
        <v>45688</v>
      </c>
      <c r="D1159" s="120">
        <f t="shared" ref="D1159:D1206" si="475">$C1159-$B1159+1</f>
        <v>31</v>
      </c>
      <c r="E1159" s="120">
        <f t="shared" ref="E1159:E1206" si="476">MONTH($B1159)</f>
        <v>1</v>
      </c>
      <c r="F1159" s="275">
        <f t="shared" ref="F1159:F1206" si="477">($B1159+$C1159+1)/2</f>
        <v>45673.5</v>
      </c>
      <c r="G1159" s="120">
        <f t="shared" ref="G1159:G1206" si="478">YEAR($B1159)*12+MONTH($B1159)-1</f>
        <v>24300</v>
      </c>
      <c r="H1159" s="245">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46">
        <f t="shared" ref="M1159:M1206" si="484">IF($K1159=0,0,MIN(1,$L1159/$D1159))</f>
        <v>0</v>
      </c>
      <c r="N1159" s="121">
        <f t="shared" ref="N1159:N1206" si="485">IF($K1159=0,$J1159,(1-$M1159)*$I1159+$M1159*$J1159)</f>
        <v>1</v>
      </c>
      <c r="O1159" s="246">
        <f t="shared" ref="O1159:O1206" si="486">IF($F1159&lt;$B$1157,$E$1157+$I$1157*($F1159-$A$1157),IF($F1159&lt;$C$1157,$F$1157+$J$1157*($F1159-$B$1157),$G$1157+$K$1157*($F1159-$C$1157)))</f>
        <v>0.97637855579868715</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87">
        <v>2</v>
      </c>
      <c r="B1160" s="242">
        <f t="shared" ref="B1160:B1206" si="493">EDATE($B1159,1)</f>
        <v>45689</v>
      </c>
      <c r="C1160" s="243">
        <f t="shared" si="474"/>
        <v>45716</v>
      </c>
      <c r="D1160" s="120">
        <f t="shared" si="475"/>
        <v>28</v>
      </c>
      <c r="E1160" s="120">
        <f t="shared" si="476"/>
        <v>2</v>
      </c>
      <c r="F1160" s="275">
        <f t="shared" si="477"/>
        <v>45703</v>
      </c>
      <c r="G1160" s="120">
        <f t="shared" si="478"/>
        <v>24301</v>
      </c>
      <c r="H1160" s="245">
        <f t="shared" si="479"/>
        <v>1</v>
      </c>
      <c r="I1160" s="121">
        <f t="shared" si="480"/>
        <v>1</v>
      </c>
      <c r="J1160" s="121">
        <f t="shared" si="481"/>
        <v>1</v>
      </c>
      <c r="K1160" s="120">
        <f t="shared" si="482"/>
        <v>0</v>
      </c>
      <c r="L1160" s="120">
        <f t="shared" si="483"/>
        <v>0</v>
      </c>
      <c r="M1160" s="246">
        <f t="shared" si="484"/>
        <v>0</v>
      </c>
      <c r="N1160" s="121">
        <f t="shared" si="485"/>
        <v>1</v>
      </c>
      <c r="O1160" s="246">
        <f t="shared" si="486"/>
        <v>0.97702407002188185</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87">
        <v>3</v>
      </c>
      <c r="B1161" s="242">
        <f t="shared" si="493"/>
        <v>45717</v>
      </c>
      <c r="C1161" s="243">
        <f t="shared" si="474"/>
        <v>45747</v>
      </c>
      <c r="D1161" s="120">
        <f t="shared" si="475"/>
        <v>31</v>
      </c>
      <c r="E1161" s="120">
        <f t="shared" si="476"/>
        <v>3</v>
      </c>
      <c r="F1161" s="275">
        <f t="shared" si="477"/>
        <v>45732.5</v>
      </c>
      <c r="G1161" s="120">
        <f t="shared" si="478"/>
        <v>24302</v>
      </c>
      <c r="H1161" s="245">
        <f t="shared" si="479"/>
        <v>1</v>
      </c>
      <c r="I1161" s="121">
        <f t="shared" si="480"/>
        <v>1</v>
      </c>
      <c r="J1161" s="121">
        <f t="shared" si="481"/>
        <v>1</v>
      </c>
      <c r="K1161" s="120">
        <f t="shared" si="482"/>
        <v>0</v>
      </c>
      <c r="L1161" s="120">
        <f t="shared" si="483"/>
        <v>0</v>
      </c>
      <c r="M1161" s="246">
        <f t="shared" si="484"/>
        <v>0</v>
      </c>
      <c r="N1161" s="121">
        <f t="shared" si="485"/>
        <v>1</v>
      </c>
      <c r="O1161" s="246">
        <f t="shared" si="486"/>
        <v>0.97766958424507666</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87">
        <v>4</v>
      </c>
      <c r="B1162" s="242">
        <f t="shared" si="493"/>
        <v>45748</v>
      </c>
      <c r="C1162" s="243">
        <f t="shared" si="474"/>
        <v>45777</v>
      </c>
      <c r="D1162" s="120">
        <f t="shared" si="475"/>
        <v>30</v>
      </c>
      <c r="E1162" s="120">
        <f t="shared" si="476"/>
        <v>4</v>
      </c>
      <c r="F1162" s="275">
        <f t="shared" si="477"/>
        <v>45763</v>
      </c>
      <c r="G1162" s="120">
        <f t="shared" si="478"/>
        <v>24303</v>
      </c>
      <c r="H1162" s="245">
        <f t="shared" si="479"/>
        <v>1</v>
      </c>
      <c r="I1162" s="121">
        <f t="shared" si="480"/>
        <v>1</v>
      </c>
      <c r="J1162" s="121">
        <f t="shared" si="481"/>
        <v>1</v>
      </c>
      <c r="K1162" s="120">
        <f t="shared" si="482"/>
        <v>0</v>
      </c>
      <c r="L1162" s="120">
        <f t="shared" si="483"/>
        <v>0</v>
      </c>
      <c r="M1162" s="246">
        <f t="shared" si="484"/>
        <v>0</v>
      </c>
      <c r="N1162" s="121">
        <f t="shared" si="485"/>
        <v>1</v>
      </c>
      <c r="O1162" s="246">
        <f t="shared" si="486"/>
        <v>0.97833698030634575</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87">
        <v>5</v>
      </c>
      <c r="B1163" s="242">
        <f t="shared" si="493"/>
        <v>45778</v>
      </c>
      <c r="C1163" s="243">
        <f t="shared" si="474"/>
        <v>45808</v>
      </c>
      <c r="D1163" s="120">
        <f t="shared" si="475"/>
        <v>31</v>
      </c>
      <c r="E1163" s="120">
        <f t="shared" si="476"/>
        <v>5</v>
      </c>
      <c r="F1163" s="275">
        <f t="shared" si="477"/>
        <v>45793.5</v>
      </c>
      <c r="G1163" s="120">
        <f t="shared" si="478"/>
        <v>24304</v>
      </c>
      <c r="H1163" s="245">
        <f t="shared" si="479"/>
        <v>1</v>
      </c>
      <c r="I1163" s="121">
        <f t="shared" si="480"/>
        <v>1</v>
      </c>
      <c r="J1163" s="121">
        <f t="shared" si="481"/>
        <v>1</v>
      </c>
      <c r="K1163" s="120">
        <f t="shared" si="482"/>
        <v>0</v>
      </c>
      <c r="L1163" s="120">
        <f t="shared" si="483"/>
        <v>0</v>
      </c>
      <c r="M1163" s="246">
        <f t="shared" si="484"/>
        <v>0</v>
      </c>
      <c r="N1163" s="121">
        <f t="shared" si="485"/>
        <v>1</v>
      </c>
      <c r="O1163" s="246">
        <f t="shared" si="486"/>
        <v>0.97900437636761495</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87">
        <v>6</v>
      </c>
      <c r="B1164" s="242">
        <f t="shared" si="493"/>
        <v>45809</v>
      </c>
      <c r="C1164" s="243">
        <f t="shared" si="474"/>
        <v>45838</v>
      </c>
      <c r="D1164" s="120">
        <f t="shared" si="475"/>
        <v>30</v>
      </c>
      <c r="E1164" s="120">
        <f t="shared" si="476"/>
        <v>6</v>
      </c>
      <c r="F1164" s="275">
        <f t="shared" si="477"/>
        <v>45824</v>
      </c>
      <c r="G1164" s="120">
        <f t="shared" si="478"/>
        <v>24305</v>
      </c>
      <c r="H1164" s="245">
        <f t="shared" si="479"/>
        <v>1</v>
      </c>
      <c r="I1164" s="121">
        <f t="shared" si="480"/>
        <v>1</v>
      </c>
      <c r="J1164" s="121">
        <f t="shared" si="481"/>
        <v>1</v>
      </c>
      <c r="K1164" s="120">
        <f t="shared" si="482"/>
        <v>0</v>
      </c>
      <c r="L1164" s="120">
        <f t="shared" si="483"/>
        <v>0</v>
      </c>
      <c r="M1164" s="246">
        <f t="shared" si="484"/>
        <v>0</v>
      </c>
      <c r="N1164" s="121">
        <f t="shared" si="485"/>
        <v>1</v>
      </c>
      <c r="O1164" s="246">
        <f t="shared" si="486"/>
        <v>0.97967177242888404</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87">
        <v>7</v>
      </c>
      <c r="B1165" s="242">
        <f t="shared" si="493"/>
        <v>45839</v>
      </c>
      <c r="C1165" s="243">
        <f t="shared" si="474"/>
        <v>45869</v>
      </c>
      <c r="D1165" s="120">
        <f t="shared" si="475"/>
        <v>31</v>
      </c>
      <c r="E1165" s="120">
        <f t="shared" si="476"/>
        <v>7</v>
      </c>
      <c r="F1165" s="275">
        <f t="shared" si="477"/>
        <v>45854.5</v>
      </c>
      <c r="G1165" s="120">
        <f t="shared" si="478"/>
        <v>24306</v>
      </c>
      <c r="H1165" s="245">
        <f t="shared" si="479"/>
        <v>1</v>
      </c>
      <c r="I1165" s="121">
        <f t="shared" si="480"/>
        <v>1</v>
      </c>
      <c r="J1165" s="121">
        <f t="shared" si="481"/>
        <v>1</v>
      </c>
      <c r="K1165" s="120">
        <f t="shared" si="482"/>
        <v>0</v>
      </c>
      <c r="L1165" s="120">
        <f t="shared" si="483"/>
        <v>0</v>
      </c>
      <c r="M1165" s="246">
        <f t="shared" si="484"/>
        <v>0</v>
      </c>
      <c r="N1165" s="121">
        <f t="shared" si="485"/>
        <v>1</v>
      </c>
      <c r="O1165" s="246">
        <f t="shared" si="486"/>
        <v>0.98033916849015323</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87">
        <v>8</v>
      </c>
      <c r="B1166" s="242">
        <f t="shared" si="493"/>
        <v>45870</v>
      </c>
      <c r="C1166" s="243">
        <f t="shared" si="474"/>
        <v>45900</v>
      </c>
      <c r="D1166" s="120">
        <f t="shared" si="475"/>
        <v>31</v>
      </c>
      <c r="E1166" s="120">
        <f t="shared" si="476"/>
        <v>8</v>
      </c>
      <c r="F1166" s="275">
        <f t="shared" si="477"/>
        <v>45885.5</v>
      </c>
      <c r="G1166" s="120">
        <f t="shared" si="478"/>
        <v>24307</v>
      </c>
      <c r="H1166" s="245">
        <f t="shared" si="479"/>
        <v>1</v>
      </c>
      <c r="I1166" s="121">
        <f t="shared" si="480"/>
        <v>1</v>
      </c>
      <c r="J1166" s="121">
        <f t="shared" si="481"/>
        <v>1</v>
      </c>
      <c r="K1166" s="120">
        <f t="shared" si="482"/>
        <v>0</v>
      </c>
      <c r="L1166" s="120">
        <f t="shared" si="483"/>
        <v>0</v>
      </c>
      <c r="M1166" s="246">
        <f t="shared" si="484"/>
        <v>0</v>
      </c>
      <c r="N1166" s="121">
        <f t="shared" si="485"/>
        <v>1</v>
      </c>
      <c r="O1166" s="246">
        <f t="shared" si="486"/>
        <v>0.98101750547045952</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87">
        <v>9</v>
      </c>
      <c r="B1167" s="242">
        <f t="shared" si="493"/>
        <v>45901</v>
      </c>
      <c r="C1167" s="243">
        <f t="shared" si="474"/>
        <v>45930</v>
      </c>
      <c r="D1167" s="120">
        <f t="shared" si="475"/>
        <v>30</v>
      </c>
      <c r="E1167" s="120">
        <f t="shared" si="476"/>
        <v>9</v>
      </c>
      <c r="F1167" s="275">
        <f t="shared" si="477"/>
        <v>45916</v>
      </c>
      <c r="G1167" s="120">
        <f t="shared" si="478"/>
        <v>24308</v>
      </c>
      <c r="H1167" s="245">
        <f t="shared" si="479"/>
        <v>1</v>
      </c>
      <c r="I1167" s="121">
        <f t="shared" si="480"/>
        <v>1</v>
      </c>
      <c r="J1167" s="121">
        <f t="shared" si="481"/>
        <v>1</v>
      </c>
      <c r="K1167" s="120">
        <f t="shared" si="482"/>
        <v>0</v>
      </c>
      <c r="L1167" s="120">
        <f t="shared" si="483"/>
        <v>0</v>
      </c>
      <c r="M1167" s="246">
        <f t="shared" si="484"/>
        <v>0</v>
      </c>
      <c r="N1167" s="121">
        <f t="shared" si="485"/>
        <v>1</v>
      </c>
      <c r="O1167" s="246">
        <f t="shared" si="486"/>
        <v>0.98168490153172872</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87">
        <v>10</v>
      </c>
      <c r="B1168" s="242">
        <f t="shared" si="493"/>
        <v>45931</v>
      </c>
      <c r="C1168" s="243">
        <f t="shared" si="474"/>
        <v>45961</v>
      </c>
      <c r="D1168" s="120">
        <f t="shared" si="475"/>
        <v>31</v>
      </c>
      <c r="E1168" s="120">
        <f t="shared" si="476"/>
        <v>10</v>
      </c>
      <c r="F1168" s="275">
        <f t="shared" si="477"/>
        <v>45946.5</v>
      </c>
      <c r="G1168" s="120">
        <f t="shared" si="478"/>
        <v>24309</v>
      </c>
      <c r="H1168" s="245">
        <f t="shared" si="479"/>
        <v>1</v>
      </c>
      <c r="I1168" s="121">
        <f t="shared" si="480"/>
        <v>1</v>
      </c>
      <c r="J1168" s="121">
        <f t="shared" si="481"/>
        <v>1</v>
      </c>
      <c r="K1168" s="120">
        <f t="shared" si="482"/>
        <v>0</v>
      </c>
      <c r="L1168" s="120">
        <f t="shared" si="483"/>
        <v>0</v>
      </c>
      <c r="M1168" s="246">
        <f t="shared" si="484"/>
        <v>0</v>
      </c>
      <c r="N1168" s="121">
        <f t="shared" si="485"/>
        <v>1</v>
      </c>
      <c r="O1168" s="246">
        <f t="shared" si="486"/>
        <v>0.9823522975929978</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87">
        <v>11</v>
      </c>
      <c r="B1169" s="242">
        <f t="shared" si="493"/>
        <v>45962</v>
      </c>
      <c r="C1169" s="243">
        <f t="shared" si="474"/>
        <v>45991</v>
      </c>
      <c r="D1169" s="120">
        <f t="shared" si="475"/>
        <v>30</v>
      </c>
      <c r="E1169" s="120">
        <f t="shared" si="476"/>
        <v>11</v>
      </c>
      <c r="F1169" s="275">
        <f t="shared" si="477"/>
        <v>45977</v>
      </c>
      <c r="G1169" s="120">
        <f t="shared" si="478"/>
        <v>24310</v>
      </c>
      <c r="H1169" s="245">
        <f t="shared" si="479"/>
        <v>1</v>
      </c>
      <c r="I1169" s="121">
        <f t="shared" si="480"/>
        <v>1</v>
      </c>
      <c r="J1169" s="121">
        <f t="shared" si="481"/>
        <v>1</v>
      </c>
      <c r="K1169" s="120">
        <f t="shared" si="482"/>
        <v>0</v>
      </c>
      <c r="L1169" s="120">
        <f t="shared" si="483"/>
        <v>0</v>
      </c>
      <c r="M1169" s="246">
        <f t="shared" si="484"/>
        <v>0</v>
      </c>
      <c r="N1169" s="121">
        <f t="shared" si="485"/>
        <v>1</v>
      </c>
      <c r="O1169" s="246">
        <f t="shared" si="486"/>
        <v>0.983019693654267</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87">
        <v>12</v>
      </c>
      <c r="B1170" s="242">
        <f t="shared" si="493"/>
        <v>45992</v>
      </c>
      <c r="C1170" s="243">
        <f t="shared" si="474"/>
        <v>46022</v>
      </c>
      <c r="D1170" s="120">
        <f t="shared" si="475"/>
        <v>31</v>
      </c>
      <c r="E1170" s="120">
        <f t="shared" si="476"/>
        <v>12</v>
      </c>
      <c r="F1170" s="275">
        <f t="shared" si="477"/>
        <v>46007.5</v>
      </c>
      <c r="G1170" s="120">
        <f t="shared" si="478"/>
        <v>24311</v>
      </c>
      <c r="H1170" s="245">
        <f t="shared" si="479"/>
        <v>1</v>
      </c>
      <c r="I1170" s="121">
        <f t="shared" si="480"/>
        <v>1</v>
      </c>
      <c r="J1170" s="121">
        <f t="shared" si="481"/>
        <v>1</v>
      </c>
      <c r="K1170" s="120">
        <f t="shared" si="482"/>
        <v>0</v>
      </c>
      <c r="L1170" s="120">
        <f t="shared" si="483"/>
        <v>0</v>
      </c>
      <c r="M1170" s="246">
        <f t="shared" si="484"/>
        <v>0</v>
      </c>
      <c r="N1170" s="121">
        <f t="shared" si="485"/>
        <v>1</v>
      </c>
      <c r="O1170" s="246">
        <f t="shared" si="486"/>
        <v>0.98368708971553609</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87">
        <v>13</v>
      </c>
      <c r="B1171" s="242">
        <f t="shared" si="493"/>
        <v>46023</v>
      </c>
      <c r="C1171" s="243">
        <f t="shared" si="474"/>
        <v>46053</v>
      </c>
      <c r="D1171" s="120">
        <f t="shared" si="475"/>
        <v>31</v>
      </c>
      <c r="E1171" s="120">
        <f t="shared" si="476"/>
        <v>1</v>
      </c>
      <c r="F1171" s="275">
        <f t="shared" si="477"/>
        <v>46038.5</v>
      </c>
      <c r="G1171" s="120">
        <f t="shared" si="478"/>
        <v>24312</v>
      </c>
      <c r="H1171" s="245">
        <f t="shared" si="479"/>
        <v>1</v>
      </c>
      <c r="I1171" s="121">
        <f t="shared" si="480"/>
        <v>1</v>
      </c>
      <c r="J1171" s="121">
        <f t="shared" si="481"/>
        <v>1</v>
      </c>
      <c r="K1171" s="120">
        <f t="shared" si="482"/>
        <v>0</v>
      </c>
      <c r="L1171" s="120">
        <f t="shared" si="483"/>
        <v>0</v>
      </c>
      <c r="M1171" s="246">
        <f t="shared" si="484"/>
        <v>0</v>
      </c>
      <c r="N1171" s="121">
        <f t="shared" si="485"/>
        <v>1</v>
      </c>
      <c r="O1171" s="246">
        <f t="shared" si="486"/>
        <v>0.98436542669584248</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87">
        <v>14</v>
      </c>
      <c r="B1172" s="242">
        <f t="shared" si="493"/>
        <v>46054</v>
      </c>
      <c r="C1172" s="243">
        <f t="shared" si="474"/>
        <v>46081</v>
      </c>
      <c r="D1172" s="120">
        <f t="shared" si="475"/>
        <v>28</v>
      </c>
      <c r="E1172" s="120">
        <f t="shared" si="476"/>
        <v>2</v>
      </c>
      <c r="F1172" s="275">
        <f t="shared" si="477"/>
        <v>46068</v>
      </c>
      <c r="G1172" s="120">
        <f t="shared" si="478"/>
        <v>24313</v>
      </c>
      <c r="H1172" s="245">
        <f t="shared" si="479"/>
        <v>1</v>
      </c>
      <c r="I1172" s="121">
        <f t="shared" si="480"/>
        <v>1</v>
      </c>
      <c r="J1172" s="121">
        <f t="shared" si="481"/>
        <v>1</v>
      </c>
      <c r="K1172" s="120">
        <f t="shared" si="482"/>
        <v>0</v>
      </c>
      <c r="L1172" s="120">
        <f t="shared" si="483"/>
        <v>0</v>
      </c>
      <c r="M1172" s="246">
        <f t="shared" si="484"/>
        <v>0</v>
      </c>
      <c r="N1172" s="121">
        <f t="shared" si="485"/>
        <v>1</v>
      </c>
      <c r="O1172" s="246">
        <f t="shared" si="486"/>
        <v>0.98501094091903718</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87">
        <v>15</v>
      </c>
      <c r="B1173" s="242">
        <f t="shared" si="493"/>
        <v>46082</v>
      </c>
      <c r="C1173" s="243">
        <f t="shared" si="474"/>
        <v>46112</v>
      </c>
      <c r="D1173" s="120">
        <f t="shared" si="475"/>
        <v>31</v>
      </c>
      <c r="E1173" s="120">
        <f t="shared" si="476"/>
        <v>3</v>
      </c>
      <c r="F1173" s="275">
        <f t="shared" si="477"/>
        <v>46097.5</v>
      </c>
      <c r="G1173" s="120">
        <f t="shared" si="478"/>
        <v>24314</v>
      </c>
      <c r="H1173" s="245">
        <f t="shared" si="479"/>
        <v>1</v>
      </c>
      <c r="I1173" s="121">
        <f t="shared" si="480"/>
        <v>1</v>
      </c>
      <c r="J1173" s="121">
        <f t="shared" si="481"/>
        <v>1</v>
      </c>
      <c r="K1173" s="120">
        <f t="shared" si="482"/>
        <v>0</v>
      </c>
      <c r="L1173" s="120">
        <f t="shared" si="483"/>
        <v>0</v>
      </c>
      <c r="M1173" s="246">
        <f t="shared" si="484"/>
        <v>0</v>
      </c>
      <c r="N1173" s="121">
        <f t="shared" si="485"/>
        <v>1</v>
      </c>
      <c r="O1173" s="246">
        <f t="shared" si="486"/>
        <v>0.98565645514223199</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87">
        <v>16</v>
      </c>
      <c r="B1174" s="242">
        <f t="shared" si="493"/>
        <v>46113</v>
      </c>
      <c r="C1174" s="243">
        <f t="shared" si="474"/>
        <v>46142</v>
      </c>
      <c r="D1174" s="120">
        <f t="shared" si="475"/>
        <v>30</v>
      </c>
      <c r="E1174" s="120">
        <f t="shared" si="476"/>
        <v>4</v>
      </c>
      <c r="F1174" s="275">
        <f t="shared" si="477"/>
        <v>46128</v>
      </c>
      <c r="G1174" s="120">
        <f t="shared" si="478"/>
        <v>24315</v>
      </c>
      <c r="H1174" s="245">
        <f t="shared" si="479"/>
        <v>1</v>
      </c>
      <c r="I1174" s="121">
        <f t="shared" si="480"/>
        <v>1</v>
      </c>
      <c r="J1174" s="121">
        <f t="shared" si="481"/>
        <v>1</v>
      </c>
      <c r="K1174" s="120">
        <f t="shared" si="482"/>
        <v>0</v>
      </c>
      <c r="L1174" s="120">
        <f t="shared" si="483"/>
        <v>0</v>
      </c>
      <c r="M1174" s="246">
        <f t="shared" si="484"/>
        <v>0</v>
      </c>
      <c r="N1174" s="121">
        <f t="shared" si="485"/>
        <v>1</v>
      </c>
      <c r="O1174" s="246">
        <f t="shared" si="486"/>
        <v>0.98632385120350108</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87">
        <v>17</v>
      </c>
      <c r="B1175" s="242">
        <f t="shared" si="493"/>
        <v>46143</v>
      </c>
      <c r="C1175" s="243">
        <f t="shared" si="474"/>
        <v>46173</v>
      </c>
      <c r="D1175" s="120">
        <f t="shared" si="475"/>
        <v>31</v>
      </c>
      <c r="E1175" s="120">
        <f t="shared" si="476"/>
        <v>5</v>
      </c>
      <c r="F1175" s="275">
        <f t="shared" si="477"/>
        <v>46158.5</v>
      </c>
      <c r="G1175" s="120">
        <f t="shared" si="478"/>
        <v>24316</v>
      </c>
      <c r="H1175" s="245">
        <f t="shared" si="479"/>
        <v>1</v>
      </c>
      <c r="I1175" s="121">
        <f t="shared" si="480"/>
        <v>1</v>
      </c>
      <c r="J1175" s="121">
        <f t="shared" si="481"/>
        <v>1</v>
      </c>
      <c r="K1175" s="120">
        <f t="shared" si="482"/>
        <v>0</v>
      </c>
      <c r="L1175" s="120">
        <f t="shared" si="483"/>
        <v>0</v>
      </c>
      <c r="M1175" s="246">
        <f t="shared" si="484"/>
        <v>0</v>
      </c>
      <c r="N1175" s="121">
        <f t="shared" si="485"/>
        <v>1</v>
      </c>
      <c r="O1175" s="246">
        <f t="shared" si="486"/>
        <v>0.98699124726477028</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87">
        <v>18</v>
      </c>
      <c r="B1176" s="242">
        <f t="shared" si="493"/>
        <v>46174</v>
      </c>
      <c r="C1176" s="243">
        <f t="shared" si="474"/>
        <v>46203</v>
      </c>
      <c r="D1176" s="120">
        <f t="shared" si="475"/>
        <v>30</v>
      </c>
      <c r="E1176" s="120">
        <f t="shared" si="476"/>
        <v>6</v>
      </c>
      <c r="F1176" s="275">
        <f t="shared" si="477"/>
        <v>46189</v>
      </c>
      <c r="G1176" s="120">
        <f t="shared" si="478"/>
        <v>24317</v>
      </c>
      <c r="H1176" s="245">
        <f t="shared" si="479"/>
        <v>1</v>
      </c>
      <c r="I1176" s="121">
        <f t="shared" si="480"/>
        <v>1</v>
      </c>
      <c r="J1176" s="121">
        <f t="shared" si="481"/>
        <v>1</v>
      </c>
      <c r="K1176" s="120">
        <f t="shared" si="482"/>
        <v>0</v>
      </c>
      <c r="L1176" s="120">
        <f t="shared" si="483"/>
        <v>0</v>
      </c>
      <c r="M1176" s="246">
        <f t="shared" si="484"/>
        <v>0</v>
      </c>
      <c r="N1176" s="121">
        <f t="shared" si="485"/>
        <v>1</v>
      </c>
      <c r="O1176" s="246">
        <f t="shared" si="486"/>
        <v>0.98765864332603936</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87">
        <v>19</v>
      </c>
      <c r="B1177" s="242">
        <f t="shared" si="493"/>
        <v>46204</v>
      </c>
      <c r="C1177" s="243">
        <f t="shared" si="474"/>
        <v>46234</v>
      </c>
      <c r="D1177" s="120">
        <f t="shared" si="475"/>
        <v>31</v>
      </c>
      <c r="E1177" s="120">
        <f t="shared" si="476"/>
        <v>7</v>
      </c>
      <c r="F1177" s="275">
        <f t="shared" si="477"/>
        <v>46219.5</v>
      </c>
      <c r="G1177" s="120">
        <f t="shared" si="478"/>
        <v>24318</v>
      </c>
      <c r="H1177" s="245">
        <f t="shared" si="479"/>
        <v>1</v>
      </c>
      <c r="I1177" s="121">
        <f t="shared" si="480"/>
        <v>1</v>
      </c>
      <c r="J1177" s="121">
        <f t="shared" si="481"/>
        <v>1</v>
      </c>
      <c r="K1177" s="120">
        <f t="shared" si="482"/>
        <v>0</v>
      </c>
      <c r="L1177" s="120">
        <f t="shared" si="483"/>
        <v>0</v>
      </c>
      <c r="M1177" s="246">
        <f t="shared" si="484"/>
        <v>0</v>
      </c>
      <c r="N1177" s="121">
        <f t="shared" si="485"/>
        <v>1</v>
      </c>
      <c r="O1177" s="246">
        <f t="shared" si="486"/>
        <v>0.98832603938730856</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87">
        <v>20</v>
      </c>
      <c r="B1178" s="242">
        <f t="shared" si="493"/>
        <v>46235</v>
      </c>
      <c r="C1178" s="243">
        <f t="shared" si="474"/>
        <v>46265</v>
      </c>
      <c r="D1178" s="120">
        <f t="shared" si="475"/>
        <v>31</v>
      </c>
      <c r="E1178" s="120">
        <f t="shared" si="476"/>
        <v>8</v>
      </c>
      <c r="F1178" s="275">
        <f t="shared" si="477"/>
        <v>46250.5</v>
      </c>
      <c r="G1178" s="120">
        <f t="shared" si="478"/>
        <v>24319</v>
      </c>
      <c r="H1178" s="245">
        <f t="shared" si="479"/>
        <v>1</v>
      </c>
      <c r="I1178" s="121">
        <f t="shared" si="480"/>
        <v>1</v>
      </c>
      <c r="J1178" s="121">
        <f t="shared" si="481"/>
        <v>1</v>
      </c>
      <c r="K1178" s="120">
        <f t="shared" si="482"/>
        <v>0</v>
      </c>
      <c r="L1178" s="120">
        <f t="shared" si="483"/>
        <v>0</v>
      </c>
      <c r="M1178" s="246">
        <f t="shared" si="484"/>
        <v>0</v>
      </c>
      <c r="N1178" s="121">
        <f t="shared" si="485"/>
        <v>1</v>
      </c>
      <c r="O1178" s="246">
        <f t="shared" si="486"/>
        <v>0.98900437636761485</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87">
        <v>21</v>
      </c>
      <c r="B1179" s="242">
        <f t="shared" si="493"/>
        <v>46266</v>
      </c>
      <c r="C1179" s="243">
        <f t="shared" si="474"/>
        <v>46295</v>
      </c>
      <c r="D1179" s="120">
        <f t="shared" si="475"/>
        <v>30</v>
      </c>
      <c r="E1179" s="120">
        <f t="shared" si="476"/>
        <v>9</v>
      </c>
      <c r="F1179" s="275">
        <f t="shared" si="477"/>
        <v>46281</v>
      </c>
      <c r="G1179" s="120">
        <f t="shared" si="478"/>
        <v>24320</v>
      </c>
      <c r="H1179" s="245">
        <f t="shared" si="479"/>
        <v>1</v>
      </c>
      <c r="I1179" s="121">
        <f t="shared" si="480"/>
        <v>1</v>
      </c>
      <c r="J1179" s="121">
        <f t="shared" si="481"/>
        <v>1</v>
      </c>
      <c r="K1179" s="120">
        <f t="shared" si="482"/>
        <v>0</v>
      </c>
      <c r="L1179" s="120">
        <f t="shared" si="483"/>
        <v>0</v>
      </c>
      <c r="M1179" s="246">
        <f t="shared" si="484"/>
        <v>0</v>
      </c>
      <c r="N1179" s="121">
        <f t="shared" si="485"/>
        <v>1</v>
      </c>
      <c r="O1179" s="246">
        <f t="shared" si="486"/>
        <v>0.98967177242888404</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87">
        <v>22</v>
      </c>
      <c r="B1180" s="242">
        <f t="shared" si="493"/>
        <v>46296</v>
      </c>
      <c r="C1180" s="243">
        <f t="shared" si="474"/>
        <v>46326</v>
      </c>
      <c r="D1180" s="120">
        <f t="shared" si="475"/>
        <v>31</v>
      </c>
      <c r="E1180" s="120">
        <f t="shared" si="476"/>
        <v>10</v>
      </c>
      <c r="F1180" s="275">
        <f t="shared" si="477"/>
        <v>46311.5</v>
      </c>
      <c r="G1180" s="120">
        <f t="shared" si="478"/>
        <v>24321</v>
      </c>
      <c r="H1180" s="245">
        <f t="shared" si="479"/>
        <v>1</v>
      </c>
      <c r="I1180" s="121">
        <f t="shared" si="480"/>
        <v>1</v>
      </c>
      <c r="J1180" s="121">
        <f t="shared" si="481"/>
        <v>1</v>
      </c>
      <c r="K1180" s="120">
        <f t="shared" si="482"/>
        <v>0</v>
      </c>
      <c r="L1180" s="120">
        <f t="shared" si="483"/>
        <v>0</v>
      </c>
      <c r="M1180" s="246">
        <f t="shared" si="484"/>
        <v>0</v>
      </c>
      <c r="N1180" s="121">
        <f t="shared" si="485"/>
        <v>1</v>
      </c>
      <c r="O1180" s="246">
        <f t="shared" si="486"/>
        <v>0.99033916849015313</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87">
        <v>23</v>
      </c>
      <c r="B1181" s="242">
        <f t="shared" si="493"/>
        <v>46327</v>
      </c>
      <c r="C1181" s="243">
        <f t="shared" si="474"/>
        <v>46356</v>
      </c>
      <c r="D1181" s="120">
        <f t="shared" si="475"/>
        <v>30</v>
      </c>
      <c r="E1181" s="120">
        <f t="shared" si="476"/>
        <v>11</v>
      </c>
      <c r="F1181" s="275">
        <f t="shared" si="477"/>
        <v>46342</v>
      </c>
      <c r="G1181" s="120">
        <f t="shared" si="478"/>
        <v>24322</v>
      </c>
      <c r="H1181" s="245">
        <f t="shared" si="479"/>
        <v>1</v>
      </c>
      <c r="I1181" s="121">
        <f t="shared" si="480"/>
        <v>1</v>
      </c>
      <c r="J1181" s="121">
        <f t="shared" si="481"/>
        <v>1</v>
      </c>
      <c r="K1181" s="120">
        <f t="shared" si="482"/>
        <v>0</v>
      </c>
      <c r="L1181" s="120">
        <f t="shared" si="483"/>
        <v>0</v>
      </c>
      <c r="M1181" s="246">
        <f t="shared" si="484"/>
        <v>0</v>
      </c>
      <c r="N1181" s="121">
        <f t="shared" si="485"/>
        <v>1</v>
      </c>
      <c r="O1181" s="246">
        <f t="shared" si="486"/>
        <v>0.99100656455142233</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87">
        <v>24</v>
      </c>
      <c r="B1182" s="242">
        <f t="shared" si="493"/>
        <v>46357</v>
      </c>
      <c r="C1182" s="243">
        <f t="shared" si="474"/>
        <v>46387</v>
      </c>
      <c r="D1182" s="120">
        <f t="shared" si="475"/>
        <v>31</v>
      </c>
      <c r="E1182" s="120">
        <f t="shared" si="476"/>
        <v>12</v>
      </c>
      <c r="F1182" s="275">
        <f t="shared" si="477"/>
        <v>46372.5</v>
      </c>
      <c r="G1182" s="120">
        <f t="shared" si="478"/>
        <v>24323</v>
      </c>
      <c r="H1182" s="245">
        <f t="shared" si="479"/>
        <v>1</v>
      </c>
      <c r="I1182" s="121">
        <f t="shared" si="480"/>
        <v>1</v>
      </c>
      <c r="J1182" s="121">
        <f t="shared" si="481"/>
        <v>1</v>
      </c>
      <c r="K1182" s="120">
        <f t="shared" si="482"/>
        <v>0</v>
      </c>
      <c r="L1182" s="120">
        <f t="shared" si="483"/>
        <v>0</v>
      </c>
      <c r="M1182" s="246">
        <f t="shared" si="484"/>
        <v>0</v>
      </c>
      <c r="N1182" s="121">
        <f t="shared" si="485"/>
        <v>1</v>
      </c>
      <c r="O1182" s="246">
        <f t="shared" si="486"/>
        <v>0.99167396061269142</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87">
        <v>25</v>
      </c>
      <c r="B1183" s="242">
        <f t="shared" si="493"/>
        <v>46388</v>
      </c>
      <c r="C1183" s="243">
        <f t="shared" si="474"/>
        <v>46418</v>
      </c>
      <c r="D1183" s="120">
        <f t="shared" si="475"/>
        <v>31</v>
      </c>
      <c r="E1183" s="120">
        <f t="shared" si="476"/>
        <v>1</v>
      </c>
      <c r="F1183" s="275">
        <f t="shared" si="477"/>
        <v>46403.5</v>
      </c>
      <c r="G1183" s="120">
        <f t="shared" si="478"/>
        <v>24324</v>
      </c>
      <c r="H1183" s="245">
        <f t="shared" si="479"/>
        <v>1</v>
      </c>
      <c r="I1183" s="121">
        <f t="shared" si="480"/>
        <v>1</v>
      </c>
      <c r="J1183" s="121">
        <f t="shared" si="481"/>
        <v>1</v>
      </c>
      <c r="K1183" s="120">
        <f t="shared" si="482"/>
        <v>0</v>
      </c>
      <c r="L1183" s="120">
        <f t="shared" si="483"/>
        <v>0</v>
      </c>
      <c r="M1183" s="246">
        <f t="shared" si="484"/>
        <v>0</v>
      </c>
      <c r="N1183" s="121">
        <f t="shared" si="485"/>
        <v>1</v>
      </c>
      <c r="O1183" s="246">
        <f t="shared" si="486"/>
        <v>0.99235229759299781</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87">
        <v>26</v>
      </c>
      <c r="B1184" s="242">
        <f t="shared" si="493"/>
        <v>46419</v>
      </c>
      <c r="C1184" s="243">
        <f t="shared" si="474"/>
        <v>46446</v>
      </c>
      <c r="D1184" s="120">
        <f t="shared" si="475"/>
        <v>28</v>
      </c>
      <c r="E1184" s="120">
        <f t="shared" si="476"/>
        <v>2</v>
      </c>
      <c r="F1184" s="275">
        <f t="shared" si="477"/>
        <v>46433</v>
      </c>
      <c r="G1184" s="120">
        <f t="shared" si="478"/>
        <v>24325</v>
      </c>
      <c r="H1184" s="245">
        <f t="shared" si="479"/>
        <v>1</v>
      </c>
      <c r="I1184" s="121">
        <f t="shared" si="480"/>
        <v>1</v>
      </c>
      <c r="J1184" s="121">
        <f t="shared" si="481"/>
        <v>1</v>
      </c>
      <c r="K1184" s="120">
        <f t="shared" si="482"/>
        <v>0</v>
      </c>
      <c r="L1184" s="120">
        <f t="shared" si="483"/>
        <v>0</v>
      </c>
      <c r="M1184" s="246">
        <f t="shared" si="484"/>
        <v>0</v>
      </c>
      <c r="N1184" s="121">
        <f t="shared" si="485"/>
        <v>1</v>
      </c>
      <c r="O1184" s="246">
        <f t="shared" si="486"/>
        <v>0.99299781181619251</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87">
        <v>27</v>
      </c>
      <c r="B1185" s="242">
        <f t="shared" si="493"/>
        <v>46447</v>
      </c>
      <c r="C1185" s="243">
        <f t="shared" si="474"/>
        <v>46477</v>
      </c>
      <c r="D1185" s="120">
        <f t="shared" si="475"/>
        <v>31</v>
      </c>
      <c r="E1185" s="120">
        <f t="shared" si="476"/>
        <v>3</v>
      </c>
      <c r="F1185" s="275">
        <f t="shared" si="477"/>
        <v>46462.5</v>
      </c>
      <c r="G1185" s="120">
        <f t="shared" si="478"/>
        <v>24326</v>
      </c>
      <c r="H1185" s="245">
        <f t="shared" si="479"/>
        <v>1</v>
      </c>
      <c r="I1185" s="121">
        <f t="shared" si="480"/>
        <v>1</v>
      </c>
      <c r="J1185" s="121">
        <f t="shared" si="481"/>
        <v>1</v>
      </c>
      <c r="K1185" s="120">
        <f t="shared" si="482"/>
        <v>0</v>
      </c>
      <c r="L1185" s="120">
        <f t="shared" si="483"/>
        <v>0</v>
      </c>
      <c r="M1185" s="246">
        <f t="shared" si="484"/>
        <v>0</v>
      </c>
      <c r="N1185" s="121">
        <f t="shared" si="485"/>
        <v>1</v>
      </c>
      <c r="O1185" s="246">
        <f t="shared" si="486"/>
        <v>0.99364332603938732</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87">
        <v>28</v>
      </c>
      <c r="B1186" s="242">
        <f t="shared" si="493"/>
        <v>46478</v>
      </c>
      <c r="C1186" s="243">
        <f t="shared" si="474"/>
        <v>46507</v>
      </c>
      <c r="D1186" s="120">
        <f t="shared" si="475"/>
        <v>30</v>
      </c>
      <c r="E1186" s="120">
        <f t="shared" si="476"/>
        <v>4</v>
      </c>
      <c r="F1186" s="275">
        <f t="shared" si="477"/>
        <v>46493</v>
      </c>
      <c r="G1186" s="120">
        <f t="shared" si="478"/>
        <v>24327</v>
      </c>
      <c r="H1186" s="245">
        <f t="shared" si="479"/>
        <v>1</v>
      </c>
      <c r="I1186" s="121">
        <f t="shared" si="480"/>
        <v>1</v>
      </c>
      <c r="J1186" s="121">
        <f t="shared" si="481"/>
        <v>1</v>
      </c>
      <c r="K1186" s="120">
        <f t="shared" si="482"/>
        <v>0</v>
      </c>
      <c r="L1186" s="120">
        <f t="shared" si="483"/>
        <v>0</v>
      </c>
      <c r="M1186" s="246">
        <f t="shared" si="484"/>
        <v>0</v>
      </c>
      <c r="N1186" s="121">
        <f t="shared" si="485"/>
        <v>1</v>
      </c>
      <c r="O1186" s="246">
        <f t="shared" si="486"/>
        <v>0.99431072210065641</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87">
        <v>29</v>
      </c>
      <c r="B1187" s="242">
        <f t="shared" si="493"/>
        <v>46508</v>
      </c>
      <c r="C1187" s="243">
        <f t="shared" si="474"/>
        <v>46538</v>
      </c>
      <c r="D1187" s="120">
        <f t="shared" si="475"/>
        <v>31</v>
      </c>
      <c r="E1187" s="120">
        <f t="shared" si="476"/>
        <v>5</v>
      </c>
      <c r="F1187" s="275">
        <f t="shared" si="477"/>
        <v>46523.5</v>
      </c>
      <c r="G1187" s="120">
        <f t="shared" si="478"/>
        <v>24328</v>
      </c>
      <c r="H1187" s="245">
        <f t="shared" si="479"/>
        <v>1</v>
      </c>
      <c r="I1187" s="121">
        <f t="shared" si="480"/>
        <v>1</v>
      </c>
      <c r="J1187" s="121">
        <f t="shared" si="481"/>
        <v>1</v>
      </c>
      <c r="K1187" s="120">
        <f t="shared" si="482"/>
        <v>0</v>
      </c>
      <c r="L1187" s="120">
        <f t="shared" si="483"/>
        <v>0</v>
      </c>
      <c r="M1187" s="246">
        <f t="shared" si="484"/>
        <v>0</v>
      </c>
      <c r="N1187" s="121">
        <f t="shared" si="485"/>
        <v>1</v>
      </c>
      <c r="O1187" s="246">
        <f t="shared" si="486"/>
        <v>0.99497811816192561</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87">
        <v>30</v>
      </c>
      <c r="B1188" s="242">
        <f t="shared" si="493"/>
        <v>46539</v>
      </c>
      <c r="C1188" s="243">
        <f t="shared" si="474"/>
        <v>46568</v>
      </c>
      <c r="D1188" s="120">
        <f t="shared" si="475"/>
        <v>30</v>
      </c>
      <c r="E1188" s="120">
        <f t="shared" si="476"/>
        <v>6</v>
      </c>
      <c r="F1188" s="275">
        <f t="shared" si="477"/>
        <v>46554</v>
      </c>
      <c r="G1188" s="120">
        <f t="shared" si="478"/>
        <v>24329</v>
      </c>
      <c r="H1188" s="245">
        <f t="shared" si="479"/>
        <v>1</v>
      </c>
      <c r="I1188" s="121">
        <f t="shared" si="480"/>
        <v>1</v>
      </c>
      <c r="J1188" s="121">
        <f t="shared" si="481"/>
        <v>1</v>
      </c>
      <c r="K1188" s="120">
        <f t="shared" si="482"/>
        <v>0</v>
      </c>
      <c r="L1188" s="120">
        <f t="shared" si="483"/>
        <v>0</v>
      </c>
      <c r="M1188" s="246">
        <f t="shared" si="484"/>
        <v>0</v>
      </c>
      <c r="N1188" s="121">
        <f t="shared" si="485"/>
        <v>1</v>
      </c>
      <c r="O1188" s="246">
        <f t="shared" si="486"/>
        <v>0.99564551422319469</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87">
        <v>31</v>
      </c>
      <c r="B1189" s="242">
        <f t="shared" si="493"/>
        <v>46569</v>
      </c>
      <c r="C1189" s="243">
        <f t="shared" si="474"/>
        <v>46599</v>
      </c>
      <c r="D1189" s="120">
        <f t="shared" si="475"/>
        <v>31</v>
      </c>
      <c r="E1189" s="120">
        <f t="shared" si="476"/>
        <v>7</v>
      </c>
      <c r="F1189" s="275">
        <f t="shared" si="477"/>
        <v>46584.5</v>
      </c>
      <c r="G1189" s="120">
        <f t="shared" si="478"/>
        <v>24330</v>
      </c>
      <c r="H1189" s="245">
        <f t="shared" si="479"/>
        <v>1</v>
      </c>
      <c r="I1189" s="121">
        <f t="shared" si="480"/>
        <v>1</v>
      </c>
      <c r="J1189" s="121">
        <f t="shared" si="481"/>
        <v>1</v>
      </c>
      <c r="K1189" s="120">
        <f t="shared" si="482"/>
        <v>0</v>
      </c>
      <c r="L1189" s="120">
        <f t="shared" si="483"/>
        <v>0</v>
      </c>
      <c r="M1189" s="246">
        <f t="shared" si="484"/>
        <v>0</v>
      </c>
      <c r="N1189" s="121">
        <f t="shared" si="485"/>
        <v>1</v>
      </c>
      <c r="O1189" s="246">
        <f t="shared" si="486"/>
        <v>0.99631291028446389</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87">
        <v>32</v>
      </c>
      <c r="B1190" s="242">
        <f t="shared" si="493"/>
        <v>46600</v>
      </c>
      <c r="C1190" s="243">
        <f t="shared" si="474"/>
        <v>46630</v>
      </c>
      <c r="D1190" s="120">
        <f t="shared" si="475"/>
        <v>31</v>
      </c>
      <c r="E1190" s="120">
        <f t="shared" si="476"/>
        <v>8</v>
      </c>
      <c r="F1190" s="275">
        <f t="shared" si="477"/>
        <v>46615.5</v>
      </c>
      <c r="G1190" s="120">
        <f t="shared" si="478"/>
        <v>24331</v>
      </c>
      <c r="H1190" s="245">
        <f t="shared" si="479"/>
        <v>1</v>
      </c>
      <c r="I1190" s="121">
        <f t="shared" si="480"/>
        <v>1</v>
      </c>
      <c r="J1190" s="121">
        <f t="shared" si="481"/>
        <v>1</v>
      </c>
      <c r="K1190" s="120">
        <f t="shared" si="482"/>
        <v>0</v>
      </c>
      <c r="L1190" s="120">
        <f t="shared" si="483"/>
        <v>0</v>
      </c>
      <c r="M1190" s="246">
        <f t="shared" si="484"/>
        <v>0</v>
      </c>
      <c r="N1190" s="121">
        <f t="shared" si="485"/>
        <v>1</v>
      </c>
      <c r="O1190" s="246">
        <f t="shared" si="486"/>
        <v>0.99699124726477029</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87">
        <v>33</v>
      </c>
      <c r="B1191" s="242">
        <f t="shared" si="493"/>
        <v>46631</v>
      </c>
      <c r="C1191" s="243">
        <f t="shared" si="474"/>
        <v>46660</v>
      </c>
      <c r="D1191" s="120">
        <f t="shared" si="475"/>
        <v>30</v>
      </c>
      <c r="E1191" s="120">
        <f t="shared" si="476"/>
        <v>9</v>
      </c>
      <c r="F1191" s="275">
        <f t="shared" si="477"/>
        <v>46646</v>
      </c>
      <c r="G1191" s="120">
        <f t="shared" si="478"/>
        <v>24332</v>
      </c>
      <c r="H1191" s="245">
        <f t="shared" si="479"/>
        <v>1</v>
      </c>
      <c r="I1191" s="121">
        <f t="shared" si="480"/>
        <v>1</v>
      </c>
      <c r="J1191" s="121">
        <f t="shared" si="481"/>
        <v>1</v>
      </c>
      <c r="K1191" s="120">
        <f t="shared" si="482"/>
        <v>0</v>
      </c>
      <c r="L1191" s="120">
        <f t="shared" si="483"/>
        <v>0</v>
      </c>
      <c r="M1191" s="246">
        <f t="shared" si="484"/>
        <v>0</v>
      </c>
      <c r="N1191" s="121">
        <f t="shared" si="485"/>
        <v>1</v>
      </c>
      <c r="O1191" s="246">
        <f t="shared" si="486"/>
        <v>0.99765864332603937</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87">
        <v>34</v>
      </c>
      <c r="B1192" s="242">
        <f t="shared" si="493"/>
        <v>46661</v>
      </c>
      <c r="C1192" s="243">
        <f t="shared" si="474"/>
        <v>46691</v>
      </c>
      <c r="D1192" s="120">
        <f t="shared" si="475"/>
        <v>31</v>
      </c>
      <c r="E1192" s="120">
        <f t="shared" si="476"/>
        <v>10</v>
      </c>
      <c r="F1192" s="275">
        <f t="shared" si="477"/>
        <v>46676.5</v>
      </c>
      <c r="G1192" s="120">
        <f t="shared" si="478"/>
        <v>24333</v>
      </c>
      <c r="H1192" s="245">
        <f t="shared" si="479"/>
        <v>1</v>
      </c>
      <c r="I1192" s="121">
        <f t="shared" si="480"/>
        <v>1</v>
      </c>
      <c r="J1192" s="121">
        <f t="shared" si="481"/>
        <v>1</v>
      </c>
      <c r="K1192" s="120">
        <f t="shared" si="482"/>
        <v>0</v>
      </c>
      <c r="L1192" s="120">
        <f t="shared" si="483"/>
        <v>0</v>
      </c>
      <c r="M1192" s="246">
        <f t="shared" si="484"/>
        <v>0</v>
      </c>
      <c r="N1192" s="121">
        <f t="shared" si="485"/>
        <v>1</v>
      </c>
      <c r="O1192" s="246">
        <f t="shared" si="486"/>
        <v>0.99832603938730857</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87">
        <v>35</v>
      </c>
      <c r="B1193" s="242">
        <f t="shared" si="493"/>
        <v>46692</v>
      </c>
      <c r="C1193" s="243">
        <f t="shared" si="474"/>
        <v>46721</v>
      </c>
      <c r="D1193" s="120">
        <f t="shared" si="475"/>
        <v>30</v>
      </c>
      <c r="E1193" s="120">
        <f t="shared" si="476"/>
        <v>11</v>
      </c>
      <c r="F1193" s="275">
        <f t="shared" si="477"/>
        <v>46707</v>
      </c>
      <c r="G1193" s="120">
        <f t="shared" si="478"/>
        <v>24334</v>
      </c>
      <c r="H1193" s="245">
        <f t="shared" si="479"/>
        <v>1</v>
      </c>
      <c r="I1193" s="121">
        <f t="shared" si="480"/>
        <v>1</v>
      </c>
      <c r="J1193" s="121">
        <f t="shared" si="481"/>
        <v>1</v>
      </c>
      <c r="K1193" s="120">
        <f t="shared" si="482"/>
        <v>0</v>
      </c>
      <c r="L1193" s="120">
        <f t="shared" si="483"/>
        <v>0</v>
      </c>
      <c r="M1193" s="246">
        <f t="shared" si="484"/>
        <v>0</v>
      </c>
      <c r="N1193" s="121">
        <f t="shared" si="485"/>
        <v>1</v>
      </c>
      <c r="O1193" s="246">
        <f t="shared" si="486"/>
        <v>0.99899343544857766</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87">
        <v>36</v>
      </c>
      <c r="B1194" s="242">
        <f t="shared" si="493"/>
        <v>46722</v>
      </c>
      <c r="C1194" s="243">
        <f t="shared" si="474"/>
        <v>46752</v>
      </c>
      <c r="D1194" s="120">
        <f t="shared" si="475"/>
        <v>31</v>
      </c>
      <c r="E1194" s="120">
        <f t="shared" si="476"/>
        <v>12</v>
      </c>
      <c r="F1194" s="275">
        <f t="shared" si="477"/>
        <v>46737.5</v>
      </c>
      <c r="G1194" s="120">
        <f t="shared" si="478"/>
        <v>24335</v>
      </c>
      <c r="H1194" s="245">
        <f t="shared" si="479"/>
        <v>1</v>
      </c>
      <c r="I1194" s="121">
        <f t="shared" si="480"/>
        <v>1</v>
      </c>
      <c r="J1194" s="121">
        <f t="shared" si="481"/>
        <v>1</v>
      </c>
      <c r="K1194" s="120">
        <f t="shared" si="482"/>
        <v>0</v>
      </c>
      <c r="L1194" s="120">
        <f t="shared" si="483"/>
        <v>0</v>
      </c>
      <c r="M1194" s="246">
        <f t="shared" si="484"/>
        <v>0</v>
      </c>
      <c r="N1194" s="121">
        <f t="shared" si="485"/>
        <v>1</v>
      </c>
      <c r="O1194" s="246">
        <f t="shared" si="486"/>
        <v>0.99966083150984686</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87">
        <v>37</v>
      </c>
      <c r="B1195" s="242">
        <f t="shared" si="493"/>
        <v>46753</v>
      </c>
      <c r="C1195" s="243">
        <f t="shared" si="474"/>
        <v>46783</v>
      </c>
      <c r="D1195" s="120">
        <f t="shared" si="475"/>
        <v>31</v>
      </c>
      <c r="E1195" s="120">
        <f t="shared" si="476"/>
        <v>1</v>
      </c>
      <c r="F1195" s="275">
        <f t="shared" si="477"/>
        <v>46768.5</v>
      </c>
      <c r="G1195" s="120">
        <f t="shared" si="478"/>
        <v>24336</v>
      </c>
      <c r="H1195" s="245">
        <f t="shared" si="479"/>
        <v>1</v>
      </c>
      <c r="I1195" s="121">
        <f t="shared" si="480"/>
        <v>1</v>
      </c>
      <c r="J1195" s="121">
        <f t="shared" si="481"/>
        <v>1</v>
      </c>
      <c r="K1195" s="120">
        <f t="shared" si="482"/>
        <v>0</v>
      </c>
      <c r="L1195" s="120">
        <f t="shared" si="483"/>
        <v>0</v>
      </c>
      <c r="M1195" s="246">
        <f t="shared" si="484"/>
        <v>0</v>
      </c>
      <c r="N1195" s="121">
        <f t="shared" si="485"/>
        <v>1</v>
      </c>
      <c r="O1195" s="246">
        <f t="shared" si="486"/>
        <v>1</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87">
        <v>38</v>
      </c>
      <c r="B1196" s="242">
        <f t="shared" si="493"/>
        <v>46784</v>
      </c>
      <c r="C1196" s="243">
        <f t="shared" si="474"/>
        <v>46812</v>
      </c>
      <c r="D1196" s="120">
        <f t="shared" si="475"/>
        <v>29</v>
      </c>
      <c r="E1196" s="120">
        <f t="shared" si="476"/>
        <v>2</v>
      </c>
      <c r="F1196" s="275">
        <f t="shared" si="477"/>
        <v>46798.5</v>
      </c>
      <c r="G1196" s="120">
        <f t="shared" si="478"/>
        <v>24337</v>
      </c>
      <c r="H1196" s="245">
        <f t="shared" si="479"/>
        <v>1</v>
      </c>
      <c r="I1196" s="121">
        <f t="shared" si="480"/>
        <v>1</v>
      </c>
      <c r="J1196" s="121">
        <f t="shared" si="481"/>
        <v>1</v>
      </c>
      <c r="K1196" s="120">
        <f t="shared" si="482"/>
        <v>0</v>
      </c>
      <c r="L1196" s="120">
        <f t="shared" si="483"/>
        <v>0</v>
      </c>
      <c r="M1196" s="246">
        <f t="shared" si="484"/>
        <v>0</v>
      </c>
      <c r="N1196" s="121">
        <f t="shared" si="485"/>
        <v>1</v>
      </c>
      <c r="O1196" s="246">
        <f t="shared" si="486"/>
        <v>1</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87">
        <v>39</v>
      </c>
      <c r="B1197" s="242">
        <f t="shared" si="493"/>
        <v>46813</v>
      </c>
      <c r="C1197" s="243">
        <f t="shared" si="474"/>
        <v>46843</v>
      </c>
      <c r="D1197" s="120">
        <f t="shared" si="475"/>
        <v>31</v>
      </c>
      <c r="E1197" s="120">
        <f t="shared" si="476"/>
        <v>3</v>
      </c>
      <c r="F1197" s="275">
        <f t="shared" si="477"/>
        <v>46828.5</v>
      </c>
      <c r="G1197" s="120">
        <f t="shared" si="478"/>
        <v>24338</v>
      </c>
      <c r="H1197" s="245">
        <f t="shared" si="479"/>
        <v>1</v>
      </c>
      <c r="I1197" s="121">
        <f t="shared" si="480"/>
        <v>1</v>
      </c>
      <c r="J1197" s="121">
        <f t="shared" si="481"/>
        <v>1</v>
      </c>
      <c r="K1197" s="120">
        <f t="shared" si="482"/>
        <v>0</v>
      </c>
      <c r="L1197" s="120">
        <f t="shared" si="483"/>
        <v>0</v>
      </c>
      <c r="M1197" s="246">
        <f t="shared" si="484"/>
        <v>0</v>
      </c>
      <c r="N1197" s="121">
        <f t="shared" si="485"/>
        <v>1</v>
      </c>
      <c r="O1197" s="246">
        <f t="shared" si="486"/>
        <v>1</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87">
        <v>40</v>
      </c>
      <c r="B1198" s="242">
        <f t="shared" si="493"/>
        <v>46844</v>
      </c>
      <c r="C1198" s="243">
        <f t="shared" si="474"/>
        <v>46873</v>
      </c>
      <c r="D1198" s="120">
        <f t="shared" si="475"/>
        <v>30</v>
      </c>
      <c r="E1198" s="120">
        <f t="shared" si="476"/>
        <v>4</v>
      </c>
      <c r="F1198" s="275">
        <f t="shared" si="477"/>
        <v>46859</v>
      </c>
      <c r="G1198" s="120">
        <f t="shared" si="478"/>
        <v>24339</v>
      </c>
      <c r="H1198" s="245">
        <f t="shared" si="479"/>
        <v>1</v>
      </c>
      <c r="I1198" s="121">
        <f t="shared" si="480"/>
        <v>1</v>
      </c>
      <c r="J1198" s="121">
        <f t="shared" si="481"/>
        <v>1</v>
      </c>
      <c r="K1198" s="120">
        <f t="shared" si="482"/>
        <v>0</v>
      </c>
      <c r="L1198" s="120">
        <f t="shared" si="483"/>
        <v>0</v>
      </c>
      <c r="M1198" s="246">
        <f t="shared" si="484"/>
        <v>0</v>
      </c>
      <c r="N1198" s="121">
        <f t="shared" si="485"/>
        <v>1</v>
      </c>
      <c r="O1198" s="246">
        <f t="shared" si="486"/>
        <v>1</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87">
        <v>41</v>
      </c>
      <c r="B1199" s="242">
        <f t="shared" si="493"/>
        <v>46874</v>
      </c>
      <c r="C1199" s="243">
        <f t="shared" si="474"/>
        <v>46904</v>
      </c>
      <c r="D1199" s="120">
        <f t="shared" si="475"/>
        <v>31</v>
      </c>
      <c r="E1199" s="120">
        <f t="shared" si="476"/>
        <v>5</v>
      </c>
      <c r="F1199" s="275">
        <f t="shared" si="477"/>
        <v>46889.5</v>
      </c>
      <c r="G1199" s="120">
        <f t="shared" si="478"/>
        <v>24340</v>
      </c>
      <c r="H1199" s="245">
        <f t="shared" si="479"/>
        <v>1</v>
      </c>
      <c r="I1199" s="121">
        <f t="shared" si="480"/>
        <v>1</v>
      </c>
      <c r="J1199" s="121">
        <f t="shared" si="481"/>
        <v>1</v>
      </c>
      <c r="K1199" s="120">
        <f t="shared" si="482"/>
        <v>0</v>
      </c>
      <c r="L1199" s="120">
        <f t="shared" si="483"/>
        <v>0</v>
      </c>
      <c r="M1199" s="246">
        <f t="shared" si="484"/>
        <v>0</v>
      </c>
      <c r="N1199" s="121">
        <f t="shared" si="485"/>
        <v>1</v>
      </c>
      <c r="O1199" s="246">
        <f t="shared" si="486"/>
        <v>1</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87">
        <v>42</v>
      </c>
      <c r="B1200" s="242">
        <f t="shared" si="493"/>
        <v>46905</v>
      </c>
      <c r="C1200" s="243">
        <f t="shared" si="474"/>
        <v>46934</v>
      </c>
      <c r="D1200" s="120">
        <f t="shared" si="475"/>
        <v>30</v>
      </c>
      <c r="E1200" s="120">
        <f t="shared" si="476"/>
        <v>6</v>
      </c>
      <c r="F1200" s="275">
        <f t="shared" si="477"/>
        <v>46920</v>
      </c>
      <c r="G1200" s="120">
        <f t="shared" si="478"/>
        <v>24341</v>
      </c>
      <c r="H1200" s="245">
        <f t="shared" si="479"/>
        <v>1</v>
      </c>
      <c r="I1200" s="121">
        <f t="shared" si="480"/>
        <v>1</v>
      </c>
      <c r="J1200" s="121">
        <f t="shared" si="481"/>
        <v>1</v>
      </c>
      <c r="K1200" s="120">
        <f t="shared" si="482"/>
        <v>0</v>
      </c>
      <c r="L1200" s="120">
        <f t="shared" si="483"/>
        <v>0</v>
      </c>
      <c r="M1200" s="246">
        <f t="shared" si="484"/>
        <v>0</v>
      </c>
      <c r="N1200" s="121">
        <f t="shared" si="485"/>
        <v>1</v>
      </c>
      <c r="O1200" s="246">
        <f t="shared" si="486"/>
        <v>1</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87">
        <v>43</v>
      </c>
      <c r="B1201" s="242">
        <f t="shared" si="493"/>
        <v>46935</v>
      </c>
      <c r="C1201" s="243">
        <f t="shared" si="474"/>
        <v>46965</v>
      </c>
      <c r="D1201" s="120">
        <f t="shared" si="475"/>
        <v>31</v>
      </c>
      <c r="E1201" s="120">
        <f t="shared" si="476"/>
        <v>7</v>
      </c>
      <c r="F1201" s="275">
        <f t="shared" si="477"/>
        <v>46950.5</v>
      </c>
      <c r="G1201" s="120">
        <f t="shared" si="478"/>
        <v>24342</v>
      </c>
      <c r="H1201" s="245">
        <f t="shared" si="479"/>
        <v>1</v>
      </c>
      <c r="I1201" s="121">
        <f t="shared" si="480"/>
        <v>1</v>
      </c>
      <c r="J1201" s="121">
        <f t="shared" si="481"/>
        <v>1</v>
      </c>
      <c r="K1201" s="120">
        <f t="shared" si="482"/>
        <v>0</v>
      </c>
      <c r="L1201" s="120">
        <f t="shared" si="483"/>
        <v>0</v>
      </c>
      <c r="M1201" s="246">
        <f t="shared" si="484"/>
        <v>0</v>
      </c>
      <c r="N1201" s="121">
        <f t="shared" si="485"/>
        <v>1</v>
      </c>
      <c r="O1201" s="246">
        <f t="shared" si="486"/>
        <v>1</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87">
        <v>44</v>
      </c>
      <c r="B1202" s="242">
        <f t="shared" si="493"/>
        <v>46966</v>
      </c>
      <c r="C1202" s="243">
        <f t="shared" si="474"/>
        <v>46996</v>
      </c>
      <c r="D1202" s="120">
        <f t="shared" si="475"/>
        <v>31</v>
      </c>
      <c r="E1202" s="120">
        <f t="shared" si="476"/>
        <v>8</v>
      </c>
      <c r="F1202" s="275">
        <f t="shared" si="477"/>
        <v>46981.5</v>
      </c>
      <c r="G1202" s="120">
        <f t="shared" si="478"/>
        <v>24343</v>
      </c>
      <c r="H1202" s="245">
        <f t="shared" si="479"/>
        <v>1</v>
      </c>
      <c r="I1202" s="121">
        <f t="shared" si="480"/>
        <v>1</v>
      </c>
      <c r="J1202" s="121">
        <f t="shared" si="481"/>
        <v>1</v>
      </c>
      <c r="K1202" s="120">
        <f t="shared" si="482"/>
        <v>0</v>
      </c>
      <c r="L1202" s="120">
        <f t="shared" si="483"/>
        <v>0</v>
      </c>
      <c r="M1202" s="246">
        <f t="shared" si="484"/>
        <v>0</v>
      </c>
      <c r="N1202" s="121">
        <f t="shared" si="485"/>
        <v>1</v>
      </c>
      <c r="O1202" s="246">
        <f t="shared" si="486"/>
        <v>1</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87">
        <v>45</v>
      </c>
      <c r="B1203" s="242">
        <f t="shared" si="493"/>
        <v>46997</v>
      </c>
      <c r="C1203" s="243">
        <f t="shared" si="474"/>
        <v>47026</v>
      </c>
      <c r="D1203" s="120">
        <f t="shared" si="475"/>
        <v>30</v>
      </c>
      <c r="E1203" s="120">
        <f t="shared" si="476"/>
        <v>9</v>
      </c>
      <c r="F1203" s="275">
        <f t="shared" si="477"/>
        <v>47012</v>
      </c>
      <c r="G1203" s="120">
        <f t="shared" si="478"/>
        <v>24344</v>
      </c>
      <c r="H1203" s="245">
        <f t="shared" si="479"/>
        <v>1</v>
      </c>
      <c r="I1203" s="121">
        <f t="shared" si="480"/>
        <v>1</v>
      </c>
      <c r="J1203" s="121">
        <f t="shared" si="481"/>
        <v>1</v>
      </c>
      <c r="K1203" s="120">
        <f t="shared" si="482"/>
        <v>0</v>
      </c>
      <c r="L1203" s="120">
        <f t="shared" si="483"/>
        <v>0</v>
      </c>
      <c r="M1203" s="246">
        <f t="shared" si="484"/>
        <v>0</v>
      </c>
      <c r="N1203" s="121">
        <f t="shared" si="485"/>
        <v>1</v>
      </c>
      <c r="O1203" s="246">
        <f t="shared" si="486"/>
        <v>1</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87">
        <v>46</v>
      </c>
      <c r="B1204" s="242">
        <f t="shared" si="493"/>
        <v>47027</v>
      </c>
      <c r="C1204" s="243">
        <f t="shared" si="474"/>
        <v>47057</v>
      </c>
      <c r="D1204" s="120">
        <f t="shared" si="475"/>
        <v>31</v>
      </c>
      <c r="E1204" s="120">
        <f t="shared" si="476"/>
        <v>10</v>
      </c>
      <c r="F1204" s="275">
        <f t="shared" si="477"/>
        <v>47042.5</v>
      </c>
      <c r="G1204" s="120">
        <f t="shared" si="478"/>
        <v>24345</v>
      </c>
      <c r="H1204" s="245">
        <f t="shared" si="479"/>
        <v>1</v>
      </c>
      <c r="I1204" s="121">
        <f t="shared" si="480"/>
        <v>1</v>
      </c>
      <c r="J1204" s="121">
        <f t="shared" si="481"/>
        <v>1</v>
      </c>
      <c r="K1204" s="120">
        <f t="shared" si="482"/>
        <v>0</v>
      </c>
      <c r="L1204" s="120">
        <f t="shared" si="483"/>
        <v>0</v>
      </c>
      <c r="M1204" s="246">
        <f t="shared" si="484"/>
        <v>0</v>
      </c>
      <c r="N1204" s="121">
        <f t="shared" si="485"/>
        <v>1</v>
      </c>
      <c r="O1204" s="246">
        <f t="shared" si="486"/>
        <v>1</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87">
        <v>47</v>
      </c>
      <c r="B1205" s="242">
        <f t="shared" si="493"/>
        <v>47058</v>
      </c>
      <c r="C1205" s="243">
        <f t="shared" si="474"/>
        <v>47087</v>
      </c>
      <c r="D1205" s="120">
        <f t="shared" si="475"/>
        <v>30</v>
      </c>
      <c r="E1205" s="120">
        <f t="shared" si="476"/>
        <v>11</v>
      </c>
      <c r="F1205" s="275">
        <f t="shared" si="477"/>
        <v>47073</v>
      </c>
      <c r="G1205" s="120">
        <f t="shared" si="478"/>
        <v>24346</v>
      </c>
      <c r="H1205" s="245">
        <f t="shared" si="479"/>
        <v>1</v>
      </c>
      <c r="I1205" s="121">
        <f t="shared" si="480"/>
        <v>1</v>
      </c>
      <c r="J1205" s="121">
        <f t="shared" si="481"/>
        <v>1</v>
      </c>
      <c r="K1205" s="120">
        <f t="shared" si="482"/>
        <v>0</v>
      </c>
      <c r="L1205" s="120">
        <f t="shared" si="483"/>
        <v>0</v>
      </c>
      <c r="M1205" s="246">
        <f t="shared" si="484"/>
        <v>0</v>
      </c>
      <c r="N1205" s="121">
        <f t="shared" si="485"/>
        <v>1</v>
      </c>
      <c r="O1205" s="246">
        <f t="shared" si="486"/>
        <v>1</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87">
        <v>48</v>
      </c>
      <c r="B1206" s="242">
        <f t="shared" si="493"/>
        <v>47088</v>
      </c>
      <c r="C1206" s="243">
        <f t="shared" si="474"/>
        <v>47118</v>
      </c>
      <c r="D1206" s="120">
        <f t="shared" si="475"/>
        <v>31</v>
      </c>
      <c r="E1206" s="120">
        <f t="shared" si="476"/>
        <v>12</v>
      </c>
      <c r="F1206" s="275">
        <f t="shared" si="477"/>
        <v>47103.5</v>
      </c>
      <c r="G1206" s="120">
        <f t="shared" si="478"/>
        <v>24347</v>
      </c>
      <c r="H1206" s="245">
        <f t="shared" si="479"/>
        <v>1</v>
      </c>
      <c r="I1206" s="121">
        <f t="shared" si="480"/>
        <v>1</v>
      </c>
      <c r="J1206" s="121">
        <f t="shared" si="481"/>
        <v>1</v>
      </c>
      <c r="K1206" s="120">
        <f t="shared" si="482"/>
        <v>0</v>
      </c>
      <c r="L1206" s="120">
        <f t="shared" si="483"/>
        <v>0</v>
      </c>
      <c r="M1206" s="246">
        <f t="shared" si="484"/>
        <v>0</v>
      </c>
      <c r="N1206" s="121">
        <f t="shared" si="485"/>
        <v>1</v>
      </c>
      <c r="O1206" s="246">
        <f t="shared" si="486"/>
        <v>1</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1651</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0.99199580598103554</v>
      </c>
      <c r="G1207" s="224">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24">
        <f>IF(N(INDEX(lr_mind,22))=0,1,INDEX(lr_mind,22))</f>
        <v>1</v>
      </c>
      <c r="G1210" s="224">
        <f>IF(N(INDEX(lr_m0,22))=0,1,INDEX(lr_m0,22))</f>
        <v>0.99</v>
      </c>
      <c r="H1210" s="74">
        <f>IF(N(INDEX(lr_m0asof,22))=0,DATE(nr_PlanYear-1,10,1),INDEX(lr_m0asof,22))</f>
        <v>46295</v>
      </c>
      <c r="I1210" s="224">
        <f>IF(N(INDEX(lr_m1,22))=0,1,INDEX(lr_m1,22))</f>
        <v>0.98</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94">EOMONTH($B1213,0)</f>
        <v>45688</v>
      </c>
      <c r="D1213" s="120">
        <f t="shared" ref="D1213:D1260" si="495">$C1213-$B1213+1</f>
        <v>31</v>
      </c>
      <c r="E1213" s="120">
        <f t="shared" ref="E1213:E1260" si="496">MONTH($B1213)</f>
        <v>1</v>
      </c>
      <c r="F1213" s="275">
        <f t="shared" ref="F1213:F1260" si="497">($B1213+$C1213+1)/2</f>
        <v>45673.5</v>
      </c>
      <c r="G1213" s="120">
        <f t="shared" ref="G1213:G1260" si="498">YEAR($B1213)*12+MONTH($B1213)-1</f>
        <v>24300</v>
      </c>
      <c r="H1213" s="245">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46">
        <f t="shared" ref="M1213:M1260" si="504">IF($K1213=0,0,MIN(1,$L1213/$D1213))</f>
        <v>0</v>
      </c>
      <c r="N1213" s="121">
        <f t="shared" ref="N1213:N1260" si="505">IF($K1213=0,$J1213,(1-$M1213)*$I1213+$M1213*$J1213)</f>
        <v>1</v>
      </c>
      <c r="O1213" s="246">
        <f t="shared" ref="O1213:O1260" si="506">IF($F1213&lt;$B$1211,$E$1211+$I$1211*($F1213-$A$1211),IF($F1213&lt;$C$1211,$F$1211+$J$1211*($F1213-$B$1211),$G$1211+$K$1211*($F1213-$C$1211)))</f>
        <v>1.0036214442013129</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87">
        <v>2</v>
      </c>
      <c r="B1214" s="242">
        <f t="shared" ref="B1214:B1260" si="513">EDATE($B1213,1)</f>
        <v>45689</v>
      </c>
      <c r="C1214" s="243">
        <f t="shared" si="494"/>
        <v>45716</v>
      </c>
      <c r="D1214" s="120">
        <f t="shared" si="495"/>
        <v>28</v>
      </c>
      <c r="E1214" s="120">
        <f t="shared" si="496"/>
        <v>2</v>
      </c>
      <c r="F1214" s="275">
        <f t="shared" si="497"/>
        <v>45703</v>
      </c>
      <c r="G1214" s="120">
        <f t="shared" si="498"/>
        <v>24301</v>
      </c>
      <c r="H1214" s="245">
        <f t="shared" si="499"/>
        <v>1</v>
      </c>
      <c r="I1214" s="121">
        <f t="shared" si="500"/>
        <v>1</v>
      </c>
      <c r="J1214" s="121">
        <f t="shared" si="501"/>
        <v>1</v>
      </c>
      <c r="K1214" s="120">
        <f t="shared" si="502"/>
        <v>0</v>
      </c>
      <c r="L1214" s="120">
        <f t="shared" si="503"/>
        <v>0</v>
      </c>
      <c r="M1214" s="246">
        <f t="shared" si="504"/>
        <v>0</v>
      </c>
      <c r="N1214" s="121">
        <f t="shared" si="505"/>
        <v>1</v>
      </c>
      <c r="O1214" s="246">
        <f t="shared" si="506"/>
        <v>1.002975929978118</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87">
        <v>3</v>
      </c>
      <c r="B1215" s="242">
        <f t="shared" si="513"/>
        <v>45717</v>
      </c>
      <c r="C1215" s="243">
        <f t="shared" si="494"/>
        <v>45747</v>
      </c>
      <c r="D1215" s="120">
        <f t="shared" si="495"/>
        <v>31</v>
      </c>
      <c r="E1215" s="120">
        <f t="shared" si="496"/>
        <v>3</v>
      </c>
      <c r="F1215" s="275">
        <f t="shared" si="497"/>
        <v>45732.5</v>
      </c>
      <c r="G1215" s="120">
        <f t="shared" si="498"/>
        <v>24302</v>
      </c>
      <c r="H1215" s="245">
        <f t="shared" si="499"/>
        <v>1</v>
      </c>
      <c r="I1215" s="121">
        <f t="shared" si="500"/>
        <v>1</v>
      </c>
      <c r="J1215" s="121">
        <f t="shared" si="501"/>
        <v>1</v>
      </c>
      <c r="K1215" s="120">
        <f t="shared" si="502"/>
        <v>0</v>
      </c>
      <c r="L1215" s="120">
        <f t="shared" si="503"/>
        <v>0</v>
      </c>
      <c r="M1215" s="246">
        <f t="shared" si="504"/>
        <v>0</v>
      </c>
      <c r="N1215" s="121">
        <f t="shared" si="505"/>
        <v>1</v>
      </c>
      <c r="O1215" s="246">
        <f t="shared" si="506"/>
        <v>1.0023304157549233</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87">
        <v>4</v>
      </c>
      <c r="B1216" s="242">
        <f t="shared" si="513"/>
        <v>45748</v>
      </c>
      <c r="C1216" s="243">
        <f t="shared" si="494"/>
        <v>45777</v>
      </c>
      <c r="D1216" s="120">
        <f t="shared" si="495"/>
        <v>30</v>
      </c>
      <c r="E1216" s="120">
        <f t="shared" si="496"/>
        <v>4</v>
      </c>
      <c r="F1216" s="275">
        <f t="shared" si="497"/>
        <v>45763</v>
      </c>
      <c r="G1216" s="120">
        <f t="shared" si="498"/>
        <v>24303</v>
      </c>
      <c r="H1216" s="245">
        <f t="shared" si="499"/>
        <v>1</v>
      </c>
      <c r="I1216" s="121">
        <f t="shared" si="500"/>
        <v>1</v>
      </c>
      <c r="J1216" s="121">
        <f t="shared" si="501"/>
        <v>1</v>
      </c>
      <c r="K1216" s="120">
        <f t="shared" si="502"/>
        <v>0</v>
      </c>
      <c r="L1216" s="120">
        <f t="shared" si="503"/>
        <v>0</v>
      </c>
      <c r="M1216" s="246">
        <f t="shared" si="504"/>
        <v>0</v>
      </c>
      <c r="N1216" s="121">
        <f t="shared" si="505"/>
        <v>1</v>
      </c>
      <c r="O1216" s="246">
        <f t="shared" si="506"/>
        <v>1.0016630196936542</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87">
        <v>5</v>
      </c>
      <c r="B1217" s="242">
        <f t="shared" si="513"/>
        <v>45778</v>
      </c>
      <c r="C1217" s="243">
        <f t="shared" si="494"/>
        <v>45808</v>
      </c>
      <c r="D1217" s="120">
        <f t="shared" si="495"/>
        <v>31</v>
      </c>
      <c r="E1217" s="120">
        <f t="shared" si="496"/>
        <v>5</v>
      </c>
      <c r="F1217" s="275">
        <f t="shared" si="497"/>
        <v>45793.5</v>
      </c>
      <c r="G1217" s="120">
        <f t="shared" si="498"/>
        <v>24304</v>
      </c>
      <c r="H1217" s="245">
        <f t="shared" si="499"/>
        <v>1</v>
      </c>
      <c r="I1217" s="121">
        <f t="shared" si="500"/>
        <v>1</v>
      </c>
      <c r="J1217" s="121">
        <f t="shared" si="501"/>
        <v>1</v>
      </c>
      <c r="K1217" s="120">
        <f t="shared" si="502"/>
        <v>0</v>
      </c>
      <c r="L1217" s="120">
        <f t="shared" si="503"/>
        <v>0</v>
      </c>
      <c r="M1217" s="246">
        <f t="shared" si="504"/>
        <v>0</v>
      </c>
      <c r="N1217" s="121">
        <f t="shared" si="505"/>
        <v>1</v>
      </c>
      <c r="O1217" s="246">
        <f t="shared" si="506"/>
        <v>1.0009956236323851</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87">
        <v>6</v>
      </c>
      <c r="B1218" s="242">
        <f t="shared" si="513"/>
        <v>45809</v>
      </c>
      <c r="C1218" s="243">
        <f t="shared" si="494"/>
        <v>45838</v>
      </c>
      <c r="D1218" s="120">
        <f t="shared" si="495"/>
        <v>30</v>
      </c>
      <c r="E1218" s="120">
        <f t="shared" si="496"/>
        <v>6</v>
      </c>
      <c r="F1218" s="275">
        <f t="shared" si="497"/>
        <v>45824</v>
      </c>
      <c r="G1218" s="120">
        <f t="shared" si="498"/>
        <v>24305</v>
      </c>
      <c r="H1218" s="245">
        <f t="shared" si="499"/>
        <v>1</v>
      </c>
      <c r="I1218" s="121">
        <f t="shared" si="500"/>
        <v>1</v>
      </c>
      <c r="J1218" s="121">
        <f t="shared" si="501"/>
        <v>1</v>
      </c>
      <c r="K1218" s="120">
        <f t="shared" si="502"/>
        <v>0</v>
      </c>
      <c r="L1218" s="120">
        <f t="shared" si="503"/>
        <v>0</v>
      </c>
      <c r="M1218" s="246">
        <f t="shared" si="504"/>
        <v>0</v>
      </c>
      <c r="N1218" s="121">
        <f t="shared" si="505"/>
        <v>1</v>
      </c>
      <c r="O1218" s="246">
        <f t="shared" si="506"/>
        <v>1.0003282275711158</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87">
        <v>7</v>
      </c>
      <c r="B1219" s="242">
        <f t="shared" si="513"/>
        <v>45839</v>
      </c>
      <c r="C1219" s="243">
        <f t="shared" si="494"/>
        <v>45869</v>
      </c>
      <c r="D1219" s="120">
        <f t="shared" si="495"/>
        <v>31</v>
      </c>
      <c r="E1219" s="120">
        <f t="shared" si="496"/>
        <v>7</v>
      </c>
      <c r="F1219" s="275">
        <f t="shared" si="497"/>
        <v>45854.5</v>
      </c>
      <c r="G1219" s="120">
        <f t="shared" si="498"/>
        <v>24306</v>
      </c>
      <c r="H1219" s="245">
        <f t="shared" si="499"/>
        <v>1</v>
      </c>
      <c r="I1219" s="121">
        <f t="shared" si="500"/>
        <v>1</v>
      </c>
      <c r="J1219" s="121">
        <f t="shared" si="501"/>
        <v>1</v>
      </c>
      <c r="K1219" s="120">
        <f t="shared" si="502"/>
        <v>0</v>
      </c>
      <c r="L1219" s="120">
        <f t="shared" si="503"/>
        <v>0</v>
      </c>
      <c r="M1219" s="246">
        <f t="shared" si="504"/>
        <v>0</v>
      </c>
      <c r="N1219" s="121">
        <f t="shared" si="505"/>
        <v>1</v>
      </c>
      <c r="O1219" s="246">
        <f t="shared" si="506"/>
        <v>0.99966083150984675</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87">
        <v>8</v>
      </c>
      <c r="B1220" s="242">
        <f t="shared" si="513"/>
        <v>45870</v>
      </c>
      <c r="C1220" s="243">
        <f t="shared" si="494"/>
        <v>45900</v>
      </c>
      <c r="D1220" s="120">
        <f t="shared" si="495"/>
        <v>31</v>
      </c>
      <c r="E1220" s="120">
        <f t="shared" si="496"/>
        <v>8</v>
      </c>
      <c r="F1220" s="275">
        <f t="shared" si="497"/>
        <v>45885.5</v>
      </c>
      <c r="G1220" s="120">
        <f t="shared" si="498"/>
        <v>24307</v>
      </c>
      <c r="H1220" s="245">
        <f t="shared" si="499"/>
        <v>1</v>
      </c>
      <c r="I1220" s="121">
        <f t="shared" si="500"/>
        <v>1</v>
      </c>
      <c r="J1220" s="121">
        <f t="shared" si="501"/>
        <v>1</v>
      </c>
      <c r="K1220" s="120">
        <f t="shared" si="502"/>
        <v>0</v>
      </c>
      <c r="L1220" s="120">
        <f t="shared" si="503"/>
        <v>0</v>
      </c>
      <c r="M1220" s="246">
        <f t="shared" si="504"/>
        <v>0</v>
      </c>
      <c r="N1220" s="121">
        <f t="shared" si="505"/>
        <v>1</v>
      </c>
      <c r="O1220" s="246">
        <f t="shared" si="506"/>
        <v>0.99898249452954047</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87">
        <v>9</v>
      </c>
      <c r="B1221" s="242">
        <f t="shared" si="513"/>
        <v>45901</v>
      </c>
      <c r="C1221" s="243">
        <f t="shared" si="494"/>
        <v>45930</v>
      </c>
      <c r="D1221" s="120">
        <f t="shared" si="495"/>
        <v>30</v>
      </c>
      <c r="E1221" s="120">
        <f t="shared" si="496"/>
        <v>9</v>
      </c>
      <c r="F1221" s="275">
        <f t="shared" si="497"/>
        <v>45916</v>
      </c>
      <c r="G1221" s="120">
        <f t="shared" si="498"/>
        <v>24308</v>
      </c>
      <c r="H1221" s="245">
        <f t="shared" si="499"/>
        <v>1</v>
      </c>
      <c r="I1221" s="121">
        <f t="shared" si="500"/>
        <v>1</v>
      </c>
      <c r="J1221" s="121">
        <f t="shared" si="501"/>
        <v>1</v>
      </c>
      <c r="K1221" s="120">
        <f t="shared" si="502"/>
        <v>0</v>
      </c>
      <c r="L1221" s="120">
        <f t="shared" si="503"/>
        <v>0</v>
      </c>
      <c r="M1221" s="246">
        <f t="shared" si="504"/>
        <v>0</v>
      </c>
      <c r="N1221" s="121">
        <f t="shared" si="505"/>
        <v>1</v>
      </c>
      <c r="O1221" s="246">
        <f t="shared" si="506"/>
        <v>0.99831509846827127</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87">
        <v>10</v>
      </c>
      <c r="B1222" s="242">
        <f t="shared" si="513"/>
        <v>45931</v>
      </c>
      <c r="C1222" s="243">
        <f t="shared" si="494"/>
        <v>45961</v>
      </c>
      <c r="D1222" s="120">
        <f t="shared" si="495"/>
        <v>31</v>
      </c>
      <c r="E1222" s="120">
        <f t="shared" si="496"/>
        <v>10</v>
      </c>
      <c r="F1222" s="275">
        <f t="shared" si="497"/>
        <v>45946.5</v>
      </c>
      <c r="G1222" s="120">
        <f t="shared" si="498"/>
        <v>24309</v>
      </c>
      <c r="H1222" s="245">
        <f t="shared" si="499"/>
        <v>1</v>
      </c>
      <c r="I1222" s="121">
        <f t="shared" si="500"/>
        <v>1</v>
      </c>
      <c r="J1222" s="121">
        <f t="shared" si="501"/>
        <v>1</v>
      </c>
      <c r="K1222" s="120">
        <f t="shared" si="502"/>
        <v>0</v>
      </c>
      <c r="L1222" s="120">
        <f t="shared" si="503"/>
        <v>0</v>
      </c>
      <c r="M1222" s="246">
        <f t="shared" si="504"/>
        <v>0</v>
      </c>
      <c r="N1222" s="121">
        <f t="shared" si="505"/>
        <v>1</v>
      </c>
      <c r="O1222" s="246">
        <f t="shared" si="506"/>
        <v>0.99764770240700218</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87">
        <v>11</v>
      </c>
      <c r="B1223" s="242">
        <f t="shared" si="513"/>
        <v>45962</v>
      </c>
      <c r="C1223" s="243">
        <f t="shared" si="494"/>
        <v>45991</v>
      </c>
      <c r="D1223" s="120">
        <f t="shared" si="495"/>
        <v>30</v>
      </c>
      <c r="E1223" s="120">
        <f t="shared" si="496"/>
        <v>11</v>
      </c>
      <c r="F1223" s="275">
        <f t="shared" si="497"/>
        <v>45977</v>
      </c>
      <c r="G1223" s="120">
        <f t="shared" si="498"/>
        <v>24310</v>
      </c>
      <c r="H1223" s="245">
        <f t="shared" si="499"/>
        <v>1</v>
      </c>
      <c r="I1223" s="121">
        <f t="shared" si="500"/>
        <v>1</v>
      </c>
      <c r="J1223" s="121">
        <f t="shared" si="501"/>
        <v>1</v>
      </c>
      <c r="K1223" s="120">
        <f t="shared" si="502"/>
        <v>0</v>
      </c>
      <c r="L1223" s="120">
        <f t="shared" si="503"/>
        <v>0</v>
      </c>
      <c r="M1223" s="246">
        <f t="shared" si="504"/>
        <v>0</v>
      </c>
      <c r="N1223" s="121">
        <f t="shared" si="505"/>
        <v>1</v>
      </c>
      <c r="O1223" s="246">
        <f t="shared" si="506"/>
        <v>0.99698030634573298</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87">
        <v>12</v>
      </c>
      <c r="B1224" s="242">
        <f t="shared" si="513"/>
        <v>45992</v>
      </c>
      <c r="C1224" s="243">
        <f t="shared" si="494"/>
        <v>46022</v>
      </c>
      <c r="D1224" s="120">
        <f t="shared" si="495"/>
        <v>31</v>
      </c>
      <c r="E1224" s="120">
        <f t="shared" si="496"/>
        <v>12</v>
      </c>
      <c r="F1224" s="275">
        <f t="shared" si="497"/>
        <v>46007.5</v>
      </c>
      <c r="G1224" s="120">
        <f t="shared" si="498"/>
        <v>24311</v>
      </c>
      <c r="H1224" s="245">
        <f t="shared" si="499"/>
        <v>1</v>
      </c>
      <c r="I1224" s="121">
        <f t="shared" si="500"/>
        <v>1</v>
      </c>
      <c r="J1224" s="121">
        <f t="shared" si="501"/>
        <v>1</v>
      </c>
      <c r="K1224" s="120">
        <f t="shared" si="502"/>
        <v>0</v>
      </c>
      <c r="L1224" s="120">
        <f t="shared" si="503"/>
        <v>0</v>
      </c>
      <c r="M1224" s="246">
        <f t="shared" si="504"/>
        <v>0</v>
      </c>
      <c r="N1224" s="121">
        <f t="shared" si="505"/>
        <v>1</v>
      </c>
      <c r="O1224" s="246">
        <f t="shared" si="506"/>
        <v>0.99631291028446389</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87">
        <v>13</v>
      </c>
      <c r="B1225" s="242">
        <f t="shared" si="513"/>
        <v>46023</v>
      </c>
      <c r="C1225" s="243">
        <f t="shared" si="494"/>
        <v>46053</v>
      </c>
      <c r="D1225" s="120">
        <f t="shared" si="495"/>
        <v>31</v>
      </c>
      <c r="E1225" s="120">
        <f t="shared" si="496"/>
        <v>1</v>
      </c>
      <c r="F1225" s="275">
        <f t="shared" si="497"/>
        <v>46038.5</v>
      </c>
      <c r="G1225" s="120">
        <f t="shared" si="498"/>
        <v>24312</v>
      </c>
      <c r="H1225" s="245">
        <f t="shared" si="499"/>
        <v>1</v>
      </c>
      <c r="I1225" s="121">
        <f t="shared" si="500"/>
        <v>1</v>
      </c>
      <c r="J1225" s="121">
        <f t="shared" si="501"/>
        <v>1</v>
      </c>
      <c r="K1225" s="120">
        <f t="shared" si="502"/>
        <v>0</v>
      </c>
      <c r="L1225" s="120">
        <f t="shared" si="503"/>
        <v>0</v>
      </c>
      <c r="M1225" s="246">
        <f t="shared" si="504"/>
        <v>0</v>
      </c>
      <c r="N1225" s="121">
        <f t="shared" si="505"/>
        <v>1</v>
      </c>
      <c r="O1225" s="246">
        <f t="shared" si="506"/>
        <v>0.9956345733041575</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87">
        <v>14</v>
      </c>
      <c r="B1226" s="242">
        <f t="shared" si="513"/>
        <v>46054</v>
      </c>
      <c r="C1226" s="243">
        <f t="shared" si="494"/>
        <v>46081</v>
      </c>
      <c r="D1226" s="120">
        <f t="shared" si="495"/>
        <v>28</v>
      </c>
      <c r="E1226" s="120">
        <f t="shared" si="496"/>
        <v>2</v>
      </c>
      <c r="F1226" s="275">
        <f t="shared" si="497"/>
        <v>46068</v>
      </c>
      <c r="G1226" s="120">
        <f t="shared" si="498"/>
        <v>24313</v>
      </c>
      <c r="H1226" s="245">
        <f t="shared" si="499"/>
        <v>1</v>
      </c>
      <c r="I1226" s="121">
        <f t="shared" si="500"/>
        <v>1</v>
      </c>
      <c r="J1226" s="121">
        <f t="shared" si="501"/>
        <v>1</v>
      </c>
      <c r="K1226" s="120">
        <f t="shared" si="502"/>
        <v>0</v>
      </c>
      <c r="L1226" s="120">
        <f t="shared" si="503"/>
        <v>0</v>
      </c>
      <c r="M1226" s="246">
        <f t="shared" si="504"/>
        <v>0</v>
      </c>
      <c r="N1226" s="121">
        <f t="shared" si="505"/>
        <v>1</v>
      </c>
      <c r="O1226" s="246">
        <f t="shared" si="506"/>
        <v>0.9949890590809628</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87">
        <v>15</v>
      </c>
      <c r="B1227" s="242">
        <f t="shared" si="513"/>
        <v>46082</v>
      </c>
      <c r="C1227" s="243">
        <f t="shared" si="494"/>
        <v>46112</v>
      </c>
      <c r="D1227" s="120">
        <f t="shared" si="495"/>
        <v>31</v>
      </c>
      <c r="E1227" s="120">
        <f t="shared" si="496"/>
        <v>3</v>
      </c>
      <c r="F1227" s="275">
        <f t="shared" si="497"/>
        <v>46097.5</v>
      </c>
      <c r="G1227" s="120">
        <f t="shared" si="498"/>
        <v>24314</v>
      </c>
      <c r="H1227" s="245">
        <f t="shared" si="499"/>
        <v>1</v>
      </c>
      <c r="I1227" s="121">
        <f t="shared" si="500"/>
        <v>1</v>
      </c>
      <c r="J1227" s="121">
        <f t="shared" si="501"/>
        <v>1</v>
      </c>
      <c r="K1227" s="120">
        <f t="shared" si="502"/>
        <v>0</v>
      </c>
      <c r="L1227" s="120">
        <f t="shared" si="503"/>
        <v>0</v>
      </c>
      <c r="M1227" s="246">
        <f t="shared" si="504"/>
        <v>0</v>
      </c>
      <c r="N1227" s="121">
        <f t="shared" si="505"/>
        <v>1</v>
      </c>
      <c r="O1227" s="246">
        <f t="shared" si="506"/>
        <v>0.99434354485776799</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87">
        <v>16</v>
      </c>
      <c r="B1228" s="242">
        <f t="shared" si="513"/>
        <v>46113</v>
      </c>
      <c r="C1228" s="243">
        <f t="shared" si="494"/>
        <v>46142</v>
      </c>
      <c r="D1228" s="120">
        <f t="shared" si="495"/>
        <v>30</v>
      </c>
      <c r="E1228" s="120">
        <f t="shared" si="496"/>
        <v>4</v>
      </c>
      <c r="F1228" s="275">
        <f t="shared" si="497"/>
        <v>46128</v>
      </c>
      <c r="G1228" s="120">
        <f t="shared" si="498"/>
        <v>24315</v>
      </c>
      <c r="H1228" s="245">
        <f t="shared" si="499"/>
        <v>1</v>
      </c>
      <c r="I1228" s="121">
        <f t="shared" si="500"/>
        <v>1</v>
      </c>
      <c r="J1228" s="121">
        <f t="shared" si="501"/>
        <v>1</v>
      </c>
      <c r="K1228" s="120">
        <f t="shared" si="502"/>
        <v>0</v>
      </c>
      <c r="L1228" s="120">
        <f t="shared" si="503"/>
        <v>0</v>
      </c>
      <c r="M1228" s="246">
        <f t="shared" si="504"/>
        <v>0</v>
      </c>
      <c r="N1228" s="121">
        <f t="shared" si="505"/>
        <v>1</v>
      </c>
      <c r="O1228" s="246">
        <f t="shared" si="506"/>
        <v>0.9936761487964989</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87">
        <v>17</v>
      </c>
      <c r="B1229" s="242">
        <f t="shared" si="513"/>
        <v>46143</v>
      </c>
      <c r="C1229" s="243">
        <f t="shared" si="494"/>
        <v>46173</v>
      </c>
      <c r="D1229" s="120">
        <f t="shared" si="495"/>
        <v>31</v>
      </c>
      <c r="E1229" s="120">
        <f t="shared" si="496"/>
        <v>5</v>
      </c>
      <c r="F1229" s="275">
        <f t="shared" si="497"/>
        <v>46158.5</v>
      </c>
      <c r="G1229" s="120">
        <f t="shared" si="498"/>
        <v>24316</v>
      </c>
      <c r="H1229" s="245">
        <f t="shared" si="499"/>
        <v>1</v>
      </c>
      <c r="I1229" s="121">
        <f t="shared" si="500"/>
        <v>1</v>
      </c>
      <c r="J1229" s="121">
        <f t="shared" si="501"/>
        <v>1</v>
      </c>
      <c r="K1229" s="120">
        <f t="shared" si="502"/>
        <v>0</v>
      </c>
      <c r="L1229" s="120">
        <f t="shared" si="503"/>
        <v>0</v>
      </c>
      <c r="M1229" s="246">
        <f t="shared" si="504"/>
        <v>0</v>
      </c>
      <c r="N1229" s="121">
        <f t="shared" si="505"/>
        <v>1</v>
      </c>
      <c r="O1229" s="246">
        <f t="shared" si="506"/>
        <v>0.9930087527352297</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87">
        <v>18</v>
      </c>
      <c r="B1230" s="242">
        <f t="shared" si="513"/>
        <v>46174</v>
      </c>
      <c r="C1230" s="243">
        <f t="shared" si="494"/>
        <v>46203</v>
      </c>
      <c r="D1230" s="120">
        <f t="shared" si="495"/>
        <v>30</v>
      </c>
      <c r="E1230" s="120">
        <f t="shared" si="496"/>
        <v>6</v>
      </c>
      <c r="F1230" s="275">
        <f t="shared" si="497"/>
        <v>46189</v>
      </c>
      <c r="G1230" s="120">
        <f t="shared" si="498"/>
        <v>24317</v>
      </c>
      <c r="H1230" s="245">
        <f t="shared" si="499"/>
        <v>1</v>
      </c>
      <c r="I1230" s="121">
        <f t="shared" si="500"/>
        <v>1</v>
      </c>
      <c r="J1230" s="121">
        <f t="shared" si="501"/>
        <v>1</v>
      </c>
      <c r="K1230" s="120">
        <f t="shared" si="502"/>
        <v>0</v>
      </c>
      <c r="L1230" s="120">
        <f t="shared" si="503"/>
        <v>0</v>
      </c>
      <c r="M1230" s="246">
        <f t="shared" si="504"/>
        <v>0</v>
      </c>
      <c r="N1230" s="121">
        <f t="shared" si="505"/>
        <v>1</v>
      </c>
      <c r="O1230" s="246">
        <f t="shared" si="506"/>
        <v>0.99234135667396062</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87">
        <v>19</v>
      </c>
      <c r="B1231" s="242">
        <f t="shared" si="513"/>
        <v>46204</v>
      </c>
      <c r="C1231" s="243">
        <f t="shared" si="494"/>
        <v>46234</v>
      </c>
      <c r="D1231" s="120">
        <f t="shared" si="495"/>
        <v>31</v>
      </c>
      <c r="E1231" s="120">
        <f t="shared" si="496"/>
        <v>7</v>
      </c>
      <c r="F1231" s="275">
        <f t="shared" si="497"/>
        <v>46219.5</v>
      </c>
      <c r="G1231" s="120">
        <f t="shared" si="498"/>
        <v>24318</v>
      </c>
      <c r="H1231" s="245">
        <f t="shared" si="499"/>
        <v>1</v>
      </c>
      <c r="I1231" s="121">
        <f t="shared" si="500"/>
        <v>1</v>
      </c>
      <c r="J1231" s="121">
        <f t="shared" si="501"/>
        <v>1</v>
      </c>
      <c r="K1231" s="120">
        <f t="shared" si="502"/>
        <v>0</v>
      </c>
      <c r="L1231" s="120">
        <f t="shared" si="503"/>
        <v>0</v>
      </c>
      <c r="M1231" s="246">
        <f t="shared" si="504"/>
        <v>0</v>
      </c>
      <c r="N1231" s="121">
        <f t="shared" si="505"/>
        <v>1</v>
      </c>
      <c r="O1231" s="246">
        <f t="shared" si="506"/>
        <v>0.99167396061269142</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87">
        <v>20</v>
      </c>
      <c r="B1232" s="242">
        <f t="shared" si="513"/>
        <v>46235</v>
      </c>
      <c r="C1232" s="243">
        <f t="shared" si="494"/>
        <v>46265</v>
      </c>
      <c r="D1232" s="120">
        <f t="shared" si="495"/>
        <v>31</v>
      </c>
      <c r="E1232" s="120">
        <f t="shared" si="496"/>
        <v>8</v>
      </c>
      <c r="F1232" s="275">
        <f t="shared" si="497"/>
        <v>46250.5</v>
      </c>
      <c r="G1232" s="120">
        <f t="shared" si="498"/>
        <v>24319</v>
      </c>
      <c r="H1232" s="245">
        <f t="shared" si="499"/>
        <v>1</v>
      </c>
      <c r="I1232" s="121">
        <f t="shared" si="500"/>
        <v>1</v>
      </c>
      <c r="J1232" s="121">
        <f t="shared" si="501"/>
        <v>1</v>
      </c>
      <c r="K1232" s="120">
        <f t="shared" si="502"/>
        <v>0</v>
      </c>
      <c r="L1232" s="120">
        <f t="shared" si="503"/>
        <v>0</v>
      </c>
      <c r="M1232" s="246">
        <f t="shared" si="504"/>
        <v>0</v>
      </c>
      <c r="N1232" s="121">
        <f t="shared" si="505"/>
        <v>1</v>
      </c>
      <c r="O1232" s="246">
        <f t="shared" si="506"/>
        <v>0.99099562363238514</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87">
        <v>21</v>
      </c>
      <c r="B1233" s="242">
        <f t="shared" si="513"/>
        <v>46266</v>
      </c>
      <c r="C1233" s="243">
        <f t="shared" si="494"/>
        <v>46295</v>
      </c>
      <c r="D1233" s="120">
        <f t="shared" si="495"/>
        <v>30</v>
      </c>
      <c r="E1233" s="120">
        <f t="shared" si="496"/>
        <v>9</v>
      </c>
      <c r="F1233" s="275">
        <f t="shared" si="497"/>
        <v>46281</v>
      </c>
      <c r="G1233" s="120">
        <f t="shared" si="498"/>
        <v>24320</v>
      </c>
      <c r="H1233" s="245">
        <f t="shared" si="499"/>
        <v>1</v>
      </c>
      <c r="I1233" s="121">
        <f t="shared" si="500"/>
        <v>1</v>
      </c>
      <c r="J1233" s="121">
        <f t="shared" si="501"/>
        <v>1</v>
      </c>
      <c r="K1233" s="120">
        <f t="shared" si="502"/>
        <v>0</v>
      </c>
      <c r="L1233" s="120">
        <f t="shared" si="503"/>
        <v>0</v>
      </c>
      <c r="M1233" s="246">
        <f t="shared" si="504"/>
        <v>0</v>
      </c>
      <c r="N1233" s="121">
        <f t="shared" si="505"/>
        <v>1</v>
      </c>
      <c r="O1233" s="246">
        <f t="shared" si="506"/>
        <v>0.99032822757111594</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87">
        <v>22</v>
      </c>
      <c r="B1234" s="242">
        <f t="shared" si="513"/>
        <v>46296</v>
      </c>
      <c r="C1234" s="243">
        <f t="shared" si="494"/>
        <v>46326</v>
      </c>
      <c r="D1234" s="120">
        <f t="shared" si="495"/>
        <v>31</v>
      </c>
      <c r="E1234" s="120">
        <f t="shared" si="496"/>
        <v>10</v>
      </c>
      <c r="F1234" s="275">
        <f t="shared" si="497"/>
        <v>46311.5</v>
      </c>
      <c r="G1234" s="120">
        <f t="shared" si="498"/>
        <v>24321</v>
      </c>
      <c r="H1234" s="245">
        <f t="shared" si="499"/>
        <v>1</v>
      </c>
      <c r="I1234" s="121">
        <f t="shared" si="500"/>
        <v>1</v>
      </c>
      <c r="J1234" s="121">
        <f t="shared" si="501"/>
        <v>1.03</v>
      </c>
      <c r="K1234" s="120">
        <f t="shared" si="502"/>
        <v>1</v>
      </c>
      <c r="L1234" s="120">
        <f t="shared" si="503"/>
        <v>31</v>
      </c>
      <c r="M1234" s="246">
        <f t="shared" si="504"/>
        <v>1</v>
      </c>
      <c r="N1234" s="121">
        <f t="shared" si="505"/>
        <v>1.03</v>
      </c>
      <c r="O1234" s="246">
        <f t="shared" si="506"/>
        <v>0.98966083150984685</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87">
        <v>23</v>
      </c>
      <c r="B1235" s="242">
        <f t="shared" si="513"/>
        <v>46327</v>
      </c>
      <c r="C1235" s="243">
        <f t="shared" si="494"/>
        <v>46356</v>
      </c>
      <c r="D1235" s="120">
        <f t="shared" si="495"/>
        <v>30</v>
      </c>
      <c r="E1235" s="120">
        <f t="shared" si="496"/>
        <v>11</v>
      </c>
      <c r="F1235" s="275">
        <f t="shared" si="497"/>
        <v>46342</v>
      </c>
      <c r="G1235" s="120">
        <f t="shared" si="498"/>
        <v>24322</v>
      </c>
      <c r="H1235" s="245">
        <f t="shared" si="499"/>
        <v>1</v>
      </c>
      <c r="I1235" s="121">
        <f t="shared" si="500"/>
        <v>1.03</v>
      </c>
      <c r="J1235" s="121">
        <f t="shared" si="501"/>
        <v>1.03</v>
      </c>
      <c r="K1235" s="120">
        <f t="shared" si="502"/>
        <v>0</v>
      </c>
      <c r="L1235" s="120">
        <f t="shared" si="503"/>
        <v>0</v>
      </c>
      <c r="M1235" s="246">
        <f t="shared" si="504"/>
        <v>0</v>
      </c>
      <c r="N1235" s="121">
        <f t="shared" si="505"/>
        <v>1.03</v>
      </c>
      <c r="O1235" s="246">
        <f t="shared" si="506"/>
        <v>0.98899343544857765</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87">
        <v>24</v>
      </c>
      <c r="B1236" s="242">
        <f t="shared" si="513"/>
        <v>46357</v>
      </c>
      <c r="C1236" s="243">
        <f t="shared" si="494"/>
        <v>46387</v>
      </c>
      <c r="D1236" s="120">
        <f t="shared" si="495"/>
        <v>31</v>
      </c>
      <c r="E1236" s="120">
        <f t="shared" si="496"/>
        <v>12</v>
      </c>
      <c r="F1236" s="275">
        <f t="shared" si="497"/>
        <v>46372.5</v>
      </c>
      <c r="G1236" s="120">
        <f t="shared" si="498"/>
        <v>24323</v>
      </c>
      <c r="H1236" s="245">
        <f t="shared" si="499"/>
        <v>1</v>
      </c>
      <c r="I1236" s="121">
        <f t="shared" si="500"/>
        <v>1.03</v>
      </c>
      <c r="J1236" s="121">
        <f t="shared" si="501"/>
        <v>1.03</v>
      </c>
      <c r="K1236" s="120">
        <f t="shared" si="502"/>
        <v>0</v>
      </c>
      <c r="L1236" s="120">
        <f t="shared" si="503"/>
        <v>0</v>
      </c>
      <c r="M1236" s="246">
        <f t="shared" si="504"/>
        <v>0</v>
      </c>
      <c r="N1236" s="121">
        <f t="shared" si="505"/>
        <v>1.03</v>
      </c>
      <c r="O1236" s="246">
        <f t="shared" si="506"/>
        <v>0.98832603938730856</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87">
        <v>25</v>
      </c>
      <c r="B1237" s="242">
        <f t="shared" si="513"/>
        <v>46388</v>
      </c>
      <c r="C1237" s="243">
        <f t="shared" si="494"/>
        <v>46418</v>
      </c>
      <c r="D1237" s="120">
        <f t="shared" si="495"/>
        <v>31</v>
      </c>
      <c r="E1237" s="120">
        <f t="shared" si="496"/>
        <v>1</v>
      </c>
      <c r="F1237" s="275">
        <f t="shared" si="497"/>
        <v>46403.5</v>
      </c>
      <c r="G1237" s="120">
        <f t="shared" si="498"/>
        <v>24324</v>
      </c>
      <c r="H1237" s="245">
        <f t="shared" si="499"/>
        <v>1</v>
      </c>
      <c r="I1237" s="121">
        <f t="shared" si="500"/>
        <v>1.03</v>
      </c>
      <c r="J1237" s="121">
        <f t="shared" si="501"/>
        <v>1.03</v>
      </c>
      <c r="K1237" s="120">
        <f t="shared" si="502"/>
        <v>0</v>
      </c>
      <c r="L1237" s="120">
        <f t="shared" si="503"/>
        <v>0</v>
      </c>
      <c r="M1237" s="246">
        <f t="shared" si="504"/>
        <v>0</v>
      </c>
      <c r="N1237" s="121">
        <f t="shared" si="505"/>
        <v>1.03</v>
      </c>
      <c r="O1237" s="246">
        <f t="shared" si="506"/>
        <v>0.98764770240700217</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87">
        <v>26</v>
      </c>
      <c r="B1238" s="242">
        <f t="shared" si="513"/>
        <v>46419</v>
      </c>
      <c r="C1238" s="243">
        <f t="shared" si="494"/>
        <v>46446</v>
      </c>
      <c r="D1238" s="120">
        <f t="shared" si="495"/>
        <v>28</v>
      </c>
      <c r="E1238" s="120">
        <f t="shared" si="496"/>
        <v>2</v>
      </c>
      <c r="F1238" s="275">
        <f t="shared" si="497"/>
        <v>46433</v>
      </c>
      <c r="G1238" s="120">
        <f t="shared" si="498"/>
        <v>24325</v>
      </c>
      <c r="H1238" s="245">
        <f t="shared" si="499"/>
        <v>1</v>
      </c>
      <c r="I1238" s="121">
        <f t="shared" si="500"/>
        <v>1.03</v>
      </c>
      <c r="J1238" s="121">
        <f t="shared" si="501"/>
        <v>1.0712000000000002</v>
      </c>
      <c r="K1238" s="120">
        <f t="shared" si="502"/>
        <v>1</v>
      </c>
      <c r="L1238" s="120">
        <f t="shared" si="503"/>
        <v>28</v>
      </c>
      <c r="M1238" s="246">
        <f t="shared" si="504"/>
        <v>1</v>
      </c>
      <c r="N1238" s="121">
        <f t="shared" si="505"/>
        <v>1.0712000000000002</v>
      </c>
      <c r="O1238" s="246">
        <f t="shared" si="506"/>
        <v>0.98700218818380747</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87">
        <v>27</v>
      </c>
      <c r="B1239" s="242">
        <f t="shared" si="513"/>
        <v>46447</v>
      </c>
      <c r="C1239" s="243">
        <f t="shared" si="494"/>
        <v>46477</v>
      </c>
      <c r="D1239" s="120">
        <f t="shared" si="495"/>
        <v>31</v>
      </c>
      <c r="E1239" s="120">
        <f t="shared" si="496"/>
        <v>3</v>
      </c>
      <c r="F1239" s="275">
        <f t="shared" si="497"/>
        <v>46462.5</v>
      </c>
      <c r="G1239" s="120">
        <f t="shared" si="498"/>
        <v>24326</v>
      </c>
      <c r="H1239" s="245">
        <f t="shared" si="499"/>
        <v>1</v>
      </c>
      <c r="I1239" s="121">
        <f t="shared" si="500"/>
        <v>1.0712000000000002</v>
      </c>
      <c r="J1239" s="121">
        <f t="shared" si="501"/>
        <v>1.0712000000000002</v>
      </c>
      <c r="K1239" s="120">
        <f t="shared" si="502"/>
        <v>0</v>
      </c>
      <c r="L1239" s="120">
        <f t="shared" si="503"/>
        <v>0</v>
      </c>
      <c r="M1239" s="246">
        <f t="shared" si="504"/>
        <v>0</v>
      </c>
      <c r="N1239" s="121">
        <f t="shared" si="505"/>
        <v>1.0712000000000002</v>
      </c>
      <c r="O1239" s="246">
        <f t="shared" si="506"/>
        <v>0.98635667396061266</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87">
        <v>28</v>
      </c>
      <c r="B1240" s="242">
        <f t="shared" si="513"/>
        <v>46478</v>
      </c>
      <c r="C1240" s="243">
        <f t="shared" si="494"/>
        <v>46507</v>
      </c>
      <c r="D1240" s="120">
        <f t="shared" si="495"/>
        <v>30</v>
      </c>
      <c r="E1240" s="120">
        <f t="shared" si="496"/>
        <v>4</v>
      </c>
      <c r="F1240" s="275">
        <f t="shared" si="497"/>
        <v>46493</v>
      </c>
      <c r="G1240" s="120">
        <f t="shared" si="498"/>
        <v>24327</v>
      </c>
      <c r="H1240" s="245">
        <f t="shared" si="499"/>
        <v>1</v>
      </c>
      <c r="I1240" s="121">
        <f t="shared" si="500"/>
        <v>1.0712000000000002</v>
      </c>
      <c r="J1240" s="121">
        <f t="shared" si="501"/>
        <v>1.0712000000000002</v>
      </c>
      <c r="K1240" s="120">
        <f t="shared" si="502"/>
        <v>0</v>
      </c>
      <c r="L1240" s="120">
        <f t="shared" si="503"/>
        <v>0</v>
      </c>
      <c r="M1240" s="246">
        <f t="shared" si="504"/>
        <v>0</v>
      </c>
      <c r="N1240" s="121">
        <f t="shared" si="505"/>
        <v>1.0712000000000002</v>
      </c>
      <c r="O1240" s="246">
        <f t="shared" si="506"/>
        <v>0.98568927789934357</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87">
        <v>29</v>
      </c>
      <c r="B1241" s="242">
        <f t="shared" si="513"/>
        <v>46508</v>
      </c>
      <c r="C1241" s="243">
        <f t="shared" si="494"/>
        <v>46538</v>
      </c>
      <c r="D1241" s="120">
        <f t="shared" si="495"/>
        <v>31</v>
      </c>
      <c r="E1241" s="120">
        <f t="shared" si="496"/>
        <v>5</v>
      </c>
      <c r="F1241" s="275">
        <f t="shared" si="497"/>
        <v>46523.5</v>
      </c>
      <c r="G1241" s="120">
        <f t="shared" si="498"/>
        <v>24328</v>
      </c>
      <c r="H1241" s="245">
        <f t="shared" si="499"/>
        <v>1</v>
      </c>
      <c r="I1241" s="121">
        <f t="shared" si="500"/>
        <v>1.0712000000000002</v>
      </c>
      <c r="J1241" s="121">
        <f t="shared" si="501"/>
        <v>1.0712000000000002</v>
      </c>
      <c r="K1241" s="120">
        <f t="shared" si="502"/>
        <v>0</v>
      </c>
      <c r="L1241" s="120">
        <f t="shared" si="503"/>
        <v>0</v>
      </c>
      <c r="M1241" s="246">
        <f t="shared" si="504"/>
        <v>0</v>
      </c>
      <c r="N1241" s="121">
        <f t="shared" si="505"/>
        <v>1.0712000000000002</v>
      </c>
      <c r="O1241" s="246">
        <f t="shared" si="506"/>
        <v>0.98502188183807438</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87">
        <v>30</v>
      </c>
      <c r="B1242" s="242">
        <f t="shared" si="513"/>
        <v>46539</v>
      </c>
      <c r="C1242" s="243">
        <f t="shared" si="494"/>
        <v>46568</v>
      </c>
      <c r="D1242" s="120">
        <f t="shared" si="495"/>
        <v>30</v>
      </c>
      <c r="E1242" s="120">
        <f t="shared" si="496"/>
        <v>6</v>
      </c>
      <c r="F1242" s="275">
        <f t="shared" si="497"/>
        <v>46554</v>
      </c>
      <c r="G1242" s="120">
        <f t="shared" si="498"/>
        <v>24329</v>
      </c>
      <c r="H1242" s="245">
        <f t="shared" si="499"/>
        <v>1</v>
      </c>
      <c r="I1242" s="121">
        <f t="shared" si="500"/>
        <v>1.0712000000000002</v>
      </c>
      <c r="J1242" s="121">
        <f t="shared" si="501"/>
        <v>1.0712000000000002</v>
      </c>
      <c r="K1242" s="120">
        <f t="shared" si="502"/>
        <v>0</v>
      </c>
      <c r="L1242" s="120">
        <f t="shared" si="503"/>
        <v>0</v>
      </c>
      <c r="M1242" s="246">
        <f t="shared" si="504"/>
        <v>0</v>
      </c>
      <c r="N1242" s="121">
        <f t="shared" si="505"/>
        <v>1.0712000000000002</v>
      </c>
      <c r="O1242" s="246">
        <f t="shared" si="506"/>
        <v>0.98435448577680529</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87">
        <v>31</v>
      </c>
      <c r="B1243" s="242">
        <f t="shared" si="513"/>
        <v>46569</v>
      </c>
      <c r="C1243" s="243">
        <f t="shared" si="494"/>
        <v>46599</v>
      </c>
      <c r="D1243" s="120">
        <f t="shared" si="495"/>
        <v>31</v>
      </c>
      <c r="E1243" s="120">
        <f t="shared" si="496"/>
        <v>7</v>
      </c>
      <c r="F1243" s="275">
        <f t="shared" si="497"/>
        <v>46584.5</v>
      </c>
      <c r="G1243" s="120">
        <f t="shared" si="498"/>
        <v>24330</v>
      </c>
      <c r="H1243" s="245">
        <f t="shared" si="499"/>
        <v>1</v>
      </c>
      <c r="I1243" s="121">
        <f t="shared" si="500"/>
        <v>1.0712000000000002</v>
      </c>
      <c r="J1243" s="121">
        <f t="shared" si="501"/>
        <v>1.0712000000000002</v>
      </c>
      <c r="K1243" s="120">
        <f t="shared" si="502"/>
        <v>0</v>
      </c>
      <c r="L1243" s="120">
        <f t="shared" si="503"/>
        <v>0</v>
      </c>
      <c r="M1243" s="246">
        <f t="shared" si="504"/>
        <v>0</v>
      </c>
      <c r="N1243" s="121">
        <f t="shared" si="505"/>
        <v>1.0712000000000002</v>
      </c>
      <c r="O1243" s="246">
        <f t="shared" si="506"/>
        <v>0.98368708971553609</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87">
        <v>32</v>
      </c>
      <c r="B1244" s="242">
        <f t="shared" si="513"/>
        <v>46600</v>
      </c>
      <c r="C1244" s="243">
        <f t="shared" si="494"/>
        <v>46630</v>
      </c>
      <c r="D1244" s="120">
        <f t="shared" si="495"/>
        <v>31</v>
      </c>
      <c r="E1244" s="120">
        <f t="shared" si="496"/>
        <v>8</v>
      </c>
      <c r="F1244" s="275">
        <f t="shared" si="497"/>
        <v>46615.5</v>
      </c>
      <c r="G1244" s="120">
        <f t="shared" si="498"/>
        <v>24331</v>
      </c>
      <c r="H1244" s="245">
        <f t="shared" si="499"/>
        <v>1</v>
      </c>
      <c r="I1244" s="121">
        <f t="shared" si="500"/>
        <v>1.0712000000000002</v>
      </c>
      <c r="J1244" s="121">
        <f t="shared" si="501"/>
        <v>1.0712000000000002</v>
      </c>
      <c r="K1244" s="120">
        <f t="shared" si="502"/>
        <v>0</v>
      </c>
      <c r="L1244" s="120">
        <f t="shared" si="503"/>
        <v>0</v>
      </c>
      <c r="M1244" s="246">
        <f t="shared" si="504"/>
        <v>0</v>
      </c>
      <c r="N1244" s="121">
        <f t="shared" si="505"/>
        <v>1.0712000000000002</v>
      </c>
      <c r="O1244" s="246">
        <f t="shared" si="506"/>
        <v>0.9830087527352297</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87">
        <v>33</v>
      </c>
      <c r="B1245" s="242">
        <f t="shared" si="513"/>
        <v>46631</v>
      </c>
      <c r="C1245" s="243">
        <f t="shared" si="494"/>
        <v>46660</v>
      </c>
      <c r="D1245" s="120">
        <f t="shared" si="495"/>
        <v>30</v>
      </c>
      <c r="E1245" s="120">
        <f t="shared" si="496"/>
        <v>9</v>
      </c>
      <c r="F1245" s="275">
        <f t="shared" si="497"/>
        <v>46646</v>
      </c>
      <c r="G1245" s="120">
        <f t="shared" si="498"/>
        <v>24332</v>
      </c>
      <c r="H1245" s="245">
        <f t="shared" si="499"/>
        <v>1</v>
      </c>
      <c r="I1245" s="121">
        <f t="shared" si="500"/>
        <v>1.0712000000000002</v>
      </c>
      <c r="J1245" s="121">
        <f t="shared" si="501"/>
        <v>1.0712000000000002</v>
      </c>
      <c r="K1245" s="120">
        <f t="shared" si="502"/>
        <v>0</v>
      </c>
      <c r="L1245" s="120">
        <f t="shared" si="503"/>
        <v>0</v>
      </c>
      <c r="M1245" s="246">
        <f t="shared" si="504"/>
        <v>0</v>
      </c>
      <c r="N1245" s="121">
        <f t="shared" si="505"/>
        <v>1.0712000000000002</v>
      </c>
      <c r="O1245" s="246">
        <f t="shared" si="506"/>
        <v>0.98234135667396061</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87">
        <v>34</v>
      </c>
      <c r="B1246" s="242">
        <f t="shared" si="513"/>
        <v>46661</v>
      </c>
      <c r="C1246" s="243">
        <f t="shared" si="494"/>
        <v>46691</v>
      </c>
      <c r="D1246" s="120">
        <f t="shared" si="495"/>
        <v>31</v>
      </c>
      <c r="E1246" s="120">
        <f t="shared" si="496"/>
        <v>10</v>
      </c>
      <c r="F1246" s="275">
        <f t="shared" si="497"/>
        <v>46676.5</v>
      </c>
      <c r="G1246" s="120">
        <f t="shared" si="498"/>
        <v>24333</v>
      </c>
      <c r="H1246" s="245">
        <f t="shared" si="499"/>
        <v>1</v>
      </c>
      <c r="I1246" s="121">
        <f t="shared" si="500"/>
        <v>1.0712000000000002</v>
      </c>
      <c r="J1246" s="121">
        <f t="shared" si="501"/>
        <v>1.0712000000000002</v>
      </c>
      <c r="K1246" s="120">
        <f t="shared" si="502"/>
        <v>0</v>
      </c>
      <c r="L1246" s="120">
        <f t="shared" si="503"/>
        <v>0</v>
      </c>
      <c r="M1246" s="246">
        <f t="shared" si="504"/>
        <v>0</v>
      </c>
      <c r="N1246" s="121">
        <f t="shared" si="505"/>
        <v>1.0712000000000002</v>
      </c>
      <c r="O1246" s="246">
        <f t="shared" si="506"/>
        <v>0.98167396061269141</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87">
        <v>35</v>
      </c>
      <c r="B1247" s="242">
        <f t="shared" si="513"/>
        <v>46692</v>
      </c>
      <c r="C1247" s="243">
        <f t="shared" si="494"/>
        <v>46721</v>
      </c>
      <c r="D1247" s="120">
        <f t="shared" si="495"/>
        <v>30</v>
      </c>
      <c r="E1247" s="120">
        <f t="shared" si="496"/>
        <v>11</v>
      </c>
      <c r="F1247" s="275">
        <f t="shared" si="497"/>
        <v>46707</v>
      </c>
      <c r="G1247" s="120">
        <f t="shared" si="498"/>
        <v>24334</v>
      </c>
      <c r="H1247" s="245">
        <f t="shared" si="499"/>
        <v>1</v>
      </c>
      <c r="I1247" s="121">
        <f t="shared" si="500"/>
        <v>1.0712000000000002</v>
      </c>
      <c r="J1247" s="121">
        <f t="shared" si="501"/>
        <v>1.0712000000000002</v>
      </c>
      <c r="K1247" s="120">
        <f t="shared" si="502"/>
        <v>0</v>
      </c>
      <c r="L1247" s="120">
        <f t="shared" si="503"/>
        <v>0</v>
      </c>
      <c r="M1247" s="246">
        <f t="shared" si="504"/>
        <v>0</v>
      </c>
      <c r="N1247" s="121">
        <f t="shared" si="505"/>
        <v>1.0712000000000002</v>
      </c>
      <c r="O1247" s="246">
        <f t="shared" si="506"/>
        <v>0.98100656455142232</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87">
        <v>36</v>
      </c>
      <c r="B1248" s="242">
        <f t="shared" si="513"/>
        <v>46722</v>
      </c>
      <c r="C1248" s="243">
        <f t="shared" si="494"/>
        <v>46752</v>
      </c>
      <c r="D1248" s="120">
        <f t="shared" si="495"/>
        <v>31</v>
      </c>
      <c r="E1248" s="120">
        <f t="shared" si="496"/>
        <v>12</v>
      </c>
      <c r="F1248" s="275">
        <f t="shared" si="497"/>
        <v>46737.5</v>
      </c>
      <c r="G1248" s="120">
        <f t="shared" si="498"/>
        <v>24335</v>
      </c>
      <c r="H1248" s="245">
        <f t="shared" si="499"/>
        <v>1</v>
      </c>
      <c r="I1248" s="121">
        <f t="shared" si="500"/>
        <v>1.0712000000000002</v>
      </c>
      <c r="J1248" s="121">
        <f t="shared" si="501"/>
        <v>1.0712000000000002</v>
      </c>
      <c r="K1248" s="120">
        <f t="shared" si="502"/>
        <v>0</v>
      </c>
      <c r="L1248" s="120">
        <f t="shared" si="503"/>
        <v>0</v>
      </c>
      <c r="M1248" s="246">
        <f t="shared" si="504"/>
        <v>0</v>
      </c>
      <c r="N1248" s="121">
        <f t="shared" si="505"/>
        <v>1.0712000000000002</v>
      </c>
      <c r="O1248" s="246">
        <f t="shared" si="506"/>
        <v>0.98033916849015312</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87">
        <v>37</v>
      </c>
      <c r="B1249" s="242">
        <f t="shared" si="513"/>
        <v>46753</v>
      </c>
      <c r="C1249" s="243">
        <f t="shared" si="494"/>
        <v>46783</v>
      </c>
      <c r="D1249" s="120">
        <f t="shared" si="495"/>
        <v>31</v>
      </c>
      <c r="E1249" s="120">
        <f t="shared" si="496"/>
        <v>1</v>
      </c>
      <c r="F1249" s="275">
        <f t="shared" si="497"/>
        <v>46768.5</v>
      </c>
      <c r="G1249" s="120">
        <f t="shared" si="498"/>
        <v>24336</v>
      </c>
      <c r="H1249" s="245">
        <f t="shared" si="499"/>
        <v>1</v>
      </c>
      <c r="I1249" s="121">
        <f t="shared" si="500"/>
        <v>1.0712000000000002</v>
      </c>
      <c r="J1249" s="121">
        <f t="shared" si="501"/>
        <v>1.0712000000000002</v>
      </c>
      <c r="K1249" s="120">
        <f t="shared" si="502"/>
        <v>0</v>
      </c>
      <c r="L1249" s="120">
        <f t="shared" si="503"/>
        <v>0</v>
      </c>
      <c r="M1249" s="246">
        <f t="shared" si="504"/>
        <v>0</v>
      </c>
      <c r="N1249" s="121">
        <f t="shared" si="505"/>
        <v>1.0712000000000002</v>
      </c>
      <c r="O1249" s="246">
        <f t="shared" si="506"/>
        <v>0.98</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87">
        <v>38</v>
      </c>
      <c r="B1250" s="242">
        <f t="shared" si="513"/>
        <v>46784</v>
      </c>
      <c r="C1250" s="243">
        <f t="shared" si="494"/>
        <v>46812</v>
      </c>
      <c r="D1250" s="120">
        <f t="shared" si="495"/>
        <v>29</v>
      </c>
      <c r="E1250" s="120">
        <f t="shared" si="496"/>
        <v>2</v>
      </c>
      <c r="F1250" s="275">
        <f t="shared" si="497"/>
        <v>46798.5</v>
      </c>
      <c r="G1250" s="120">
        <f t="shared" si="498"/>
        <v>24337</v>
      </c>
      <c r="H1250" s="245">
        <f t="shared" si="499"/>
        <v>1</v>
      </c>
      <c r="I1250" s="121">
        <f t="shared" si="500"/>
        <v>1.0712000000000002</v>
      </c>
      <c r="J1250" s="121">
        <f t="shared" si="501"/>
        <v>1.0712000000000002</v>
      </c>
      <c r="K1250" s="120">
        <f t="shared" si="502"/>
        <v>0</v>
      </c>
      <c r="L1250" s="120">
        <f t="shared" si="503"/>
        <v>0</v>
      </c>
      <c r="M1250" s="246">
        <f t="shared" si="504"/>
        <v>0</v>
      </c>
      <c r="N1250" s="121">
        <f t="shared" si="505"/>
        <v>1.0712000000000002</v>
      </c>
      <c r="O1250" s="246">
        <f t="shared" si="506"/>
        <v>0.98</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87">
        <v>39</v>
      </c>
      <c r="B1251" s="242">
        <f t="shared" si="513"/>
        <v>46813</v>
      </c>
      <c r="C1251" s="243">
        <f t="shared" si="494"/>
        <v>46843</v>
      </c>
      <c r="D1251" s="120">
        <f t="shared" si="495"/>
        <v>31</v>
      </c>
      <c r="E1251" s="120">
        <f t="shared" si="496"/>
        <v>3</v>
      </c>
      <c r="F1251" s="275">
        <f t="shared" si="497"/>
        <v>46828.5</v>
      </c>
      <c r="G1251" s="120">
        <f t="shared" si="498"/>
        <v>24338</v>
      </c>
      <c r="H1251" s="245">
        <f t="shared" si="499"/>
        <v>1</v>
      </c>
      <c r="I1251" s="121">
        <f t="shared" si="500"/>
        <v>1.0712000000000002</v>
      </c>
      <c r="J1251" s="121">
        <f t="shared" si="501"/>
        <v>1.0712000000000002</v>
      </c>
      <c r="K1251" s="120">
        <f t="shared" si="502"/>
        <v>0</v>
      </c>
      <c r="L1251" s="120">
        <f t="shared" si="503"/>
        <v>0</v>
      </c>
      <c r="M1251" s="246">
        <f t="shared" si="504"/>
        <v>0</v>
      </c>
      <c r="N1251" s="121">
        <f t="shared" si="505"/>
        <v>1.0712000000000002</v>
      </c>
      <c r="O1251" s="246">
        <f t="shared" si="506"/>
        <v>0.98</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87">
        <v>40</v>
      </c>
      <c r="B1252" s="242">
        <f t="shared" si="513"/>
        <v>46844</v>
      </c>
      <c r="C1252" s="243">
        <f t="shared" si="494"/>
        <v>46873</v>
      </c>
      <c r="D1252" s="120">
        <f t="shared" si="495"/>
        <v>30</v>
      </c>
      <c r="E1252" s="120">
        <f t="shared" si="496"/>
        <v>4</v>
      </c>
      <c r="F1252" s="275">
        <f t="shared" si="497"/>
        <v>46859</v>
      </c>
      <c r="G1252" s="120">
        <f t="shared" si="498"/>
        <v>24339</v>
      </c>
      <c r="H1252" s="245">
        <f t="shared" si="499"/>
        <v>1</v>
      </c>
      <c r="I1252" s="121">
        <f t="shared" si="500"/>
        <v>1.0712000000000002</v>
      </c>
      <c r="J1252" s="121">
        <f t="shared" si="501"/>
        <v>1.0712000000000002</v>
      </c>
      <c r="K1252" s="120">
        <f t="shared" si="502"/>
        <v>0</v>
      </c>
      <c r="L1252" s="120">
        <f t="shared" si="503"/>
        <v>0</v>
      </c>
      <c r="M1252" s="246">
        <f t="shared" si="504"/>
        <v>0</v>
      </c>
      <c r="N1252" s="121">
        <f t="shared" si="505"/>
        <v>1.0712000000000002</v>
      </c>
      <c r="O1252" s="246">
        <f t="shared" si="506"/>
        <v>0.98</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87">
        <v>41</v>
      </c>
      <c r="B1253" s="242">
        <f t="shared" si="513"/>
        <v>46874</v>
      </c>
      <c r="C1253" s="243">
        <f t="shared" si="494"/>
        <v>46904</v>
      </c>
      <c r="D1253" s="120">
        <f t="shared" si="495"/>
        <v>31</v>
      </c>
      <c r="E1253" s="120">
        <f t="shared" si="496"/>
        <v>5</v>
      </c>
      <c r="F1253" s="275">
        <f t="shared" si="497"/>
        <v>46889.5</v>
      </c>
      <c r="G1253" s="120">
        <f t="shared" si="498"/>
        <v>24340</v>
      </c>
      <c r="H1253" s="245">
        <f t="shared" si="499"/>
        <v>1</v>
      </c>
      <c r="I1253" s="121">
        <f t="shared" si="500"/>
        <v>1.0712000000000002</v>
      </c>
      <c r="J1253" s="121">
        <f t="shared" si="501"/>
        <v>1.0712000000000002</v>
      </c>
      <c r="K1253" s="120">
        <f t="shared" si="502"/>
        <v>0</v>
      </c>
      <c r="L1253" s="120">
        <f t="shared" si="503"/>
        <v>0</v>
      </c>
      <c r="M1253" s="246">
        <f t="shared" si="504"/>
        <v>0</v>
      </c>
      <c r="N1253" s="121">
        <f t="shared" si="505"/>
        <v>1.0712000000000002</v>
      </c>
      <c r="O1253" s="246">
        <f t="shared" si="506"/>
        <v>0.98</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87">
        <v>42</v>
      </c>
      <c r="B1254" s="242">
        <f t="shared" si="513"/>
        <v>46905</v>
      </c>
      <c r="C1254" s="243">
        <f t="shared" si="494"/>
        <v>46934</v>
      </c>
      <c r="D1254" s="120">
        <f t="shared" si="495"/>
        <v>30</v>
      </c>
      <c r="E1254" s="120">
        <f t="shared" si="496"/>
        <v>6</v>
      </c>
      <c r="F1254" s="275">
        <f t="shared" si="497"/>
        <v>46920</v>
      </c>
      <c r="G1254" s="120">
        <f t="shared" si="498"/>
        <v>24341</v>
      </c>
      <c r="H1254" s="245">
        <f t="shared" si="499"/>
        <v>1</v>
      </c>
      <c r="I1254" s="121">
        <f t="shared" si="500"/>
        <v>1.0712000000000002</v>
      </c>
      <c r="J1254" s="121">
        <f t="shared" si="501"/>
        <v>1.0712000000000002</v>
      </c>
      <c r="K1254" s="120">
        <f t="shared" si="502"/>
        <v>0</v>
      </c>
      <c r="L1254" s="120">
        <f t="shared" si="503"/>
        <v>0</v>
      </c>
      <c r="M1254" s="246">
        <f t="shared" si="504"/>
        <v>0</v>
      </c>
      <c r="N1254" s="121">
        <f t="shared" si="505"/>
        <v>1.0712000000000002</v>
      </c>
      <c r="O1254" s="246">
        <f t="shared" si="506"/>
        <v>0.98</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87">
        <v>43</v>
      </c>
      <c r="B1255" s="242">
        <f t="shared" si="513"/>
        <v>46935</v>
      </c>
      <c r="C1255" s="243">
        <f t="shared" si="494"/>
        <v>46965</v>
      </c>
      <c r="D1255" s="120">
        <f t="shared" si="495"/>
        <v>31</v>
      </c>
      <c r="E1255" s="120">
        <f t="shared" si="496"/>
        <v>7</v>
      </c>
      <c r="F1255" s="275">
        <f t="shared" si="497"/>
        <v>46950.5</v>
      </c>
      <c r="G1255" s="120">
        <f t="shared" si="498"/>
        <v>24342</v>
      </c>
      <c r="H1255" s="245">
        <f t="shared" si="499"/>
        <v>1</v>
      </c>
      <c r="I1255" s="121">
        <f t="shared" si="500"/>
        <v>1.0712000000000002</v>
      </c>
      <c r="J1255" s="121">
        <f t="shared" si="501"/>
        <v>1.0712000000000002</v>
      </c>
      <c r="K1255" s="120">
        <f t="shared" si="502"/>
        <v>0</v>
      </c>
      <c r="L1255" s="120">
        <f t="shared" si="503"/>
        <v>0</v>
      </c>
      <c r="M1255" s="246">
        <f t="shared" si="504"/>
        <v>0</v>
      </c>
      <c r="N1255" s="121">
        <f t="shared" si="505"/>
        <v>1.0712000000000002</v>
      </c>
      <c r="O1255" s="246">
        <f t="shared" si="506"/>
        <v>0.98</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87">
        <v>44</v>
      </c>
      <c r="B1256" s="242">
        <f t="shared" si="513"/>
        <v>46966</v>
      </c>
      <c r="C1256" s="243">
        <f t="shared" si="494"/>
        <v>46996</v>
      </c>
      <c r="D1256" s="120">
        <f t="shared" si="495"/>
        <v>31</v>
      </c>
      <c r="E1256" s="120">
        <f t="shared" si="496"/>
        <v>8</v>
      </c>
      <c r="F1256" s="275">
        <f t="shared" si="497"/>
        <v>46981.5</v>
      </c>
      <c r="G1256" s="120">
        <f t="shared" si="498"/>
        <v>24343</v>
      </c>
      <c r="H1256" s="245">
        <f t="shared" si="499"/>
        <v>1</v>
      </c>
      <c r="I1256" s="121">
        <f t="shared" si="500"/>
        <v>1.0712000000000002</v>
      </c>
      <c r="J1256" s="121">
        <f t="shared" si="501"/>
        <v>1.0712000000000002</v>
      </c>
      <c r="K1256" s="120">
        <f t="shared" si="502"/>
        <v>0</v>
      </c>
      <c r="L1256" s="120">
        <f t="shared" si="503"/>
        <v>0</v>
      </c>
      <c r="M1256" s="246">
        <f t="shared" si="504"/>
        <v>0</v>
      </c>
      <c r="N1256" s="121">
        <f t="shared" si="505"/>
        <v>1.0712000000000002</v>
      </c>
      <c r="O1256" s="246">
        <f t="shared" si="506"/>
        <v>0.98</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87">
        <v>45</v>
      </c>
      <c r="B1257" s="242">
        <f t="shared" si="513"/>
        <v>46997</v>
      </c>
      <c r="C1257" s="243">
        <f t="shared" si="494"/>
        <v>47026</v>
      </c>
      <c r="D1257" s="120">
        <f t="shared" si="495"/>
        <v>30</v>
      </c>
      <c r="E1257" s="120">
        <f t="shared" si="496"/>
        <v>9</v>
      </c>
      <c r="F1257" s="275">
        <f t="shared" si="497"/>
        <v>47012</v>
      </c>
      <c r="G1257" s="120">
        <f t="shared" si="498"/>
        <v>24344</v>
      </c>
      <c r="H1257" s="245">
        <f t="shared" si="499"/>
        <v>1</v>
      </c>
      <c r="I1257" s="121">
        <f t="shared" si="500"/>
        <v>1.0712000000000002</v>
      </c>
      <c r="J1257" s="121">
        <f t="shared" si="501"/>
        <v>1.0712000000000002</v>
      </c>
      <c r="K1257" s="120">
        <f t="shared" si="502"/>
        <v>0</v>
      </c>
      <c r="L1257" s="120">
        <f t="shared" si="503"/>
        <v>0</v>
      </c>
      <c r="M1257" s="246">
        <f t="shared" si="504"/>
        <v>0</v>
      </c>
      <c r="N1257" s="121">
        <f t="shared" si="505"/>
        <v>1.0712000000000002</v>
      </c>
      <c r="O1257" s="246">
        <f t="shared" si="506"/>
        <v>0.98</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87">
        <v>46</v>
      </c>
      <c r="B1258" s="242">
        <f t="shared" si="513"/>
        <v>47027</v>
      </c>
      <c r="C1258" s="243">
        <f t="shared" si="494"/>
        <v>47057</v>
      </c>
      <c r="D1258" s="120">
        <f t="shared" si="495"/>
        <v>31</v>
      </c>
      <c r="E1258" s="120">
        <f t="shared" si="496"/>
        <v>10</v>
      </c>
      <c r="F1258" s="275">
        <f t="shared" si="497"/>
        <v>47042.5</v>
      </c>
      <c r="G1258" s="120">
        <f t="shared" si="498"/>
        <v>24345</v>
      </c>
      <c r="H1258" s="245">
        <f t="shared" si="499"/>
        <v>1</v>
      </c>
      <c r="I1258" s="121">
        <f t="shared" si="500"/>
        <v>1.0712000000000002</v>
      </c>
      <c r="J1258" s="121">
        <f t="shared" si="501"/>
        <v>1.0712000000000002</v>
      </c>
      <c r="K1258" s="120">
        <f t="shared" si="502"/>
        <v>0</v>
      </c>
      <c r="L1258" s="120">
        <f t="shared" si="503"/>
        <v>0</v>
      </c>
      <c r="M1258" s="246">
        <f t="shared" si="504"/>
        <v>0</v>
      </c>
      <c r="N1258" s="121">
        <f t="shared" si="505"/>
        <v>1.0712000000000002</v>
      </c>
      <c r="O1258" s="246">
        <f t="shared" si="506"/>
        <v>0.98</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87">
        <v>47</v>
      </c>
      <c r="B1259" s="242">
        <f t="shared" si="513"/>
        <v>47058</v>
      </c>
      <c r="C1259" s="243">
        <f t="shared" si="494"/>
        <v>47087</v>
      </c>
      <c r="D1259" s="120">
        <f t="shared" si="495"/>
        <v>30</v>
      </c>
      <c r="E1259" s="120">
        <f t="shared" si="496"/>
        <v>11</v>
      </c>
      <c r="F1259" s="275">
        <f t="shared" si="497"/>
        <v>47073</v>
      </c>
      <c r="G1259" s="120">
        <f t="shared" si="498"/>
        <v>24346</v>
      </c>
      <c r="H1259" s="245">
        <f t="shared" si="499"/>
        <v>1</v>
      </c>
      <c r="I1259" s="121">
        <f t="shared" si="500"/>
        <v>1.0712000000000002</v>
      </c>
      <c r="J1259" s="121">
        <f t="shared" si="501"/>
        <v>1.0712000000000002</v>
      </c>
      <c r="K1259" s="120">
        <f t="shared" si="502"/>
        <v>0</v>
      </c>
      <c r="L1259" s="120">
        <f t="shared" si="503"/>
        <v>0</v>
      </c>
      <c r="M1259" s="246">
        <f t="shared" si="504"/>
        <v>0</v>
      </c>
      <c r="N1259" s="121">
        <f t="shared" si="505"/>
        <v>1.0712000000000002</v>
      </c>
      <c r="O1259" s="246">
        <f t="shared" si="506"/>
        <v>0.98</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87">
        <v>48</v>
      </c>
      <c r="B1260" s="242">
        <f t="shared" si="513"/>
        <v>47088</v>
      </c>
      <c r="C1260" s="243">
        <f t="shared" si="494"/>
        <v>47118</v>
      </c>
      <c r="D1260" s="120">
        <f t="shared" si="495"/>
        <v>31</v>
      </c>
      <c r="E1260" s="120">
        <f t="shared" si="496"/>
        <v>12</v>
      </c>
      <c r="F1260" s="275">
        <f t="shared" si="497"/>
        <v>47103.5</v>
      </c>
      <c r="G1260" s="120">
        <f t="shared" si="498"/>
        <v>24347</v>
      </c>
      <c r="H1260" s="245">
        <f t="shared" si="499"/>
        <v>1</v>
      </c>
      <c r="I1260" s="121">
        <f t="shared" si="500"/>
        <v>1.0712000000000002</v>
      </c>
      <c r="J1260" s="121">
        <f t="shared" si="501"/>
        <v>1.0712000000000002</v>
      </c>
      <c r="K1260" s="120">
        <f t="shared" si="502"/>
        <v>0</v>
      </c>
      <c r="L1260" s="120">
        <f t="shared" si="503"/>
        <v>0</v>
      </c>
      <c r="M1260" s="246">
        <f t="shared" si="504"/>
        <v>0</v>
      </c>
      <c r="N1260" s="121">
        <f t="shared" si="505"/>
        <v>1.0712000000000002</v>
      </c>
      <c r="O1260" s="246">
        <f t="shared" si="506"/>
        <v>0.98</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1651</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24">
        <f>SUMPRODUCT($H$1213:$H$1260,$Q$1213:$Q$1260,$O$1213:$O$1260)/SUMPRODUCT($H$1213:$H$1260,$Q$1213:$Q$1260)</f>
        <v>0.98800419401896411</v>
      </c>
      <c r="G1261" s="224">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24">
        <f>IF(N(INDEX(lr_mind,23))=0,1,INDEX(lr_mind,23))</f>
        <v>1</v>
      </c>
      <c r="G1264" s="224">
        <f>IF(N(INDEX(lr_m0,23))=0,1,INDEX(lr_m0,23))</f>
        <v>0.99</v>
      </c>
      <c r="H1264" s="74">
        <f>IF(N(INDEX(lr_m0asof,23))=0,DATE(nr_PlanYear-1,10,1),INDEX(lr_m0asof,23))</f>
        <v>46295</v>
      </c>
      <c r="I1264" s="224">
        <f>IF(N(INDEX(lr_m1,23))=0,1,INDEX(lr_m1,23))</f>
        <v>0.995</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514">EOMONTH($B1267,0)</f>
        <v>45688</v>
      </c>
      <c r="D1267" s="120">
        <f t="shared" ref="D1267:D1314" si="515">$C1267-$B1267+1</f>
        <v>31</v>
      </c>
      <c r="E1267" s="120">
        <f t="shared" ref="E1267:E1314" si="516">MONTH($B1267)</f>
        <v>1</v>
      </c>
      <c r="F1267" s="275">
        <f t="shared" ref="F1267:F1314" si="517">($B1267+$C1267+1)/2</f>
        <v>45673.5</v>
      </c>
      <c r="G1267" s="120">
        <f t="shared" ref="G1267:G1314" si="518">YEAR($B1267)*12+MONTH($B1267)-1</f>
        <v>24300</v>
      </c>
      <c r="H1267" s="245">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46">
        <f t="shared" ref="M1267:M1314" si="524">IF($K1267=0,0,MIN(1,$L1267/$D1267))</f>
        <v>0</v>
      </c>
      <c r="N1267" s="121">
        <f t="shared" ref="N1267:N1314" si="525">IF($K1267=0,$J1267,(1-$M1267)*$I1267+$M1267*$J1267)</f>
        <v>1</v>
      </c>
      <c r="O1267" s="246">
        <f t="shared" ref="O1267:O1314" si="526">IF($F1267&lt;$B$1265,$E$1265+$I$1265*($F1267-$A$1265),IF($F1267&lt;$C$1265,$F$1265+$J$1265*($F1267-$B$1265),$G$1265+$K$1265*($F1267-$C$1265)))</f>
        <v>0.98318927789934352</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87">
        <v>2</v>
      </c>
      <c r="B1268" s="242">
        <f t="shared" ref="B1268:B1314" si="533">EDATE($B1267,1)</f>
        <v>45689</v>
      </c>
      <c r="C1268" s="243">
        <f t="shared" si="514"/>
        <v>45716</v>
      </c>
      <c r="D1268" s="120">
        <f t="shared" si="515"/>
        <v>28</v>
      </c>
      <c r="E1268" s="120">
        <f t="shared" si="516"/>
        <v>2</v>
      </c>
      <c r="F1268" s="275">
        <f t="shared" si="517"/>
        <v>45703</v>
      </c>
      <c r="G1268" s="120">
        <f t="shared" si="518"/>
        <v>24301</v>
      </c>
      <c r="H1268" s="245">
        <f t="shared" si="519"/>
        <v>1</v>
      </c>
      <c r="I1268" s="121">
        <f t="shared" si="520"/>
        <v>1</v>
      </c>
      <c r="J1268" s="121">
        <f t="shared" si="521"/>
        <v>1</v>
      </c>
      <c r="K1268" s="120">
        <f t="shared" si="522"/>
        <v>0</v>
      </c>
      <c r="L1268" s="120">
        <f t="shared" si="523"/>
        <v>0</v>
      </c>
      <c r="M1268" s="246">
        <f t="shared" si="524"/>
        <v>0</v>
      </c>
      <c r="N1268" s="121">
        <f t="shared" si="525"/>
        <v>1</v>
      </c>
      <c r="O1268" s="246">
        <f t="shared" si="526"/>
        <v>0.98351203501094098</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87">
        <v>3</v>
      </c>
      <c r="B1269" s="242">
        <f t="shared" si="533"/>
        <v>45717</v>
      </c>
      <c r="C1269" s="243">
        <f t="shared" si="514"/>
        <v>45747</v>
      </c>
      <c r="D1269" s="120">
        <f t="shared" si="515"/>
        <v>31</v>
      </c>
      <c r="E1269" s="120">
        <f t="shared" si="516"/>
        <v>3</v>
      </c>
      <c r="F1269" s="275">
        <f t="shared" si="517"/>
        <v>45732.5</v>
      </c>
      <c r="G1269" s="120">
        <f t="shared" si="518"/>
        <v>24302</v>
      </c>
      <c r="H1269" s="245">
        <f t="shared" si="519"/>
        <v>1</v>
      </c>
      <c r="I1269" s="121">
        <f t="shared" si="520"/>
        <v>1</v>
      </c>
      <c r="J1269" s="121">
        <f t="shared" si="521"/>
        <v>1</v>
      </c>
      <c r="K1269" s="120">
        <f t="shared" si="522"/>
        <v>0</v>
      </c>
      <c r="L1269" s="120">
        <f t="shared" si="523"/>
        <v>0</v>
      </c>
      <c r="M1269" s="246">
        <f t="shared" si="524"/>
        <v>0</v>
      </c>
      <c r="N1269" s="121">
        <f t="shared" si="525"/>
        <v>1</v>
      </c>
      <c r="O1269" s="246">
        <f t="shared" si="526"/>
        <v>0.98383479212253833</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87">
        <v>4</v>
      </c>
      <c r="B1270" s="242">
        <f t="shared" si="533"/>
        <v>45748</v>
      </c>
      <c r="C1270" s="243">
        <f t="shared" si="514"/>
        <v>45777</v>
      </c>
      <c r="D1270" s="120">
        <f t="shared" si="515"/>
        <v>30</v>
      </c>
      <c r="E1270" s="120">
        <f t="shared" si="516"/>
        <v>4</v>
      </c>
      <c r="F1270" s="275">
        <f t="shared" si="517"/>
        <v>45763</v>
      </c>
      <c r="G1270" s="120">
        <f t="shared" si="518"/>
        <v>24303</v>
      </c>
      <c r="H1270" s="245">
        <f t="shared" si="519"/>
        <v>1</v>
      </c>
      <c r="I1270" s="121">
        <f t="shared" si="520"/>
        <v>1</v>
      </c>
      <c r="J1270" s="121">
        <f t="shared" si="521"/>
        <v>1</v>
      </c>
      <c r="K1270" s="120">
        <f t="shared" si="522"/>
        <v>0</v>
      </c>
      <c r="L1270" s="120">
        <f t="shared" si="523"/>
        <v>0</v>
      </c>
      <c r="M1270" s="246">
        <f t="shared" si="524"/>
        <v>0</v>
      </c>
      <c r="N1270" s="121">
        <f t="shared" si="525"/>
        <v>1</v>
      </c>
      <c r="O1270" s="246">
        <f t="shared" si="526"/>
        <v>0.98416849015317287</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87">
        <v>5</v>
      </c>
      <c r="B1271" s="242">
        <f t="shared" si="533"/>
        <v>45778</v>
      </c>
      <c r="C1271" s="243">
        <f t="shared" si="514"/>
        <v>45808</v>
      </c>
      <c r="D1271" s="120">
        <f t="shared" si="515"/>
        <v>31</v>
      </c>
      <c r="E1271" s="120">
        <f t="shared" si="516"/>
        <v>5</v>
      </c>
      <c r="F1271" s="275">
        <f t="shared" si="517"/>
        <v>45793.5</v>
      </c>
      <c r="G1271" s="120">
        <f t="shared" si="518"/>
        <v>24304</v>
      </c>
      <c r="H1271" s="245">
        <f t="shared" si="519"/>
        <v>1</v>
      </c>
      <c r="I1271" s="121">
        <f t="shared" si="520"/>
        <v>1</v>
      </c>
      <c r="J1271" s="121">
        <f t="shared" si="521"/>
        <v>1</v>
      </c>
      <c r="K1271" s="120">
        <f t="shared" si="522"/>
        <v>0</v>
      </c>
      <c r="L1271" s="120">
        <f t="shared" si="523"/>
        <v>0</v>
      </c>
      <c r="M1271" s="246">
        <f t="shared" si="524"/>
        <v>0</v>
      </c>
      <c r="N1271" s="121">
        <f t="shared" si="525"/>
        <v>1</v>
      </c>
      <c r="O1271" s="246">
        <f t="shared" si="526"/>
        <v>0.98450218818380741</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87">
        <v>6</v>
      </c>
      <c r="B1272" s="242">
        <f t="shared" si="533"/>
        <v>45809</v>
      </c>
      <c r="C1272" s="243">
        <f t="shared" si="514"/>
        <v>45838</v>
      </c>
      <c r="D1272" s="120">
        <f t="shared" si="515"/>
        <v>30</v>
      </c>
      <c r="E1272" s="120">
        <f t="shared" si="516"/>
        <v>6</v>
      </c>
      <c r="F1272" s="275">
        <f t="shared" si="517"/>
        <v>45824</v>
      </c>
      <c r="G1272" s="120">
        <f t="shared" si="518"/>
        <v>24305</v>
      </c>
      <c r="H1272" s="245">
        <f t="shared" si="519"/>
        <v>1</v>
      </c>
      <c r="I1272" s="121">
        <f t="shared" si="520"/>
        <v>1</v>
      </c>
      <c r="J1272" s="121">
        <f t="shared" si="521"/>
        <v>1</v>
      </c>
      <c r="K1272" s="120">
        <f t="shared" si="522"/>
        <v>0</v>
      </c>
      <c r="L1272" s="120">
        <f t="shared" si="523"/>
        <v>0</v>
      </c>
      <c r="M1272" s="246">
        <f t="shared" si="524"/>
        <v>0</v>
      </c>
      <c r="N1272" s="121">
        <f t="shared" si="525"/>
        <v>1</v>
      </c>
      <c r="O1272" s="246">
        <f t="shared" si="526"/>
        <v>0.98483588621444207</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87">
        <v>7</v>
      </c>
      <c r="B1273" s="242">
        <f t="shared" si="533"/>
        <v>45839</v>
      </c>
      <c r="C1273" s="243">
        <f t="shared" si="514"/>
        <v>45869</v>
      </c>
      <c r="D1273" s="120">
        <f t="shared" si="515"/>
        <v>31</v>
      </c>
      <c r="E1273" s="120">
        <f t="shared" si="516"/>
        <v>7</v>
      </c>
      <c r="F1273" s="275">
        <f t="shared" si="517"/>
        <v>45854.5</v>
      </c>
      <c r="G1273" s="120">
        <f t="shared" si="518"/>
        <v>24306</v>
      </c>
      <c r="H1273" s="245">
        <f t="shared" si="519"/>
        <v>1</v>
      </c>
      <c r="I1273" s="121">
        <f t="shared" si="520"/>
        <v>1</v>
      </c>
      <c r="J1273" s="121">
        <f t="shared" si="521"/>
        <v>1</v>
      </c>
      <c r="K1273" s="120">
        <f t="shared" si="522"/>
        <v>0</v>
      </c>
      <c r="L1273" s="120">
        <f t="shared" si="523"/>
        <v>0</v>
      </c>
      <c r="M1273" s="246">
        <f t="shared" si="524"/>
        <v>0</v>
      </c>
      <c r="N1273" s="121">
        <f t="shared" si="525"/>
        <v>1</v>
      </c>
      <c r="O1273" s="246">
        <f t="shared" si="526"/>
        <v>0.98516958424507661</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87">
        <v>8</v>
      </c>
      <c r="B1274" s="242">
        <f t="shared" si="533"/>
        <v>45870</v>
      </c>
      <c r="C1274" s="243">
        <f t="shared" si="514"/>
        <v>45900</v>
      </c>
      <c r="D1274" s="120">
        <f t="shared" si="515"/>
        <v>31</v>
      </c>
      <c r="E1274" s="120">
        <f t="shared" si="516"/>
        <v>8</v>
      </c>
      <c r="F1274" s="275">
        <f t="shared" si="517"/>
        <v>45885.5</v>
      </c>
      <c r="G1274" s="120">
        <f t="shared" si="518"/>
        <v>24307</v>
      </c>
      <c r="H1274" s="245">
        <f t="shared" si="519"/>
        <v>1</v>
      </c>
      <c r="I1274" s="121">
        <f t="shared" si="520"/>
        <v>1</v>
      </c>
      <c r="J1274" s="121">
        <f t="shared" si="521"/>
        <v>1</v>
      </c>
      <c r="K1274" s="120">
        <f t="shared" si="522"/>
        <v>0</v>
      </c>
      <c r="L1274" s="120">
        <f t="shared" si="523"/>
        <v>0</v>
      </c>
      <c r="M1274" s="246">
        <f t="shared" si="524"/>
        <v>0</v>
      </c>
      <c r="N1274" s="121">
        <f t="shared" si="525"/>
        <v>1</v>
      </c>
      <c r="O1274" s="246">
        <f t="shared" si="526"/>
        <v>0.98550875273522975</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87">
        <v>9</v>
      </c>
      <c r="B1275" s="242">
        <f t="shared" si="533"/>
        <v>45901</v>
      </c>
      <c r="C1275" s="243">
        <f t="shared" si="514"/>
        <v>45930</v>
      </c>
      <c r="D1275" s="120">
        <f t="shared" si="515"/>
        <v>30</v>
      </c>
      <c r="E1275" s="120">
        <f t="shared" si="516"/>
        <v>9</v>
      </c>
      <c r="F1275" s="275">
        <f t="shared" si="517"/>
        <v>45916</v>
      </c>
      <c r="G1275" s="120">
        <f t="shared" si="518"/>
        <v>24308</v>
      </c>
      <c r="H1275" s="245">
        <f t="shared" si="519"/>
        <v>1</v>
      </c>
      <c r="I1275" s="121">
        <f t="shared" si="520"/>
        <v>1</v>
      </c>
      <c r="J1275" s="121">
        <f t="shared" si="521"/>
        <v>1</v>
      </c>
      <c r="K1275" s="120">
        <f t="shared" si="522"/>
        <v>0</v>
      </c>
      <c r="L1275" s="120">
        <f t="shared" si="523"/>
        <v>0</v>
      </c>
      <c r="M1275" s="246">
        <f t="shared" si="524"/>
        <v>0</v>
      </c>
      <c r="N1275" s="121">
        <f t="shared" si="525"/>
        <v>1</v>
      </c>
      <c r="O1275" s="246">
        <f t="shared" si="526"/>
        <v>0.9858424507658643</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87">
        <v>10</v>
      </c>
      <c r="B1276" s="242">
        <f t="shared" si="533"/>
        <v>45931</v>
      </c>
      <c r="C1276" s="243">
        <f t="shared" si="514"/>
        <v>45961</v>
      </c>
      <c r="D1276" s="120">
        <f t="shared" si="515"/>
        <v>31</v>
      </c>
      <c r="E1276" s="120">
        <f t="shared" si="516"/>
        <v>10</v>
      </c>
      <c r="F1276" s="275">
        <f t="shared" si="517"/>
        <v>45946.5</v>
      </c>
      <c r="G1276" s="120">
        <f t="shared" si="518"/>
        <v>24309</v>
      </c>
      <c r="H1276" s="245">
        <f t="shared" si="519"/>
        <v>1</v>
      </c>
      <c r="I1276" s="121">
        <f t="shared" si="520"/>
        <v>1</v>
      </c>
      <c r="J1276" s="121">
        <f t="shared" si="521"/>
        <v>1</v>
      </c>
      <c r="K1276" s="120">
        <f t="shared" si="522"/>
        <v>0</v>
      </c>
      <c r="L1276" s="120">
        <f t="shared" si="523"/>
        <v>0</v>
      </c>
      <c r="M1276" s="246">
        <f t="shared" si="524"/>
        <v>0</v>
      </c>
      <c r="N1276" s="121">
        <f t="shared" si="525"/>
        <v>1</v>
      </c>
      <c r="O1276" s="246">
        <f t="shared" si="526"/>
        <v>0.98617614879649895</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87">
        <v>11</v>
      </c>
      <c r="B1277" s="242">
        <f t="shared" si="533"/>
        <v>45962</v>
      </c>
      <c r="C1277" s="243">
        <f t="shared" si="514"/>
        <v>45991</v>
      </c>
      <c r="D1277" s="120">
        <f t="shared" si="515"/>
        <v>30</v>
      </c>
      <c r="E1277" s="120">
        <f t="shared" si="516"/>
        <v>11</v>
      </c>
      <c r="F1277" s="275">
        <f t="shared" si="517"/>
        <v>45977</v>
      </c>
      <c r="G1277" s="120">
        <f t="shared" si="518"/>
        <v>24310</v>
      </c>
      <c r="H1277" s="245">
        <f t="shared" si="519"/>
        <v>1</v>
      </c>
      <c r="I1277" s="121">
        <f t="shared" si="520"/>
        <v>1</v>
      </c>
      <c r="J1277" s="121">
        <f t="shared" si="521"/>
        <v>1</v>
      </c>
      <c r="K1277" s="120">
        <f t="shared" si="522"/>
        <v>0</v>
      </c>
      <c r="L1277" s="120">
        <f t="shared" si="523"/>
        <v>0</v>
      </c>
      <c r="M1277" s="246">
        <f t="shared" si="524"/>
        <v>0</v>
      </c>
      <c r="N1277" s="121">
        <f t="shared" si="525"/>
        <v>1</v>
      </c>
      <c r="O1277" s="246">
        <f t="shared" si="526"/>
        <v>0.9865098468271335</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87">
        <v>12</v>
      </c>
      <c r="B1278" s="242">
        <f t="shared" si="533"/>
        <v>45992</v>
      </c>
      <c r="C1278" s="243">
        <f t="shared" si="514"/>
        <v>46022</v>
      </c>
      <c r="D1278" s="120">
        <f t="shared" si="515"/>
        <v>31</v>
      </c>
      <c r="E1278" s="120">
        <f t="shared" si="516"/>
        <v>12</v>
      </c>
      <c r="F1278" s="275">
        <f t="shared" si="517"/>
        <v>46007.5</v>
      </c>
      <c r="G1278" s="120">
        <f t="shared" si="518"/>
        <v>24311</v>
      </c>
      <c r="H1278" s="245">
        <f t="shared" si="519"/>
        <v>1</v>
      </c>
      <c r="I1278" s="121">
        <f t="shared" si="520"/>
        <v>1</v>
      </c>
      <c r="J1278" s="121">
        <f t="shared" si="521"/>
        <v>1</v>
      </c>
      <c r="K1278" s="120">
        <f t="shared" si="522"/>
        <v>0</v>
      </c>
      <c r="L1278" s="120">
        <f t="shared" si="523"/>
        <v>0</v>
      </c>
      <c r="M1278" s="246">
        <f t="shared" si="524"/>
        <v>0</v>
      </c>
      <c r="N1278" s="121">
        <f t="shared" si="525"/>
        <v>1</v>
      </c>
      <c r="O1278" s="246">
        <f t="shared" si="526"/>
        <v>0.98684354485776804</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87">
        <v>13</v>
      </c>
      <c r="B1279" s="242">
        <f t="shared" si="533"/>
        <v>46023</v>
      </c>
      <c r="C1279" s="243">
        <f t="shared" si="514"/>
        <v>46053</v>
      </c>
      <c r="D1279" s="120">
        <f t="shared" si="515"/>
        <v>31</v>
      </c>
      <c r="E1279" s="120">
        <f t="shared" si="516"/>
        <v>1</v>
      </c>
      <c r="F1279" s="275">
        <f t="shared" si="517"/>
        <v>46038.5</v>
      </c>
      <c r="G1279" s="120">
        <f t="shared" si="518"/>
        <v>24312</v>
      </c>
      <c r="H1279" s="245">
        <f t="shared" si="519"/>
        <v>1</v>
      </c>
      <c r="I1279" s="121">
        <f t="shared" si="520"/>
        <v>1</v>
      </c>
      <c r="J1279" s="121">
        <f t="shared" si="521"/>
        <v>1</v>
      </c>
      <c r="K1279" s="120">
        <f t="shared" si="522"/>
        <v>0</v>
      </c>
      <c r="L1279" s="120">
        <f t="shared" si="523"/>
        <v>0</v>
      </c>
      <c r="M1279" s="246">
        <f t="shared" si="524"/>
        <v>0</v>
      </c>
      <c r="N1279" s="121">
        <f t="shared" si="525"/>
        <v>1</v>
      </c>
      <c r="O1279" s="246">
        <f t="shared" si="526"/>
        <v>0.98718271334792118</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87">
        <v>14</v>
      </c>
      <c r="B1280" s="242">
        <f t="shared" si="533"/>
        <v>46054</v>
      </c>
      <c r="C1280" s="243">
        <f t="shared" si="514"/>
        <v>46081</v>
      </c>
      <c r="D1280" s="120">
        <f t="shared" si="515"/>
        <v>28</v>
      </c>
      <c r="E1280" s="120">
        <f t="shared" si="516"/>
        <v>2</v>
      </c>
      <c r="F1280" s="275">
        <f t="shared" si="517"/>
        <v>46068</v>
      </c>
      <c r="G1280" s="120">
        <f t="shared" si="518"/>
        <v>24313</v>
      </c>
      <c r="H1280" s="245">
        <f t="shared" si="519"/>
        <v>1</v>
      </c>
      <c r="I1280" s="121">
        <f t="shared" si="520"/>
        <v>1</v>
      </c>
      <c r="J1280" s="121">
        <f t="shared" si="521"/>
        <v>1</v>
      </c>
      <c r="K1280" s="120">
        <f t="shared" si="522"/>
        <v>0</v>
      </c>
      <c r="L1280" s="120">
        <f t="shared" si="523"/>
        <v>0</v>
      </c>
      <c r="M1280" s="246">
        <f t="shared" si="524"/>
        <v>0</v>
      </c>
      <c r="N1280" s="121">
        <f t="shared" si="525"/>
        <v>1</v>
      </c>
      <c r="O1280" s="246">
        <f t="shared" si="526"/>
        <v>0.98750547045951864</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87">
        <v>15</v>
      </c>
      <c r="B1281" s="242">
        <f t="shared" si="533"/>
        <v>46082</v>
      </c>
      <c r="C1281" s="243">
        <f t="shared" si="514"/>
        <v>46112</v>
      </c>
      <c r="D1281" s="120">
        <f t="shared" si="515"/>
        <v>31</v>
      </c>
      <c r="E1281" s="120">
        <f t="shared" si="516"/>
        <v>3</v>
      </c>
      <c r="F1281" s="275">
        <f t="shared" si="517"/>
        <v>46097.5</v>
      </c>
      <c r="G1281" s="120">
        <f t="shared" si="518"/>
        <v>24314</v>
      </c>
      <c r="H1281" s="245">
        <f t="shared" si="519"/>
        <v>1</v>
      </c>
      <c r="I1281" s="121">
        <f t="shared" si="520"/>
        <v>1</v>
      </c>
      <c r="J1281" s="121">
        <f t="shared" si="521"/>
        <v>1</v>
      </c>
      <c r="K1281" s="120">
        <f t="shared" si="522"/>
        <v>0</v>
      </c>
      <c r="L1281" s="120">
        <f t="shared" si="523"/>
        <v>0</v>
      </c>
      <c r="M1281" s="246">
        <f t="shared" si="524"/>
        <v>0</v>
      </c>
      <c r="N1281" s="121">
        <f t="shared" si="525"/>
        <v>1</v>
      </c>
      <c r="O1281" s="246">
        <f t="shared" si="526"/>
        <v>0.98782822757111599</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87">
        <v>16</v>
      </c>
      <c r="B1282" s="242">
        <f t="shared" si="533"/>
        <v>46113</v>
      </c>
      <c r="C1282" s="243">
        <f t="shared" si="514"/>
        <v>46142</v>
      </c>
      <c r="D1282" s="120">
        <f t="shared" si="515"/>
        <v>30</v>
      </c>
      <c r="E1282" s="120">
        <f t="shared" si="516"/>
        <v>4</v>
      </c>
      <c r="F1282" s="275">
        <f t="shared" si="517"/>
        <v>46128</v>
      </c>
      <c r="G1282" s="120">
        <f t="shared" si="518"/>
        <v>24315</v>
      </c>
      <c r="H1282" s="245">
        <f t="shared" si="519"/>
        <v>1</v>
      </c>
      <c r="I1282" s="121">
        <f t="shared" si="520"/>
        <v>1</v>
      </c>
      <c r="J1282" s="121">
        <f t="shared" si="521"/>
        <v>1</v>
      </c>
      <c r="K1282" s="120">
        <f t="shared" si="522"/>
        <v>0</v>
      </c>
      <c r="L1282" s="120">
        <f t="shared" si="523"/>
        <v>0</v>
      </c>
      <c r="M1282" s="246">
        <f t="shared" si="524"/>
        <v>0</v>
      </c>
      <c r="N1282" s="121">
        <f t="shared" si="525"/>
        <v>1</v>
      </c>
      <c r="O1282" s="246">
        <f t="shared" si="526"/>
        <v>0.98816192560175053</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87">
        <v>17</v>
      </c>
      <c r="B1283" s="242">
        <f t="shared" si="533"/>
        <v>46143</v>
      </c>
      <c r="C1283" s="243">
        <f t="shared" si="514"/>
        <v>46173</v>
      </c>
      <c r="D1283" s="120">
        <f t="shared" si="515"/>
        <v>31</v>
      </c>
      <c r="E1283" s="120">
        <f t="shared" si="516"/>
        <v>5</v>
      </c>
      <c r="F1283" s="275">
        <f t="shared" si="517"/>
        <v>46158.5</v>
      </c>
      <c r="G1283" s="120">
        <f t="shared" si="518"/>
        <v>24316</v>
      </c>
      <c r="H1283" s="245">
        <f t="shared" si="519"/>
        <v>1</v>
      </c>
      <c r="I1283" s="121">
        <f t="shared" si="520"/>
        <v>1</v>
      </c>
      <c r="J1283" s="121">
        <f t="shared" si="521"/>
        <v>1</v>
      </c>
      <c r="K1283" s="120">
        <f t="shared" si="522"/>
        <v>0</v>
      </c>
      <c r="L1283" s="120">
        <f t="shared" si="523"/>
        <v>0</v>
      </c>
      <c r="M1283" s="246">
        <f t="shared" si="524"/>
        <v>0</v>
      </c>
      <c r="N1283" s="121">
        <f t="shared" si="525"/>
        <v>1</v>
      </c>
      <c r="O1283" s="246">
        <f t="shared" si="526"/>
        <v>0.98849562363238508</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87">
        <v>18</v>
      </c>
      <c r="B1284" s="242">
        <f t="shared" si="533"/>
        <v>46174</v>
      </c>
      <c r="C1284" s="243">
        <f t="shared" si="514"/>
        <v>46203</v>
      </c>
      <c r="D1284" s="120">
        <f t="shared" si="515"/>
        <v>30</v>
      </c>
      <c r="E1284" s="120">
        <f t="shared" si="516"/>
        <v>6</v>
      </c>
      <c r="F1284" s="275">
        <f t="shared" si="517"/>
        <v>46189</v>
      </c>
      <c r="G1284" s="120">
        <f t="shared" si="518"/>
        <v>24317</v>
      </c>
      <c r="H1284" s="245">
        <f t="shared" si="519"/>
        <v>1</v>
      </c>
      <c r="I1284" s="121">
        <f t="shared" si="520"/>
        <v>1</v>
      </c>
      <c r="J1284" s="121">
        <f t="shared" si="521"/>
        <v>1</v>
      </c>
      <c r="K1284" s="120">
        <f t="shared" si="522"/>
        <v>0</v>
      </c>
      <c r="L1284" s="120">
        <f t="shared" si="523"/>
        <v>0</v>
      </c>
      <c r="M1284" s="246">
        <f t="shared" si="524"/>
        <v>0</v>
      </c>
      <c r="N1284" s="121">
        <f t="shared" si="525"/>
        <v>1</v>
      </c>
      <c r="O1284" s="246">
        <f t="shared" si="526"/>
        <v>0.98882932166301973</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87">
        <v>19</v>
      </c>
      <c r="B1285" s="242">
        <f t="shared" si="533"/>
        <v>46204</v>
      </c>
      <c r="C1285" s="243">
        <f t="shared" si="514"/>
        <v>46234</v>
      </c>
      <c r="D1285" s="120">
        <f t="shared" si="515"/>
        <v>31</v>
      </c>
      <c r="E1285" s="120">
        <f t="shared" si="516"/>
        <v>7</v>
      </c>
      <c r="F1285" s="275">
        <f t="shared" si="517"/>
        <v>46219.5</v>
      </c>
      <c r="G1285" s="120">
        <f t="shared" si="518"/>
        <v>24318</v>
      </c>
      <c r="H1285" s="245">
        <f t="shared" si="519"/>
        <v>1</v>
      </c>
      <c r="I1285" s="121">
        <f t="shared" si="520"/>
        <v>1</v>
      </c>
      <c r="J1285" s="121">
        <f t="shared" si="521"/>
        <v>1</v>
      </c>
      <c r="K1285" s="120">
        <f t="shared" si="522"/>
        <v>0</v>
      </c>
      <c r="L1285" s="120">
        <f t="shared" si="523"/>
        <v>0</v>
      </c>
      <c r="M1285" s="246">
        <f t="shared" si="524"/>
        <v>0</v>
      </c>
      <c r="N1285" s="121">
        <f t="shared" si="525"/>
        <v>1</v>
      </c>
      <c r="O1285" s="246">
        <f t="shared" si="526"/>
        <v>0.98916301969365428</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87">
        <v>20</v>
      </c>
      <c r="B1286" s="242">
        <f t="shared" si="533"/>
        <v>46235</v>
      </c>
      <c r="C1286" s="243">
        <f t="shared" si="514"/>
        <v>46265</v>
      </c>
      <c r="D1286" s="120">
        <f t="shared" si="515"/>
        <v>31</v>
      </c>
      <c r="E1286" s="120">
        <f t="shared" si="516"/>
        <v>8</v>
      </c>
      <c r="F1286" s="275">
        <f t="shared" si="517"/>
        <v>46250.5</v>
      </c>
      <c r="G1286" s="120">
        <f t="shared" si="518"/>
        <v>24319</v>
      </c>
      <c r="H1286" s="245">
        <f t="shared" si="519"/>
        <v>1</v>
      </c>
      <c r="I1286" s="121">
        <f t="shared" si="520"/>
        <v>1</v>
      </c>
      <c r="J1286" s="121">
        <f t="shared" si="521"/>
        <v>1</v>
      </c>
      <c r="K1286" s="120">
        <f t="shared" si="522"/>
        <v>0</v>
      </c>
      <c r="L1286" s="120">
        <f t="shared" si="523"/>
        <v>0</v>
      </c>
      <c r="M1286" s="246">
        <f t="shared" si="524"/>
        <v>0</v>
      </c>
      <c r="N1286" s="121">
        <f t="shared" si="525"/>
        <v>1</v>
      </c>
      <c r="O1286" s="246">
        <f t="shared" si="526"/>
        <v>0.98950218818380742</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87">
        <v>21</v>
      </c>
      <c r="B1287" s="242">
        <f t="shared" si="533"/>
        <v>46266</v>
      </c>
      <c r="C1287" s="243">
        <f t="shared" si="514"/>
        <v>46295</v>
      </c>
      <c r="D1287" s="120">
        <f t="shared" si="515"/>
        <v>30</v>
      </c>
      <c r="E1287" s="120">
        <f t="shared" si="516"/>
        <v>9</v>
      </c>
      <c r="F1287" s="275">
        <f t="shared" si="517"/>
        <v>46281</v>
      </c>
      <c r="G1287" s="120">
        <f t="shared" si="518"/>
        <v>24320</v>
      </c>
      <c r="H1287" s="245">
        <f t="shared" si="519"/>
        <v>1</v>
      </c>
      <c r="I1287" s="121">
        <f t="shared" si="520"/>
        <v>1</v>
      </c>
      <c r="J1287" s="121">
        <f t="shared" si="521"/>
        <v>1</v>
      </c>
      <c r="K1287" s="120">
        <f t="shared" si="522"/>
        <v>0</v>
      </c>
      <c r="L1287" s="120">
        <f t="shared" si="523"/>
        <v>0</v>
      </c>
      <c r="M1287" s="246">
        <f t="shared" si="524"/>
        <v>0</v>
      </c>
      <c r="N1287" s="121">
        <f t="shared" si="525"/>
        <v>1</v>
      </c>
      <c r="O1287" s="246">
        <f t="shared" si="526"/>
        <v>0.98983588621444196</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87">
        <v>22</v>
      </c>
      <c r="B1288" s="242">
        <f t="shared" si="533"/>
        <v>46296</v>
      </c>
      <c r="C1288" s="243">
        <f t="shared" si="514"/>
        <v>46326</v>
      </c>
      <c r="D1288" s="120">
        <f t="shared" si="515"/>
        <v>31</v>
      </c>
      <c r="E1288" s="120">
        <f t="shared" si="516"/>
        <v>10</v>
      </c>
      <c r="F1288" s="275">
        <f t="shared" si="517"/>
        <v>46311.5</v>
      </c>
      <c r="G1288" s="120">
        <f t="shared" si="518"/>
        <v>24321</v>
      </c>
      <c r="H1288" s="245">
        <f t="shared" si="519"/>
        <v>1</v>
      </c>
      <c r="I1288" s="121">
        <f t="shared" si="520"/>
        <v>1</v>
      </c>
      <c r="J1288" s="121">
        <f t="shared" si="521"/>
        <v>1</v>
      </c>
      <c r="K1288" s="120">
        <f t="shared" si="522"/>
        <v>0</v>
      </c>
      <c r="L1288" s="120">
        <f t="shared" si="523"/>
        <v>0</v>
      </c>
      <c r="M1288" s="246">
        <f t="shared" si="524"/>
        <v>0</v>
      </c>
      <c r="N1288" s="121">
        <f t="shared" si="525"/>
        <v>1</v>
      </c>
      <c r="O1288" s="246">
        <f t="shared" si="526"/>
        <v>0.99016958424507662</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87">
        <v>23</v>
      </c>
      <c r="B1289" s="242">
        <f t="shared" si="533"/>
        <v>46327</v>
      </c>
      <c r="C1289" s="243">
        <f t="shared" si="514"/>
        <v>46356</v>
      </c>
      <c r="D1289" s="120">
        <f t="shared" si="515"/>
        <v>30</v>
      </c>
      <c r="E1289" s="120">
        <f t="shared" si="516"/>
        <v>11</v>
      </c>
      <c r="F1289" s="275">
        <f t="shared" si="517"/>
        <v>46342</v>
      </c>
      <c r="G1289" s="120">
        <f t="shared" si="518"/>
        <v>24322</v>
      </c>
      <c r="H1289" s="245">
        <f t="shared" si="519"/>
        <v>1</v>
      </c>
      <c r="I1289" s="121">
        <f t="shared" si="520"/>
        <v>1</v>
      </c>
      <c r="J1289" s="121">
        <f t="shared" si="521"/>
        <v>1.04</v>
      </c>
      <c r="K1289" s="120">
        <f t="shared" si="522"/>
        <v>1</v>
      </c>
      <c r="L1289" s="120">
        <f t="shared" si="523"/>
        <v>30</v>
      </c>
      <c r="M1289" s="246">
        <f t="shared" si="524"/>
        <v>1</v>
      </c>
      <c r="N1289" s="121">
        <f t="shared" si="525"/>
        <v>1.04</v>
      </c>
      <c r="O1289" s="246">
        <f t="shared" si="526"/>
        <v>0.99050328227571116</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87">
        <v>24</v>
      </c>
      <c r="B1290" s="242">
        <f t="shared" si="533"/>
        <v>46357</v>
      </c>
      <c r="C1290" s="243">
        <f t="shared" si="514"/>
        <v>46387</v>
      </c>
      <c r="D1290" s="120">
        <f t="shared" si="515"/>
        <v>31</v>
      </c>
      <c r="E1290" s="120">
        <f t="shared" si="516"/>
        <v>12</v>
      </c>
      <c r="F1290" s="275">
        <f t="shared" si="517"/>
        <v>46372.5</v>
      </c>
      <c r="G1290" s="120">
        <f t="shared" si="518"/>
        <v>24323</v>
      </c>
      <c r="H1290" s="245">
        <f t="shared" si="519"/>
        <v>1</v>
      </c>
      <c r="I1290" s="121">
        <f t="shared" si="520"/>
        <v>1.04</v>
      </c>
      <c r="J1290" s="121">
        <f t="shared" si="521"/>
        <v>1.04</v>
      </c>
      <c r="K1290" s="120">
        <f t="shared" si="522"/>
        <v>0</v>
      </c>
      <c r="L1290" s="120">
        <f t="shared" si="523"/>
        <v>0</v>
      </c>
      <c r="M1290" s="246">
        <f t="shared" si="524"/>
        <v>0</v>
      </c>
      <c r="N1290" s="121">
        <f t="shared" si="525"/>
        <v>1.04</v>
      </c>
      <c r="O1290" s="246">
        <f t="shared" si="526"/>
        <v>0.9908369803063457</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87">
        <v>25</v>
      </c>
      <c r="B1291" s="242">
        <f t="shared" si="533"/>
        <v>46388</v>
      </c>
      <c r="C1291" s="243">
        <f t="shared" si="514"/>
        <v>46418</v>
      </c>
      <c r="D1291" s="120">
        <f t="shared" si="515"/>
        <v>31</v>
      </c>
      <c r="E1291" s="120">
        <f t="shared" si="516"/>
        <v>1</v>
      </c>
      <c r="F1291" s="275">
        <f t="shared" si="517"/>
        <v>46403.5</v>
      </c>
      <c r="G1291" s="120">
        <f t="shared" si="518"/>
        <v>24324</v>
      </c>
      <c r="H1291" s="245">
        <f t="shared" si="519"/>
        <v>1</v>
      </c>
      <c r="I1291" s="121">
        <f t="shared" si="520"/>
        <v>1.04</v>
      </c>
      <c r="J1291" s="121">
        <f t="shared" si="521"/>
        <v>1.04</v>
      </c>
      <c r="K1291" s="120">
        <f t="shared" si="522"/>
        <v>0</v>
      </c>
      <c r="L1291" s="120">
        <f t="shared" si="523"/>
        <v>0</v>
      </c>
      <c r="M1291" s="246">
        <f t="shared" si="524"/>
        <v>0</v>
      </c>
      <c r="N1291" s="121">
        <f t="shared" si="525"/>
        <v>1.04</v>
      </c>
      <c r="O1291" s="246">
        <f t="shared" si="526"/>
        <v>0.99117614879649885</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87">
        <v>26</v>
      </c>
      <c r="B1292" s="242">
        <f t="shared" si="533"/>
        <v>46419</v>
      </c>
      <c r="C1292" s="243">
        <f t="shared" si="514"/>
        <v>46446</v>
      </c>
      <c r="D1292" s="120">
        <f t="shared" si="515"/>
        <v>28</v>
      </c>
      <c r="E1292" s="120">
        <f t="shared" si="516"/>
        <v>2</v>
      </c>
      <c r="F1292" s="275">
        <f t="shared" si="517"/>
        <v>46433</v>
      </c>
      <c r="G1292" s="120">
        <f t="shared" si="518"/>
        <v>24325</v>
      </c>
      <c r="H1292" s="245">
        <f t="shared" si="519"/>
        <v>1</v>
      </c>
      <c r="I1292" s="121">
        <f t="shared" si="520"/>
        <v>1.04</v>
      </c>
      <c r="J1292" s="121">
        <f t="shared" si="521"/>
        <v>1.04</v>
      </c>
      <c r="K1292" s="120">
        <f t="shared" si="522"/>
        <v>0</v>
      </c>
      <c r="L1292" s="120">
        <f t="shared" si="523"/>
        <v>0</v>
      </c>
      <c r="M1292" s="246">
        <f t="shared" si="524"/>
        <v>0</v>
      </c>
      <c r="N1292" s="121">
        <f t="shared" si="525"/>
        <v>1.04</v>
      </c>
      <c r="O1292" s="246">
        <f t="shared" si="526"/>
        <v>0.99149890590809631</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87">
        <v>27</v>
      </c>
      <c r="B1293" s="242">
        <f t="shared" si="533"/>
        <v>46447</v>
      </c>
      <c r="C1293" s="243">
        <f t="shared" si="514"/>
        <v>46477</v>
      </c>
      <c r="D1293" s="120">
        <f t="shared" si="515"/>
        <v>31</v>
      </c>
      <c r="E1293" s="120">
        <f t="shared" si="516"/>
        <v>3</v>
      </c>
      <c r="F1293" s="275">
        <f t="shared" si="517"/>
        <v>46462.5</v>
      </c>
      <c r="G1293" s="120">
        <f t="shared" si="518"/>
        <v>24326</v>
      </c>
      <c r="H1293" s="245">
        <f t="shared" si="519"/>
        <v>1</v>
      </c>
      <c r="I1293" s="121">
        <f t="shared" si="520"/>
        <v>1.04</v>
      </c>
      <c r="J1293" s="121">
        <f t="shared" si="521"/>
        <v>1.04</v>
      </c>
      <c r="K1293" s="120">
        <f t="shared" si="522"/>
        <v>0</v>
      </c>
      <c r="L1293" s="120">
        <f t="shared" si="523"/>
        <v>0</v>
      </c>
      <c r="M1293" s="246">
        <f t="shared" si="524"/>
        <v>0</v>
      </c>
      <c r="N1293" s="121">
        <f t="shared" si="525"/>
        <v>1.04</v>
      </c>
      <c r="O1293" s="246">
        <f t="shared" si="526"/>
        <v>0.99182166301969366</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87">
        <v>28</v>
      </c>
      <c r="B1294" s="242">
        <f t="shared" si="533"/>
        <v>46478</v>
      </c>
      <c r="C1294" s="243">
        <f t="shared" si="514"/>
        <v>46507</v>
      </c>
      <c r="D1294" s="120">
        <f t="shared" si="515"/>
        <v>30</v>
      </c>
      <c r="E1294" s="120">
        <f t="shared" si="516"/>
        <v>4</v>
      </c>
      <c r="F1294" s="275">
        <f t="shared" si="517"/>
        <v>46493</v>
      </c>
      <c r="G1294" s="120">
        <f t="shared" si="518"/>
        <v>24327</v>
      </c>
      <c r="H1294" s="245">
        <f t="shared" si="519"/>
        <v>1</v>
      </c>
      <c r="I1294" s="121">
        <f t="shared" si="520"/>
        <v>1.04</v>
      </c>
      <c r="J1294" s="121">
        <f t="shared" si="521"/>
        <v>1.04</v>
      </c>
      <c r="K1294" s="120">
        <f t="shared" si="522"/>
        <v>0</v>
      </c>
      <c r="L1294" s="120">
        <f t="shared" si="523"/>
        <v>0</v>
      </c>
      <c r="M1294" s="246">
        <f t="shared" si="524"/>
        <v>0</v>
      </c>
      <c r="N1294" s="121">
        <f t="shared" si="525"/>
        <v>1.04</v>
      </c>
      <c r="O1294" s="246">
        <f t="shared" si="526"/>
        <v>0.9921553610503282</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87">
        <v>29</v>
      </c>
      <c r="B1295" s="242">
        <f t="shared" si="533"/>
        <v>46508</v>
      </c>
      <c r="C1295" s="243">
        <f t="shared" si="514"/>
        <v>46538</v>
      </c>
      <c r="D1295" s="120">
        <f t="shared" si="515"/>
        <v>31</v>
      </c>
      <c r="E1295" s="120">
        <f t="shared" si="516"/>
        <v>5</v>
      </c>
      <c r="F1295" s="275">
        <f t="shared" si="517"/>
        <v>46523.5</v>
      </c>
      <c r="G1295" s="120">
        <f t="shared" si="518"/>
        <v>24328</v>
      </c>
      <c r="H1295" s="245">
        <f t="shared" si="519"/>
        <v>1</v>
      </c>
      <c r="I1295" s="121">
        <f t="shared" si="520"/>
        <v>1.04</v>
      </c>
      <c r="J1295" s="121">
        <f t="shared" si="521"/>
        <v>1.04</v>
      </c>
      <c r="K1295" s="120">
        <f t="shared" si="522"/>
        <v>0</v>
      </c>
      <c r="L1295" s="120">
        <f t="shared" si="523"/>
        <v>0</v>
      </c>
      <c r="M1295" s="246">
        <f t="shared" si="524"/>
        <v>0</v>
      </c>
      <c r="N1295" s="121">
        <f t="shared" si="525"/>
        <v>1.04</v>
      </c>
      <c r="O1295" s="246">
        <f t="shared" si="526"/>
        <v>0.99248905908096274</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87">
        <v>30</v>
      </c>
      <c r="B1296" s="242">
        <f t="shared" si="533"/>
        <v>46539</v>
      </c>
      <c r="C1296" s="243">
        <f t="shared" si="514"/>
        <v>46568</v>
      </c>
      <c r="D1296" s="120">
        <f t="shared" si="515"/>
        <v>30</v>
      </c>
      <c r="E1296" s="120">
        <f t="shared" si="516"/>
        <v>6</v>
      </c>
      <c r="F1296" s="275">
        <f t="shared" si="517"/>
        <v>46554</v>
      </c>
      <c r="G1296" s="120">
        <f t="shared" si="518"/>
        <v>24329</v>
      </c>
      <c r="H1296" s="245">
        <f t="shared" si="519"/>
        <v>1</v>
      </c>
      <c r="I1296" s="121">
        <f t="shared" si="520"/>
        <v>1.04</v>
      </c>
      <c r="J1296" s="121">
        <f t="shared" si="521"/>
        <v>1.04</v>
      </c>
      <c r="K1296" s="120">
        <f t="shared" si="522"/>
        <v>0</v>
      </c>
      <c r="L1296" s="120">
        <f t="shared" si="523"/>
        <v>0</v>
      </c>
      <c r="M1296" s="246">
        <f t="shared" si="524"/>
        <v>0</v>
      </c>
      <c r="N1296" s="121">
        <f t="shared" si="525"/>
        <v>1.04</v>
      </c>
      <c r="O1296" s="246">
        <f t="shared" si="526"/>
        <v>0.9928227571115974</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87">
        <v>31</v>
      </c>
      <c r="B1297" s="242">
        <f t="shared" si="533"/>
        <v>46569</v>
      </c>
      <c r="C1297" s="243">
        <f t="shared" si="514"/>
        <v>46599</v>
      </c>
      <c r="D1297" s="120">
        <f t="shared" si="515"/>
        <v>31</v>
      </c>
      <c r="E1297" s="120">
        <f t="shared" si="516"/>
        <v>7</v>
      </c>
      <c r="F1297" s="275">
        <f t="shared" si="517"/>
        <v>46584.5</v>
      </c>
      <c r="G1297" s="120">
        <f t="shared" si="518"/>
        <v>24330</v>
      </c>
      <c r="H1297" s="245">
        <f t="shared" si="519"/>
        <v>1</v>
      </c>
      <c r="I1297" s="121">
        <f t="shared" si="520"/>
        <v>1.04</v>
      </c>
      <c r="J1297" s="121">
        <f t="shared" si="521"/>
        <v>1.04</v>
      </c>
      <c r="K1297" s="120">
        <f t="shared" si="522"/>
        <v>0</v>
      </c>
      <c r="L1297" s="120">
        <f t="shared" si="523"/>
        <v>0</v>
      </c>
      <c r="M1297" s="246">
        <f t="shared" si="524"/>
        <v>0</v>
      </c>
      <c r="N1297" s="121">
        <f t="shared" si="525"/>
        <v>1.04</v>
      </c>
      <c r="O1297" s="246">
        <f t="shared" si="526"/>
        <v>0.99315645514223194</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87">
        <v>32</v>
      </c>
      <c r="B1298" s="242">
        <f t="shared" si="533"/>
        <v>46600</v>
      </c>
      <c r="C1298" s="243">
        <f t="shared" si="514"/>
        <v>46630</v>
      </c>
      <c r="D1298" s="120">
        <f t="shared" si="515"/>
        <v>31</v>
      </c>
      <c r="E1298" s="120">
        <f t="shared" si="516"/>
        <v>8</v>
      </c>
      <c r="F1298" s="275">
        <f t="shared" si="517"/>
        <v>46615.5</v>
      </c>
      <c r="G1298" s="120">
        <f t="shared" si="518"/>
        <v>24331</v>
      </c>
      <c r="H1298" s="245">
        <f t="shared" si="519"/>
        <v>1</v>
      </c>
      <c r="I1298" s="121">
        <f t="shared" si="520"/>
        <v>1.04</v>
      </c>
      <c r="J1298" s="121">
        <f t="shared" si="521"/>
        <v>1.04</v>
      </c>
      <c r="K1298" s="120">
        <f t="shared" si="522"/>
        <v>0</v>
      </c>
      <c r="L1298" s="120">
        <f t="shared" si="523"/>
        <v>0</v>
      </c>
      <c r="M1298" s="246">
        <f t="shared" si="524"/>
        <v>0</v>
      </c>
      <c r="N1298" s="121">
        <f t="shared" si="525"/>
        <v>1.04</v>
      </c>
      <c r="O1298" s="246">
        <f t="shared" si="526"/>
        <v>0.99349562363238508</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87">
        <v>33</v>
      </c>
      <c r="B1299" s="242">
        <f t="shared" si="533"/>
        <v>46631</v>
      </c>
      <c r="C1299" s="243">
        <f t="shared" si="514"/>
        <v>46660</v>
      </c>
      <c r="D1299" s="120">
        <f t="shared" si="515"/>
        <v>30</v>
      </c>
      <c r="E1299" s="120">
        <f t="shared" si="516"/>
        <v>9</v>
      </c>
      <c r="F1299" s="275">
        <f t="shared" si="517"/>
        <v>46646</v>
      </c>
      <c r="G1299" s="120">
        <f t="shared" si="518"/>
        <v>24332</v>
      </c>
      <c r="H1299" s="245">
        <f t="shared" si="519"/>
        <v>1</v>
      </c>
      <c r="I1299" s="121">
        <f t="shared" si="520"/>
        <v>1.04</v>
      </c>
      <c r="J1299" s="121">
        <f t="shared" si="521"/>
        <v>1.04</v>
      </c>
      <c r="K1299" s="120">
        <f t="shared" si="522"/>
        <v>0</v>
      </c>
      <c r="L1299" s="120">
        <f t="shared" si="523"/>
        <v>0</v>
      </c>
      <c r="M1299" s="246">
        <f t="shared" si="524"/>
        <v>0</v>
      </c>
      <c r="N1299" s="121">
        <f t="shared" si="525"/>
        <v>1.04</v>
      </c>
      <c r="O1299" s="246">
        <f t="shared" si="526"/>
        <v>0.99382932166301974</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87">
        <v>34</v>
      </c>
      <c r="B1300" s="242">
        <f t="shared" si="533"/>
        <v>46661</v>
      </c>
      <c r="C1300" s="243">
        <f t="shared" si="514"/>
        <v>46691</v>
      </c>
      <c r="D1300" s="120">
        <f t="shared" si="515"/>
        <v>31</v>
      </c>
      <c r="E1300" s="120">
        <f t="shared" si="516"/>
        <v>10</v>
      </c>
      <c r="F1300" s="275">
        <f t="shared" si="517"/>
        <v>46676.5</v>
      </c>
      <c r="G1300" s="120">
        <f t="shared" si="518"/>
        <v>24333</v>
      </c>
      <c r="H1300" s="245">
        <f t="shared" si="519"/>
        <v>1</v>
      </c>
      <c r="I1300" s="121">
        <f t="shared" si="520"/>
        <v>1.04</v>
      </c>
      <c r="J1300" s="121">
        <f t="shared" si="521"/>
        <v>1.04</v>
      </c>
      <c r="K1300" s="120">
        <f t="shared" si="522"/>
        <v>0</v>
      </c>
      <c r="L1300" s="120">
        <f t="shared" si="523"/>
        <v>0</v>
      </c>
      <c r="M1300" s="246">
        <f t="shared" si="524"/>
        <v>0</v>
      </c>
      <c r="N1300" s="121">
        <f t="shared" si="525"/>
        <v>1.04</v>
      </c>
      <c r="O1300" s="246">
        <f t="shared" si="526"/>
        <v>0.99416301969365428</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87">
        <v>35</v>
      </c>
      <c r="B1301" s="242">
        <f t="shared" si="533"/>
        <v>46692</v>
      </c>
      <c r="C1301" s="243">
        <f t="shared" si="514"/>
        <v>46721</v>
      </c>
      <c r="D1301" s="120">
        <f t="shared" si="515"/>
        <v>30</v>
      </c>
      <c r="E1301" s="120">
        <f t="shared" si="516"/>
        <v>11</v>
      </c>
      <c r="F1301" s="275">
        <f t="shared" si="517"/>
        <v>46707</v>
      </c>
      <c r="G1301" s="120">
        <f t="shared" si="518"/>
        <v>24334</v>
      </c>
      <c r="H1301" s="245">
        <f t="shared" si="519"/>
        <v>1</v>
      </c>
      <c r="I1301" s="121">
        <f t="shared" si="520"/>
        <v>1.04</v>
      </c>
      <c r="J1301" s="121">
        <f t="shared" si="521"/>
        <v>1.04</v>
      </c>
      <c r="K1301" s="120">
        <f t="shared" si="522"/>
        <v>0</v>
      </c>
      <c r="L1301" s="120">
        <f t="shared" si="523"/>
        <v>0</v>
      </c>
      <c r="M1301" s="246">
        <f t="shared" si="524"/>
        <v>0</v>
      </c>
      <c r="N1301" s="121">
        <f t="shared" si="525"/>
        <v>1.04</v>
      </c>
      <c r="O1301" s="246">
        <f t="shared" si="526"/>
        <v>0.99449671772428883</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87">
        <v>36</v>
      </c>
      <c r="B1302" s="242">
        <f t="shared" si="533"/>
        <v>46722</v>
      </c>
      <c r="C1302" s="243">
        <f t="shared" si="514"/>
        <v>46752</v>
      </c>
      <c r="D1302" s="120">
        <f t="shared" si="515"/>
        <v>31</v>
      </c>
      <c r="E1302" s="120">
        <f t="shared" si="516"/>
        <v>12</v>
      </c>
      <c r="F1302" s="275">
        <f t="shared" si="517"/>
        <v>46737.5</v>
      </c>
      <c r="G1302" s="120">
        <f t="shared" si="518"/>
        <v>24335</v>
      </c>
      <c r="H1302" s="245">
        <f t="shared" si="519"/>
        <v>1</v>
      </c>
      <c r="I1302" s="121">
        <f t="shared" si="520"/>
        <v>1.04</v>
      </c>
      <c r="J1302" s="121">
        <f t="shared" si="521"/>
        <v>1.04</v>
      </c>
      <c r="K1302" s="120">
        <f t="shared" si="522"/>
        <v>0</v>
      </c>
      <c r="L1302" s="120">
        <f t="shared" si="523"/>
        <v>0</v>
      </c>
      <c r="M1302" s="246">
        <f t="shared" si="524"/>
        <v>0</v>
      </c>
      <c r="N1302" s="121">
        <f t="shared" si="525"/>
        <v>1.04</v>
      </c>
      <c r="O1302" s="246">
        <f t="shared" si="526"/>
        <v>0.99483041575492337</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87">
        <v>37</v>
      </c>
      <c r="B1303" s="242">
        <f t="shared" si="533"/>
        <v>46753</v>
      </c>
      <c r="C1303" s="243">
        <f t="shared" si="514"/>
        <v>46783</v>
      </c>
      <c r="D1303" s="120">
        <f t="shared" si="515"/>
        <v>31</v>
      </c>
      <c r="E1303" s="120">
        <f t="shared" si="516"/>
        <v>1</v>
      </c>
      <c r="F1303" s="275">
        <f t="shared" si="517"/>
        <v>46768.5</v>
      </c>
      <c r="G1303" s="120">
        <f t="shared" si="518"/>
        <v>24336</v>
      </c>
      <c r="H1303" s="245">
        <f t="shared" si="519"/>
        <v>1</v>
      </c>
      <c r="I1303" s="121">
        <f t="shared" si="520"/>
        <v>1.04</v>
      </c>
      <c r="J1303" s="121">
        <f t="shared" si="521"/>
        <v>1.04</v>
      </c>
      <c r="K1303" s="120">
        <f t="shared" si="522"/>
        <v>0</v>
      </c>
      <c r="L1303" s="120">
        <f t="shared" si="523"/>
        <v>0</v>
      </c>
      <c r="M1303" s="246">
        <f t="shared" si="524"/>
        <v>0</v>
      </c>
      <c r="N1303" s="121">
        <f t="shared" si="525"/>
        <v>1.04</v>
      </c>
      <c r="O1303" s="246">
        <f t="shared" si="526"/>
        <v>0.995</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87">
        <v>38</v>
      </c>
      <c r="B1304" s="242">
        <f t="shared" si="533"/>
        <v>46784</v>
      </c>
      <c r="C1304" s="243">
        <f t="shared" si="514"/>
        <v>46812</v>
      </c>
      <c r="D1304" s="120">
        <f t="shared" si="515"/>
        <v>29</v>
      </c>
      <c r="E1304" s="120">
        <f t="shared" si="516"/>
        <v>2</v>
      </c>
      <c r="F1304" s="275">
        <f t="shared" si="517"/>
        <v>46798.5</v>
      </c>
      <c r="G1304" s="120">
        <f t="shared" si="518"/>
        <v>24337</v>
      </c>
      <c r="H1304" s="245">
        <f t="shared" si="519"/>
        <v>1</v>
      </c>
      <c r="I1304" s="121">
        <f t="shared" si="520"/>
        <v>1.04</v>
      </c>
      <c r="J1304" s="121">
        <f t="shared" si="521"/>
        <v>1.04</v>
      </c>
      <c r="K1304" s="120">
        <f t="shared" si="522"/>
        <v>0</v>
      </c>
      <c r="L1304" s="120">
        <f t="shared" si="523"/>
        <v>0</v>
      </c>
      <c r="M1304" s="246">
        <f t="shared" si="524"/>
        <v>0</v>
      </c>
      <c r="N1304" s="121">
        <f t="shared" si="525"/>
        <v>1.04</v>
      </c>
      <c r="O1304" s="246">
        <f t="shared" si="526"/>
        <v>0.995</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87">
        <v>39</v>
      </c>
      <c r="B1305" s="242">
        <f t="shared" si="533"/>
        <v>46813</v>
      </c>
      <c r="C1305" s="243">
        <f t="shared" si="514"/>
        <v>46843</v>
      </c>
      <c r="D1305" s="120">
        <f t="shared" si="515"/>
        <v>31</v>
      </c>
      <c r="E1305" s="120">
        <f t="shared" si="516"/>
        <v>3</v>
      </c>
      <c r="F1305" s="275">
        <f t="shared" si="517"/>
        <v>46828.5</v>
      </c>
      <c r="G1305" s="120">
        <f t="shared" si="518"/>
        <v>24338</v>
      </c>
      <c r="H1305" s="245">
        <f t="shared" si="519"/>
        <v>1</v>
      </c>
      <c r="I1305" s="121">
        <f t="shared" si="520"/>
        <v>1.04</v>
      </c>
      <c r="J1305" s="121">
        <f t="shared" si="521"/>
        <v>1.04</v>
      </c>
      <c r="K1305" s="120">
        <f t="shared" si="522"/>
        <v>0</v>
      </c>
      <c r="L1305" s="120">
        <f t="shared" si="523"/>
        <v>0</v>
      </c>
      <c r="M1305" s="246">
        <f t="shared" si="524"/>
        <v>0</v>
      </c>
      <c r="N1305" s="121">
        <f t="shared" si="525"/>
        <v>1.04</v>
      </c>
      <c r="O1305" s="246">
        <f t="shared" si="526"/>
        <v>0.995</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87">
        <v>40</v>
      </c>
      <c r="B1306" s="242">
        <f t="shared" si="533"/>
        <v>46844</v>
      </c>
      <c r="C1306" s="243">
        <f t="shared" si="514"/>
        <v>46873</v>
      </c>
      <c r="D1306" s="120">
        <f t="shared" si="515"/>
        <v>30</v>
      </c>
      <c r="E1306" s="120">
        <f t="shared" si="516"/>
        <v>4</v>
      </c>
      <c r="F1306" s="275">
        <f t="shared" si="517"/>
        <v>46859</v>
      </c>
      <c r="G1306" s="120">
        <f t="shared" si="518"/>
        <v>24339</v>
      </c>
      <c r="H1306" s="245">
        <f t="shared" si="519"/>
        <v>1</v>
      </c>
      <c r="I1306" s="121">
        <f t="shared" si="520"/>
        <v>1.04</v>
      </c>
      <c r="J1306" s="121">
        <f t="shared" si="521"/>
        <v>1.04</v>
      </c>
      <c r="K1306" s="120">
        <f t="shared" si="522"/>
        <v>0</v>
      </c>
      <c r="L1306" s="120">
        <f t="shared" si="523"/>
        <v>0</v>
      </c>
      <c r="M1306" s="246">
        <f t="shared" si="524"/>
        <v>0</v>
      </c>
      <c r="N1306" s="121">
        <f t="shared" si="525"/>
        <v>1.04</v>
      </c>
      <c r="O1306" s="246">
        <f t="shared" si="526"/>
        <v>0.995</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87">
        <v>41</v>
      </c>
      <c r="B1307" s="242">
        <f t="shared" si="533"/>
        <v>46874</v>
      </c>
      <c r="C1307" s="243">
        <f t="shared" si="514"/>
        <v>46904</v>
      </c>
      <c r="D1307" s="120">
        <f t="shared" si="515"/>
        <v>31</v>
      </c>
      <c r="E1307" s="120">
        <f t="shared" si="516"/>
        <v>5</v>
      </c>
      <c r="F1307" s="275">
        <f t="shared" si="517"/>
        <v>46889.5</v>
      </c>
      <c r="G1307" s="120">
        <f t="shared" si="518"/>
        <v>24340</v>
      </c>
      <c r="H1307" s="245">
        <f t="shared" si="519"/>
        <v>1</v>
      </c>
      <c r="I1307" s="121">
        <f t="shared" si="520"/>
        <v>1.04</v>
      </c>
      <c r="J1307" s="121">
        <f t="shared" si="521"/>
        <v>1.04</v>
      </c>
      <c r="K1307" s="120">
        <f t="shared" si="522"/>
        <v>0</v>
      </c>
      <c r="L1307" s="120">
        <f t="shared" si="523"/>
        <v>0</v>
      </c>
      <c r="M1307" s="246">
        <f t="shared" si="524"/>
        <v>0</v>
      </c>
      <c r="N1307" s="121">
        <f t="shared" si="525"/>
        <v>1.04</v>
      </c>
      <c r="O1307" s="246">
        <f t="shared" si="526"/>
        <v>0.995</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87">
        <v>42</v>
      </c>
      <c r="B1308" s="242">
        <f t="shared" si="533"/>
        <v>46905</v>
      </c>
      <c r="C1308" s="243">
        <f t="shared" si="514"/>
        <v>46934</v>
      </c>
      <c r="D1308" s="120">
        <f t="shared" si="515"/>
        <v>30</v>
      </c>
      <c r="E1308" s="120">
        <f t="shared" si="516"/>
        <v>6</v>
      </c>
      <c r="F1308" s="275">
        <f t="shared" si="517"/>
        <v>46920</v>
      </c>
      <c r="G1308" s="120">
        <f t="shared" si="518"/>
        <v>24341</v>
      </c>
      <c r="H1308" s="245">
        <f t="shared" si="519"/>
        <v>1</v>
      </c>
      <c r="I1308" s="121">
        <f t="shared" si="520"/>
        <v>1.04</v>
      </c>
      <c r="J1308" s="121">
        <f t="shared" si="521"/>
        <v>1.04</v>
      </c>
      <c r="K1308" s="120">
        <f t="shared" si="522"/>
        <v>0</v>
      </c>
      <c r="L1308" s="120">
        <f t="shared" si="523"/>
        <v>0</v>
      </c>
      <c r="M1308" s="246">
        <f t="shared" si="524"/>
        <v>0</v>
      </c>
      <c r="N1308" s="121">
        <f t="shared" si="525"/>
        <v>1.04</v>
      </c>
      <c r="O1308" s="246">
        <f t="shared" si="526"/>
        <v>0.995</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87">
        <v>43</v>
      </c>
      <c r="B1309" s="242">
        <f t="shared" si="533"/>
        <v>46935</v>
      </c>
      <c r="C1309" s="243">
        <f t="shared" si="514"/>
        <v>46965</v>
      </c>
      <c r="D1309" s="120">
        <f t="shared" si="515"/>
        <v>31</v>
      </c>
      <c r="E1309" s="120">
        <f t="shared" si="516"/>
        <v>7</v>
      </c>
      <c r="F1309" s="275">
        <f t="shared" si="517"/>
        <v>46950.5</v>
      </c>
      <c r="G1309" s="120">
        <f t="shared" si="518"/>
        <v>24342</v>
      </c>
      <c r="H1309" s="245">
        <f t="shared" si="519"/>
        <v>1</v>
      </c>
      <c r="I1309" s="121">
        <f t="shared" si="520"/>
        <v>1.04</v>
      </c>
      <c r="J1309" s="121">
        <f t="shared" si="521"/>
        <v>1.04</v>
      </c>
      <c r="K1309" s="120">
        <f t="shared" si="522"/>
        <v>0</v>
      </c>
      <c r="L1309" s="120">
        <f t="shared" si="523"/>
        <v>0</v>
      </c>
      <c r="M1309" s="246">
        <f t="shared" si="524"/>
        <v>0</v>
      </c>
      <c r="N1309" s="121">
        <f t="shared" si="525"/>
        <v>1.04</v>
      </c>
      <c r="O1309" s="246">
        <f t="shared" si="526"/>
        <v>0.995</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87">
        <v>44</v>
      </c>
      <c r="B1310" s="242">
        <f t="shared" si="533"/>
        <v>46966</v>
      </c>
      <c r="C1310" s="243">
        <f t="shared" si="514"/>
        <v>46996</v>
      </c>
      <c r="D1310" s="120">
        <f t="shared" si="515"/>
        <v>31</v>
      </c>
      <c r="E1310" s="120">
        <f t="shared" si="516"/>
        <v>8</v>
      </c>
      <c r="F1310" s="275">
        <f t="shared" si="517"/>
        <v>46981.5</v>
      </c>
      <c r="G1310" s="120">
        <f t="shared" si="518"/>
        <v>24343</v>
      </c>
      <c r="H1310" s="245">
        <f t="shared" si="519"/>
        <v>1</v>
      </c>
      <c r="I1310" s="121">
        <f t="shared" si="520"/>
        <v>1.04</v>
      </c>
      <c r="J1310" s="121">
        <f t="shared" si="521"/>
        <v>1.04</v>
      </c>
      <c r="K1310" s="120">
        <f t="shared" si="522"/>
        <v>0</v>
      </c>
      <c r="L1310" s="120">
        <f t="shared" si="523"/>
        <v>0</v>
      </c>
      <c r="M1310" s="246">
        <f t="shared" si="524"/>
        <v>0</v>
      </c>
      <c r="N1310" s="121">
        <f t="shared" si="525"/>
        <v>1.04</v>
      </c>
      <c r="O1310" s="246">
        <f t="shared" si="526"/>
        <v>0.995</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87">
        <v>45</v>
      </c>
      <c r="B1311" s="242">
        <f t="shared" si="533"/>
        <v>46997</v>
      </c>
      <c r="C1311" s="243">
        <f t="shared" si="514"/>
        <v>47026</v>
      </c>
      <c r="D1311" s="120">
        <f t="shared" si="515"/>
        <v>30</v>
      </c>
      <c r="E1311" s="120">
        <f t="shared" si="516"/>
        <v>9</v>
      </c>
      <c r="F1311" s="275">
        <f t="shared" si="517"/>
        <v>47012</v>
      </c>
      <c r="G1311" s="120">
        <f t="shared" si="518"/>
        <v>24344</v>
      </c>
      <c r="H1311" s="245">
        <f t="shared" si="519"/>
        <v>1</v>
      </c>
      <c r="I1311" s="121">
        <f t="shared" si="520"/>
        <v>1.04</v>
      </c>
      <c r="J1311" s="121">
        <f t="shared" si="521"/>
        <v>1.04</v>
      </c>
      <c r="K1311" s="120">
        <f t="shared" si="522"/>
        <v>0</v>
      </c>
      <c r="L1311" s="120">
        <f t="shared" si="523"/>
        <v>0</v>
      </c>
      <c r="M1311" s="246">
        <f t="shared" si="524"/>
        <v>0</v>
      </c>
      <c r="N1311" s="121">
        <f t="shared" si="525"/>
        <v>1.04</v>
      </c>
      <c r="O1311" s="246">
        <f t="shared" si="526"/>
        <v>0.995</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87">
        <v>46</v>
      </c>
      <c r="B1312" s="242">
        <f t="shared" si="533"/>
        <v>47027</v>
      </c>
      <c r="C1312" s="243">
        <f t="shared" si="514"/>
        <v>47057</v>
      </c>
      <c r="D1312" s="120">
        <f t="shared" si="515"/>
        <v>31</v>
      </c>
      <c r="E1312" s="120">
        <f t="shared" si="516"/>
        <v>10</v>
      </c>
      <c r="F1312" s="275">
        <f t="shared" si="517"/>
        <v>47042.5</v>
      </c>
      <c r="G1312" s="120">
        <f t="shared" si="518"/>
        <v>24345</v>
      </c>
      <c r="H1312" s="245">
        <f t="shared" si="519"/>
        <v>1</v>
      </c>
      <c r="I1312" s="121">
        <f t="shared" si="520"/>
        <v>1.04</v>
      </c>
      <c r="J1312" s="121">
        <f t="shared" si="521"/>
        <v>1.04</v>
      </c>
      <c r="K1312" s="120">
        <f t="shared" si="522"/>
        <v>0</v>
      </c>
      <c r="L1312" s="120">
        <f t="shared" si="523"/>
        <v>0</v>
      </c>
      <c r="M1312" s="246">
        <f t="shared" si="524"/>
        <v>0</v>
      </c>
      <c r="N1312" s="121">
        <f t="shared" si="525"/>
        <v>1.04</v>
      </c>
      <c r="O1312" s="246">
        <f t="shared" si="526"/>
        <v>0.995</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87">
        <v>47</v>
      </c>
      <c r="B1313" s="242">
        <f t="shared" si="533"/>
        <v>47058</v>
      </c>
      <c r="C1313" s="243">
        <f t="shared" si="514"/>
        <v>47087</v>
      </c>
      <c r="D1313" s="120">
        <f t="shared" si="515"/>
        <v>30</v>
      </c>
      <c r="E1313" s="120">
        <f t="shared" si="516"/>
        <v>11</v>
      </c>
      <c r="F1313" s="275">
        <f t="shared" si="517"/>
        <v>47073</v>
      </c>
      <c r="G1313" s="120">
        <f t="shared" si="518"/>
        <v>24346</v>
      </c>
      <c r="H1313" s="245">
        <f t="shared" si="519"/>
        <v>1</v>
      </c>
      <c r="I1313" s="121">
        <f t="shared" si="520"/>
        <v>1.04</v>
      </c>
      <c r="J1313" s="121">
        <f t="shared" si="521"/>
        <v>1.04</v>
      </c>
      <c r="K1313" s="120">
        <f t="shared" si="522"/>
        <v>0</v>
      </c>
      <c r="L1313" s="120">
        <f t="shared" si="523"/>
        <v>0</v>
      </c>
      <c r="M1313" s="246">
        <f t="shared" si="524"/>
        <v>0</v>
      </c>
      <c r="N1313" s="121">
        <f t="shared" si="525"/>
        <v>1.04</v>
      </c>
      <c r="O1313" s="246">
        <f t="shared" si="526"/>
        <v>0.995</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87">
        <v>48</v>
      </c>
      <c r="B1314" s="242">
        <f t="shared" si="533"/>
        <v>47088</v>
      </c>
      <c r="C1314" s="243">
        <f t="shared" si="514"/>
        <v>47118</v>
      </c>
      <c r="D1314" s="120">
        <f t="shared" si="515"/>
        <v>31</v>
      </c>
      <c r="E1314" s="120">
        <f t="shared" si="516"/>
        <v>12</v>
      </c>
      <c r="F1314" s="275">
        <f t="shared" si="517"/>
        <v>47103.5</v>
      </c>
      <c r="G1314" s="120">
        <f t="shared" si="518"/>
        <v>24347</v>
      </c>
      <c r="H1314" s="245">
        <f t="shared" si="519"/>
        <v>1</v>
      </c>
      <c r="I1314" s="121">
        <f t="shared" si="520"/>
        <v>1.04</v>
      </c>
      <c r="J1314" s="121">
        <f t="shared" si="521"/>
        <v>1.04</v>
      </c>
      <c r="K1314" s="120">
        <f t="shared" si="522"/>
        <v>0</v>
      </c>
      <c r="L1314" s="120">
        <f t="shared" si="523"/>
        <v>0</v>
      </c>
      <c r="M1314" s="246">
        <f t="shared" si="524"/>
        <v>0</v>
      </c>
      <c r="N1314" s="121">
        <f t="shared" si="525"/>
        <v>1.04</v>
      </c>
      <c r="O1314" s="246">
        <f t="shared" si="526"/>
        <v>0.995</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1651</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24">
        <f>SUMPRODUCT($H$1267:$H$1314,$Q$1267:$Q$1314,$O$1267:$O$1314)/SUMPRODUCT($H$1267:$H$1314,$Q$1267:$Q$1314)</f>
        <v>0.99099790299051793</v>
      </c>
      <c r="G1315" s="224">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24">
        <f>IF(N(INDEX(lr_mind,24))=0,1,INDEX(lr_mind,24))</f>
        <v>1</v>
      </c>
      <c r="G1318" s="224">
        <f>IF(N(INDEX(lr_m0,24))=0,1,INDEX(lr_m0,24))</f>
        <v>0.99</v>
      </c>
      <c r="H1318" s="74">
        <f>IF(N(INDEX(lr_m0asof,24))=0,DATE(nr_PlanYear-1,10,1),INDEX(lr_m0asof,24))</f>
        <v>46295</v>
      </c>
      <c r="I1318" s="224">
        <f>IF(N(INDEX(lr_m1,24))=0,1,INDEX(lr_m1,24))</f>
        <v>1.01</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34">EOMONTH($B1321,0)</f>
        <v>45688</v>
      </c>
      <c r="D1321" s="120">
        <f t="shared" ref="D1321:D1368" si="535">$C1321-$B1321+1</f>
        <v>31</v>
      </c>
      <c r="E1321" s="120">
        <f t="shared" ref="E1321:E1368" si="536">MONTH($B1321)</f>
        <v>1</v>
      </c>
      <c r="F1321" s="275">
        <f t="shared" ref="F1321:F1368" si="537">($B1321+$C1321+1)/2</f>
        <v>45673.5</v>
      </c>
      <c r="G1321" s="120">
        <f t="shared" ref="G1321:G1368" si="538">YEAR($B1321)*12+MONTH($B1321)-1</f>
        <v>24300</v>
      </c>
      <c r="H1321" s="245">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46">
        <f t="shared" ref="M1321:M1368" si="544">IF($K1321=0,0,MIN(1,$L1321/$D1321))</f>
        <v>0</v>
      </c>
      <c r="N1321" s="121">
        <f t="shared" ref="N1321:N1368" si="545">IF($K1321=0,$J1321,(1-$M1321)*$I1321+$M1321*$J1321)</f>
        <v>1</v>
      </c>
      <c r="O1321" s="246">
        <f t="shared" ref="O1321:O1368" si="546">IF($F1321&lt;$B$1319,$E$1319+$I$1319*($F1321-$A$1319),IF($F1321&lt;$C$1319,$F$1319+$J$1319*($F1321-$B$1319),$G$1319+$K$1319*($F1321-$C$1319)))</f>
        <v>0.96275711159737409</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87">
        <v>2</v>
      </c>
      <c r="B1322" s="242">
        <f t="shared" ref="B1322:B1368" si="553">EDATE($B1321,1)</f>
        <v>45689</v>
      </c>
      <c r="C1322" s="243">
        <f t="shared" si="534"/>
        <v>45716</v>
      </c>
      <c r="D1322" s="120">
        <f t="shared" si="535"/>
        <v>28</v>
      </c>
      <c r="E1322" s="120">
        <f t="shared" si="536"/>
        <v>2</v>
      </c>
      <c r="F1322" s="275">
        <f t="shared" si="537"/>
        <v>45703</v>
      </c>
      <c r="G1322" s="120">
        <f t="shared" si="538"/>
        <v>24301</v>
      </c>
      <c r="H1322" s="245">
        <f t="shared" si="539"/>
        <v>1</v>
      </c>
      <c r="I1322" s="121">
        <f t="shared" si="540"/>
        <v>1</v>
      </c>
      <c r="J1322" s="121">
        <f t="shared" si="541"/>
        <v>1</v>
      </c>
      <c r="K1322" s="120">
        <f t="shared" si="542"/>
        <v>0</v>
      </c>
      <c r="L1322" s="120">
        <f t="shared" si="543"/>
        <v>0</v>
      </c>
      <c r="M1322" s="246">
        <f t="shared" si="544"/>
        <v>0</v>
      </c>
      <c r="N1322" s="121">
        <f t="shared" si="545"/>
        <v>1</v>
      </c>
      <c r="O1322" s="246">
        <f t="shared" si="546"/>
        <v>0.9640481400437636</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87">
        <v>3</v>
      </c>
      <c r="B1323" s="242">
        <f t="shared" si="553"/>
        <v>45717</v>
      </c>
      <c r="C1323" s="243">
        <f t="shared" si="534"/>
        <v>45747</v>
      </c>
      <c r="D1323" s="120">
        <f t="shared" si="535"/>
        <v>31</v>
      </c>
      <c r="E1323" s="120">
        <f t="shared" si="536"/>
        <v>3</v>
      </c>
      <c r="F1323" s="275">
        <f t="shared" si="537"/>
        <v>45732.5</v>
      </c>
      <c r="G1323" s="120">
        <f t="shared" si="538"/>
        <v>24302</v>
      </c>
      <c r="H1323" s="245">
        <f t="shared" si="539"/>
        <v>1</v>
      </c>
      <c r="I1323" s="121">
        <f t="shared" si="540"/>
        <v>1</v>
      </c>
      <c r="J1323" s="121">
        <f t="shared" si="541"/>
        <v>1</v>
      </c>
      <c r="K1323" s="120">
        <f t="shared" si="542"/>
        <v>0</v>
      </c>
      <c r="L1323" s="120">
        <f t="shared" si="543"/>
        <v>0</v>
      </c>
      <c r="M1323" s="246">
        <f t="shared" si="544"/>
        <v>0</v>
      </c>
      <c r="N1323" s="121">
        <f t="shared" si="545"/>
        <v>1</v>
      </c>
      <c r="O1323" s="246">
        <f t="shared" si="546"/>
        <v>0.96533916849015311</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87">
        <v>4</v>
      </c>
      <c r="B1324" s="242">
        <f t="shared" si="553"/>
        <v>45748</v>
      </c>
      <c r="C1324" s="243">
        <f t="shared" si="534"/>
        <v>45777</v>
      </c>
      <c r="D1324" s="120">
        <f t="shared" si="535"/>
        <v>30</v>
      </c>
      <c r="E1324" s="120">
        <f t="shared" si="536"/>
        <v>4</v>
      </c>
      <c r="F1324" s="275">
        <f t="shared" si="537"/>
        <v>45763</v>
      </c>
      <c r="G1324" s="120">
        <f t="shared" si="538"/>
        <v>24303</v>
      </c>
      <c r="H1324" s="245">
        <f t="shared" si="539"/>
        <v>1</v>
      </c>
      <c r="I1324" s="121">
        <f t="shared" si="540"/>
        <v>1</v>
      </c>
      <c r="J1324" s="121">
        <f t="shared" si="541"/>
        <v>1</v>
      </c>
      <c r="K1324" s="120">
        <f t="shared" si="542"/>
        <v>0</v>
      </c>
      <c r="L1324" s="120">
        <f t="shared" si="543"/>
        <v>0</v>
      </c>
      <c r="M1324" s="246">
        <f t="shared" si="544"/>
        <v>0</v>
      </c>
      <c r="N1324" s="121">
        <f t="shared" si="545"/>
        <v>1</v>
      </c>
      <c r="O1324" s="246">
        <f t="shared" si="546"/>
        <v>0.9666739606126914</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87">
        <v>5</v>
      </c>
      <c r="B1325" s="242">
        <f t="shared" si="553"/>
        <v>45778</v>
      </c>
      <c r="C1325" s="243">
        <f t="shared" si="534"/>
        <v>45808</v>
      </c>
      <c r="D1325" s="120">
        <f t="shared" si="535"/>
        <v>31</v>
      </c>
      <c r="E1325" s="120">
        <f t="shared" si="536"/>
        <v>5</v>
      </c>
      <c r="F1325" s="275">
        <f t="shared" si="537"/>
        <v>45793.5</v>
      </c>
      <c r="G1325" s="120">
        <f t="shared" si="538"/>
        <v>24304</v>
      </c>
      <c r="H1325" s="245">
        <f t="shared" si="539"/>
        <v>1</v>
      </c>
      <c r="I1325" s="121">
        <f t="shared" si="540"/>
        <v>1</v>
      </c>
      <c r="J1325" s="121">
        <f t="shared" si="541"/>
        <v>1</v>
      </c>
      <c r="K1325" s="120">
        <f t="shared" si="542"/>
        <v>0</v>
      </c>
      <c r="L1325" s="120">
        <f t="shared" si="543"/>
        <v>0</v>
      </c>
      <c r="M1325" s="246">
        <f t="shared" si="544"/>
        <v>0</v>
      </c>
      <c r="N1325" s="121">
        <f t="shared" si="545"/>
        <v>1</v>
      </c>
      <c r="O1325" s="246">
        <f t="shared" si="546"/>
        <v>0.96800875273522968</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87">
        <v>6</v>
      </c>
      <c r="B1326" s="242">
        <f t="shared" si="553"/>
        <v>45809</v>
      </c>
      <c r="C1326" s="243">
        <f t="shared" si="534"/>
        <v>45838</v>
      </c>
      <c r="D1326" s="120">
        <f t="shared" si="535"/>
        <v>30</v>
      </c>
      <c r="E1326" s="120">
        <f t="shared" si="536"/>
        <v>6</v>
      </c>
      <c r="F1326" s="275">
        <f t="shared" si="537"/>
        <v>45824</v>
      </c>
      <c r="G1326" s="120">
        <f t="shared" si="538"/>
        <v>24305</v>
      </c>
      <c r="H1326" s="245">
        <f t="shared" si="539"/>
        <v>1</v>
      </c>
      <c r="I1326" s="121">
        <f t="shared" si="540"/>
        <v>1</v>
      </c>
      <c r="J1326" s="121">
        <f t="shared" si="541"/>
        <v>1</v>
      </c>
      <c r="K1326" s="120">
        <f t="shared" si="542"/>
        <v>0</v>
      </c>
      <c r="L1326" s="120">
        <f t="shared" si="543"/>
        <v>0</v>
      </c>
      <c r="M1326" s="246">
        <f t="shared" si="544"/>
        <v>0</v>
      </c>
      <c r="N1326" s="121">
        <f t="shared" si="545"/>
        <v>1</v>
      </c>
      <c r="O1326" s="246">
        <f t="shared" si="546"/>
        <v>0.96934354485776797</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87">
        <v>7</v>
      </c>
      <c r="B1327" s="242">
        <f t="shared" si="553"/>
        <v>45839</v>
      </c>
      <c r="C1327" s="243">
        <f t="shared" si="534"/>
        <v>45869</v>
      </c>
      <c r="D1327" s="120">
        <f t="shared" si="535"/>
        <v>31</v>
      </c>
      <c r="E1327" s="120">
        <f t="shared" si="536"/>
        <v>7</v>
      </c>
      <c r="F1327" s="275">
        <f t="shared" si="537"/>
        <v>45854.5</v>
      </c>
      <c r="G1327" s="120">
        <f t="shared" si="538"/>
        <v>24306</v>
      </c>
      <c r="H1327" s="245">
        <f t="shared" si="539"/>
        <v>1</v>
      </c>
      <c r="I1327" s="121">
        <f t="shared" si="540"/>
        <v>1</v>
      </c>
      <c r="J1327" s="121">
        <f t="shared" si="541"/>
        <v>1</v>
      </c>
      <c r="K1327" s="120">
        <f t="shared" si="542"/>
        <v>0</v>
      </c>
      <c r="L1327" s="120">
        <f t="shared" si="543"/>
        <v>0</v>
      </c>
      <c r="M1327" s="246">
        <f t="shared" si="544"/>
        <v>0</v>
      </c>
      <c r="N1327" s="121">
        <f t="shared" si="545"/>
        <v>1</v>
      </c>
      <c r="O1327" s="246">
        <f t="shared" si="546"/>
        <v>0.97067833698030626</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87">
        <v>8</v>
      </c>
      <c r="B1328" s="242">
        <f t="shared" si="553"/>
        <v>45870</v>
      </c>
      <c r="C1328" s="243">
        <f t="shared" si="534"/>
        <v>45900</v>
      </c>
      <c r="D1328" s="120">
        <f t="shared" si="535"/>
        <v>31</v>
      </c>
      <c r="E1328" s="120">
        <f t="shared" si="536"/>
        <v>8</v>
      </c>
      <c r="F1328" s="275">
        <f t="shared" si="537"/>
        <v>45885.5</v>
      </c>
      <c r="G1328" s="120">
        <f t="shared" si="538"/>
        <v>24307</v>
      </c>
      <c r="H1328" s="245">
        <f t="shared" si="539"/>
        <v>1</v>
      </c>
      <c r="I1328" s="121">
        <f t="shared" si="540"/>
        <v>1</v>
      </c>
      <c r="J1328" s="121">
        <f t="shared" si="541"/>
        <v>1</v>
      </c>
      <c r="K1328" s="120">
        <f t="shared" si="542"/>
        <v>0</v>
      </c>
      <c r="L1328" s="120">
        <f t="shared" si="543"/>
        <v>0</v>
      </c>
      <c r="M1328" s="246">
        <f t="shared" si="544"/>
        <v>0</v>
      </c>
      <c r="N1328" s="121">
        <f t="shared" si="545"/>
        <v>1</v>
      </c>
      <c r="O1328" s="246">
        <f t="shared" si="546"/>
        <v>0.97203501094091893</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87">
        <v>9</v>
      </c>
      <c r="B1329" s="242">
        <f t="shared" si="553"/>
        <v>45901</v>
      </c>
      <c r="C1329" s="243">
        <f t="shared" si="534"/>
        <v>45930</v>
      </c>
      <c r="D1329" s="120">
        <f t="shared" si="535"/>
        <v>30</v>
      </c>
      <c r="E1329" s="120">
        <f t="shared" si="536"/>
        <v>9</v>
      </c>
      <c r="F1329" s="275">
        <f t="shared" si="537"/>
        <v>45916</v>
      </c>
      <c r="G1329" s="120">
        <f t="shared" si="538"/>
        <v>24308</v>
      </c>
      <c r="H1329" s="245">
        <f t="shared" si="539"/>
        <v>1</v>
      </c>
      <c r="I1329" s="121">
        <f t="shared" si="540"/>
        <v>1</v>
      </c>
      <c r="J1329" s="121">
        <f t="shared" si="541"/>
        <v>1</v>
      </c>
      <c r="K1329" s="120">
        <f t="shared" si="542"/>
        <v>0</v>
      </c>
      <c r="L1329" s="120">
        <f t="shared" si="543"/>
        <v>0</v>
      </c>
      <c r="M1329" s="246">
        <f t="shared" si="544"/>
        <v>0</v>
      </c>
      <c r="N1329" s="121">
        <f t="shared" si="545"/>
        <v>1</v>
      </c>
      <c r="O1329" s="246">
        <f t="shared" si="546"/>
        <v>0.97336980306345722</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87">
        <v>10</v>
      </c>
      <c r="B1330" s="242">
        <f t="shared" si="553"/>
        <v>45931</v>
      </c>
      <c r="C1330" s="243">
        <f t="shared" si="534"/>
        <v>45961</v>
      </c>
      <c r="D1330" s="120">
        <f t="shared" si="535"/>
        <v>31</v>
      </c>
      <c r="E1330" s="120">
        <f t="shared" si="536"/>
        <v>10</v>
      </c>
      <c r="F1330" s="275">
        <f t="shared" si="537"/>
        <v>45946.5</v>
      </c>
      <c r="G1330" s="120">
        <f t="shared" si="538"/>
        <v>24309</v>
      </c>
      <c r="H1330" s="245">
        <f t="shared" si="539"/>
        <v>1</v>
      </c>
      <c r="I1330" s="121">
        <f t="shared" si="540"/>
        <v>1</v>
      </c>
      <c r="J1330" s="121">
        <f t="shared" si="541"/>
        <v>1</v>
      </c>
      <c r="K1330" s="120">
        <f t="shared" si="542"/>
        <v>0</v>
      </c>
      <c r="L1330" s="120">
        <f t="shared" si="543"/>
        <v>0</v>
      </c>
      <c r="M1330" s="246">
        <f t="shared" si="544"/>
        <v>0</v>
      </c>
      <c r="N1330" s="121">
        <f t="shared" si="545"/>
        <v>1</v>
      </c>
      <c r="O1330" s="246">
        <f t="shared" si="546"/>
        <v>0.97470459518599561</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87">
        <v>11</v>
      </c>
      <c r="B1331" s="242">
        <f t="shared" si="553"/>
        <v>45962</v>
      </c>
      <c r="C1331" s="243">
        <f t="shared" si="534"/>
        <v>45991</v>
      </c>
      <c r="D1331" s="120">
        <f t="shared" si="535"/>
        <v>30</v>
      </c>
      <c r="E1331" s="120">
        <f t="shared" si="536"/>
        <v>11</v>
      </c>
      <c r="F1331" s="275">
        <f t="shared" si="537"/>
        <v>45977</v>
      </c>
      <c r="G1331" s="120">
        <f t="shared" si="538"/>
        <v>24310</v>
      </c>
      <c r="H1331" s="245">
        <f t="shared" si="539"/>
        <v>1</v>
      </c>
      <c r="I1331" s="121">
        <f t="shared" si="540"/>
        <v>1</v>
      </c>
      <c r="J1331" s="121">
        <f t="shared" si="541"/>
        <v>1</v>
      </c>
      <c r="K1331" s="120">
        <f t="shared" si="542"/>
        <v>0</v>
      </c>
      <c r="L1331" s="120">
        <f t="shared" si="543"/>
        <v>0</v>
      </c>
      <c r="M1331" s="246">
        <f t="shared" si="544"/>
        <v>0</v>
      </c>
      <c r="N1331" s="121">
        <f t="shared" si="545"/>
        <v>1</v>
      </c>
      <c r="O1331" s="246">
        <f t="shared" si="546"/>
        <v>0.9760393873085339</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87">
        <v>12</v>
      </c>
      <c r="B1332" s="242">
        <f t="shared" si="553"/>
        <v>45992</v>
      </c>
      <c r="C1332" s="243">
        <f t="shared" si="534"/>
        <v>46022</v>
      </c>
      <c r="D1332" s="120">
        <f t="shared" si="535"/>
        <v>31</v>
      </c>
      <c r="E1332" s="120">
        <f t="shared" si="536"/>
        <v>12</v>
      </c>
      <c r="F1332" s="275">
        <f t="shared" si="537"/>
        <v>46007.5</v>
      </c>
      <c r="G1332" s="120">
        <f t="shared" si="538"/>
        <v>24311</v>
      </c>
      <c r="H1332" s="245">
        <f t="shared" si="539"/>
        <v>1</v>
      </c>
      <c r="I1332" s="121">
        <f t="shared" si="540"/>
        <v>1</v>
      </c>
      <c r="J1332" s="121">
        <f t="shared" si="541"/>
        <v>1</v>
      </c>
      <c r="K1332" s="120">
        <f t="shared" si="542"/>
        <v>0</v>
      </c>
      <c r="L1332" s="120">
        <f t="shared" si="543"/>
        <v>0</v>
      </c>
      <c r="M1332" s="246">
        <f t="shared" si="544"/>
        <v>0</v>
      </c>
      <c r="N1332" s="121">
        <f t="shared" si="545"/>
        <v>1</v>
      </c>
      <c r="O1332" s="246">
        <f t="shared" si="546"/>
        <v>0.97737417943107219</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87">
        <v>13</v>
      </c>
      <c r="B1333" s="242">
        <f t="shared" si="553"/>
        <v>46023</v>
      </c>
      <c r="C1333" s="243">
        <f t="shared" si="534"/>
        <v>46053</v>
      </c>
      <c r="D1333" s="120">
        <f t="shared" si="535"/>
        <v>31</v>
      </c>
      <c r="E1333" s="120">
        <f t="shared" si="536"/>
        <v>1</v>
      </c>
      <c r="F1333" s="275">
        <f t="shared" si="537"/>
        <v>46038.5</v>
      </c>
      <c r="G1333" s="120">
        <f t="shared" si="538"/>
        <v>24312</v>
      </c>
      <c r="H1333" s="245">
        <f t="shared" si="539"/>
        <v>1</v>
      </c>
      <c r="I1333" s="121">
        <f t="shared" si="540"/>
        <v>1</v>
      </c>
      <c r="J1333" s="121">
        <f t="shared" si="541"/>
        <v>1</v>
      </c>
      <c r="K1333" s="120">
        <f t="shared" si="542"/>
        <v>0</v>
      </c>
      <c r="L1333" s="120">
        <f t="shared" si="543"/>
        <v>0</v>
      </c>
      <c r="M1333" s="246">
        <f t="shared" si="544"/>
        <v>0</v>
      </c>
      <c r="N1333" s="121">
        <f t="shared" si="545"/>
        <v>1</v>
      </c>
      <c r="O1333" s="246">
        <f t="shared" si="546"/>
        <v>0.97873085339168486</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87">
        <v>14</v>
      </c>
      <c r="B1334" s="242">
        <f t="shared" si="553"/>
        <v>46054</v>
      </c>
      <c r="C1334" s="243">
        <f t="shared" si="534"/>
        <v>46081</v>
      </c>
      <c r="D1334" s="120">
        <f t="shared" si="535"/>
        <v>28</v>
      </c>
      <c r="E1334" s="120">
        <f t="shared" si="536"/>
        <v>2</v>
      </c>
      <c r="F1334" s="275">
        <f t="shared" si="537"/>
        <v>46068</v>
      </c>
      <c r="G1334" s="120">
        <f t="shared" si="538"/>
        <v>24313</v>
      </c>
      <c r="H1334" s="245">
        <f t="shared" si="539"/>
        <v>1</v>
      </c>
      <c r="I1334" s="121">
        <f t="shared" si="540"/>
        <v>1</v>
      </c>
      <c r="J1334" s="121">
        <f t="shared" si="541"/>
        <v>1</v>
      </c>
      <c r="K1334" s="120">
        <f t="shared" si="542"/>
        <v>0</v>
      </c>
      <c r="L1334" s="120">
        <f t="shared" si="543"/>
        <v>0</v>
      </c>
      <c r="M1334" s="246">
        <f t="shared" si="544"/>
        <v>0</v>
      </c>
      <c r="N1334" s="121">
        <f t="shared" si="545"/>
        <v>1</v>
      </c>
      <c r="O1334" s="246">
        <f t="shared" si="546"/>
        <v>0.98002188183807437</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87">
        <v>15</v>
      </c>
      <c r="B1335" s="242">
        <f t="shared" si="553"/>
        <v>46082</v>
      </c>
      <c r="C1335" s="243">
        <f t="shared" si="534"/>
        <v>46112</v>
      </c>
      <c r="D1335" s="120">
        <f t="shared" si="535"/>
        <v>31</v>
      </c>
      <c r="E1335" s="120">
        <f t="shared" si="536"/>
        <v>3</v>
      </c>
      <c r="F1335" s="275">
        <f t="shared" si="537"/>
        <v>46097.5</v>
      </c>
      <c r="G1335" s="120">
        <f t="shared" si="538"/>
        <v>24314</v>
      </c>
      <c r="H1335" s="245">
        <f t="shared" si="539"/>
        <v>1</v>
      </c>
      <c r="I1335" s="121">
        <f t="shared" si="540"/>
        <v>1</v>
      </c>
      <c r="J1335" s="121">
        <f t="shared" si="541"/>
        <v>1</v>
      </c>
      <c r="K1335" s="120">
        <f t="shared" si="542"/>
        <v>0</v>
      </c>
      <c r="L1335" s="120">
        <f t="shared" si="543"/>
        <v>0</v>
      </c>
      <c r="M1335" s="246">
        <f t="shared" si="544"/>
        <v>0</v>
      </c>
      <c r="N1335" s="121">
        <f t="shared" si="545"/>
        <v>1</v>
      </c>
      <c r="O1335" s="246">
        <f t="shared" si="546"/>
        <v>0.98131291028446388</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87">
        <v>16</v>
      </c>
      <c r="B1336" s="242">
        <f t="shared" si="553"/>
        <v>46113</v>
      </c>
      <c r="C1336" s="243">
        <f t="shared" si="534"/>
        <v>46142</v>
      </c>
      <c r="D1336" s="120">
        <f t="shared" si="535"/>
        <v>30</v>
      </c>
      <c r="E1336" s="120">
        <f t="shared" si="536"/>
        <v>4</v>
      </c>
      <c r="F1336" s="275">
        <f t="shared" si="537"/>
        <v>46128</v>
      </c>
      <c r="G1336" s="120">
        <f t="shared" si="538"/>
        <v>24315</v>
      </c>
      <c r="H1336" s="245">
        <f t="shared" si="539"/>
        <v>1</v>
      </c>
      <c r="I1336" s="121">
        <f t="shared" si="540"/>
        <v>1</v>
      </c>
      <c r="J1336" s="121">
        <f t="shared" si="541"/>
        <v>1.05</v>
      </c>
      <c r="K1336" s="120">
        <f t="shared" si="542"/>
        <v>1</v>
      </c>
      <c r="L1336" s="120">
        <f t="shared" si="543"/>
        <v>30</v>
      </c>
      <c r="M1336" s="246">
        <f t="shared" si="544"/>
        <v>1</v>
      </c>
      <c r="N1336" s="121">
        <f t="shared" si="545"/>
        <v>1.05</v>
      </c>
      <c r="O1336" s="246">
        <f t="shared" si="546"/>
        <v>0.98264770240700217</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87">
        <v>17</v>
      </c>
      <c r="B1337" s="242">
        <f t="shared" si="553"/>
        <v>46143</v>
      </c>
      <c r="C1337" s="243">
        <f t="shared" si="534"/>
        <v>46173</v>
      </c>
      <c r="D1337" s="120">
        <f t="shared" si="535"/>
        <v>31</v>
      </c>
      <c r="E1337" s="120">
        <f t="shared" si="536"/>
        <v>5</v>
      </c>
      <c r="F1337" s="275">
        <f t="shared" si="537"/>
        <v>46158.5</v>
      </c>
      <c r="G1337" s="120">
        <f t="shared" si="538"/>
        <v>24316</v>
      </c>
      <c r="H1337" s="245">
        <f t="shared" si="539"/>
        <v>1</v>
      </c>
      <c r="I1337" s="121">
        <f t="shared" si="540"/>
        <v>1.05</v>
      </c>
      <c r="J1337" s="121">
        <f t="shared" si="541"/>
        <v>1.05</v>
      </c>
      <c r="K1337" s="120">
        <f t="shared" si="542"/>
        <v>0</v>
      </c>
      <c r="L1337" s="120">
        <f t="shared" si="543"/>
        <v>0</v>
      </c>
      <c r="M1337" s="246">
        <f t="shared" si="544"/>
        <v>0</v>
      </c>
      <c r="N1337" s="121">
        <f t="shared" si="545"/>
        <v>1.05</v>
      </c>
      <c r="O1337" s="246">
        <f t="shared" si="546"/>
        <v>0.98398249452954045</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87">
        <v>18</v>
      </c>
      <c r="B1338" s="242">
        <f t="shared" si="553"/>
        <v>46174</v>
      </c>
      <c r="C1338" s="243">
        <f t="shared" si="534"/>
        <v>46203</v>
      </c>
      <c r="D1338" s="120">
        <f t="shared" si="535"/>
        <v>30</v>
      </c>
      <c r="E1338" s="120">
        <f t="shared" si="536"/>
        <v>6</v>
      </c>
      <c r="F1338" s="275">
        <f t="shared" si="537"/>
        <v>46189</v>
      </c>
      <c r="G1338" s="120">
        <f t="shared" si="538"/>
        <v>24317</v>
      </c>
      <c r="H1338" s="245">
        <f t="shared" si="539"/>
        <v>1</v>
      </c>
      <c r="I1338" s="121">
        <f t="shared" si="540"/>
        <v>1.05</v>
      </c>
      <c r="J1338" s="121">
        <f t="shared" si="541"/>
        <v>1.05</v>
      </c>
      <c r="K1338" s="120">
        <f t="shared" si="542"/>
        <v>0</v>
      </c>
      <c r="L1338" s="120">
        <f t="shared" si="543"/>
        <v>0</v>
      </c>
      <c r="M1338" s="246">
        <f t="shared" si="544"/>
        <v>0</v>
      </c>
      <c r="N1338" s="121">
        <f t="shared" si="545"/>
        <v>1.05</v>
      </c>
      <c r="O1338" s="246">
        <f t="shared" si="546"/>
        <v>0.98531728665207874</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87">
        <v>19</v>
      </c>
      <c r="B1339" s="242">
        <f t="shared" si="553"/>
        <v>46204</v>
      </c>
      <c r="C1339" s="243">
        <f t="shared" si="534"/>
        <v>46234</v>
      </c>
      <c r="D1339" s="120">
        <f t="shared" si="535"/>
        <v>31</v>
      </c>
      <c r="E1339" s="120">
        <f t="shared" si="536"/>
        <v>7</v>
      </c>
      <c r="F1339" s="275">
        <f t="shared" si="537"/>
        <v>46219.5</v>
      </c>
      <c r="G1339" s="120">
        <f t="shared" si="538"/>
        <v>24318</v>
      </c>
      <c r="H1339" s="245">
        <f t="shared" si="539"/>
        <v>1</v>
      </c>
      <c r="I1339" s="121">
        <f t="shared" si="540"/>
        <v>1.05</v>
      </c>
      <c r="J1339" s="121">
        <f t="shared" si="541"/>
        <v>1.05</v>
      </c>
      <c r="K1339" s="120">
        <f t="shared" si="542"/>
        <v>0</v>
      </c>
      <c r="L1339" s="120">
        <f t="shared" si="543"/>
        <v>0</v>
      </c>
      <c r="M1339" s="246">
        <f t="shared" si="544"/>
        <v>0</v>
      </c>
      <c r="N1339" s="121">
        <f t="shared" si="545"/>
        <v>1.05</v>
      </c>
      <c r="O1339" s="246">
        <f t="shared" si="546"/>
        <v>0.98665207877461703</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87">
        <v>20</v>
      </c>
      <c r="B1340" s="242">
        <f t="shared" si="553"/>
        <v>46235</v>
      </c>
      <c r="C1340" s="243">
        <f t="shared" si="534"/>
        <v>46265</v>
      </c>
      <c r="D1340" s="120">
        <f t="shared" si="535"/>
        <v>31</v>
      </c>
      <c r="E1340" s="120">
        <f t="shared" si="536"/>
        <v>8</v>
      </c>
      <c r="F1340" s="275">
        <f t="shared" si="537"/>
        <v>46250.5</v>
      </c>
      <c r="G1340" s="120">
        <f t="shared" si="538"/>
        <v>24319</v>
      </c>
      <c r="H1340" s="245">
        <f t="shared" si="539"/>
        <v>1</v>
      </c>
      <c r="I1340" s="121">
        <f t="shared" si="540"/>
        <v>1.05</v>
      </c>
      <c r="J1340" s="121">
        <f t="shared" si="541"/>
        <v>1.05</v>
      </c>
      <c r="K1340" s="120">
        <f t="shared" si="542"/>
        <v>0</v>
      </c>
      <c r="L1340" s="120">
        <f t="shared" si="543"/>
        <v>0</v>
      </c>
      <c r="M1340" s="246">
        <f t="shared" si="544"/>
        <v>0</v>
      </c>
      <c r="N1340" s="121">
        <f t="shared" si="545"/>
        <v>1.05</v>
      </c>
      <c r="O1340" s="246">
        <f t="shared" si="546"/>
        <v>0.9880087527352297</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87">
        <v>21</v>
      </c>
      <c r="B1341" s="242">
        <f t="shared" si="553"/>
        <v>46266</v>
      </c>
      <c r="C1341" s="243">
        <f t="shared" si="534"/>
        <v>46295</v>
      </c>
      <c r="D1341" s="120">
        <f t="shared" si="535"/>
        <v>30</v>
      </c>
      <c r="E1341" s="120">
        <f t="shared" si="536"/>
        <v>9</v>
      </c>
      <c r="F1341" s="275">
        <f t="shared" si="537"/>
        <v>46281</v>
      </c>
      <c r="G1341" s="120">
        <f t="shared" si="538"/>
        <v>24320</v>
      </c>
      <c r="H1341" s="245">
        <f t="shared" si="539"/>
        <v>1</v>
      </c>
      <c r="I1341" s="121">
        <f t="shared" si="540"/>
        <v>1.05</v>
      </c>
      <c r="J1341" s="121">
        <f t="shared" si="541"/>
        <v>1.05</v>
      </c>
      <c r="K1341" s="120">
        <f t="shared" si="542"/>
        <v>0</v>
      </c>
      <c r="L1341" s="120">
        <f t="shared" si="543"/>
        <v>0</v>
      </c>
      <c r="M1341" s="246">
        <f t="shared" si="544"/>
        <v>0</v>
      </c>
      <c r="N1341" s="121">
        <f t="shared" si="545"/>
        <v>1.05</v>
      </c>
      <c r="O1341" s="246">
        <f t="shared" si="546"/>
        <v>0.98934354485776799</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87">
        <v>22</v>
      </c>
      <c r="B1342" s="242">
        <f t="shared" si="553"/>
        <v>46296</v>
      </c>
      <c r="C1342" s="243">
        <f t="shared" si="534"/>
        <v>46326</v>
      </c>
      <c r="D1342" s="120">
        <f t="shared" si="535"/>
        <v>31</v>
      </c>
      <c r="E1342" s="120">
        <f t="shared" si="536"/>
        <v>10</v>
      </c>
      <c r="F1342" s="275">
        <f t="shared" si="537"/>
        <v>46311.5</v>
      </c>
      <c r="G1342" s="120">
        <f t="shared" si="538"/>
        <v>24321</v>
      </c>
      <c r="H1342" s="245">
        <f t="shared" si="539"/>
        <v>1</v>
      </c>
      <c r="I1342" s="121">
        <f t="shared" si="540"/>
        <v>1.05</v>
      </c>
      <c r="J1342" s="121">
        <f t="shared" si="541"/>
        <v>1.05</v>
      </c>
      <c r="K1342" s="120">
        <f t="shared" si="542"/>
        <v>0</v>
      </c>
      <c r="L1342" s="120">
        <f t="shared" si="543"/>
        <v>0</v>
      </c>
      <c r="M1342" s="246">
        <f t="shared" si="544"/>
        <v>0</v>
      </c>
      <c r="N1342" s="121">
        <f t="shared" si="545"/>
        <v>1.05</v>
      </c>
      <c r="O1342" s="246">
        <f t="shared" si="546"/>
        <v>0.99067833698030638</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87">
        <v>23</v>
      </c>
      <c r="B1343" s="242">
        <f t="shared" si="553"/>
        <v>46327</v>
      </c>
      <c r="C1343" s="243">
        <f t="shared" si="534"/>
        <v>46356</v>
      </c>
      <c r="D1343" s="120">
        <f t="shared" si="535"/>
        <v>30</v>
      </c>
      <c r="E1343" s="120">
        <f t="shared" si="536"/>
        <v>11</v>
      </c>
      <c r="F1343" s="275">
        <f t="shared" si="537"/>
        <v>46342</v>
      </c>
      <c r="G1343" s="120">
        <f t="shared" si="538"/>
        <v>24322</v>
      </c>
      <c r="H1343" s="245">
        <f t="shared" si="539"/>
        <v>1</v>
      </c>
      <c r="I1343" s="121">
        <f t="shared" si="540"/>
        <v>1.05</v>
      </c>
      <c r="J1343" s="121">
        <f t="shared" si="541"/>
        <v>1.05</v>
      </c>
      <c r="K1343" s="120">
        <f t="shared" si="542"/>
        <v>0</v>
      </c>
      <c r="L1343" s="120">
        <f t="shared" si="543"/>
        <v>0</v>
      </c>
      <c r="M1343" s="246">
        <f t="shared" si="544"/>
        <v>0</v>
      </c>
      <c r="N1343" s="121">
        <f t="shared" si="545"/>
        <v>1.05</v>
      </c>
      <c r="O1343" s="246">
        <f t="shared" si="546"/>
        <v>0.99201312910284467</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87">
        <v>24</v>
      </c>
      <c r="B1344" s="242">
        <f t="shared" si="553"/>
        <v>46357</v>
      </c>
      <c r="C1344" s="243">
        <f t="shared" si="534"/>
        <v>46387</v>
      </c>
      <c r="D1344" s="120">
        <f t="shared" si="535"/>
        <v>31</v>
      </c>
      <c r="E1344" s="120">
        <f t="shared" si="536"/>
        <v>12</v>
      </c>
      <c r="F1344" s="275">
        <f t="shared" si="537"/>
        <v>46372.5</v>
      </c>
      <c r="G1344" s="120">
        <f t="shared" si="538"/>
        <v>24323</v>
      </c>
      <c r="H1344" s="245">
        <f t="shared" si="539"/>
        <v>1</v>
      </c>
      <c r="I1344" s="121">
        <f t="shared" si="540"/>
        <v>1.05</v>
      </c>
      <c r="J1344" s="121">
        <f t="shared" si="541"/>
        <v>1.05</v>
      </c>
      <c r="K1344" s="120">
        <f t="shared" si="542"/>
        <v>0</v>
      </c>
      <c r="L1344" s="120">
        <f t="shared" si="543"/>
        <v>0</v>
      </c>
      <c r="M1344" s="246">
        <f t="shared" si="544"/>
        <v>0</v>
      </c>
      <c r="N1344" s="121">
        <f t="shared" si="545"/>
        <v>1.05</v>
      </c>
      <c r="O1344" s="246">
        <f t="shared" si="546"/>
        <v>0.99334792122538296</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87">
        <v>25</v>
      </c>
      <c r="B1345" s="242">
        <f t="shared" si="553"/>
        <v>46388</v>
      </c>
      <c r="C1345" s="243">
        <f t="shared" si="534"/>
        <v>46418</v>
      </c>
      <c r="D1345" s="120">
        <f t="shared" si="535"/>
        <v>31</v>
      </c>
      <c r="E1345" s="120">
        <f t="shared" si="536"/>
        <v>1</v>
      </c>
      <c r="F1345" s="275">
        <f t="shared" si="537"/>
        <v>46403.5</v>
      </c>
      <c r="G1345" s="120">
        <f t="shared" si="538"/>
        <v>24324</v>
      </c>
      <c r="H1345" s="245">
        <f t="shared" si="539"/>
        <v>1</v>
      </c>
      <c r="I1345" s="121">
        <f t="shared" si="540"/>
        <v>1.05</v>
      </c>
      <c r="J1345" s="121">
        <f t="shared" si="541"/>
        <v>1.05</v>
      </c>
      <c r="K1345" s="120">
        <f t="shared" si="542"/>
        <v>0</v>
      </c>
      <c r="L1345" s="120">
        <f t="shared" si="543"/>
        <v>0</v>
      </c>
      <c r="M1345" s="246">
        <f t="shared" si="544"/>
        <v>0</v>
      </c>
      <c r="N1345" s="121">
        <f t="shared" si="545"/>
        <v>1.05</v>
      </c>
      <c r="O1345" s="246">
        <f t="shared" si="546"/>
        <v>0.99470459518599563</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87">
        <v>26</v>
      </c>
      <c r="B1346" s="242">
        <f t="shared" si="553"/>
        <v>46419</v>
      </c>
      <c r="C1346" s="243">
        <f t="shared" si="534"/>
        <v>46446</v>
      </c>
      <c r="D1346" s="120">
        <f t="shared" si="535"/>
        <v>28</v>
      </c>
      <c r="E1346" s="120">
        <f t="shared" si="536"/>
        <v>2</v>
      </c>
      <c r="F1346" s="275">
        <f t="shared" si="537"/>
        <v>46433</v>
      </c>
      <c r="G1346" s="120">
        <f t="shared" si="538"/>
        <v>24325</v>
      </c>
      <c r="H1346" s="245">
        <f t="shared" si="539"/>
        <v>1</v>
      </c>
      <c r="I1346" s="121">
        <f t="shared" si="540"/>
        <v>1.05</v>
      </c>
      <c r="J1346" s="121">
        <f t="shared" si="541"/>
        <v>1.05</v>
      </c>
      <c r="K1346" s="120">
        <f t="shared" si="542"/>
        <v>0</v>
      </c>
      <c r="L1346" s="120">
        <f t="shared" si="543"/>
        <v>0</v>
      </c>
      <c r="M1346" s="246">
        <f t="shared" si="544"/>
        <v>0</v>
      </c>
      <c r="N1346" s="121">
        <f t="shared" si="545"/>
        <v>1.05</v>
      </c>
      <c r="O1346" s="246">
        <f t="shared" si="546"/>
        <v>0.99599562363238514</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87">
        <v>27</v>
      </c>
      <c r="B1347" s="242">
        <f t="shared" si="553"/>
        <v>46447</v>
      </c>
      <c r="C1347" s="243">
        <f t="shared" si="534"/>
        <v>46477</v>
      </c>
      <c r="D1347" s="120">
        <f t="shared" si="535"/>
        <v>31</v>
      </c>
      <c r="E1347" s="120">
        <f t="shared" si="536"/>
        <v>3</v>
      </c>
      <c r="F1347" s="275">
        <f t="shared" si="537"/>
        <v>46462.5</v>
      </c>
      <c r="G1347" s="120">
        <f t="shared" si="538"/>
        <v>24326</v>
      </c>
      <c r="H1347" s="245">
        <f t="shared" si="539"/>
        <v>1</v>
      </c>
      <c r="I1347" s="121">
        <f t="shared" si="540"/>
        <v>1.05</v>
      </c>
      <c r="J1347" s="121">
        <f t="shared" si="541"/>
        <v>1.05</v>
      </c>
      <c r="K1347" s="120">
        <f t="shared" si="542"/>
        <v>0</v>
      </c>
      <c r="L1347" s="120">
        <f t="shared" si="543"/>
        <v>0</v>
      </c>
      <c r="M1347" s="246">
        <f t="shared" si="544"/>
        <v>0</v>
      </c>
      <c r="N1347" s="121">
        <f t="shared" si="545"/>
        <v>1.05</v>
      </c>
      <c r="O1347" s="246">
        <f t="shared" si="546"/>
        <v>0.99728665207877465</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87">
        <v>28</v>
      </c>
      <c r="B1348" s="242">
        <f t="shared" si="553"/>
        <v>46478</v>
      </c>
      <c r="C1348" s="243">
        <f t="shared" si="534"/>
        <v>46507</v>
      </c>
      <c r="D1348" s="120">
        <f t="shared" si="535"/>
        <v>30</v>
      </c>
      <c r="E1348" s="120">
        <f t="shared" si="536"/>
        <v>4</v>
      </c>
      <c r="F1348" s="275">
        <f t="shared" si="537"/>
        <v>46493</v>
      </c>
      <c r="G1348" s="120">
        <f t="shared" si="538"/>
        <v>24327</v>
      </c>
      <c r="H1348" s="245">
        <f t="shared" si="539"/>
        <v>1</v>
      </c>
      <c r="I1348" s="121">
        <f t="shared" si="540"/>
        <v>1.05</v>
      </c>
      <c r="J1348" s="121">
        <f t="shared" si="541"/>
        <v>1.05</v>
      </c>
      <c r="K1348" s="120">
        <f t="shared" si="542"/>
        <v>0</v>
      </c>
      <c r="L1348" s="120">
        <f t="shared" si="543"/>
        <v>0</v>
      </c>
      <c r="M1348" s="246">
        <f t="shared" si="544"/>
        <v>0</v>
      </c>
      <c r="N1348" s="121">
        <f t="shared" si="545"/>
        <v>1.05</v>
      </c>
      <c r="O1348" s="246">
        <f t="shared" si="546"/>
        <v>0.99862144420131294</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87">
        <v>29</v>
      </c>
      <c r="B1349" s="242">
        <f t="shared" si="553"/>
        <v>46508</v>
      </c>
      <c r="C1349" s="243">
        <f t="shared" si="534"/>
        <v>46538</v>
      </c>
      <c r="D1349" s="120">
        <f t="shared" si="535"/>
        <v>31</v>
      </c>
      <c r="E1349" s="120">
        <f t="shared" si="536"/>
        <v>5</v>
      </c>
      <c r="F1349" s="275">
        <f t="shared" si="537"/>
        <v>46523.5</v>
      </c>
      <c r="G1349" s="120">
        <f t="shared" si="538"/>
        <v>24328</v>
      </c>
      <c r="H1349" s="245">
        <f t="shared" si="539"/>
        <v>1</v>
      </c>
      <c r="I1349" s="121">
        <f t="shared" si="540"/>
        <v>1.05</v>
      </c>
      <c r="J1349" s="121">
        <f t="shared" si="541"/>
        <v>1.0815000000000001</v>
      </c>
      <c r="K1349" s="120">
        <f t="shared" si="542"/>
        <v>1</v>
      </c>
      <c r="L1349" s="120">
        <f t="shared" si="543"/>
        <v>17</v>
      </c>
      <c r="M1349" s="246">
        <f t="shared" si="544"/>
        <v>0.54838709677419351</v>
      </c>
      <c r="N1349" s="121">
        <f t="shared" si="545"/>
        <v>1.0672741935483872</v>
      </c>
      <c r="O1349" s="246">
        <f t="shared" si="546"/>
        <v>0.99995623632385122</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87">
        <v>30</v>
      </c>
      <c r="B1350" s="242">
        <f t="shared" si="553"/>
        <v>46539</v>
      </c>
      <c r="C1350" s="243">
        <f t="shared" si="534"/>
        <v>46568</v>
      </c>
      <c r="D1350" s="120">
        <f t="shared" si="535"/>
        <v>30</v>
      </c>
      <c r="E1350" s="120">
        <f t="shared" si="536"/>
        <v>6</v>
      </c>
      <c r="F1350" s="275">
        <f t="shared" si="537"/>
        <v>46554</v>
      </c>
      <c r="G1350" s="120">
        <f t="shared" si="538"/>
        <v>24329</v>
      </c>
      <c r="H1350" s="245">
        <f t="shared" si="539"/>
        <v>1</v>
      </c>
      <c r="I1350" s="121">
        <f t="shared" si="540"/>
        <v>1.0815000000000001</v>
      </c>
      <c r="J1350" s="121">
        <f t="shared" si="541"/>
        <v>1.0815000000000001</v>
      </c>
      <c r="K1350" s="120">
        <f t="shared" si="542"/>
        <v>0</v>
      </c>
      <c r="L1350" s="120">
        <f t="shared" si="543"/>
        <v>0</v>
      </c>
      <c r="M1350" s="246">
        <f t="shared" si="544"/>
        <v>0</v>
      </c>
      <c r="N1350" s="121">
        <f t="shared" si="545"/>
        <v>1.0815000000000001</v>
      </c>
      <c r="O1350" s="246">
        <f t="shared" si="546"/>
        <v>1.0012910284463894</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87">
        <v>31</v>
      </c>
      <c r="B1351" s="242">
        <f t="shared" si="553"/>
        <v>46569</v>
      </c>
      <c r="C1351" s="243">
        <f t="shared" si="534"/>
        <v>46599</v>
      </c>
      <c r="D1351" s="120">
        <f t="shared" si="535"/>
        <v>31</v>
      </c>
      <c r="E1351" s="120">
        <f t="shared" si="536"/>
        <v>7</v>
      </c>
      <c r="F1351" s="275">
        <f t="shared" si="537"/>
        <v>46584.5</v>
      </c>
      <c r="G1351" s="120">
        <f t="shared" si="538"/>
        <v>24330</v>
      </c>
      <c r="H1351" s="245">
        <f t="shared" si="539"/>
        <v>1</v>
      </c>
      <c r="I1351" s="121">
        <f t="shared" si="540"/>
        <v>1.0815000000000001</v>
      </c>
      <c r="J1351" s="121">
        <f t="shared" si="541"/>
        <v>1.0815000000000001</v>
      </c>
      <c r="K1351" s="120">
        <f t="shared" si="542"/>
        <v>0</v>
      </c>
      <c r="L1351" s="120">
        <f t="shared" si="543"/>
        <v>0</v>
      </c>
      <c r="M1351" s="246">
        <f t="shared" si="544"/>
        <v>0</v>
      </c>
      <c r="N1351" s="121">
        <f t="shared" si="545"/>
        <v>1.0815000000000001</v>
      </c>
      <c r="O1351" s="246">
        <f t="shared" si="546"/>
        <v>1.0026258205689278</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87">
        <v>32</v>
      </c>
      <c r="B1352" s="242">
        <f t="shared" si="553"/>
        <v>46600</v>
      </c>
      <c r="C1352" s="243">
        <f t="shared" si="534"/>
        <v>46630</v>
      </c>
      <c r="D1352" s="120">
        <f t="shared" si="535"/>
        <v>31</v>
      </c>
      <c r="E1352" s="120">
        <f t="shared" si="536"/>
        <v>8</v>
      </c>
      <c r="F1352" s="275">
        <f t="shared" si="537"/>
        <v>46615.5</v>
      </c>
      <c r="G1352" s="120">
        <f t="shared" si="538"/>
        <v>24331</v>
      </c>
      <c r="H1352" s="245">
        <f t="shared" si="539"/>
        <v>1</v>
      </c>
      <c r="I1352" s="121">
        <f t="shared" si="540"/>
        <v>1.0815000000000001</v>
      </c>
      <c r="J1352" s="121">
        <f t="shared" si="541"/>
        <v>1.0815000000000001</v>
      </c>
      <c r="K1352" s="120">
        <f t="shared" si="542"/>
        <v>0</v>
      </c>
      <c r="L1352" s="120">
        <f t="shared" si="543"/>
        <v>0</v>
      </c>
      <c r="M1352" s="246">
        <f t="shared" si="544"/>
        <v>0</v>
      </c>
      <c r="N1352" s="121">
        <f t="shared" si="545"/>
        <v>1.0815000000000001</v>
      </c>
      <c r="O1352" s="246">
        <f t="shared" si="546"/>
        <v>1.0039824945295406</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87">
        <v>33</v>
      </c>
      <c r="B1353" s="242">
        <f t="shared" si="553"/>
        <v>46631</v>
      </c>
      <c r="C1353" s="243">
        <f t="shared" si="534"/>
        <v>46660</v>
      </c>
      <c r="D1353" s="120">
        <f t="shared" si="535"/>
        <v>30</v>
      </c>
      <c r="E1353" s="120">
        <f t="shared" si="536"/>
        <v>9</v>
      </c>
      <c r="F1353" s="275">
        <f t="shared" si="537"/>
        <v>46646</v>
      </c>
      <c r="G1353" s="120">
        <f t="shared" si="538"/>
        <v>24332</v>
      </c>
      <c r="H1353" s="245">
        <f t="shared" si="539"/>
        <v>1</v>
      </c>
      <c r="I1353" s="121">
        <f t="shared" si="540"/>
        <v>1.0815000000000001</v>
      </c>
      <c r="J1353" s="121">
        <f t="shared" si="541"/>
        <v>1.0815000000000001</v>
      </c>
      <c r="K1353" s="120">
        <f t="shared" si="542"/>
        <v>0</v>
      </c>
      <c r="L1353" s="120">
        <f t="shared" si="543"/>
        <v>0</v>
      </c>
      <c r="M1353" s="246">
        <f t="shared" si="544"/>
        <v>0</v>
      </c>
      <c r="N1353" s="121">
        <f t="shared" si="545"/>
        <v>1.0815000000000001</v>
      </c>
      <c r="O1353" s="246">
        <f t="shared" si="546"/>
        <v>1.0053172866520788</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87">
        <v>34</v>
      </c>
      <c r="B1354" s="242">
        <f t="shared" si="553"/>
        <v>46661</v>
      </c>
      <c r="C1354" s="243">
        <f t="shared" si="534"/>
        <v>46691</v>
      </c>
      <c r="D1354" s="120">
        <f t="shared" si="535"/>
        <v>31</v>
      </c>
      <c r="E1354" s="120">
        <f t="shared" si="536"/>
        <v>10</v>
      </c>
      <c r="F1354" s="275">
        <f t="shared" si="537"/>
        <v>46676.5</v>
      </c>
      <c r="G1354" s="120">
        <f t="shared" si="538"/>
        <v>24333</v>
      </c>
      <c r="H1354" s="245">
        <f t="shared" si="539"/>
        <v>1</v>
      </c>
      <c r="I1354" s="121">
        <f t="shared" si="540"/>
        <v>1.0815000000000001</v>
      </c>
      <c r="J1354" s="121">
        <f t="shared" si="541"/>
        <v>1.0815000000000001</v>
      </c>
      <c r="K1354" s="120">
        <f t="shared" si="542"/>
        <v>0</v>
      </c>
      <c r="L1354" s="120">
        <f t="shared" si="543"/>
        <v>0</v>
      </c>
      <c r="M1354" s="246">
        <f t="shared" si="544"/>
        <v>0</v>
      </c>
      <c r="N1354" s="121">
        <f t="shared" si="545"/>
        <v>1.0815000000000001</v>
      </c>
      <c r="O1354" s="246">
        <f t="shared" si="546"/>
        <v>1.0066520787746172</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87">
        <v>35</v>
      </c>
      <c r="B1355" s="242">
        <f t="shared" si="553"/>
        <v>46692</v>
      </c>
      <c r="C1355" s="243">
        <f t="shared" si="534"/>
        <v>46721</v>
      </c>
      <c r="D1355" s="120">
        <f t="shared" si="535"/>
        <v>30</v>
      </c>
      <c r="E1355" s="120">
        <f t="shared" si="536"/>
        <v>11</v>
      </c>
      <c r="F1355" s="275">
        <f t="shared" si="537"/>
        <v>46707</v>
      </c>
      <c r="G1355" s="120">
        <f t="shared" si="538"/>
        <v>24334</v>
      </c>
      <c r="H1355" s="245">
        <f t="shared" si="539"/>
        <v>1</v>
      </c>
      <c r="I1355" s="121">
        <f t="shared" si="540"/>
        <v>1.0815000000000001</v>
      </c>
      <c r="J1355" s="121">
        <f t="shared" si="541"/>
        <v>1.0815000000000001</v>
      </c>
      <c r="K1355" s="120">
        <f t="shared" si="542"/>
        <v>0</v>
      </c>
      <c r="L1355" s="120">
        <f t="shared" si="543"/>
        <v>0</v>
      </c>
      <c r="M1355" s="246">
        <f t="shared" si="544"/>
        <v>0</v>
      </c>
      <c r="N1355" s="121">
        <f t="shared" si="545"/>
        <v>1.0815000000000001</v>
      </c>
      <c r="O1355" s="246">
        <f t="shared" si="546"/>
        <v>1.0079868708971553</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87">
        <v>36</v>
      </c>
      <c r="B1356" s="242">
        <f t="shared" si="553"/>
        <v>46722</v>
      </c>
      <c r="C1356" s="243">
        <f t="shared" si="534"/>
        <v>46752</v>
      </c>
      <c r="D1356" s="120">
        <f t="shared" si="535"/>
        <v>31</v>
      </c>
      <c r="E1356" s="120">
        <f t="shared" si="536"/>
        <v>12</v>
      </c>
      <c r="F1356" s="275">
        <f t="shared" si="537"/>
        <v>46737.5</v>
      </c>
      <c r="G1356" s="120">
        <f t="shared" si="538"/>
        <v>24335</v>
      </c>
      <c r="H1356" s="245">
        <f t="shared" si="539"/>
        <v>1</v>
      </c>
      <c r="I1356" s="121">
        <f t="shared" si="540"/>
        <v>1.0815000000000001</v>
      </c>
      <c r="J1356" s="121">
        <f t="shared" si="541"/>
        <v>1.0815000000000001</v>
      </c>
      <c r="K1356" s="120">
        <f t="shared" si="542"/>
        <v>0</v>
      </c>
      <c r="L1356" s="120">
        <f t="shared" si="543"/>
        <v>0</v>
      </c>
      <c r="M1356" s="246">
        <f t="shared" si="544"/>
        <v>0</v>
      </c>
      <c r="N1356" s="121">
        <f t="shared" si="545"/>
        <v>1.0815000000000001</v>
      </c>
      <c r="O1356" s="246">
        <f t="shared" si="546"/>
        <v>1.0093216630196937</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87">
        <v>37</v>
      </c>
      <c r="B1357" s="242">
        <f t="shared" si="553"/>
        <v>46753</v>
      </c>
      <c r="C1357" s="243">
        <f t="shared" si="534"/>
        <v>46783</v>
      </c>
      <c r="D1357" s="120">
        <f t="shared" si="535"/>
        <v>31</v>
      </c>
      <c r="E1357" s="120">
        <f t="shared" si="536"/>
        <v>1</v>
      </c>
      <c r="F1357" s="275">
        <f t="shared" si="537"/>
        <v>46768.5</v>
      </c>
      <c r="G1357" s="120">
        <f t="shared" si="538"/>
        <v>24336</v>
      </c>
      <c r="H1357" s="245">
        <f t="shared" si="539"/>
        <v>1</v>
      </c>
      <c r="I1357" s="121">
        <f t="shared" si="540"/>
        <v>1.0815000000000001</v>
      </c>
      <c r="J1357" s="121">
        <f t="shared" si="541"/>
        <v>1.0815000000000001</v>
      </c>
      <c r="K1357" s="120">
        <f t="shared" si="542"/>
        <v>0</v>
      </c>
      <c r="L1357" s="120">
        <f t="shared" si="543"/>
        <v>0</v>
      </c>
      <c r="M1357" s="246">
        <f t="shared" si="544"/>
        <v>0</v>
      </c>
      <c r="N1357" s="121">
        <f t="shared" si="545"/>
        <v>1.0815000000000001</v>
      </c>
      <c r="O1357" s="246">
        <f t="shared" si="546"/>
        <v>1.01</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87">
        <v>38</v>
      </c>
      <c r="B1358" s="242">
        <f t="shared" si="553"/>
        <v>46784</v>
      </c>
      <c r="C1358" s="243">
        <f t="shared" si="534"/>
        <v>46812</v>
      </c>
      <c r="D1358" s="120">
        <f t="shared" si="535"/>
        <v>29</v>
      </c>
      <c r="E1358" s="120">
        <f t="shared" si="536"/>
        <v>2</v>
      </c>
      <c r="F1358" s="275">
        <f t="shared" si="537"/>
        <v>46798.5</v>
      </c>
      <c r="G1358" s="120">
        <f t="shared" si="538"/>
        <v>24337</v>
      </c>
      <c r="H1358" s="245">
        <f t="shared" si="539"/>
        <v>1</v>
      </c>
      <c r="I1358" s="121">
        <f t="shared" si="540"/>
        <v>1.0815000000000001</v>
      </c>
      <c r="J1358" s="121">
        <f t="shared" si="541"/>
        <v>1.0815000000000001</v>
      </c>
      <c r="K1358" s="120">
        <f t="shared" si="542"/>
        <v>0</v>
      </c>
      <c r="L1358" s="120">
        <f t="shared" si="543"/>
        <v>0</v>
      </c>
      <c r="M1358" s="246">
        <f t="shared" si="544"/>
        <v>0</v>
      </c>
      <c r="N1358" s="121">
        <f t="shared" si="545"/>
        <v>1.0815000000000001</v>
      </c>
      <c r="O1358" s="246">
        <f t="shared" si="546"/>
        <v>1.01</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87">
        <v>39</v>
      </c>
      <c r="B1359" s="242">
        <f t="shared" si="553"/>
        <v>46813</v>
      </c>
      <c r="C1359" s="243">
        <f t="shared" si="534"/>
        <v>46843</v>
      </c>
      <c r="D1359" s="120">
        <f t="shared" si="535"/>
        <v>31</v>
      </c>
      <c r="E1359" s="120">
        <f t="shared" si="536"/>
        <v>3</v>
      </c>
      <c r="F1359" s="275">
        <f t="shared" si="537"/>
        <v>46828.5</v>
      </c>
      <c r="G1359" s="120">
        <f t="shared" si="538"/>
        <v>24338</v>
      </c>
      <c r="H1359" s="245">
        <f t="shared" si="539"/>
        <v>1</v>
      </c>
      <c r="I1359" s="121">
        <f t="shared" si="540"/>
        <v>1.0815000000000001</v>
      </c>
      <c r="J1359" s="121">
        <f t="shared" si="541"/>
        <v>1.0815000000000001</v>
      </c>
      <c r="K1359" s="120">
        <f t="shared" si="542"/>
        <v>0</v>
      </c>
      <c r="L1359" s="120">
        <f t="shared" si="543"/>
        <v>0</v>
      </c>
      <c r="M1359" s="246">
        <f t="shared" si="544"/>
        <v>0</v>
      </c>
      <c r="N1359" s="121">
        <f t="shared" si="545"/>
        <v>1.0815000000000001</v>
      </c>
      <c r="O1359" s="246">
        <f t="shared" si="546"/>
        <v>1.01</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87">
        <v>40</v>
      </c>
      <c r="B1360" s="242">
        <f t="shared" si="553"/>
        <v>46844</v>
      </c>
      <c r="C1360" s="243">
        <f t="shared" si="534"/>
        <v>46873</v>
      </c>
      <c r="D1360" s="120">
        <f t="shared" si="535"/>
        <v>30</v>
      </c>
      <c r="E1360" s="120">
        <f t="shared" si="536"/>
        <v>4</v>
      </c>
      <c r="F1360" s="275">
        <f t="shared" si="537"/>
        <v>46859</v>
      </c>
      <c r="G1360" s="120">
        <f t="shared" si="538"/>
        <v>24339</v>
      </c>
      <c r="H1360" s="245">
        <f t="shared" si="539"/>
        <v>1</v>
      </c>
      <c r="I1360" s="121">
        <f t="shared" si="540"/>
        <v>1.0815000000000001</v>
      </c>
      <c r="J1360" s="121">
        <f t="shared" si="541"/>
        <v>1.0815000000000001</v>
      </c>
      <c r="K1360" s="120">
        <f t="shared" si="542"/>
        <v>0</v>
      </c>
      <c r="L1360" s="120">
        <f t="shared" si="543"/>
        <v>0</v>
      </c>
      <c r="M1360" s="246">
        <f t="shared" si="544"/>
        <v>0</v>
      </c>
      <c r="N1360" s="121">
        <f t="shared" si="545"/>
        <v>1.0815000000000001</v>
      </c>
      <c r="O1360" s="246">
        <f t="shared" si="546"/>
        <v>1.01</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87">
        <v>41</v>
      </c>
      <c r="B1361" s="242">
        <f t="shared" si="553"/>
        <v>46874</v>
      </c>
      <c r="C1361" s="243">
        <f t="shared" si="534"/>
        <v>46904</v>
      </c>
      <c r="D1361" s="120">
        <f t="shared" si="535"/>
        <v>31</v>
      </c>
      <c r="E1361" s="120">
        <f t="shared" si="536"/>
        <v>5</v>
      </c>
      <c r="F1361" s="275">
        <f t="shared" si="537"/>
        <v>46889.5</v>
      </c>
      <c r="G1361" s="120">
        <f t="shared" si="538"/>
        <v>24340</v>
      </c>
      <c r="H1361" s="245">
        <f t="shared" si="539"/>
        <v>1</v>
      </c>
      <c r="I1361" s="121">
        <f t="shared" si="540"/>
        <v>1.0815000000000001</v>
      </c>
      <c r="J1361" s="121">
        <f t="shared" si="541"/>
        <v>1.0815000000000001</v>
      </c>
      <c r="K1361" s="120">
        <f t="shared" si="542"/>
        <v>0</v>
      </c>
      <c r="L1361" s="120">
        <f t="shared" si="543"/>
        <v>0</v>
      </c>
      <c r="M1361" s="246">
        <f t="shared" si="544"/>
        <v>0</v>
      </c>
      <c r="N1361" s="121">
        <f t="shared" si="545"/>
        <v>1.0815000000000001</v>
      </c>
      <c r="O1361" s="246">
        <f t="shared" si="546"/>
        <v>1.01</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87">
        <v>42</v>
      </c>
      <c r="B1362" s="242">
        <f t="shared" si="553"/>
        <v>46905</v>
      </c>
      <c r="C1362" s="243">
        <f t="shared" si="534"/>
        <v>46934</v>
      </c>
      <c r="D1362" s="120">
        <f t="shared" si="535"/>
        <v>30</v>
      </c>
      <c r="E1362" s="120">
        <f t="shared" si="536"/>
        <v>6</v>
      </c>
      <c r="F1362" s="275">
        <f t="shared" si="537"/>
        <v>46920</v>
      </c>
      <c r="G1362" s="120">
        <f t="shared" si="538"/>
        <v>24341</v>
      </c>
      <c r="H1362" s="245">
        <f t="shared" si="539"/>
        <v>1</v>
      </c>
      <c r="I1362" s="121">
        <f t="shared" si="540"/>
        <v>1.0815000000000001</v>
      </c>
      <c r="J1362" s="121">
        <f t="shared" si="541"/>
        <v>1.0815000000000001</v>
      </c>
      <c r="K1362" s="120">
        <f t="shared" si="542"/>
        <v>0</v>
      </c>
      <c r="L1362" s="120">
        <f t="shared" si="543"/>
        <v>0</v>
      </c>
      <c r="M1362" s="246">
        <f t="shared" si="544"/>
        <v>0</v>
      </c>
      <c r="N1362" s="121">
        <f t="shared" si="545"/>
        <v>1.0815000000000001</v>
      </c>
      <c r="O1362" s="246">
        <f t="shared" si="546"/>
        <v>1.01</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87">
        <v>43</v>
      </c>
      <c r="B1363" s="242">
        <f t="shared" si="553"/>
        <v>46935</v>
      </c>
      <c r="C1363" s="243">
        <f t="shared" si="534"/>
        <v>46965</v>
      </c>
      <c r="D1363" s="120">
        <f t="shared" si="535"/>
        <v>31</v>
      </c>
      <c r="E1363" s="120">
        <f t="shared" si="536"/>
        <v>7</v>
      </c>
      <c r="F1363" s="275">
        <f t="shared" si="537"/>
        <v>46950.5</v>
      </c>
      <c r="G1363" s="120">
        <f t="shared" si="538"/>
        <v>24342</v>
      </c>
      <c r="H1363" s="245">
        <f t="shared" si="539"/>
        <v>1</v>
      </c>
      <c r="I1363" s="121">
        <f t="shared" si="540"/>
        <v>1.0815000000000001</v>
      </c>
      <c r="J1363" s="121">
        <f t="shared" si="541"/>
        <v>1.0815000000000001</v>
      </c>
      <c r="K1363" s="120">
        <f t="shared" si="542"/>
        <v>0</v>
      </c>
      <c r="L1363" s="120">
        <f t="shared" si="543"/>
        <v>0</v>
      </c>
      <c r="M1363" s="246">
        <f t="shared" si="544"/>
        <v>0</v>
      </c>
      <c r="N1363" s="121">
        <f t="shared" si="545"/>
        <v>1.0815000000000001</v>
      </c>
      <c r="O1363" s="246">
        <f t="shared" si="546"/>
        <v>1.01</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87">
        <v>44</v>
      </c>
      <c r="B1364" s="242">
        <f t="shared" si="553"/>
        <v>46966</v>
      </c>
      <c r="C1364" s="243">
        <f t="shared" si="534"/>
        <v>46996</v>
      </c>
      <c r="D1364" s="120">
        <f t="shared" si="535"/>
        <v>31</v>
      </c>
      <c r="E1364" s="120">
        <f t="shared" si="536"/>
        <v>8</v>
      </c>
      <c r="F1364" s="275">
        <f t="shared" si="537"/>
        <v>46981.5</v>
      </c>
      <c r="G1364" s="120">
        <f t="shared" si="538"/>
        <v>24343</v>
      </c>
      <c r="H1364" s="245">
        <f t="shared" si="539"/>
        <v>1</v>
      </c>
      <c r="I1364" s="121">
        <f t="shared" si="540"/>
        <v>1.0815000000000001</v>
      </c>
      <c r="J1364" s="121">
        <f t="shared" si="541"/>
        <v>1.0815000000000001</v>
      </c>
      <c r="K1364" s="120">
        <f t="shared" si="542"/>
        <v>0</v>
      </c>
      <c r="L1364" s="120">
        <f t="shared" si="543"/>
        <v>0</v>
      </c>
      <c r="M1364" s="246">
        <f t="shared" si="544"/>
        <v>0</v>
      </c>
      <c r="N1364" s="121">
        <f t="shared" si="545"/>
        <v>1.0815000000000001</v>
      </c>
      <c r="O1364" s="246">
        <f t="shared" si="546"/>
        <v>1.01</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87">
        <v>45</v>
      </c>
      <c r="B1365" s="242">
        <f t="shared" si="553"/>
        <v>46997</v>
      </c>
      <c r="C1365" s="243">
        <f t="shared" si="534"/>
        <v>47026</v>
      </c>
      <c r="D1365" s="120">
        <f t="shared" si="535"/>
        <v>30</v>
      </c>
      <c r="E1365" s="120">
        <f t="shared" si="536"/>
        <v>9</v>
      </c>
      <c r="F1365" s="275">
        <f t="shared" si="537"/>
        <v>47012</v>
      </c>
      <c r="G1365" s="120">
        <f t="shared" si="538"/>
        <v>24344</v>
      </c>
      <c r="H1365" s="245">
        <f t="shared" si="539"/>
        <v>1</v>
      </c>
      <c r="I1365" s="121">
        <f t="shared" si="540"/>
        <v>1.0815000000000001</v>
      </c>
      <c r="J1365" s="121">
        <f t="shared" si="541"/>
        <v>1.0815000000000001</v>
      </c>
      <c r="K1365" s="120">
        <f t="shared" si="542"/>
        <v>0</v>
      </c>
      <c r="L1365" s="120">
        <f t="shared" si="543"/>
        <v>0</v>
      </c>
      <c r="M1365" s="246">
        <f t="shared" si="544"/>
        <v>0</v>
      </c>
      <c r="N1365" s="121">
        <f t="shared" si="545"/>
        <v>1.0815000000000001</v>
      </c>
      <c r="O1365" s="246">
        <f t="shared" si="546"/>
        <v>1.01</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87">
        <v>46</v>
      </c>
      <c r="B1366" s="242">
        <f t="shared" si="553"/>
        <v>47027</v>
      </c>
      <c r="C1366" s="243">
        <f t="shared" si="534"/>
        <v>47057</v>
      </c>
      <c r="D1366" s="120">
        <f t="shared" si="535"/>
        <v>31</v>
      </c>
      <c r="E1366" s="120">
        <f t="shared" si="536"/>
        <v>10</v>
      </c>
      <c r="F1366" s="275">
        <f t="shared" si="537"/>
        <v>47042.5</v>
      </c>
      <c r="G1366" s="120">
        <f t="shared" si="538"/>
        <v>24345</v>
      </c>
      <c r="H1366" s="245">
        <f t="shared" si="539"/>
        <v>1</v>
      </c>
      <c r="I1366" s="121">
        <f t="shared" si="540"/>
        <v>1.0815000000000001</v>
      </c>
      <c r="J1366" s="121">
        <f t="shared" si="541"/>
        <v>1.0815000000000001</v>
      </c>
      <c r="K1366" s="120">
        <f t="shared" si="542"/>
        <v>0</v>
      </c>
      <c r="L1366" s="120">
        <f t="shared" si="543"/>
        <v>0</v>
      </c>
      <c r="M1366" s="246">
        <f t="shared" si="544"/>
        <v>0</v>
      </c>
      <c r="N1366" s="121">
        <f t="shared" si="545"/>
        <v>1.0815000000000001</v>
      </c>
      <c r="O1366" s="246">
        <f t="shared" si="546"/>
        <v>1.01</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87">
        <v>47</v>
      </c>
      <c r="B1367" s="242">
        <f t="shared" si="553"/>
        <v>47058</v>
      </c>
      <c r="C1367" s="243">
        <f t="shared" si="534"/>
        <v>47087</v>
      </c>
      <c r="D1367" s="120">
        <f t="shared" si="535"/>
        <v>30</v>
      </c>
      <c r="E1367" s="120">
        <f t="shared" si="536"/>
        <v>11</v>
      </c>
      <c r="F1367" s="275">
        <f t="shared" si="537"/>
        <v>47073</v>
      </c>
      <c r="G1367" s="120">
        <f t="shared" si="538"/>
        <v>24346</v>
      </c>
      <c r="H1367" s="245">
        <f t="shared" si="539"/>
        <v>1</v>
      </c>
      <c r="I1367" s="121">
        <f t="shared" si="540"/>
        <v>1.0815000000000001</v>
      </c>
      <c r="J1367" s="121">
        <f t="shared" si="541"/>
        <v>1.0815000000000001</v>
      </c>
      <c r="K1367" s="120">
        <f t="shared" si="542"/>
        <v>0</v>
      </c>
      <c r="L1367" s="120">
        <f t="shared" si="543"/>
        <v>0</v>
      </c>
      <c r="M1367" s="246">
        <f t="shared" si="544"/>
        <v>0</v>
      </c>
      <c r="N1367" s="121">
        <f t="shared" si="545"/>
        <v>1.0815000000000001</v>
      </c>
      <c r="O1367" s="246">
        <f t="shared" si="546"/>
        <v>1.01</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87">
        <v>48</v>
      </c>
      <c r="B1368" s="242">
        <f t="shared" si="553"/>
        <v>47088</v>
      </c>
      <c r="C1368" s="243">
        <f t="shared" si="534"/>
        <v>47118</v>
      </c>
      <c r="D1368" s="120">
        <f t="shared" si="535"/>
        <v>31</v>
      </c>
      <c r="E1368" s="120">
        <f t="shared" si="536"/>
        <v>12</v>
      </c>
      <c r="F1368" s="275">
        <f t="shared" si="537"/>
        <v>47103.5</v>
      </c>
      <c r="G1368" s="120">
        <f t="shared" si="538"/>
        <v>24347</v>
      </c>
      <c r="H1368" s="245">
        <f t="shared" si="539"/>
        <v>1</v>
      </c>
      <c r="I1368" s="121">
        <f t="shared" si="540"/>
        <v>1.0815000000000001</v>
      </c>
      <c r="J1368" s="121">
        <f t="shared" si="541"/>
        <v>1.0815000000000001</v>
      </c>
      <c r="K1368" s="120">
        <f t="shared" si="542"/>
        <v>0</v>
      </c>
      <c r="L1368" s="120">
        <f t="shared" si="543"/>
        <v>0</v>
      </c>
      <c r="M1368" s="246">
        <f t="shared" si="544"/>
        <v>0</v>
      </c>
      <c r="N1368" s="121">
        <f t="shared" si="545"/>
        <v>1.0815000000000001</v>
      </c>
      <c r="O1368" s="246">
        <f t="shared" si="546"/>
        <v>1.01</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1651</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24">
        <f>SUMPRODUCT($H$1321:$H$1368,$Q$1321:$Q$1368,$O$1321:$O$1368)/SUMPRODUCT($H$1321:$H$1368,$Q$1321:$Q$1368)</f>
        <v>0.99399161196207142</v>
      </c>
      <c r="G1369" s="224">
        <f>SUMPRODUCT($H$1321:$H$1368,$R$1321:$R$1368,$O$1321:$O$1368)/SUMPRODUCT($H$1321:$H$1368,$R$1321:$R$1368)</f>
        <v>1.0073127127400925</v>
      </c>
      <c r="H1369" s="73">
        <f>SUMPRODUCT($H$1345:$H$1356,$N$1345:$N$1356/$N$1333:$N$1344)/SUM($H$1345:$H$1356)</f>
        <v>1.0313709677419354</v>
      </c>
      <c r="I1369" s="73">
        <f>SUMPRODUCT($H$1345:$H$1356,$O$1345:$O$1356/$O$1333:$O$1344)/SUM($H$1345:$H$1356)</f>
        <v>1.0162008242959635</v>
      </c>
      <c r="J1369" s="73">
        <f>IF($O$1318=1,SUMPRODUCT($H$1345:$H$1356,$N$1345:$N$1356/$N$1333:$N$1344*$O$1345:$O$1356/$O$1333:$O$1344)/SUM($H$1345:$H$1356),$H1369)</f>
        <v>1.0480803457342993</v>
      </c>
      <c r="K1369" s="73">
        <f>SUMPRODUCT($H$1321:$H$1368,$Q$1321:$Q$1368,$N$1321:$N$1368)/SUMPRODUCT($H$1321:$H$1368,$Q$1321:$Q$1368)</f>
        <v>1.0546965725806452</v>
      </c>
      <c r="L1369" s="73">
        <f>SUMPRODUCT($H$1321:$H$1368,$R$1321:$R$1368,$N$1321:$N$1368)/SUMPRODUCT($H$1321:$H$1368,$R$1321:$R$1368)</f>
        <v>1.0793054435483873</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24">
        <f>IF(N(INDEX(lr_mind,25))=0,1,INDEX(lr_mind,25))</f>
        <v>1</v>
      </c>
      <c r="G1372" s="224">
        <f>IF(N(INDEX(lr_m0,25))=0,1,INDEX(lr_m0,25))</f>
        <v>0.99</v>
      </c>
      <c r="H1372" s="74">
        <f>IF(N(INDEX(lr_m0asof,25))=0,DATE(nr_PlanYear-1,10,1),INDEX(lr_m0asof,25))</f>
        <v>46295</v>
      </c>
      <c r="I1372" s="224">
        <f>IF(N(INDEX(lr_m1,25))=0,1,INDEX(lr_m1,25))</f>
        <v>0.99</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54">EOMONTH($B1375,0)</f>
        <v>45688</v>
      </c>
      <c r="D1375" s="120">
        <f t="shared" ref="D1375:D1422" si="555">$C1375-$B1375+1</f>
        <v>31</v>
      </c>
      <c r="E1375" s="120">
        <f t="shared" ref="E1375:E1422" si="556">MONTH($B1375)</f>
        <v>1</v>
      </c>
      <c r="F1375" s="275">
        <f t="shared" ref="F1375:F1422" si="557">($B1375+$C1375+1)/2</f>
        <v>45673.5</v>
      </c>
      <c r="G1375" s="120">
        <f t="shared" ref="G1375:G1422" si="558">YEAR($B1375)*12+MONTH($B1375)-1</f>
        <v>24300</v>
      </c>
      <c r="H1375" s="245">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46">
        <f t="shared" ref="M1375:M1422" si="564">IF($K1375=0,0,MIN(1,$L1375/$D1375))</f>
        <v>0</v>
      </c>
      <c r="N1375" s="121">
        <f t="shared" ref="N1375:N1422" si="565">IF($K1375=0,$J1375,(1-$M1375)*$I1375+$M1375*$J1375)</f>
        <v>1</v>
      </c>
      <c r="O1375" s="246">
        <f t="shared" ref="O1375:O1422" si="566">IF($F1375&lt;$B$1373,$E$1373+$I$1373*($F1375-$A$1373),IF($F1375&lt;$C$1373,$F$1373+$J$1373*($F1375-$B$1373),$G$1373+$K$1373*($F1375-$C$1373)))</f>
        <v>0.99</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87">
        <v>2</v>
      </c>
      <c r="B1376" s="242">
        <f t="shared" ref="B1376:B1422" si="573">EDATE($B1375,1)</f>
        <v>45689</v>
      </c>
      <c r="C1376" s="243">
        <f t="shared" si="554"/>
        <v>45716</v>
      </c>
      <c r="D1376" s="120">
        <f t="shared" si="555"/>
        <v>28</v>
      </c>
      <c r="E1376" s="120">
        <f t="shared" si="556"/>
        <v>2</v>
      </c>
      <c r="F1376" s="275">
        <f t="shared" si="557"/>
        <v>45703</v>
      </c>
      <c r="G1376" s="120">
        <f t="shared" si="558"/>
        <v>24301</v>
      </c>
      <c r="H1376" s="245">
        <f t="shared" si="559"/>
        <v>1</v>
      </c>
      <c r="I1376" s="121">
        <f t="shared" si="560"/>
        <v>1</v>
      </c>
      <c r="J1376" s="121">
        <f t="shared" si="561"/>
        <v>1</v>
      </c>
      <c r="K1376" s="120">
        <f t="shared" si="562"/>
        <v>0</v>
      </c>
      <c r="L1376" s="120">
        <f t="shared" si="563"/>
        <v>0</v>
      </c>
      <c r="M1376" s="246">
        <f t="shared" si="564"/>
        <v>0</v>
      </c>
      <c r="N1376" s="121">
        <f t="shared" si="565"/>
        <v>1</v>
      </c>
      <c r="O1376" s="246">
        <f t="shared" si="566"/>
        <v>0.99</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87">
        <v>3</v>
      </c>
      <c r="B1377" s="242">
        <f t="shared" si="573"/>
        <v>45717</v>
      </c>
      <c r="C1377" s="243">
        <f t="shared" si="554"/>
        <v>45747</v>
      </c>
      <c r="D1377" s="120">
        <f t="shared" si="555"/>
        <v>31</v>
      </c>
      <c r="E1377" s="120">
        <f t="shared" si="556"/>
        <v>3</v>
      </c>
      <c r="F1377" s="275">
        <f t="shared" si="557"/>
        <v>45732.5</v>
      </c>
      <c r="G1377" s="120">
        <f t="shared" si="558"/>
        <v>24302</v>
      </c>
      <c r="H1377" s="245">
        <f t="shared" si="559"/>
        <v>1</v>
      </c>
      <c r="I1377" s="121">
        <f t="shared" si="560"/>
        <v>1</v>
      </c>
      <c r="J1377" s="121">
        <f t="shared" si="561"/>
        <v>1</v>
      </c>
      <c r="K1377" s="120">
        <f t="shared" si="562"/>
        <v>0</v>
      </c>
      <c r="L1377" s="120">
        <f t="shared" si="563"/>
        <v>0</v>
      </c>
      <c r="M1377" s="246">
        <f t="shared" si="564"/>
        <v>0</v>
      </c>
      <c r="N1377" s="121">
        <f t="shared" si="565"/>
        <v>1</v>
      </c>
      <c r="O1377" s="246">
        <f t="shared" si="566"/>
        <v>0.99</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87">
        <v>4</v>
      </c>
      <c r="B1378" s="242">
        <f t="shared" si="573"/>
        <v>45748</v>
      </c>
      <c r="C1378" s="243">
        <f t="shared" si="554"/>
        <v>45777</v>
      </c>
      <c r="D1378" s="120">
        <f t="shared" si="555"/>
        <v>30</v>
      </c>
      <c r="E1378" s="120">
        <f t="shared" si="556"/>
        <v>4</v>
      </c>
      <c r="F1378" s="275">
        <f t="shared" si="557"/>
        <v>45763</v>
      </c>
      <c r="G1378" s="120">
        <f t="shared" si="558"/>
        <v>24303</v>
      </c>
      <c r="H1378" s="245">
        <f t="shared" si="559"/>
        <v>1</v>
      </c>
      <c r="I1378" s="121">
        <f t="shared" si="560"/>
        <v>1</v>
      </c>
      <c r="J1378" s="121">
        <f t="shared" si="561"/>
        <v>1</v>
      </c>
      <c r="K1378" s="120">
        <f t="shared" si="562"/>
        <v>0</v>
      </c>
      <c r="L1378" s="120">
        <f t="shared" si="563"/>
        <v>0</v>
      </c>
      <c r="M1378" s="246">
        <f t="shared" si="564"/>
        <v>0</v>
      </c>
      <c r="N1378" s="121">
        <f t="shared" si="565"/>
        <v>1</v>
      </c>
      <c r="O1378" s="246">
        <f t="shared" si="566"/>
        <v>0.99</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87">
        <v>5</v>
      </c>
      <c r="B1379" s="242">
        <f t="shared" si="573"/>
        <v>45778</v>
      </c>
      <c r="C1379" s="243">
        <f t="shared" si="554"/>
        <v>45808</v>
      </c>
      <c r="D1379" s="120">
        <f t="shared" si="555"/>
        <v>31</v>
      </c>
      <c r="E1379" s="120">
        <f t="shared" si="556"/>
        <v>5</v>
      </c>
      <c r="F1379" s="275">
        <f t="shared" si="557"/>
        <v>45793.5</v>
      </c>
      <c r="G1379" s="120">
        <f t="shared" si="558"/>
        <v>24304</v>
      </c>
      <c r="H1379" s="245">
        <f t="shared" si="559"/>
        <v>1</v>
      </c>
      <c r="I1379" s="121">
        <f t="shared" si="560"/>
        <v>1</v>
      </c>
      <c r="J1379" s="121">
        <f t="shared" si="561"/>
        <v>1</v>
      </c>
      <c r="K1379" s="120">
        <f t="shared" si="562"/>
        <v>0</v>
      </c>
      <c r="L1379" s="120">
        <f t="shared" si="563"/>
        <v>0</v>
      </c>
      <c r="M1379" s="246">
        <f t="shared" si="564"/>
        <v>0</v>
      </c>
      <c r="N1379" s="121">
        <f t="shared" si="565"/>
        <v>1</v>
      </c>
      <c r="O1379" s="246">
        <f t="shared" si="566"/>
        <v>0.99</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87">
        <v>6</v>
      </c>
      <c r="B1380" s="242">
        <f t="shared" si="573"/>
        <v>45809</v>
      </c>
      <c r="C1380" s="243">
        <f t="shared" si="554"/>
        <v>45838</v>
      </c>
      <c r="D1380" s="120">
        <f t="shared" si="555"/>
        <v>30</v>
      </c>
      <c r="E1380" s="120">
        <f t="shared" si="556"/>
        <v>6</v>
      </c>
      <c r="F1380" s="275">
        <f t="shared" si="557"/>
        <v>45824</v>
      </c>
      <c r="G1380" s="120">
        <f t="shared" si="558"/>
        <v>24305</v>
      </c>
      <c r="H1380" s="245">
        <f t="shared" si="559"/>
        <v>1</v>
      </c>
      <c r="I1380" s="121">
        <f t="shared" si="560"/>
        <v>1</v>
      </c>
      <c r="J1380" s="121">
        <f t="shared" si="561"/>
        <v>1</v>
      </c>
      <c r="K1380" s="120">
        <f t="shared" si="562"/>
        <v>0</v>
      </c>
      <c r="L1380" s="120">
        <f t="shared" si="563"/>
        <v>0</v>
      </c>
      <c r="M1380" s="246">
        <f t="shared" si="564"/>
        <v>0</v>
      </c>
      <c r="N1380" s="121">
        <f t="shared" si="565"/>
        <v>1</v>
      </c>
      <c r="O1380" s="246">
        <f t="shared" si="566"/>
        <v>0.99</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87">
        <v>7</v>
      </c>
      <c r="B1381" s="242">
        <f t="shared" si="573"/>
        <v>45839</v>
      </c>
      <c r="C1381" s="243">
        <f t="shared" si="554"/>
        <v>45869</v>
      </c>
      <c r="D1381" s="120">
        <f t="shared" si="555"/>
        <v>31</v>
      </c>
      <c r="E1381" s="120">
        <f t="shared" si="556"/>
        <v>7</v>
      </c>
      <c r="F1381" s="275">
        <f t="shared" si="557"/>
        <v>45854.5</v>
      </c>
      <c r="G1381" s="120">
        <f t="shared" si="558"/>
        <v>24306</v>
      </c>
      <c r="H1381" s="245">
        <f t="shared" si="559"/>
        <v>1</v>
      </c>
      <c r="I1381" s="121">
        <f t="shared" si="560"/>
        <v>1</v>
      </c>
      <c r="J1381" s="121">
        <f t="shared" si="561"/>
        <v>1</v>
      </c>
      <c r="K1381" s="120">
        <f t="shared" si="562"/>
        <v>0</v>
      </c>
      <c r="L1381" s="120">
        <f t="shared" si="563"/>
        <v>0</v>
      </c>
      <c r="M1381" s="246">
        <f t="shared" si="564"/>
        <v>0</v>
      </c>
      <c r="N1381" s="121">
        <f t="shared" si="565"/>
        <v>1</v>
      </c>
      <c r="O1381" s="246">
        <f t="shared" si="566"/>
        <v>0.99</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87">
        <v>8</v>
      </c>
      <c r="B1382" s="242">
        <f t="shared" si="573"/>
        <v>45870</v>
      </c>
      <c r="C1382" s="243">
        <f t="shared" si="554"/>
        <v>45900</v>
      </c>
      <c r="D1382" s="120">
        <f t="shared" si="555"/>
        <v>31</v>
      </c>
      <c r="E1382" s="120">
        <f t="shared" si="556"/>
        <v>8</v>
      </c>
      <c r="F1382" s="275">
        <f t="shared" si="557"/>
        <v>45885.5</v>
      </c>
      <c r="G1382" s="120">
        <f t="shared" si="558"/>
        <v>24307</v>
      </c>
      <c r="H1382" s="245">
        <f t="shared" si="559"/>
        <v>1</v>
      </c>
      <c r="I1382" s="121">
        <f t="shared" si="560"/>
        <v>1</v>
      </c>
      <c r="J1382" s="121">
        <f t="shared" si="561"/>
        <v>1</v>
      </c>
      <c r="K1382" s="120">
        <f t="shared" si="562"/>
        <v>0</v>
      </c>
      <c r="L1382" s="120">
        <f t="shared" si="563"/>
        <v>0</v>
      </c>
      <c r="M1382" s="246">
        <f t="shared" si="564"/>
        <v>0</v>
      </c>
      <c r="N1382" s="121">
        <f t="shared" si="565"/>
        <v>1</v>
      </c>
      <c r="O1382" s="246">
        <f t="shared" si="566"/>
        <v>0.99</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87">
        <v>9</v>
      </c>
      <c r="B1383" s="242">
        <f t="shared" si="573"/>
        <v>45901</v>
      </c>
      <c r="C1383" s="243">
        <f t="shared" si="554"/>
        <v>45930</v>
      </c>
      <c r="D1383" s="120">
        <f t="shared" si="555"/>
        <v>30</v>
      </c>
      <c r="E1383" s="120">
        <f t="shared" si="556"/>
        <v>9</v>
      </c>
      <c r="F1383" s="275">
        <f t="shared" si="557"/>
        <v>45916</v>
      </c>
      <c r="G1383" s="120">
        <f t="shared" si="558"/>
        <v>24308</v>
      </c>
      <c r="H1383" s="245">
        <f t="shared" si="559"/>
        <v>1</v>
      </c>
      <c r="I1383" s="121">
        <f t="shared" si="560"/>
        <v>1</v>
      </c>
      <c r="J1383" s="121">
        <f t="shared" si="561"/>
        <v>1</v>
      </c>
      <c r="K1383" s="120">
        <f t="shared" si="562"/>
        <v>0</v>
      </c>
      <c r="L1383" s="120">
        <f t="shared" si="563"/>
        <v>0</v>
      </c>
      <c r="M1383" s="246">
        <f t="shared" si="564"/>
        <v>0</v>
      </c>
      <c r="N1383" s="121">
        <f t="shared" si="565"/>
        <v>1</v>
      </c>
      <c r="O1383" s="246">
        <f t="shared" si="566"/>
        <v>0.99</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87">
        <v>10</v>
      </c>
      <c r="B1384" s="242">
        <f t="shared" si="573"/>
        <v>45931</v>
      </c>
      <c r="C1384" s="243">
        <f t="shared" si="554"/>
        <v>45961</v>
      </c>
      <c r="D1384" s="120">
        <f t="shared" si="555"/>
        <v>31</v>
      </c>
      <c r="E1384" s="120">
        <f t="shared" si="556"/>
        <v>10</v>
      </c>
      <c r="F1384" s="275">
        <f t="shared" si="557"/>
        <v>45946.5</v>
      </c>
      <c r="G1384" s="120">
        <f t="shared" si="558"/>
        <v>24309</v>
      </c>
      <c r="H1384" s="245">
        <f t="shared" si="559"/>
        <v>1</v>
      </c>
      <c r="I1384" s="121">
        <f t="shared" si="560"/>
        <v>1</v>
      </c>
      <c r="J1384" s="121">
        <f t="shared" si="561"/>
        <v>1</v>
      </c>
      <c r="K1384" s="120">
        <f t="shared" si="562"/>
        <v>0</v>
      </c>
      <c r="L1384" s="120">
        <f t="shared" si="563"/>
        <v>0</v>
      </c>
      <c r="M1384" s="246">
        <f t="shared" si="564"/>
        <v>0</v>
      </c>
      <c r="N1384" s="121">
        <f t="shared" si="565"/>
        <v>1</v>
      </c>
      <c r="O1384" s="246">
        <f t="shared" si="566"/>
        <v>0.99</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87">
        <v>11</v>
      </c>
      <c r="B1385" s="242">
        <f t="shared" si="573"/>
        <v>45962</v>
      </c>
      <c r="C1385" s="243">
        <f t="shared" si="554"/>
        <v>45991</v>
      </c>
      <c r="D1385" s="120">
        <f t="shared" si="555"/>
        <v>30</v>
      </c>
      <c r="E1385" s="120">
        <f t="shared" si="556"/>
        <v>11</v>
      </c>
      <c r="F1385" s="275">
        <f t="shared" si="557"/>
        <v>45977</v>
      </c>
      <c r="G1385" s="120">
        <f t="shared" si="558"/>
        <v>24310</v>
      </c>
      <c r="H1385" s="245">
        <f t="shared" si="559"/>
        <v>1</v>
      </c>
      <c r="I1385" s="121">
        <f t="shared" si="560"/>
        <v>1</v>
      </c>
      <c r="J1385" s="121">
        <f t="shared" si="561"/>
        <v>1</v>
      </c>
      <c r="K1385" s="120">
        <f t="shared" si="562"/>
        <v>0</v>
      </c>
      <c r="L1385" s="120">
        <f t="shared" si="563"/>
        <v>0</v>
      </c>
      <c r="M1385" s="246">
        <f t="shared" si="564"/>
        <v>0</v>
      </c>
      <c r="N1385" s="121">
        <f t="shared" si="565"/>
        <v>1</v>
      </c>
      <c r="O1385" s="246">
        <f t="shared" si="566"/>
        <v>0.99</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87">
        <v>12</v>
      </c>
      <c r="B1386" s="242">
        <f t="shared" si="573"/>
        <v>45992</v>
      </c>
      <c r="C1386" s="243">
        <f t="shared" si="554"/>
        <v>46022</v>
      </c>
      <c r="D1386" s="120">
        <f t="shared" si="555"/>
        <v>31</v>
      </c>
      <c r="E1386" s="120">
        <f t="shared" si="556"/>
        <v>12</v>
      </c>
      <c r="F1386" s="275">
        <f t="shared" si="557"/>
        <v>46007.5</v>
      </c>
      <c r="G1386" s="120">
        <f t="shared" si="558"/>
        <v>24311</v>
      </c>
      <c r="H1386" s="245">
        <f t="shared" si="559"/>
        <v>1</v>
      </c>
      <c r="I1386" s="121">
        <f t="shared" si="560"/>
        <v>1</v>
      </c>
      <c r="J1386" s="121">
        <f t="shared" si="561"/>
        <v>1</v>
      </c>
      <c r="K1386" s="120">
        <f t="shared" si="562"/>
        <v>0</v>
      </c>
      <c r="L1386" s="120">
        <f t="shared" si="563"/>
        <v>0</v>
      </c>
      <c r="M1386" s="246">
        <f t="shared" si="564"/>
        <v>0</v>
      </c>
      <c r="N1386" s="121">
        <f t="shared" si="565"/>
        <v>1</v>
      </c>
      <c r="O1386" s="246">
        <f t="shared" si="566"/>
        <v>0.99</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87">
        <v>13</v>
      </c>
      <c r="B1387" s="242">
        <f t="shared" si="573"/>
        <v>46023</v>
      </c>
      <c r="C1387" s="243">
        <f t="shared" si="554"/>
        <v>46053</v>
      </c>
      <c r="D1387" s="120">
        <f t="shared" si="555"/>
        <v>31</v>
      </c>
      <c r="E1387" s="120">
        <f t="shared" si="556"/>
        <v>1</v>
      </c>
      <c r="F1387" s="275">
        <f t="shared" si="557"/>
        <v>46038.5</v>
      </c>
      <c r="G1387" s="120">
        <f t="shared" si="558"/>
        <v>24312</v>
      </c>
      <c r="H1387" s="245">
        <f t="shared" si="559"/>
        <v>1</v>
      </c>
      <c r="I1387" s="121">
        <f t="shared" si="560"/>
        <v>1</v>
      </c>
      <c r="J1387" s="121">
        <f t="shared" si="561"/>
        <v>1</v>
      </c>
      <c r="K1387" s="120">
        <f t="shared" si="562"/>
        <v>0</v>
      </c>
      <c r="L1387" s="120">
        <f t="shared" si="563"/>
        <v>0</v>
      </c>
      <c r="M1387" s="246">
        <f t="shared" si="564"/>
        <v>0</v>
      </c>
      <c r="N1387" s="121">
        <f t="shared" si="565"/>
        <v>1</v>
      </c>
      <c r="O1387" s="246">
        <f t="shared" si="566"/>
        <v>0.99</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87">
        <v>14</v>
      </c>
      <c r="B1388" s="242">
        <f t="shared" si="573"/>
        <v>46054</v>
      </c>
      <c r="C1388" s="243">
        <f t="shared" si="554"/>
        <v>46081</v>
      </c>
      <c r="D1388" s="120">
        <f t="shared" si="555"/>
        <v>28</v>
      </c>
      <c r="E1388" s="120">
        <f t="shared" si="556"/>
        <v>2</v>
      </c>
      <c r="F1388" s="275">
        <f t="shared" si="557"/>
        <v>46068</v>
      </c>
      <c r="G1388" s="120">
        <f t="shared" si="558"/>
        <v>24313</v>
      </c>
      <c r="H1388" s="245">
        <f t="shared" si="559"/>
        <v>1</v>
      </c>
      <c r="I1388" s="121">
        <f t="shared" si="560"/>
        <v>1</v>
      </c>
      <c r="J1388" s="121">
        <f t="shared" si="561"/>
        <v>1</v>
      </c>
      <c r="K1388" s="120">
        <f t="shared" si="562"/>
        <v>0</v>
      </c>
      <c r="L1388" s="120">
        <f t="shared" si="563"/>
        <v>0</v>
      </c>
      <c r="M1388" s="246">
        <f t="shared" si="564"/>
        <v>0</v>
      </c>
      <c r="N1388" s="121">
        <f t="shared" si="565"/>
        <v>1</v>
      </c>
      <c r="O1388" s="246">
        <f t="shared" si="566"/>
        <v>0.99</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87">
        <v>15</v>
      </c>
      <c r="B1389" s="242">
        <f t="shared" si="573"/>
        <v>46082</v>
      </c>
      <c r="C1389" s="243">
        <f t="shared" si="554"/>
        <v>46112</v>
      </c>
      <c r="D1389" s="120">
        <f t="shared" si="555"/>
        <v>31</v>
      </c>
      <c r="E1389" s="120">
        <f t="shared" si="556"/>
        <v>3</v>
      </c>
      <c r="F1389" s="275">
        <f t="shared" si="557"/>
        <v>46097.5</v>
      </c>
      <c r="G1389" s="120">
        <f t="shared" si="558"/>
        <v>24314</v>
      </c>
      <c r="H1389" s="245">
        <f t="shared" si="559"/>
        <v>1</v>
      </c>
      <c r="I1389" s="121">
        <f t="shared" si="560"/>
        <v>1</v>
      </c>
      <c r="J1389" s="121">
        <f t="shared" si="561"/>
        <v>1</v>
      </c>
      <c r="K1389" s="120">
        <f t="shared" si="562"/>
        <v>0</v>
      </c>
      <c r="L1389" s="120">
        <f t="shared" si="563"/>
        <v>0</v>
      </c>
      <c r="M1389" s="246">
        <f t="shared" si="564"/>
        <v>0</v>
      </c>
      <c r="N1389" s="121">
        <f t="shared" si="565"/>
        <v>1</v>
      </c>
      <c r="O1389" s="246">
        <f t="shared" si="566"/>
        <v>0.99</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87">
        <v>16</v>
      </c>
      <c r="B1390" s="242">
        <f t="shared" si="573"/>
        <v>46113</v>
      </c>
      <c r="C1390" s="243">
        <f t="shared" si="554"/>
        <v>46142</v>
      </c>
      <c r="D1390" s="120">
        <f t="shared" si="555"/>
        <v>30</v>
      </c>
      <c r="E1390" s="120">
        <f t="shared" si="556"/>
        <v>4</v>
      </c>
      <c r="F1390" s="275">
        <f t="shared" si="557"/>
        <v>46128</v>
      </c>
      <c r="G1390" s="120">
        <f t="shared" si="558"/>
        <v>24315</v>
      </c>
      <c r="H1390" s="245">
        <f t="shared" si="559"/>
        <v>1</v>
      </c>
      <c r="I1390" s="121">
        <f t="shared" si="560"/>
        <v>1</v>
      </c>
      <c r="J1390" s="121">
        <f t="shared" si="561"/>
        <v>1</v>
      </c>
      <c r="K1390" s="120">
        <f t="shared" si="562"/>
        <v>0</v>
      </c>
      <c r="L1390" s="120">
        <f t="shared" si="563"/>
        <v>0</v>
      </c>
      <c r="M1390" s="246">
        <f t="shared" si="564"/>
        <v>0</v>
      </c>
      <c r="N1390" s="121">
        <f t="shared" si="565"/>
        <v>1</v>
      </c>
      <c r="O1390" s="246">
        <f t="shared" si="566"/>
        <v>0.99</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87">
        <v>17</v>
      </c>
      <c r="B1391" s="242">
        <f t="shared" si="573"/>
        <v>46143</v>
      </c>
      <c r="C1391" s="243">
        <f t="shared" si="554"/>
        <v>46173</v>
      </c>
      <c r="D1391" s="120">
        <f t="shared" si="555"/>
        <v>31</v>
      </c>
      <c r="E1391" s="120">
        <f t="shared" si="556"/>
        <v>5</v>
      </c>
      <c r="F1391" s="275">
        <f t="shared" si="557"/>
        <v>46158.5</v>
      </c>
      <c r="G1391" s="120">
        <f t="shared" si="558"/>
        <v>24316</v>
      </c>
      <c r="H1391" s="245">
        <f t="shared" si="559"/>
        <v>1</v>
      </c>
      <c r="I1391" s="121">
        <f t="shared" si="560"/>
        <v>1</v>
      </c>
      <c r="J1391" s="121">
        <f t="shared" si="561"/>
        <v>1</v>
      </c>
      <c r="K1391" s="120">
        <f t="shared" si="562"/>
        <v>0</v>
      </c>
      <c r="L1391" s="120">
        <f t="shared" si="563"/>
        <v>0</v>
      </c>
      <c r="M1391" s="246">
        <f t="shared" si="564"/>
        <v>0</v>
      </c>
      <c r="N1391" s="121">
        <f t="shared" si="565"/>
        <v>1</v>
      </c>
      <c r="O1391" s="246">
        <f t="shared" si="566"/>
        <v>0.99</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87">
        <v>18</v>
      </c>
      <c r="B1392" s="242">
        <f t="shared" si="573"/>
        <v>46174</v>
      </c>
      <c r="C1392" s="243">
        <f t="shared" si="554"/>
        <v>46203</v>
      </c>
      <c r="D1392" s="120">
        <f t="shared" si="555"/>
        <v>30</v>
      </c>
      <c r="E1392" s="120">
        <f t="shared" si="556"/>
        <v>6</v>
      </c>
      <c r="F1392" s="275">
        <f t="shared" si="557"/>
        <v>46189</v>
      </c>
      <c r="G1392" s="120">
        <f t="shared" si="558"/>
        <v>24317</v>
      </c>
      <c r="H1392" s="245">
        <f t="shared" si="559"/>
        <v>1</v>
      </c>
      <c r="I1392" s="121">
        <f t="shared" si="560"/>
        <v>1</v>
      </c>
      <c r="J1392" s="121">
        <f t="shared" si="561"/>
        <v>1</v>
      </c>
      <c r="K1392" s="120">
        <f t="shared" si="562"/>
        <v>0</v>
      </c>
      <c r="L1392" s="120">
        <f t="shared" si="563"/>
        <v>0</v>
      </c>
      <c r="M1392" s="246">
        <f t="shared" si="564"/>
        <v>0</v>
      </c>
      <c r="N1392" s="121">
        <f t="shared" si="565"/>
        <v>1</v>
      </c>
      <c r="O1392" s="246">
        <f t="shared" si="566"/>
        <v>0.99</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87">
        <v>19</v>
      </c>
      <c r="B1393" s="242">
        <f t="shared" si="573"/>
        <v>46204</v>
      </c>
      <c r="C1393" s="243">
        <f t="shared" si="554"/>
        <v>46234</v>
      </c>
      <c r="D1393" s="120">
        <f t="shared" si="555"/>
        <v>31</v>
      </c>
      <c r="E1393" s="120">
        <f t="shared" si="556"/>
        <v>7</v>
      </c>
      <c r="F1393" s="275">
        <f t="shared" si="557"/>
        <v>46219.5</v>
      </c>
      <c r="G1393" s="120">
        <f t="shared" si="558"/>
        <v>24318</v>
      </c>
      <c r="H1393" s="245">
        <f t="shared" si="559"/>
        <v>1</v>
      </c>
      <c r="I1393" s="121">
        <f t="shared" si="560"/>
        <v>1</v>
      </c>
      <c r="J1393" s="121">
        <f t="shared" si="561"/>
        <v>1</v>
      </c>
      <c r="K1393" s="120">
        <f t="shared" si="562"/>
        <v>0</v>
      </c>
      <c r="L1393" s="120">
        <f t="shared" si="563"/>
        <v>0</v>
      </c>
      <c r="M1393" s="246">
        <f t="shared" si="564"/>
        <v>0</v>
      </c>
      <c r="N1393" s="121">
        <f t="shared" si="565"/>
        <v>1</v>
      </c>
      <c r="O1393" s="246">
        <f t="shared" si="566"/>
        <v>0.99</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87">
        <v>20</v>
      </c>
      <c r="B1394" s="242">
        <f t="shared" si="573"/>
        <v>46235</v>
      </c>
      <c r="C1394" s="243">
        <f t="shared" si="554"/>
        <v>46265</v>
      </c>
      <c r="D1394" s="120">
        <f t="shared" si="555"/>
        <v>31</v>
      </c>
      <c r="E1394" s="120">
        <f t="shared" si="556"/>
        <v>8</v>
      </c>
      <c r="F1394" s="275">
        <f t="shared" si="557"/>
        <v>46250.5</v>
      </c>
      <c r="G1394" s="120">
        <f t="shared" si="558"/>
        <v>24319</v>
      </c>
      <c r="H1394" s="245">
        <f t="shared" si="559"/>
        <v>1</v>
      </c>
      <c r="I1394" s="121">
        <f t="shared" si="560"/>
        <v>1</v>
      </c>
      <c r="J1394" s="121">
        <f t="shared" si="561"/>
        <v>1</v>
      </c>
      <c r="K1394" s="120">
        <f t="shared" si="562"/>
        <v>0</v>
      </c>
      <c r="L1394" s="120">
        <f t="shared" si="563"/>
        <v>0</v>
      </c>
      <c r="M1394" s="246">
        <f t="shared" si="564"/>
        <v>0</v>
      </c>
      <c r="N1394" s="121">
        <f t="shared" si="565"/>
        <v>1</v>
      </c>
      <c r="O1394" s="246">
        <f t="shared" si="566"/>
        <v>0.99</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87">
        <v>21</v>
      </c>
      <c r="B1395" s="242">
        <f t="shared" si="573"/>
        <v>46266</v>
      </c>
      <c r="C1395" s="243">
        <f t="shared" si="554"/>
        <v>46295</v>
      </c>
      <c r="D1395" s="120">
        <f t="shared" si="555"/>
        <v>30</v>
      </c>
      <c r="E1395" s="120">
        <f t="shared" si="556"/>
        <v>9</v>
      </c>
      <c r="F1395" s="275">
        <f t="shared" si="557"/>
        <v>46281</v>
      </c>
      <c r="G1395" s="120">
        <f t="shared" si="558"/>
        <v>24320</v>
      </c>
      <c r="H1395" s="245">
        <f t="shared" si="559"/>
        <v>1</v>
      </c>
      <c r="I1395" s="121">
        <f t="shared" si="560"/>
        <v>1</v>
      </c>
      <c r="J1395" s="121">
        <f t="shared" si="561"/>
        <v>1</v>
      </c>
      <c r="K1395" s="120">
        <f t="shared" si="562"/>
        <v>0</v>
      </c>
      <c r="L1395" s="120">
        <f t="shared" si="563"/>
        <v>0</v>
      </c>
      <c r="M1395" s="246">
        <f t="shared" si="564"/>
        <v>0</v>
      </c>
      <c r="N1395" s="121">
        <f t="shared" si="565"/>
        <v>1</v>
      </c>
      <c r="O1395" s="246">
        <f t="shared" si="566"/>
        <v>0.99</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87">
        <v>22</v>
      </c>
      <c r="B1396" s="242">
        <f t="shared" si="573"/>
        <v>46296</v>
      </c>
      <c r="C1396" s="243">
        <f t="shared" si="554"/>
        <v>46326</v>
      </c>
      <c r="D1396" s="120">
        <f t="shared" si="555"/>
        <v>31</v>
      </c>
      <c r="E1396" s="120">
        <f t="shared" si="556"/>
        <v>10</v>
      </c>
      <c r="F1396" s="275">
        <f t="shared" si="557"/>
        <v>46311.5</v>
      </c>
      <c r="G1396" s="120">
        <f t="shared" si="558"/>
        <v>24321</v>
      </c>
      <c r="H1396" s="245">
        <f t="shared" si="559"/>
        <v>1</v>
      </c>
      <c r="I1396" s="121">
        <f t="shared" si="560"/>
        <v>1</v>
      </c>
      <c r="J1396" s="121">
        <f t="shared" si="561"/>
        <v>1.08</v>
      </c>
      <c r="K1396" s="120">
        <f t="shared" si="562"/>
        <v>1</v>
      </c>
      <c r="L1396" s="120">
        <f t="shared" si="563"/>
        <v>31</v>
      </c>
      <c r="M1396" s="246">
        <f t="shared" si="564"/>
        <v>1</v>
      </c>
      <c r="N1396" s="121">
        <f t="shared" si="565"/>
        <v>1.08</v>
      </c>
      <c r="O1396" s="246">
        <f t="shared" si="566"/>
        <v>0.99</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87">
        <v>23</v>
      </c>
      <c r="B1397" s="242">
        <f t="shared" si="573"/>
        <v>46327</v>
      </c>
      <c r="C1397" s="243">
        <f t="shared" si="554"/>
        <v>46356</v>
      </c>
      <c r="D1397" s="120">
        <f t="shared" si="555"/>
        <v>30</v>
      </c>
      <c r="E1397" s="120">
        <f t="shared" si="556"/>
        <v>11</v>
      </c>
      <c r="F1397" s="275">
        <f t="shared" si="557"/>
        <v>46342</v>
      </c>
      <c r="G1397" s="120">
        <f t="shared" si="558"/>
        <v>24322</v>
      </c>
      <c r="H1397" s="245">
        <f t="shared" si="559"/>
        <v>1</v>
      </c>
      <c r="I1397" s="121">
        <f t="shared" si="560"/>
        <v>1.08</v>
      </c>
      <c r="J1397" s="121">
        <f t="shared" si="561"/>
        <v>1.08</v>
      </c>
      <c r="K1397" s="120">
        <f t="shared" si="562"/>
        <v>0</v>
      </c>
      <c r="L1397" s="120">
        <f t="shared" si="563"/>
        <v>0</v>
      </c>
      <c r="M1397" s="246">
        <f t="shared" si="564"/>
        <v>0</v>
      </c>
      <c r="N1397" s="121">
        <f t="shared" si="565"/>
        <v>1.08</v>
      </c>
      <c r="O1397" s="246">
        <f t="shared" si="566"/>
        <v>0.99</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87">
        <v>24</v>
      </c>
      <c r="B1398" s="242">
        <f t="shared" si="573"/>
        <v>46357</v>
      </c>
      <c r="C1398" s="243">
        <f t="shared" si="554"/>
        <v>46387</v>
      </c>
      <c r="D1398" s="120">
        <f t="shared" si="555"/>
        <v>31</v>
      </c>
      <c r="E1398" s="120">
        <f t="shared" si="556"/>
        <v>12</v>
      </c>
      <c r="F1398" s="275">
        <f t="shared" si="557"/>
        <v>46372.5</v>
      </c>
      <c r="G1398" s="120">
        <f t="shared" si="558"/>
        <v>24323</v>
      </c>
      <c r="H1398" s="245">
        <f t="shared" si="559"/>
        <v>1</v>
      </c>
      <c r="I1398" s="121">
        <f t="shared" si="560"/>
        <v>1.08</v>
      </c>
      <c r="J1398" s="121">
        <f t="shared" si="561"/>
        <v>1.08</v>
      </c>
      <c r="K1398" s="120">
        <f t="shared" si="562"/>
        <v>0</v>
      </c>
      <c r="L1398" s="120">
        <f t="shared" si="563"/>
        <v>0</v>
      </c>
      <c r="M1398" s="246">
        <f t="shared" si="564"/>
        <v>0</v>
      </c>
      <c r="N1398" s="121">
        <f t="shared" si="565"/>
        <v>1.08</v>
      </c>
      <c r="O1398" s="246">
        <f t="shared" si="566"/>
        <v>0.99</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87">
        <v>25</v>
      </c>
      <c r="B1399" s="242">
        <f t="shared" si="573"/>
        <v>46388</v>
      </c>
      <c r="C1399" s="243">
        <f t="shared" si="554"/>
        <v>46418</v>
      </c>
      <c r="D1399" s="120">
        <f t="shared" si="555"/>
        <v>31</v>
      </c>
      <c r="E1399" s="120">
        <f t="shared" si="556"/>
        <v>1</v>
      </c>
      <c r="F1399" s="275">
        <f t="shared" si="557"/>
        <v>46403.5</v>
      </c>
      <c r="G1399" s="120">
        <f t="shared" si="558"/>
        <v>24324</v>
      </c>
      <c r="H1399" s="245">
        <f t="shared" si="559"/>
        <v>1</v>
      </c>
      <c r="I1399" s="121">
        <f t="shared" si="560"/>
        <v>1.08</v>
      </c>
      <c r="J1399" s="121">
        <f t="shared" si="561"/>
        <v>1.08</v>
      </c>
      <c r="K1399" s="120">
        <f t="shared" si="562"/>
        <v>0</v>
      </c>
      <c r="L1399" s="120">
        <f t="shared" si="563"/>
        <v>0</v>
      </c>
      <c r="M1399" s="246">
        <f t="shared" si="564"/>
        <v>0</v>
      </c>
      <c r="N1399" s="121">
        <f t="shared" si="565"/>
        <v>1.08</v>
      </c>
      <c r="O1399" s="246">
        <f t="shared" si="566"/>
        <v>0.99</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87">
        <v>26</v>
      </c>
      <c r="B1400" s="242">
        <f t="shared" si="573"/>
        <v>46419</v>
      </c>
      <c r="C1400" s="243">
        <f t="shared" si="554"/>
        <v>46446</v>
      </c>
      <c r="D1400" s="120">
        <f t="shared" si="555"/>
        <v>28</v>
      </c>
      <c r="E1400" s="120">
        <f t="shared" si="556"/>
        <v>2</v>
      </c>
      <c r="F1400" s="275">
        <f t="shared" si="557"/>
        <v>46433</v>
      </c>
      <c r="G1400" s="120">
        <f t="shared" si="558"/>
        <v>24325</v>
      </c>
      <c r="H1400" s="245">
        <f t="shared" si="559"/>
        <v>1</v>
      </c>
      <c r="I1400" s="121">
        <f t="shared" si="560"/>
        <v>1.08</v>
      </c>
      <c r="J1400" s="121">
        <f t="shared" si="561"/>
        <v>1.08</v>
      </c>
      <c r="K1400" s="120">
        <f t="shared" si="562"/>
        <v>0</v>
      </c>
      <c r="L1400" s="120">
        <f t="shared" si="563"/>
        <v>0</v>
      </c>
      <c r="M1400" s="246">
        <f t="shared" si="564"/>
        <v>0</v>
      </c>
      <c r="N1400" s="121">
        <f t="shared" si="565"/>
        <v>1.08</v>
      </c>
      <c r="O1400" s="246">
        <f t="shared" si="566"/>
        <v>0.99</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87">
        <v>27</v>
      </c>
      <c r="B1401" s="242">
        <f t="shared" si="573"/>
        <v>46447</v>
      </c>
      <c r="C1401" s="243">
        <f t="shared" si="554"/>
        <v>46477</v>
      </c>
      <c r="D1401" s="120">
        <f t="shared" si="555"/>
        <v>31</v>
      </c>
      <c r="E1401" s="120">
        <f t="shared" si="556"/>
        <v>3</v>
      </c>
      <c r="F1401" s="275">
        <f t="shared" si="557"/>
        <v>46462.5</v>
      </c>
      <c r="G1401" s="120">
        <f t="shared" si="558"/>
        <v>24326</v>
      </c>
      <c r="H1401" s="245">
        <f t="shared" si="559"/>
        <v>1</v>
      </c>
      <c r="I1401" s="121">
        <f t="shared" si="560"/>
        <v>1.08</v>
      </c>
      <c r="J1401" s="121">
        <f t="shared" si="561"/>
        <v>1.1318400000000002</v>
      </c>
      <c r="K1401" s="120">
        <f t="shared" si="562"/>
        <v>1</v>
      </c>
      <c r="L1401" s="120">
        <f t="shared" si="563"/>
        <v>31</v>
      </c>
      <c r="M1401" s="246">
        <f t="shared" si="564"/>
        <v>1</v>
      </c>
      <c r="N1401" s="121">
        <f t="shared" si="565"/>
        <v>1.1318400000000002</v>
      </c>
      <c r="O1401" s="246">
        <f t="shared" si="566"/>
        <v>0.99</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87">
        <v>28</v>
      </c>
      <c r="B1402" s="242">
        <f t="shared" si="573"/>
        <v>46478</v>
      </c>
      <c r="C1402" s="243">
        <f t="shared" si="554"/>
        <v>46507</v>
      </c>
      <c r="D1402" s="120">
        <f t="shared" si="555"/>
        <v>30</v>
      </c>
      <c r="E1402" s="120">
        <f t="shared" si="556"/>
        <v>4</v>
      </c>
      <c r="F1402" s="275">
        <f t="shared" si="557"/>
        <v>46493</v>
      </c>
      <c r="G1402" s="120">
        <f t="shared" si="558"/>
        <v>24327</v>
      </c>
      <c r="H1402" s="245">
        <f t="shared" si="559"/>
        <v>1</v>
      </c>
      <c r="I1402" s="121">
        <f t="shared" si="560"/>
        <v>1.1318400000000002</v>
      </c>
      <c r="J1402" s="121">
        <f t="shared" si="561"/>
        <v>1.1318400000000002</v>
      </c>
      <c r="K1402" s="120">
        <f t="shared" si="562"/>
        <v>0</v>
      </c>
      <c r="L1402" s="120">
        <f t="shared" si="563"/>
        <v>0</v>
      </c>
      <c r="M1402" s="246">
        <f t="shared" si="564"/>
        <v>0</v>
      </c>
      <c r="N1402" s="121">
        <f t="shared" si="565"/>
        <v>1.1318400000000002</v>
      </c>
      <c r="O1402" s="246">
        <f t="shared" si="566"/>
        <v>0.99</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87">
        <v>29</v>
      </c>
      <c r="B1403" s="242">
        <f t="shared" si="573"/>
        <v>46508</v>
      </c>
      <c r="C1403" s="243">
        <f t="shared" si="554"/>
        <v>46538</v>
      </c>
      <c r="D1403" s="120">
        <f t="shared" si="555"/>
        <v>31</v>
      </c>
      <c r="E1403" s="120">
        <f t="shared" si="556"/>
        <v>5</v>
      </c>
      <c r="F1403" s="275">
        <f t="shared" si="557"/>
        <v>46523.5</v>
      </c>
      <c r="G1403" s="120">
        <f t="shared" si="558"/>
        <v>24328</v>
      </c>
      <c r="H1403" s="245">
        <f t="shared" si="559"/>
        <v>1</v>
      </c>
      <c r="I1403" s="121">
        <f t="shared" si="560"/>
        <v>1.1318400000000002</v>
      </c>
      <c r="J1403" s="121">
        <f t="shared" si="561"/>
        <v>1.1318400000000002</v>
      </c>
      <c r="K1403" s="120">
        <f t="shared" si="562"/>
        <v>0</v>
      </c>
      <c r="L1403" s="120">
        <f t="shared" si="563"/>
        <v>0</v>
      </c>
      <c r="M1403" s="246">
        <f t="shared" si="564"/>
        <v>0</v>
      </c>
      <c r="N1403" s="121">
        <f t="shared" si="565"/>
        <v>1.1318400000000002</v>
      </c>
      <c r="O1403" s="246">
        <f t="shared" si="566"/>
        <v>0.99</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87">
        <v>30</v>
      </c>
      <c r="B1404" s="242">
        <f t="shared" si="573"/>
        <v>46539</v>
      </c>
      <c r="C1404" s="243">
        <f t="shared" si="554"/>
        <v>46568</v>
      </c>
      <c r="D1404" s="120">
        <f t="shared" si="555"/>
        <v>30</v>
      </c>
      <c r="E1404" s="120">
        <f t="shared" si="556"/>
        <v>6</v>
      </c>
      <c r="F1404" s="275">
        <f t="shared" si="557"/>
        <v>46554</v>
      </c>
      <c r="G1404" s="120">
        <f t="shared" si="558"/>
        <v>24329</v>
      </c>
      <c r="H1404" s="245">
        <f t="shared" si="559"/>
        <v>1</v>
      </c>
      <c r="I1404" s="121">
        <f t="shared" si="560"/>
        <v>1.1318400000000002</v>
      </c>
      <c r="J1404" s="121">
        <f t="shared" si="561"/>
        <v>1.1318400000000002</v>
      </c>
      <c r="K1404" s="120">
        <f t="shared" si="562"/>
        <v>0</v>
      </c>
      <c r="L1404" s="120">
        <f t="shared" si="563"/>
        <v>0</v>
      </c>
      <c r="M1404" s="246">
        <f t="shared" si="564"/>
        <v>0</v>
      </c>
      <c r="N1404" s="121">
        <f t="shared" si="565"/>
        <v>1.1318400000000002</v>
      </c>
      <c r="O1404" s="246">
        <f t="shared" si="566"/>
        <v>0.99</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87">
        <v>31</v>
      </c>
      <c r="B1405" s="242">
        <f t="shared" si="573"/>
        <v>46569</v>
      </c>
      <c r="C1405" s="243">
        <f t="shared" si="554"/>
        <v>46599</v>
      </c>
      <c r="D1405" s="120">
        <f t="shared" si="555"/>
        <v>31</v>
      </c>
      <c r="E1405" s="120">
        <f t="shared" si="556"/>
        <v>7</v>
      </c>
      <c r="F1405" s="275">
        <f t="shared" si="557"/>
        <v>46584.5</v>
      </c>
      <c r="G1405" s="120">
        <f t="shared" si="558"/>
        <v>24330</v>
      </c>
      <c r="H1405" s="245">
        <f t="shared" si="559"/>
        <v>1</v>
      </c>
      <c r="I1405" s="121">
        <f t="shared" si="560"/>
        <v>1.1318400000000002</v>
      </c>
      <c r="J1405" s="121">
        <f t="shared" si="561"/>
        <v>1.1318400000000002</v>
      </c>
      <c r="K1405" s="120">
        <f t="shared" si="562"/>
        <v>0</v>
      </c>
      <c r="L1405" s="120">
        <f t="shared" si="563"/>
        <v>0</v>
      </c>
      <c r="M1405" s="246">
        <f t="shared" si="564"/>
        <v>0</v>
      </c>
      <c r="N1405" s="121">
        <f t="shared" si="565"/>
        <v>1.1318400000000002</v>
      </c>
      <c r="O1405" s="246">
        <f t="shared" si="566"/>
        <v>0.99</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87">
        <v>32</v>
      </c>
      <c r="B1406" s="242">
        <f t="shared" si="573"/>
        <v>46600</v>
      </c>
      <c r="C1406" s="243">
        <f t="shared" si="554"/>
        <v>46630</v>
      </c>
      <c r="D1406" s="120">
        <f t="shared" si="555"/>
        <v>31</v>
      </c>
      <c r="E1406" s="120">
        <f t="shared" si="556"/>
        <v>8</v>
      </c>
      <c r="F1406" s="275">
        <f t="shared" si="557"/>
        <v>46615.5</v>
      </c>
      <c r="G1406" s="120">
        <f t="shared" si="558"/>
        <v>24331</v>
      </c>
      <c r="H1406" s="245">
        <f t="shared" si="559"/>
        <v>1</v>
      </c>
      <c r="I1406" s="121">
        <f t="shared" si="560"/>
        <v>1.1318400000000002</v>
      </c>
      <c r="J1406" s="121">
        <f t="shared" si="561"/>
        <v>1.1318400000000002</v>
      </c>
      <c r="K1406" s="120">
        <f t="shared" si="562"/>
        <v>0</v>
      </c>
      <c r="L1406" s="120">
        <f t="shared" si="563"/>
        <v>0</v>
      </c>
      <c r="M1406" s="246">
        <f t="shared" si="564"/>
        <v>0</v>
      </c>
      <c r="N1406" s="121">
        <f t="shared" si="565"/>
        <v>1.1318400000000002</v>
      </c>
      <c r="O1406" s="246">
        <f t="shared" si="566"/>
        <v>0.99</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87">
        <v>33</v>
      </c>
      <c r="B1407" s="242">
        <f t="shared" si="573"/>
        <v>46631</v>
      </c>
      <c r="C1407" s="243">
        <f t="shared" si="554"/>
        <v>46660</v>
      </c>
      <c r="D1407" s="120">
        <f t="shared" si="555"/>
        <v>30</v>
      </c>
      <c r="E1407" s="120">
        <f t="shared" si="556"/>
        <v>9</v>
      </c>
      <c r="F1407" s="275">
        <f t="shared" si="557"/>
        <v>46646</v>
      </c>
      <c r="G1407" s="120">
        <f t="shared" si="558"/>
        <v>24332</v>
      </c>
      <c r="H1407" s="245">
        <f t="shared" si="559"/>
        <v>1</v>
      </c>
      <c r="I1407" s="121">
        <f t="shared" si="560"/>
        <v>1.1318400000000002</v>
      </c>
      <c r="J1407" s="121">
        <f t="shared" si="561"/>
        <v>1.1318400000000002</v>
      </c>
      <c r="K1407" s="120">
        <f t="shared" si="562"/>
        <v>0</v>
      </c>
      <c r="L1407" s="120">
        <f t="shared" si="563"/>
        <v>0</v>
      </c>
      <c r="M1407" s="246">
        <f t="shared" si="564"/>
        <v>0</v>
      </c>
      <c r="N1407" s="121">
        <f t="shared" si="565"/>
        <v>1.1318400000000002</v>
      </c>
      <c r="O1407" s="246">
        <f t="shared" si="566"/>
        <v>0.99</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87">
        <v>34</v>
      </c>
      <c r="B1408" s="242">
        <f t="shared" si="573"/>
        <v>46661</v>
      </c>
      <c r="C1408" s="243">
        <f t="shared" si="554"/>
        <v>46691</v>
      </c>
      <c r="D1408" s="120">
        <f t="shared" si="555"/>
        <v>31</v>
      </c>
      <c r="E1408" s="120">
        <f t="shared" si="556"/>
        <v>10</v>
      </c>
      <c r="F1408" s="275">
        <f t="shared" si="557"/>
        <v>46676.5</v>
      </c>
      <c r="G1408" s="120">
        <f t="shared" si="558"/>
        <v>24333</v>
      </c>
      <c r="H1408" s="245">
        <f t="shared" si="559"/>
        <v>1</v>
      </c>
      <c r="I1408" s="121">
        <f t="shared" si="560"/>
        <v>1.1318400000000002</v>
      </c>
      <c r="J1408" s="121">
        <f t="shared" si="561"/>
        <v>1.1318400000000002</v>
      </c>
      <c r="K1408" s="120">
        <f t="shared" si="562"/>
        <v>0</v>
      </c>
      <c r="L1408" s="120">
        <f t="shared" si="563"/>
        <v>0</v>
      </c>
      <c r="M1408" s="246">
        <f t="shared" si="564"/>
        <v>0</v>
      </c>
      <c r="N1408" s="121">
        <f t="shared" si="565"/>
        <v>1.1318400000000002</v>
      </c>
      <c r="O1408" s="246">
        <f t="shared" si="566"/>
        <v>0.99</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87">
        <v>35</v>
      </c>
      <c r="B1409" s="242">
        <f t="shared" si="573"/>
        <v>46692</v>
      </c>
      <c r="C1409" s="243">
        <f t="shared" si="554"/>
        <v>46721</v>
      </c>
      <c r="D1409" s="120">
        <f t="shared" si="555"/>
        <v>30</v>
      </c>
      <c r="E1409" s="120">
        <f t="shared" si="556"/>
        <v>11</v>
      </c>
      <c r="F1409" s="275">
        <f t="shared" si="557"/>
        <v>46707</v>
      </c>
      <c r="G1409" s="120">
        <f t="shared" si="558"/>
        <v>24334</v>
      </c>
      <c r="H1409" s="245">
        <f t="shared" si="559"/>
        <v>1</v>
      </c>
      <c r="I1409" s="121">
        <f t="shared" si="560"/>
        <v>1.1318400000000002</v>
      </c>
      <c r="J1409" s="121">
        <f t="shared" si="561"/>
        <v>1.1318400000000002</v>
      </c>
      <c r="K1409" s="120">
        <f t="shared" si="562"/>
        <v>0</v>
      </c>
      <c r="L1409" s="120">
        <f t="shared" si="563"/>
        <v>0</v>
      </c>
      <c r="M1409" s="246">
        <f t="shared" si="564"/>
        <v>0</v>
      </c>
      <c r="N1409" s="121">
        <f t="shared" si="565"/>
        <v>1.1318400000000002</v>
      </c>
      <c r="O1409" s="246">
        <f t="shared" si="566"/>
        <v>0.99</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87">
        <v>36</v>
      </c>
      <c r="B1410" s="242">
        <f t="shared" si="573"/>
        <v>46722</v>
      </c>
      <c r="C1410" s="243">
        <f t="shared" si="554"/>
        <v>46752</v>
      </c>
      <c r="D1410" s="120">
        <f t="shared" si="555"/>
        <v>31</v>
      </c>
      <c r="E1410" s="120">
        <f t="shared" si="556"/>
        <v>12</v>
      </c>
      <c r="F1410" s="275">
        <f t="shared" si="557"/>
        <v>46737.5</v>
      </c>
      <c r="G1410" s="120">
        <f t="shared" si="558"/>
        <v>24335</v>
      </c>
      <c r="H1410" s="245">
        <f t="shared" si="559"/>
        <v>1</v>
      </c>
      <c r="I1410" s="121">
        <f t="shared" si="560"/>
        <v>1.1318400000000002</v>
      </c>
      <c r="J1410" s="121">
        <f t="shared" si="561"/>
        <v>1.1318400000000002</v>
      </c>
      <c r="K1410" s="120">
        <f t="shared" si="562"/>
        <v>0</v>
      </c>
      <c r="L1410" s="120">
        <f t="shared" si="563"/>
        <v>0</v>
      </c>
      <c r="M1410" s="246">
        <f t="shared" si="564"/>
        <v>0</v>
      </c>
      <c r="N1410" s="121">
        <f t="shared" si="565"/>
        <v>1.1318400000000002</v>
      </c>
      <c r="O1410" s="246">
        <f t="shared" si="566"/>
        <v>0.99</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87">
        <v>37</v>
      </c>
      <c r="B1411" s="242">
        <f t="shared" si="573"/>
        <v>46753</v>
      </c>
      <c r="C1411" s="243">
        <f t="shared" si="554"/>
        <v>46783</v>
      </c>
      <c r="D1411" s="120">
        <f t="shared" si="555"/>
        <v>31</v>
      </c>
      <c r="E1411" s="120">
        <f t="shared" si="556"/>
        <v>1</v>
      </c>
      <c r="F1411" s="275">
        <f t="shared" si="557"/>
        <v>46768.5</v>
      </c>
      <c r="G1411" s="120">
        <f t="shared" si="558"/>
        <v>24336</v>
      </c>
      <c r="H1411" s="245">
        <f t="shared" si="559"/>
        <v>1</v>
      </c>
      <c r="I1411" s="121">
        <f t="shared" si="560"/>
        <v>1.1318400000000002</v>
      </c>
      <c r="J1411" s="121">
        <f t="shared" si="561"/>
        <v>1.1318400000000002</v>
      </c>
      <c r="K1411" s="120">
        <f t="shared" si="562"/>
        <v>0</v>
      </c>
      <c r="L1411" s="120">
        <f t="shared" si="563"/>
        <v>0</v>
      </c>
      <c r="M1411" s="246">
        <f t="shared" si="564"/>
        <v>0</v>
      </c>
      <c r="N1411" s="121">
        <f t="shared" si="565"/>
        <v>1.1318400000000002</v>
      </c>
      <c r="O1411" s="246">
        <f t="shared" si="566"/>
        <v>0.99</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87">
        <v>38</v>
      </c>
      <c r="B1412" s="242">
        <f t="shared" si="573"/>
        <v>46784</v>
      </c>
      <c r="C1412" s="243">
        <f t="shared" si="554"/>
        <v>46812</v>
      </c>
      <c r="D1412" s="120">
        <f t="shared" si="555"/>
        <v>29</v>
      </c>
      <c r="E1412" s="120">
        <f t="shared" si="556"/>
        <v>2</v>
      </c>
      <c r="F1412" s="275">
        <f t="shared" si="557"/>
        <v>46798.5</v>
      </c>
      <c r="G1412" s="120">
        <f t="shared" si="558"/>
        <v>24337</v>
      </c>
      <c r="H1412" s="245">
        <f t="shared" si="559"/>
        <v>1</v>
      </c>
      <c r="I1412" s="121">
        <f t="shared" si="560"/>
        <v>1.1318400000000002</v>
      </c>
      <c r="J1412" s="121">
        <f t="shared" si="561"/>
        <v>1.1318400000000002</v>
      </c>
      <c r="K1412" s="120">
        <f t="shared" si="562"/>
        <v>0</v>
      </c>
      <c r="L1412" s="120">
        <f t="shared" si="563"/>
        <v>0</v>
      </c>
      <c r="M1412" s="246">
        <f t="shared" si="564"/>
        <v>0</v>
      </c>
      <c r="N1412" s="121">
        <f t="shared" si="565"/>
        <v>1.1318400000000002</v>
      </c>
      <c r="O1412" s="246">
        <f t="shared" si="566"/>
        <v>0.99</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87">
        <v>39</v>
      </c>
      <c r="B1413" s="242">
        <f t="shared" si="573"/>
        <v>46813</v>
      </c>
      <c r="C1413" s="243">
        <f t="shared" si="554"/>
        <v>46843</v>
      </c>
      <c r="D1413" s="120">
        <f t="shared" si="555"/>
        <v>31</v>
      </c>
      <c r="E1413" s="120">
        <f t="shared" si="556"/>
        <v>3</v>
      </c>
      <c r="F1413" s="275">
        <f t="shared" si="557"/>
        <v>46828.5</v>
      </c>
      <c r="G1413" s="120">
        <f t="shared" si="558"/>
        <v>24338</v>
      </c>
      <c r="H1413" s="245">
        <f t="shared" si="559"/>
        <v>1</v>
      </c>
      <c r="I1413" s="121">
        <f t="shared" si="560"/>
        <v>1.1318400000000002</v>
      </c>
      <c r="J1413" s="121">
        <f t="shared" si="561"/>
        <v>1.1318400000000002</v>
      </c>
      <c r="K1413" s="120">
        <f t="shared" si="562"/>
        <v>0</v>
      </c>
      <c r="L1413" s="120">
        <f t="shared" si="563"/>
        <v>0</v>
      </c>
      <c r="M1413" s="246">
        <f t="shared" si="564"/>
        <v>0</v>
      </c>
      <c r="N1413" s="121">
        <f t="shared" si="565"/>
        <v>1.1318400000000002</v>
      </c>
      <c r="O1413" s="246">
        <f t="shared" si="566"/>
        <v>0.99</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87">
        <v>40</v>
      </c>
      <c r="B1414" s="242">
        <f t="shared" si="573"/>
        <v>46844</v>
      </c>
      <c r="C1414" s="243">
        <f t="shared" si="554"/>
        <v>46873</v>
      </c>
      <c r="D1414" s="120">
        <f t="shared" si="555"/>
        <v>30</v>
      </c>
      <c r="E1414" s="120">
        <f t="shared" si="556"/>
        <v>4</v>
      </c>
      <c r="F1414" s="275">
        <f t="shared" si="557"/>
        <v>46859</v>
      </c>
      <c r="G1414" s="120">
        <f t="shared" si="558"/>
        <v>24339</v>
      </c>
      <c r="H1414" s="245">
        <f t="shared" si="559"/>
        <v>1</v>
      </c>
      <c r="I1414" s="121">
        <f t="shared" si="560"/>
        <v>1.1318400000000002</v>
      </c>
      <c r="J1414" s="121">
        <f t="shared" si="561"/>
        <v>1.1318400000000002</v>
      </c>
      <c r="K1414" s="120">
        <f t="shared" si="562"/>
        <v>0</v>
      </c>
      <c r="L1414" s="120">
        <f t="shared" si="563"/>
        <v>0</v>
      </c>
      <c r="M1414" s="246">
        <f t="shared" si="564"/>
        <v>0</v>
      </c>
      <c r="N1414" s="121">
        <f t="shared" si="565"/>
        <v>1.1318400000000002</v>
      </c>
      <c r="O1414" s="246">
        <f t="shared" si="566"/>
        <v>0.99</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87">
        <v>41</v>
      </c>
      <c r="B1415" s="242">
        <f t="shared" si="573"/>
        <v>46874</v>
      </c>
      <c r="C1415" s="243">
        <f t="shared" si="554"/>
        <v>46904</v>
      </c>
      <c r="D1415" s="120">
        <f t="shared" si="555"/>
        <v>31</v>
      </c>
      <c r="E1415" s="120">
        <f t="shared" si="556"/>
        <v>5</v>
      </c>
      <c r="F1415" s="275">
        <f t="shared" si="557"/>
        <v>46889.5</v>
      </c>
      <c r="G1415" s="120">
        <f t="shared" si="558"/>
        <v>24340</v>
      </c>
      <c r="H1415" s="245">
        <f t="shared" si="559"/>
        <v>1</v>
      </c>
      <c r="I1415" s="121">
        <f t="shared" si="560"/>
        <v>1.1318400000000002</v>
      </c>
      <c r="J1415" s="121">
        <f t="shared" si="561"/>
        <v>1.1318400000000002</v>
      </c>
      <c r="K1415" s="120">
        <f t="shared" si="562"/>
        <v>0</v>
      </c>
      <c r="L1415" s="120">
        <f t="shared" si="563"/>
        <v>0</v>
      </c>
      <c r="M1415" s="246">
        <f t="shared" si="564"/>
        <v>0</v>
      </c>
      <c r="N1415" s="121">
        <f t="shared" si="565"/>
        <v>1.1318400000000002</v>
      </c>
      <c r="O1415" s="246">
        <f t="shared" si="566"/>
        <v>0.99</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87">
        <v>42</v>
      </c>
      <c r="B1416" s="242">
        <f t="shared" si="573"/>
        <v>46905</v>
      </c>
      <c r="C1416" s="243">
        <f t="shared" si="554"/>
        <v>46934</v>
      </c>
      <c r="D1416" s="120">
        <f t="shared" si="555"/>
        <v>30</v>
      </c>
      <c r="E1416" s="120">
        <f t="shared" si="556"/>
        <v>6</v>
      </c>
      <c r="F1416" s="275">
        <f t="shared" si="557"/>
        <v>46920</v>
      </c>
      <c r="G1416" s="120">
        <f t="shared" si="558"/>
        <v>24341</v>
      </c>
      <c r="H1416" s="245">
        <f t="shared" si="559"/>
        <v>1</v>
      </c>
      <c r="I1416" s="121">
        <f t="shared" si="560"/>
        <v>1.1318400000000002</v>
      </c>
      <c r="J1416" s="121">
        <f t="shared" si="561"/>
        <v>1.1318400000000002</v>
      </c>
      <c r="K1416" s="120">
        <f t="shared" si="562"/>
        <v>0</v>
      </c>
      <c r="L1416" s="120">
        <f t="shared" si="563"/>
        <v>0</v>
      </c>
      <c r="M1416" s="246">
        <f t="shared" si="564"/>
        <v>0</v>
      </c>
      <c r="N1416" s="121">
        <f t="shared" si="565"/>
        <v>1.1318400000000002</v>
      </c>
      <c r="O1416" s="246">
        <f t="shared" si="566"/>
        <v>0.99</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87">
        <v>43</v>
      </c>
      <c r="B1417" s="242">
        <f t="shared" si="573"/>
        <v>46935</v>
      </c>
      <c r="C1417" s="243">
        <f t="shared" si="554"/>
        <v>46965</v>
      </c>
      <c r="D1417" s="120">
        <f t="shared" si="555"/>
        <v>31</v>
      </c>
      <c r="E1417" s="120">
        <f t="shared" si="556"/>
        <v>7</v>
      </c>
      <c r="F1417" s="275">
        <f t="shared" si="557"/>
        <v>46950.5</v>
      </c>
      <c r="G1417" s="120">
        <f t="shared" si="558"/>
        <v>24342</v>
      </c>
      <c r="H1417" s="245">
        <f t="shared" si="559"/>
        <v>1</v>
      </c>
      <c r="I1417" s="121">
        <f t="shared" si="560"/>
        <v>1.1318400000000002</v>
      </c>
      <c r="J1417" s="121">
        <f t="shared" si="561"/>
        <v>1.1318400000000002</v>
      </c>
      <c r="K1417" s="120">
        <f t="shared" si="562"/>
        <v>0</v>
      </c>
      <c r="L1417" s="120">
        <f t="shared" si="563"/>
        <v>0</v>
      </c>
      <c r="M1417" s="246">
        <f t="shared" si="564"/>
        <v>0</v>
      </c>
      <c r="N1417" s="121">
        <f t="shared" si="565"/>
        <v>1.1318400000000002</v>
      </c>
      <c r="O1417" s="246">
        <f t="shared" si="566"/>
        <v>0.99</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87">
        <v>44</v>
      </c>
      <c r="B1418" s="242">
        <f t="shared" si="573"/>
        <v>46966</v>
      </c>
      <c r="C1418" s="243">
        <f t="shared" si="554"/>
        <v>46996</v>
      </c>
      <c r="D1418" s="120">
        <f t="shared" si="555"/>
        <v>31</v>
      </c>
      <c r="E1418" s="120">
        <f t="shared" si="556"/>
        <v>8</v>
      </c>
      <c r="F1418" s="275">
        <f t="shared" si="557"/>
        <v>46981.5</v>
      </c>
      <c r="G1418" s="120">
        <f t="shared" si="558"/>
        <v>24343</v>
      </c>
      <c r="H1418" s="245">
        <f t="shared" si="559"/>
        <v>1</v>
      </c>
      <c r="I1418" s="121">
        <f t="shared" si="560"/>
        <v>1.1318400000000002</v>
      </c>
      <c r="J1418" s="121">
        <f t="shared" si="561"/>
        <v>1.1318400000000002</v>
      </c>
      <c r="K1418" s="120">
        <f t="shared" si="562"/>
        <v>0</v>
      </c>
      <c r="L1418" s="120">
        <f t="shared" si="563"/>
        <v>0</v>
      </c>
      <c r="M1418" s="246">
        <f t="shared" si="564"/>
        <v>0</v>
      </c>
      <c r="N1418" s="121">
        <f t="shared" si="565"/>
        <v>1.1318400000000002</v>
      </c>
      <c r="O1418" s="246">
        <f t="shared" si="566"/>
        <v>0.99</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87">
        <v>45</v>
      </c>
      <c r="B1419" s="242">
        <f t="shared" si="573"/>
        <v>46997</v>
      </c>
      <c r="C1419" s="243">
        <f t="shared" si="554"/>
        <v>47026</v>
      </c>
      <c r="D1419" s="120">
        <f t="shared" si="555"/>
        <v>30</v>
      </c>
      <c r="E1419" s="120">
        <f t="shared" si="556"/>
        <v>9</v>
      </c>
      <c r="F1419" s="275">
        <f t="shared" si="557"/>
        <v>47012</v>
      </c>
      <c r="G1419" s="120">
        <f t="shared" si="558"/>
        <v>24344</v>
      </c>
      <c r="H1419" s="245">
        <f t="shared" si="559"/>
        <v>1</v>
      </c>
      <c r="I1419" s="121">
        <f t="shared" si="560"/>
        <v>1.1318400000000002</v>
      </c>
      <c r="J1419" s="121">
        <f t="shared" si="561"/>
        <v>1.1318400000000002</v>
      </c>
      <c r="K1419" s="120">
        <f t="shared" si="562"/>
        <v>0</v>
      </c>
      <c r="L1419" s="120">
        <f t="shared" si="563"/>
        <v>0</v>
      </c>
      <c r="M1419" s="246">
        <f t="shared" si="564"/>
        <v>0</v>
      </c>
      <c r="N1419" s="121">
        <f t="shared" si="565"/>
        <v>1.1318400000000002</v>
      </c>
      <c r="O1419" s="246">
        <f t="shared" si="566"/>
        <v>0.99</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87">
        <v>46</v>
      </c>
      <c r="B1420" s="242">
        <f t="shared" si="573"/>
        <v>47027</v>
      </c>
      <c r="C1420" s="243">
        <f t="shared" si="554"/>
        <v>47057</v>
      </c>
      <c r="D1420" s="120">
        <f t="shared" si="555"/>
        <v>31</v>
      </c>
      <c r="E1420" s="120">
        <f t="shared" si="556"/>
        <v>10</v>
      </c>
      <c r="F1420" s="275">
        <f t="shared" si="557"/>
        <v>47042.5</v>
      </c>
      <c r="G1420" s="120">
        <f t="shared" si="558"/>
        <v>24345</v>
      </c>
      <c r="H1420" s="245">
        <f t="shared" si="559"/>
        <v>1</v>
      </c>
      <c r="I1420" s="121">
        <f t="shared" si="560"/>
        <v>1.1318400000000002</v>
      </c>
      <c r="J1420" s="121">
        <f t="shared" si="561"/>
        <v>1.1318400000000002</v>
      </c>
      <c r="K1420" s="120">
        <f t="shared" si="562"/>
        <v>0</v>
      </c>
      <c r="L1420" s="120">
        <f t="shared" si="563"/>
        <v>0</v>
      </c>
      <c r="M1420" s="246">
        <f t="shared" si="564"/>
        <v>0</v>
      </c>
      <c r="N1420" s="121">
        <f t="shared" si="565"/>
        <v>1.1318400000000002</v>
      </c>
      <c r="O1420" s="246">
        <f t="shared" si="566"/>
        <v>0.99</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87">
        <v>47</v>
      </c>
      <c r="B1421" s="242">
        <f t="shared" si="573"/>
        <v>47058</v>
      </c>
      <c r="C1421" s="243">
        <f t="shared" si="554"/>
        <v>47087</v>
      </c>
      <c r="D1421" s="120">
        <f t="shared" si="555"/>
        <v>30</v>
      </c>
      <c r="E1421" s="120">
        <f t="shared" si="556"/>
        <v>11</v>
      </c>
      <c r="F1421" s="275">
        <f t="shared" si="557"/>
        <v>47073</v>
      </c>
      <c r="G1421" s="120">
        <f t="shared" si="558"/>
        <v>24346</v>
      </c>
      <c r="H1421" s="245">
        <f t="shared" si="559"/>
        <v>1</v>
      </c>
      <c r="I1421" s="121">
        <f t="shared" si="560"/>
        <v>1.1318400000000002</v>
      </c>
      <c r="J1421" s="121">
        <f t="shared" si="561"/>
        <v>1.1318400000000002</v>
      </c>
      <c r="K1421" s="120">
        <f t="shared" si="562"/>
        <v>0</v>
      </c>
      <c r="L1421" s="120">
        <f t="shared" si="563"/>
        <v>0</v>
      </c>
      <c r="M1421" s="246">
        <f t="shared" si="564"/>
        <v>0</v>
      </c>
      <c r="N1421" s="121">
        <f t="shared" si="565"/>
        <v>1.1318400000000002</v>
      </c>
      <c r="O1421" s="246">
        <f t="shared" si="566"/>
        <v>0.99</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87">
        <v>48</v>
      </c>
      <c r="B1422" s="242">
        <f t="shared" si="573"/>
        <v>47088</v>
      </c>
      <c r="C1422" s="243">
        <f t="shared" si="554"/>
        <v>47118</v>
      </c>
      <c r="D1422" s="120">
        <f t="shared" si="555"/>
        <v>31</v>
      </c>
      <c r="E1422" s="120">
        <f t="shared" si="556"/>
        <v>12</v>
      </c>
      <c r="F1422" s="275">
        <f t="shared" si="557"/>
        <v>47103.5</v>
      </c>
      <c r="G1422" s="120">
        <f t="shared" si="558"/>
        <v>24347</v>
      </c>
      <c r="H1422" s="245">
        <f t="shared" si="559"/>
        <v>1</v>
      </c>
      <c r="I1422" s="121">
        <f t="shared" si="560"/>
        <v>1.1318400000000002</v>
      </c>
      <c r="J1422" s="121">
        <f t="shared" si="561"/>
        <v>1.1318400000000002</v>
      </c>
      <c r="K1422" s="120">
        <f t="shared" si="562"/>
        <v>0</v>
      </c>
      <c r="L1422" s="120">
        <f t="shared" si="563"/>
        <v>0</v>
      </c>
      <c r="M1422" s="246">
        <f t="shared" si="564"/>
        <v>0</v>
      </c>
      <c r="N1422" s="121">
        <f t="shared" si="565"/>
        <v>1.1318400000000002</v>
      </c>
      <c r="O1422" s="246">
        <f t="shared" si="566"/>
        <v>0.99</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1651</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24">
        <f>SUMPRODUCT($H$1375:$H$1422,$Q$1375:$Q$1422,$O$1375:$O$1422)/SUMPRODUCT($H$1375:$H$1422,$Q$1375:$Q$1422)</f>
        <v>0.9900000000000001</v>
      </c>
      <c r="G1423" s="224">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24">
        <f>IF(N(INDEX(lr_mind,26))=0,1,INDEX(lr_mind,26))</f>
        <v>1</v>
      </c>
      <c r="G1426" s="224">
        <f>IF(N(INDEX(lr_m0,26))=0,1,INDEX(lr_m0,26))</f>
        <v>0.99</v>
      </c>
      <c r="H1426" s="74">
        <f>IF(N(INDEX(lr_m0asof,26))=0,DATE(nr_PlanYear-1,10,1),INDEX(lr_m0asof,26))</f>
        <v>46295</v>
      </c>
      <c r="I1426" s="224">
        <f>IF(N(INDEX(lr_m1,26))=0,1,INDEX(lr_m1,26))</f>
        <v>1.0049999999999999</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74">EOMONTH($B1429,0)</f>
        <v>45688</v>
      </c>
      <c r="D1429" s="120">
        <f t="shared" ref="D1429:D1476" si="575">$C1429-$B1429+1</f>
        <v>31</v>
      </c>
      <c r="E1429" s="120">
        <f t="shared" ref="E1429:E1476" si="576">MONTH($B1429)</f>
        <v>1</v>
      </c>
      <c r="F1429" s="275">
        <f t="shared" ref="F1429:F1476" si="577">($B1429+$C1429+1)/2</f>
        <v>45673.5</v>
      </c>
      <c r="G1429" s="120">
        <f t="shared" ref="G1429:G1476" si="578">YEAR($B1429)*12+MONTH($B1429)-1</f>
        <v>24300</v>
      </c>
      <c r="H1429" s="245">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46">
        <f t="shared" ref="M1429:M1476" si="584">IF($K1429=0,0,MIN(1,$L1429/$D1429))</f>
        <v>0</v>
      </c>
      <c r="N1429" s="121">
        <f t="shared" ref="N1429:N1476" si="585">IF($K1429=0,$J1429,(1-$M1429)*$I1429+$M1429*$J1429)</f>
        <v>1</v>
      </c>
      <c r="O1429" s="246">
        <f t="shared" ref="O1429:O1476" si="586">IF($F1429&lt;$B$1427,$E$1427+$I$1427*($F1429-$A$1427),IF($F1429&lt;$C$1427,$F$1427+$J$1427*($F1429-$B$1427),$G$1427+$K$1427*($F1429-$C$1427)))</f>
        <v>0.96956783369803068</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87">
        <v>2</v>
      </c>
      <c r="B1430" s="242">
        <f t="shared" ref="B1430:B1476" si="593">EDATE($B1429,1)</f>
        <v>45689</v>
      </c>
      <c r="C1430" s="243">
        <f t="shared" si="574"/>
        <v>45716</v>
      </c>
      <c r="D1430" s="120">
        <f t="shared" si="575"/>
        <v>28</v>
      </c>
      <c r="E1430" s="120">
        <f t="shared" si="576"/>
        <v>2</v>
      </c>
      <c r="F1430" s="275">
        <f t="shared" si="577"/>
        <v>45703</v>
      </c>
      <c r="G1430" s="120">
        <f t="shared" si="578"/>
        <v>24301</v>
      </c>
      <c r="H1430" s="245">
        <f t="shared" si="579"/>
        <v>1</v>
      </c>
      <c r="I1430" s="121">
        <f t="shared" si="580"/>
        <v>1</v>
      </c>
      <c r="J1430" s="121">
        <f t="shared" si="581"/>
        <v>1</v>
      </c>
      <c r="K1430" s="120">
        <f t="shared" si="582"/>
        <v>0</v>
      </c>
      <c r="L1430" s="120">
        <f t="shared" si="583"/>
        <v>0</v>
      </c>
      <c r="M1430" s="246">
        <f t="shared" si="584"/>
        <v>0</v>
      </c>
      <c r="N1430" s="121">
        <f t="shared" si="585"/>
        <v>1</v>
      </c>
      <c r="O1430" s="246">
        <f t="shared" si="586"/>
        <v>0.97053610503282284</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87">
        <v>3</v>
      </c>
      <c r="B1431" s="242">
        <f t="shared" si="593"/>
        <v>45717</v>
      </c>
      <c r="C1431" s="243">
        <f t="shared" si="574"/>
        <v>45747</v>
      </c>
      <c r="D1431" s="120">
        <f t="shared" si="575"/>
        <v>31</v>
      </c>
      <c r="E1431" s="120">
        <f t="shared" si="576"/>
        <v>3</v>
      </c>
      <c r="F1431" s="275">
        <f t="shared" si="577"/>
        <v>45732.5</v>
      </c>
      <c r="G1431" s="120">
        <f t="shared" si="578"/>
        <v>24302</v>
      </c>
      <c r="H1431" s="245">
        <f t="shared" si="579"/>
        <v>1</v>
      </c>
      <c r="I1431" s="121">
        <f t="shared" si="580"/>
        <v>1</v>
      </c>
      <c r="J1431" s="121">
        <f t="shared" si="581"/>
        <v>1</v>
      </c>
      <c r="K1431" s="120">
        <f t="shared" si="582"/>
        <v>0</v>
      </c>
      <c r="L1431" s="120">
        <f t="shared" si="583"/>
        <v>0</v>
      </c>
      <c r="M1431" s="246">
        <f t="shared" si="584"/>
        <v>0</v>
      </c>
      <c r="N1431" s="121">
        <f t="shared" si="585"/>
        <v>1</v>
      </c>
      <c r="O1431" s="246">
        <f t="shared" si="586"/>
        <v>0.971504376367615</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87">
        <v>4</v>
      </c>
      <c r="B1432" s="242">
        <f t="shared" si="593"/>
        <v>45748</v>
      </c>
      <c r="C1432" s="243">
        <f t="shared" si="574"/>
        <v>45777</v>
      </c>
      <c r="D1432" s="120">
        <f t="shared" si="575"/>
        <v>30</v>
      </c>
      <c r="E1432" s="120">
        <f t="shared" si="576"/>
        <v>4</v>
      </c>
      <c r="F1432" s="275">
        <f t="shared" si="577"/>
        <v>45763</v>
      </c>
      <c r="G1432" s="120">
        <f t="shared" si="578"/>
        <v>24303</v>
      </c>
      <c r="H1432" s="245">
        <f t="shared" si="579"/>
        <v>1</v>
      </c>
      <c r="I1432" s="121">
        <f t="shared" si="580"/>
        <v>1</v>
      </c>
      <c r="J1432" s="121">
        <f t="shared" si="581"/>
        <v>1</v>
      </c>
      <c r="K1432" s="120">
        <f t="shared" si="582"/>
        <v>0</v>
      </c>
      <c r="L1432" s="120">
        <f t="shared" si="583"/>
        <v>0</v>
      </c>
      <c r="M1432" s="246">
        <f t="shared" si="584"/>
        <v>0</v>
      </c>
      <c r="N1432" s="121">
        <f t="shared" si="585"/>
        <v>1</v>
      </c>
      <c r="O1432" s="246">
        <f t="shared" si="586"/>
        <v>0.97250547045951863</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87">
        <v>5</v>
      </c>
      <c r="B1433" s="242">
        <f t="shared" si="593"/>
        <v>45778</v>
      </c>
      <c r="C1433" s="243">
        <f t="shared" si="574"/>
        <v>45808</v>
      </c>
      <c r="D1433" s="120">
        <f t="shared" si="575"/>
        <v>31</v>
      </c>
      <c r="E1433" s="120">
        <f t="shared" si="576"/>
        <v>5</v>
      </c>
      <c r="F1433" s="275">
        <f t="shared" si="577"/>
        <v>45793.5</v>
      </c>
      <c r="G1433" s="120">
        <f t="shared" si="578"/>
        <v>24304</v>
      </c>
      <c r="H1433" s="245">
        <f t="shared" si="579"/>
        <v>1</v>
      </c>
      <c r="I1433" s="121">
        <f t="shared" si="580"/>
        <v>1</v>
      </c>
      <c r="J1433" s="121">
        <f t="shared" si="581"/>
        <v>1</v>
      </c>
      <c r="K1433" s="120">
        <f t="shared" si="582"/>
        <v>0</v>
      </c>
      <c r="L1433" s="120">
        <f t="shared" si="583"/>
        <v>0</v>
      </c>
      <c r="M1433" s="246">
        <f t="shared" si="584"/>
        <v>0</v>
      </c>
      <c r="N1433" s="121">
        <f t="shared" si="585"/>
        <v>1</v>
      </c>
      <c r="O1433" s="246">
        <f t="shared" si="586"/>
        <v>0.97350656455142237</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87">
        <v>6</v>
      </c>
      <c r="B1434" s="242">
        <f t="shared" si="593"/>
        <v>45809</v>
      </c>
      <c r="C1434" s="243">
        <f t="shared" si="574"/>
        <v>45838</v>
      </c>
      <c r="D1434" s="120">
        <f t="shared" si="575"/>
        <v>30</v>
      </c>
      <c r="E1434" s="120">
        <f t="shared" si="576"/>
        <v>6</v>
      </c>
      <c r="F1434" s="275">
        <f t="shared" si="577"/>
        <v>45824</v>
      </c>
      <c r="G1434" s="120">
        <f t="shared" si="578"/>
        <v>24305</v>
      </c>
      <c r="H1434" s="245">
        <f t="shared" si="579"/>
        <v>1</v>
      </c>
      <c r="I1434" s="121">
        <f t="shared" si="580"/>
        <v>1</v>
      </c>
      <c r="J1434" s="121">
        <f t="shared" si="581"/>
        <v>1</v>
      </c>
      <c r="K1434" s="120">
        <f t="shared" si="582"/>
        <v>0</v>
      </c>
      <c r="L1434" s="120">
        <f t="shared" si="583"/>
        <v>0</v>
      </c>
      <c r="M1434" s="246">
        <f t="shared" si="584"/>
        <v>0</v>
      </c>
      <c r="N1434" s="121">
        <f t="shared" si="585"/>
        <v>1</v>
      </c>
      <c r="O1434" s="246">
        <f t="shared" si="586"/>
        <v>0.97450765864332611</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87">
        <v>7</v>
      </c>
      <c r="B1435" s="242">
        <f t="shared" si="593"/>
        <v>45839</v>
      </c>
      <c r="C1435" s="243">
        <f t="shared" si="574"/>
        <v>45869</v>
      </c>
      <c r="D1435" s="120">
        <f t="shared" si="575"/>
        <v>31</v>
      </c>
      <c r="E1435" s="120">
        <f t="shared" si="576"/>
        <v>7</v>
      </c>
      <c r="F1435" s="275">
        <f t="shared" si="577"/>
        <v>45854.5</v>
      </c>
      <c r="G1435" s="120">
        <f t="shared" si="578"/>
        <v>24306</v>
      </c>
      <c r="H1435" s="245">
        <f t="shared" si="579"/>
        <v>1</v>
      </c>
      <c r="I1435" s="121">
        <f t="shared" si="580"/>
        <v>1</v>
      </c>
      <c r="J1435" s="121">
        <f t="shared" si="581"/>
        <v>1</v>
      </c>
      <c r="K1435" s="120">
        <f t="shared" si="582"/>
        <v>0</v>
      </c>
      <c r="L1435" s="120">
        <f t="shared" si="583"/>
        <v>0</v>
      </c>
      <c r="M1435" s="246">
        <f t="shared" si="584"/>
        <v>0</v>
      </c>
      <c r="N1435" s="121">
        <f t="shared" si="585"/>
        <v>1</v>
      </c>
      <c r="O1435" s="246">
        <f t="shared" si="586"/>
        <v>0.97550875273522986</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87">
        <v>8</v>
      </c>
      <c r="B1436" s="242">
        <f t="shared" si="593"/>
        <v>45870</v>
      </c>
      <c r="C1436" s="243">
        <f t="shared" si="574"/>
        <v>45900</v>
      </c>
      <c r="D1436" s="120">
        <f t="shared" si="575"/>
        <v>31</v>
      </c>
      <c r="E1436" s="120">
        <f t="shared" si="576"/>
        <v>8</v>
      </c>
      <c r="F1436" s="275">
        <f t="shared" si="577"/>
        <v>45885.5</v>
      </c>
      <c r="G1436" s="120">
        <f t="shared" si="578"/>
        <v>24307</v>
      </c>
      <c r="H1436" s="245">
        <f t="shared" si="579"/>
        <v>1</v>
      </c>
      <c r="I1436" s="121">
        <f t="shared" si="580"/>
        <v>1</v>
      </c>
      <c r="J1436" s="121">
        <f t="shared" si="581"/>
        <v>1</v>
      </c>
      <c r="K1436" s="120">
        <f t="shared" si="582"/>
        <v>0</v>
      </c>
      <c r="L1436" s="120">
        <f t="shared" si="583"/>
        <v>0</v>
      </c>
      <c r="M1436" s="246">
        <f t="shared" si="584"/>
        <v>0</v>
      </c>
      <c r="N1436" s="121">
        <f t="shared" si="585"/>
        <v>1</v>
      </c>
      <c r="O1436" s="246">
        <f t="shared" si="586"/>
        <v>0.97652625820568928</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87">
        <v>9</v>
      </c>
      <c r="B1437" s="242">
        <f t="shared" si="593"/>
        <v>45901</v>
      </c>
      <c r="C1437" s="243">
        <f t="shared" si="574"/>
        <v>45930</v>
      </c>
      <c r="D1437" s="120">
        <f t="shared" si="575"/>
        <v>30</v>
      </c>
      <c r="E1437" s="120">
        <f t="shared" si="576"/>
        <v>9</v>
      </c>
      <c r="F1437" s="275">
        <f t="shared" si="577"/>
        <v>45916</v>
      </c>
      <c r="G1437" s="120">
        <f t="shared" si="578"/>
        <v>24308</v>
      </c>
      <c r="H1437" s="245">
        <f t="shared" si="579"/>
        <v>1</v>
      </c>
      <c r="I1437" s="121">
        <f t="shared" si="580"/>
        <v>1</v>
      </c>
      <c r="J1437" s="121">
        <f t="shared" si="581"/>
        <v>1</v>
      </c>
      <c r="K1437" s="120">
        <f t="shared" si="582"/>
        <v>0</v>
      </c>
      <c r="L1437" s="120">
        <f t="shared" si="583"/>
        <v>0</v>
      </c>
      <c r="M1437" s="246">
        <f t="shared" si="584"/>
        <v>0</v>
      </c>
      <c r="N1437" s="121">
        <f t="shared" si="585"/>
        <v>1</v>
      </c>
      <c r="O1437" s="246">
        <f t="shared" si="586"/>
        <v>0.97752735229759302</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87">
        <v>10</v>
      </c>
      <c r="B1438" s="242">
        <f t="shared" si="593"/>
        <v>45931</v>
      </c>
      <c r="C1438" s="243">
        <f t="shared" si="574"/>
        <v>45961</v>
      </c>
      <c r="D1438" s="120">
        <f t="shared" si="575"/>
        <v>31</v>
      </c>
      <c r="E1438" s="120">
        <f t="shared" si="576"/>
        <v>10</v>
      </c>
      <c r="F1438" s="275">
        <f t="shared" si="577"/>
        <v>45946.5</v>
      </c>
      <c r="G1438" s="120">
        <f t="shared" si="578"/>
        <v>24309</v>
      </c>
      <c r="H1438" s="245">
        <f t="shared" si="579"/>
        <v>1</v>
      </c>
      <c r="I1438" s="121">
        <f t="shared" si="580"/>
        <v>1</v>
      </c>
      <c r="J1438" s="121">
        <f t="shared" si="581"/>
        <v>1</v>
      </c>
      <c r="K1438" s="120">
        <f t="shared" si="582"/>
        <v>0</v>
      </c>
      <c r="L1438" s="120">
        <f t="shared" si="583"/>
        <v>0</v>
      </c>
      <c r="M1438" s="246">
        <f t="shared" si="584"/>
        <v>0</v>
      </c>
      <c r="N1438" s="121">
        <f t="shared" si="585"/>
        <v>1</v>
      </c>
      <c r="O1438" s="246">
        <f t="shared" si="586"/>
        <v>0.97852844638949676</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87">
        <v>11</v>
      </c>
      <c r="B1439" s="242">
        <f t="shared" si="593"/>
        <v>45962</v>
      </c>
      <c r="C1439" s="243">
        <f t="shared" si="574"/>
        <v>45991</v>
      </c>
      <c r="D1439" s="120">
        <f t="shared" si="575"/>
        <v>30</v>
      </c>
      <c r="E1439" s="120">
        <f t="shared" si="576"/>
        <v>11</v>
      </c>
      <c r="F1439" s="275">
        <f t="shared" si="577"/>
        <v>45977</v>
      </c>
      <c r="G1439" s="120">
        <f t="shared" si="578"/>
        <v>24310</v>
      </c>
      <c r="H1439" s="245">
        <f t="shared" si="579"/>
        <v>1</v>
      </c>
      <c r="I1439" s="121">
        <f t="shared" si="580"/>
        <v>1</v>
      </c>
      <c r="J1439" s="121">
        <f t="shared" si="581"/>
        <v>1</v>
      </c>
      <c r="K1439" s="120">
        <f t="shared" si="582"/>
        <v>0</v>
      </c>
      <c r="L1439" s="120">
        <f t="shared" si="583"/>
        <v>0</v>
      </c>
      <c r="M1439" s="246">
        <f t="shared" si="584"/>
        <v>0</v>
      </c>
      <c r="N1439" s="121">
        <f t="shared" si="585"/>
        <v>1</v>
      </c>
      <c r="O1439" s="246">
        <f t="shared" si="586"/>
        <v>0.97952954048140051</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87">
        <v>12</v>
      </c>
      <c r="B1440" s="242">
        <f t="shared" si="593"/>
        <v>45992</v>
      </c>
      <c r="C1440" s="243">
        <f t="shared" si="574"/>
        <v>46022</v>
      </c>
      <c r="D1440" s="120">
        <f t="shared" si="575"/>
        <v>31</v>
      </c>
      <c r="E1440" s="120">
        <f t="shared" si="576"/>
        <v>12</v>
      </c>
      <c r="F1440" s="275">
        <f t="shared" si="577"/>
        <v>46007.5</v>
      </c>
      <c r="G1440" s="120">
        <f t="shared" si="578"/>
        <v>24311</v>
      </c>
      <c r="H1440" s="245">
        <f t="shared" si="579"/>
        <v>1</v>
      </c>
      <c r="I1440" s="121">
        <f t="shared" si="580"/>
        <v>1</v>
      </c>
      <c r="J1440" s="121">
        <f t="shared" si="581"/>
        <v>1</v>
      </c>
      <c r="K1440" s="120">
        <f t="shared" si="582"/>
        <v>0</v>
      </c>
      <c r="L1440" s="120">
        <f t="shared" si="583"/>
        <v>0</v>
      </c>
      <c r="M1440" s="246">
        <f t="shared" si="584"/>
        <v>0</v>
      </c>
      <c r="N1440" s="121">
        <f t="shared" si="585"/>
        <v>1</v>
      </c>
      <c r="O1440" s="246">
        <f t="shared" si="586"/>
        <v>0.98053063457330414</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87">
        <v>13</v>
      </c>
      <c r="B1441" s="242">
        <f t="shared" si="593"/>
        <v>46023</v>
      </c>
      <c r="C1441" s="243">
        <f t="shared" si="574"/>
        <v>46053</v>
      </c>
      <c r="D1441" s="120">
        <f t="shared" si="575"/>
        <v>31</v>
      </c>
      <c r="E1441" s="120">
        <f t="shared" si="576"/>
        <v>1</v>
      </c>
      <c r="F1441" s="275">
        <f t="shared" si="577"/>
        <v>46038.5</v>
      </c>
      <c r="G1441" s="120">
        <f t="shared" si="578"/>
        <v>24312</v>
      </c>
      <c r="H1441" s="245">
        <f t="shared" si="579"/>
        <v>1</v>
      </c>
      <c r="I1441" s="121">
        <f t="shared" si="580"/>
        <v>1</v>
      </c>
      <c r="J1441" s="121">
        <f t="shared" si="581"/>
        <v>1</v>
      </c>
      <c r="K1441" s="120">
        <f t="shared" si="582"/>
        <v>0</v>
      </c>
      <c r="L1441" s="120">
        <f t="shared" si="583"/>
        <v>0</v>
      </c>
      <c r="M1441" s="246">
        <f t="shared" si="584"/>
        <v>0</v>
      </c>
      <c r="N1441" s="121">
        <f t="shared" si="585"/>
        <v>1</v>
      </c>
      <c r="O1441" s="246">
        <f t="shared" si="586"/>
        <v>0.98154814004376367</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87">
        <v>14</v>
      </c>
      <c r="B1442" s="242">
        <f t="shared" si="593"/>
        <v>46054</v>
      </c>
      <c r="C1442" s="243">
        <f t="shared" si="574"/>
        <v>46081</v>
      </c>
      <c r="D1442" s="120">
        <f t="shared" si="575"/>
        <v>28</v>
      </c>
      <c r="E1442" s="120">
        <f t="shared" si="576"/>
        <v>2</v>
      </c>
      <c r="F1442" s="275">
        <f t="shared" si="577"/>
        <v>46068</v>
      </c>
      <c r="G1442" s="120">
        <f t="shared" si="578"/>
        <v>24313</v>
      </c>
      <c r="H1442" s="245">
        <f t="shared" si="579"/>
        <v>1</v>
      </c>
      <c r="I1442" s="121">
        <f t="shared" si="580"/>
        <v>1</v>
      </c>
      <c r="J1442" s="121">
        <f t="shared" si="581"/>
        <v>1.02</v>
      </c>
      <c r="K1442" s="120">
        <f t="shared" si="582"/>
        <v>1</v>
      </c>
      <c r="L1442" s="120">
        <f t="shared" si="583"/>
        <v>28</v>
      </c>
      <c r="M1442" s="246">
        <f t="shared" si="584"/>
        <v>1</v>
      </c>
      <c r="N1442" s="121">
        <f t="shared" si="585"/>
        <v>1.02</v>
      </c>
      <c r="O1442" s="246">
        <f t="shared" si="586"/>
        <v>0.98251641137855583</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87">
        <v>15</v>
      </c>
      <c r="B1443" s="242">
        <f t="shared" si="593"/>
        <v>46082</v>
      </c>
      <c r="C1443" s="243">
        <f t="shared" si="574"/>
        <v>46112</v>
      </c>
      <c r="D1443" s="120">
        <f t="shared" si="575"/>
        <v>31</v>
      </c>
      <c r="E1443" s="120">
        <f t="shared" si="576"/>
        <v>3</v>
      </c>
      <c r="F1443" s="275">
        <f t="shared" si="577"/>
        <v>46097.5</v>
      </c>
      <c r="G1443" s="120">
        <f t="shared" si="578"/>
        <v>24314</v>
      </c>
      <c r="H1443" s="245">
        <f t="shared" si="579"/>
        <v>1</v>
      </c>
      <c r="I1443" s="121">
        <f t="shared" si="580"/>
        <v>1.02</v>
      </c>
      <c r="J1443" s="121">
        <f t="shared" si="581"/>
        <v>1.02</v>
      </c>
      <c r="K1443" s="120">
        <f t="shared" si="582"/>
        <v>0</v>
      </c>
      <c r="L1443" s="120">
        <f t="shared" si="583"/>
        <v>0</v>
      </c>
      <c r="M1443" s="246">
        <f t="shared" si="584"/>
        <v>0</v>
      </c>
      <c r="N1443" s="121">
        <f t="shared" si="585"/>
        <v>1.02</v>
      </c>
      <c r="O1443" s="246">
        <f t="shared" si="586"/>
        <v>0.98348468271334799</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87">
        <v>16</v>
      </c>
      <c r="B1444" s="242">
        <f t="shared" si="593"/>
        <v>46113</v>
      </c>
      <c r="C1444" s="243">
        <f t="shared" si="574"/>
        <v>46142</v>
      </c>
      <c r="D1444" s="120">
        <f t="shared" si="575"/>
        <v>30</v>
      </c>
      <c r="E1444" s="120">
        <f t="shared" si="576"/>
        <v>4</v>
      </c>
      <c r="F1444" s="275">
        <f t="shared" si="577"/>
        <v>46128</v>
      </c>
      <c r="G1444" s="120">
        <f t="shared" si="578"/>
        <v>24315</v>
      </c>
      <c r="H1444" s="245">
        <f t="shared" si="579"/>
        <v>1</v>
      </c>
      <c r="I1444" s="121">
        <f t="shared" si="580"/>
        <v>1.02</v>
      </c>
      <c r="J1444" s="121">
        <f t="shared" si="581"/>
        <v>1.02</v>
      </c>
      <c r="K1444" s="120">
        <f t="shared" si="582"/>
        <v>0</v>
      </c>
      <c r="L1444" s="120">
        <f t="shared" si="583"/>
        <v>0</v>
      </c>
      <c r="M1444" s="246">
        <f t="shared" si="584"/>
        <v>0</v>
      </c>
      <c r="N1444" s="121">
        <f t="shared" si="585"/>
        <v>1.02</v>
      </c>
      <c r="O1444" s="246">
        <f t="shared" si="586"/>
        <v>0.98448577680525162</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87">
        <v>17</v>
      </c>
      <c r="B1445" s="242">
        <f t="shared" si="593"/>
        <v>46143</v>
      </c>
      <c r="C1445" s="243">
        <f t="shared" si="574"/>
        <v>46173</v>
      </c>
      <c r="D1445" s="120">
        <f t="shared" si="575"/>
        <v>31</v>
      </c>
      <c r="E1445" s="120">
        <f t="shared" si="576"/>
        <v>5</v>
      </c>
      <c r="F1445" s="275">
        <f t="shared" si="577"/>
        <v>46158.5</v>
      </c>
      <c r="G1445" s="120">
        <f t="shared" si="578"/>
        <v>24316</v>
      </c>
      <c r="H1445" s="245">
        <f t="shared" si="579"/>
        <v>1</v>
      </c>
      <c r="I1445" s="121">
        <f t="shared" si="580"/>
        <v>1.02</v>
      </c>
      <c r="J1445" s="121">
        <f t="shared" si="581"/>
        <v>1.02</v>
      </c>
      <c r="K1445" s="120">
        <f t="shared" si="582"/>
        <v>0</v>
      </c>
      <c r="L1445" s="120">
        <f t="shared" si="583"/>
        <v>0</v>
      </c>
      <c r="M1445" s="246">
        <f t="shared" si="584"/>
        <v>0</v>
      </c>
      <c r="N1445" s="121">
        <f t="shared" si="585"/>
        <v>1.02</v>
      </c>
      <c r="O1445" s="246">
        <f t="shared" si="586"/>
        <v>0.98548687089715536</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87">
        <v>18</v>
      </c>
      <c r="B1446" s="242">
        <f t="shared" si="593"/>
        <v>46174</v>
      </c>
      <c r="C1446" s="243">
        <f t="shared" si="574"/>
        <v>46203</v>
      </c>
      <c r="D1446" s="120">
        <f t="shared" si="575"/>
        <v>30</v>
      </c>
      <c r="E1446" s="120">
        <f t="shared" si="576"/>
        <v>6</v>
      </c>
      <c r="F1446" s="275">
        <f t="shared" si="577"/>
        <v>46189</v>
      </c>
      <c r="G1446" s="120">
        <f t="shared" si="578"/>
        <v>24317</v>
      </c>
      <c r="H1446" s="245">
        <f t="shared" si="579"/>
        <v>1</v>
      </c>
      <c r="I1446" s="121">
        <f t="shared" si="580"/>
        <v>1.02</v>
      </c>
      <c r="J1446" s="121">
        <f t="shared" si="581"/>
        <v>1.02</v>
      </c>
      <c r="K1446" s="120">
        <f t="shared" si="582"/>
        <v>0</v>
      </c>
      <c r="L1446" s="120">
        <f t="shared" si="583"/>
        <v>0</v>
      </c>
      <c r="M1446" s="246">
        <f t="shared" si="584"/>
        <v>0</v>
      </c>
      <c r="N1446" s="121">
        <f t="shared" si="585"/>
        <v>1.02</v>
      </c>
      <c r="O1446" s="246">
        <f t="shared" si="586"/>
        <v>0.98648796498905911</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87">
        <v>19</v>
      </c>
      <c r="B1447" s="242">
        <f t="shared" si="593"/>
        <v>46204</v>
      </c>
      <c r="C1447" s="243">
        <f t="shared" si="574"/>
        <v>46234</v>
      </c>
      <c r="D1447" s="120">
        <f t="shared" si="575"/>
        <v>31</v>
      </c>
      <c r="E1447" s="120">
        <f t="shared" si="576"/>
        <v>7</v>
      </c>
      <c r="F1447" s="275">
        <f t="shared" si="577"/>
        <v>46219.5</v>
      </c>
      <c r="G1447" s="120">
        <f t="shared" si="578"/>
        <v>24318</v>
      </c>
      <c r="H1447" s="245">
        <f t="shared" si="579"/>
        <v>1</v>
      </c>
      <c r="I1447" s="121">
        <f t="shared" si="580"/>
        <v>1.02</v>
      </c>
      <c r="J1447" s="121">
        <f t="shared" si="581"/>
        <v>1.02</v>
      </c>
      <c r="K1447" s="120">
        <f t="shared" si="582"/>
        <v>0</v>
      </c>
      <c r="L1447" s="120">
        <f t="shared" si="583"/>
        <v>0</v>
      </c>
      <c r="M1447" s="246">
        <f t="shared" si="584"/>
        <v>0</v>
      </c>
      <c r="N1447" s="121">
        <f t="shared" si="585"/>
        <v>1.02</v>
      </c>
      <c r="O1447" s="246">
        <f t="shared" si="586"/>
        <v>0.98748905908096285</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87">
        <v>20</v>
      </c>
      <c r="B1448" s="242">
        <f t="shared" si="593"/>
        <v>46235</v>
      </c>
      <c r="C1448" s="243">
        <f t="shared" si="574"/>
        <v>46265</v>
      </c>
      <c r="D1448" s="120">
        <f t="shared" si="575"/>
        <v>31</v>
      </c>
      <c r="E1448" s="120">
        <f t="shared" si="576"/>
        <v>8</v>
      </c>
      <c r="F1448" s="275">
        <f t="shared" si="577"/>
        <v>46250.5</v>
      </c>
      <c r="G1448" s="120">
        <f t="shared" si="578"/>
        <v>24319</v>
      </c>
      <c r="H1448" s="245">
        <f t="shared" si="579"/>
        <v>1</v>
      </c>
      <c r="I1448" s="121">
        <f t="shared" si="580"/>
        <v>1.02</v>
      </c>
      <c r="J1448" s="121">
        <f t="shared" si="581"/>
        <v>1.02</v>
      </c>
      <c r="K1448" s="120">
        <f t="shared" si="582"/>
        <v>0</v>
      </c>
      <c r="L1448" s="120">
        <f t="shared" si="583"/>
        <v>0</v>
      </c>
      <c r="M1448" s="246">
        <f t="shared" si="584"/>
        <v>0</v>
      </c>
      <c r="N1448" s="121">
        <f t="shared" si="585"/>
        <v>1.02</v>
      </c>
      <c r="O1448" s="246">
        <f t="shared" si="586"/>
        <v>0.98850656455142227</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87">
        <v>21</v>
      </c>
      <c r="B1449" s="242">
        <f t="shared" si="593"/>
        <v>46266</v>
      </c>
      <c r="C1449" s="243">
        <f t="shared" si="574"/>
        <v>46295</v>
      </c>
      <c r="D1449" s="120">
        <f t="shared" si="575"/>
        <v>30</v>
      </c>
      <c r="E1449" s="120">
        <f t="shared" si="576"/>
        <v>9</v>
      </c>
      <c r="F1449" s="275">
        <f t="shared" si="577"/>
        <v>46281</v>
      </c>
      <c r="G1449" s="120">
        <f t="shared" si="578"/>
        <v>24320</v>
      </c>
      <c r="H1449" s="245">
        <f t="shared" si="579"/>
        <v>1</v>
      </c>
      <c r="I1449" s="121">
        <f t="shared" si="580"/>
        <v>1.02</v>
      </c>
      <c r="J1449" s="121">
        <f t="shared" si="581"/>
        <v>1.02</v>
      </c>
      <c r="K1449" s="120">
        <f t="shared" si="582"/>
        <v>0</v>
      </c>
      <c r="L1449" s="120">
        <f t="shared" si="583"/>
        <v>0</v>
      </c>
      <c r="M1449" s="246">
        <f t="shared" si="584"/>
        <v>0</v>
      </c>
      <c r="N1449" s="121">
        <f t="shared" si="585"/>
        <v>1.02</v>
      </c>
      <c r="O1449" s="246">
        <f t="shared" si="586"/>
        <v>0.98950765864332602</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87">
        <v>22</v>
      </c>
      <c r="B1450" s="242">
        <f t="shared" si="593"/>
        <v>46296</v>
      </c>
      <c r="C1450" s="243">
        <f t="shared" si="574"/>
        <v>46326</v>
      </c>
      <c r="D1450" s="120">
        <f t="shared" si="575"/>
        <v>31</v>
      </c>
      <c r="E1450" s="120">
        <f t="shared" si="576"/>
        <v>10</v>
      </c>
      <c r="F1450" s="275">
        <f t="shared" si="577"/>
        <v>46311.5</v>
      </c>
      <c r="G1450" s="120">
        <f t="shared" si="578"/>
        <v>24321</v>
      </c>
      <c r="H1450" s="245">
        <f t="shared" si="579"/>
        <v>1</v>
      </c>
      <c r="I1450" s="121">
        <f t="shared" si="580"/>
        <v>1.02</v>
      </c>
      <c r="J1450" s="121">
        <f t="shared" si="581"/>
        <v>1.02</v>
      </c>
      <c r="K1450" s="120">
        <f t="shared" si="582"/>
        <v>0</v>
      </c>
      <c r="L1450" s="120">
        <f t="shared" si="583"/>
        <v>0</v>
      </c>
      <c r="M1450" s="246">
        <f t="shared" si="584"/>
        <v>0</v>
      </c>
      <c r="N1450" s="121">
        <f t="shared" si="585"/>
        <v>1.02</v>
      </c>
      <c r="O1450" s="246">
        <f t="shared" si="586"/>
        <v>0.99050875273522976</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87">
        <v>23</v>
      </c>
      <c r="B1451" s="242">
        <f t="shared" si="593"/>
        <v>46327</v>
      </c>
      <c r="C1451" s="243">
        <f t="shared" si="574"/>
        <v>46356</v>
      </c>
      <c r="D1451" s="120">
        <f t="shared" si="575"/>
        <v>30</v>
      </c>
      <c r="E1451" s="120">
        <f t="shared" si="576"/>
        <v>11</v>
      </c>
      <c r="F1451" s="275">
        <f t="shared" si="577"/>
        <v>46342</v>
      </c>
      <c r="G1451" s="120">
        <f t="shared" si="578"/>
        <v>24322</v>
      </c>
      <c r="H1451" s="245">
        <f t="shared" si="579"/>
        <v>1</v>
      </c>
      <c r="I1451" s="121">
        <f t="shared" si="580"/>
        <v>1.02</v>
      </c>
      <c r="J1451" s="121">
        <f t="shared" si="581"/>
        <v>1.02</v>
      </c>
      <c r="K1451" s="120">
        <f t="shared" si="582"/>
        <v>0</v>
      </c>
      <c r="L1451" s="120">
        <f t="shared" si="583"/>
        <v>0</v>
      </c>
      <c r="M1451" s="246">
        <f t="shared" si="584"/>
        <v>0</v>
      </c>
      <c r="N1451" s="121">
        <f t="shared" si="585"/>
        <v>1.02</v>
      </c>
      <c r="O1451" s="246">
        <f t="shared" si="586"/>
        <v>0.9915098468271335</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87">
        <v>24</v>
      </c>
      <c r="B1452" s="242">
        <f t="shared" si="593"/>
        <v>46357</v>
      </c>
      <c r="C1452" s="243">
        <f t="shared" si="574"/>
        <v>46387</v>
      </c>
      <c r="D1452" s="120">
        <f t="shared" si="575"/>
        <v>31</v>
      </c>
      <c r="E1452" s="120">
        <f t="shared" si="576"/>
        <v>12</v>
      </c>
      <c r="F1452" s="275">
        <f t="shared" si="577"/>
        <v>46372.5</v>
      </c>
      <c r="G1452" s="120">
        <f t="shared" si="578"/>
        <v>24323</v>
      </c>
      <c r="H1452" s="245">
        <f t="shared" si="579"/>
        <v>1</v>
      </c>
      <c r="I1452" s="121">
        <f t="shared" si="580"/>
        <v>1.02</v>
      </c>
      <c r="J1452" s="121">
        <f t="shared" si="581"/>
        <v>1.02</v>
      </c>
      <c r="K1452" s="120">
        <f t="shared" si="582"/>
        <v>0</v>
      </c>
      <c r="L1452" s="120">
        <f t="shared" si="583"/>
        <v>0</v>
      </c>
      <c r="M1452" s="246">
        <f t="shared" si="584"/>
        <v>0</v>
      </c>
      <c r="N1452" s="121">
        <f t="shared" si="585"/>
        <v>1.02</v>
      </c>
      <c r="O1452" s="246">
        <f t="shared" si="586"/>
        <v>0.99251094091903713</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87">
        <v>25</v>
      </c>
      <c r="B1453" s="242">
        <f t="shared" si="593"/>
        <v>46388</v>
      </c>
      <c r="C1453" s="243">
        <f t="shared" si="574"/>
        <v>46418</v>
      </c>
      <c r="D1453" s="120">
        <f t="shared" si="575"/>
        <v>31</v>
      </c>
      <c r="E1453" s="120">
        <f t="shared" si="576"/>
        <v>1</v>
      </c>
      <c r="F1453" s="275">
        <f t="shared" si="577"/>
        <v>46403.5</v>
      </c>
      <c r="G1453" s="120">
        <f t="shared" si="578"/>
        <v>24324</v>
      </c>
      <c r="H1453" s="245">
        <f t="shared" si="579"/>
        <v>1</v>
      </c>
      <c r="I1453" s="121">
        <f t="shared" si="580"/>
        <v>1.02</v>
      </c>
      <c r="J1453" s="121">
        <f t="shared" si="581"/>
        <v>1.02</v>
      </c>
      <c r="K1453" s="120">
        <f t="shared" si="582"/>
        <v>0</v>
      </c>
      <c r="L1453" s="120">
        <f t="shared" si="583"/>
        <v>0</v>
      </c>
      <c r="M1453" s="246">
        <f t="shared" si="584"/>
        <v>0</v>
      </c>
      <c r="N1453" s="121">
        <f t="shared" si="585"/>
        <v>1.02</v>
      </c>
      <c r="O1453" s="246">
        <f t="shared" si="586"/>
        <v>0.99352844638949667</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87">
        <v>26</v>
      </c>
      <c r="B1454" s="242">
        <f t="shared" si="593"/>
        <v>46419</v>
      </c>
      <c r="C1454" s="243">
        <f t="shared" si="574"/>
        <v>46446</v>
      </c>
      <c r="D1454" s="120">
        <f t="shared" si="575"/>
        <v>28</v>
      </c>
      <c r="E1454" s="120">
        <f t="shared" si="576"/>
        <v>2</v>
      </c>
      <c r="F1454" s="275">
        <f t="shared" si="577"/>
        <v>46433</v>
      </c>
      <c r="G1454" s="120">
        <f t="shared" si="578"/>
        <v>24325</v>
      </c>
      <c r="H1454" s="245">
        <f t="shared" si="579"/>
        <v>1</v>
      </c>
      <c r="I1454" s="121">
        <f t="shared" si="580"/>
        <v>1.02</v>
      </c>
      <c r="J1454" s="121">
        <f t="shared" si="581"/>
        <v>1.02</v>
      </c>
      <c r="K1454" s="120">
        <f t="shared" si="582"/>
        <v>0</v>
      </c>
      <c r="L1454" s="120">
        <f t="shared" si="583"/>
        <v>0</v>
      </c>
      <c r="M1454" s="246">
        <f t="shared" si="584"/>
        <v>0</v>
      </c>
      <c r="N1454" s="121">
        <f t="shared" si="585"/>
        <v>1.02</v>
      </c>
      <c r="O1454" s="246">
        <f t="shared" si="586"/>
        <v>0.99449671772428883</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87">
        <v>27</v>
      </c>
      <c r="B1455" s="242">
        <f t="shared" si="593"/>
        <v>46447</v>
      </c>
      <c r="C1455" s="243">
        <f t="shared" si="574"/>
        <v>46477</v>
      </c>
      <c r="D1455" s="120">
        <f t="shared" si="575"/>
        <v>31</v>
      </c>
      <c r="E1455" s="120">
        <f t="shared" si="576"/>
        <v>3</v>
      </c>
      <c r="F1455" s="275">
        <f t="shared" si="577"/>
        <v>46462.5</v>
      </c>
      <c r="G1455" s="120">
        <f t="shared" si="578"/>
        <v>24326</v>
      </c>
      <c r="H1455" s="245">
        <f t="shared" si="579"/>
        <v>1</v>
      </c>
      <c r="I1455" s="121">
        <f t="shared" si="580"/>
        <v>1.02</v>
      </c>
      <c r="J1455" s="121">
        <f t="shared" si="581"/>
        <v>1.02</v>
      </c>
      <c r="K1455" s="120">
        <f t="shared" si="582"/>
        <v>0</v>
      </c>
      <c r="L1455" s="120">
        <f t="shared" si="583"/>
        <v>0</v>
      </c>
      <c r="M1455" s="246">
        <f t="shared" si="584"/>
        <v>0</v>
      </c>
      <c r="N1455" s="121">
        <f t="shared" si="585"/>
        <v>1.02</v>
      </c>
      <c r="O1455" s="246">
        <f t="shared" si="586"/>
        <v>0.99546498905908087</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87">
        <v>28</v>
      </c>
      <c r="B1456" s="242">
        <f t="shared" si="593"/>
        <v>46478</v>
      </c>
      <c r="C1456" s="243">
        <f t="shared" si="574"/>
        <v>46507</v>
      </c>
      <c r="D1456" s="120">
        <f t="shared" si="575"/>
        <v>30</v>
      </c>
      <c r="E1456" s="120">
        <f t="shared" si="576"/>
        <v>4</v>
      </c>
      <c r="F1456" s="275">
        <f t="shared" si="577"/>
        <v>46493</v>
      </c>
      <c r="G1456" s="120">
        <f t="shared" si="578"/>
        <v>24327</v>
      </c>
      <c r="H1456" s="245">
        <f t="shared" si="579"/>
        <v>1</v>
      </c>
      <c r="I1456" s="121">
        <f t="shared" si="580"/>
        <v>1.02</v>
      </c>
      <c r="J1456" s="121">
        <f t="shared" si="581"/>
        <v>1.02</v>
      </c>
      <c r="K1456" s="120">
        <f t="shared" si="582"/>
        <v>0</v>
      </c>
      <c r="L1456" s="120">
        <f t="shared" si="583"/>
        <v>0</v>
      </c>
      <c r="M1456" s="246">
        <f t="shared" si="584"/>
        <v>0</v>
      </c>
      <c r="N1456" s="121">
        <f t="shared" si="585"/>
        <v>1.02</v>
      </c>
      <c r="O1456" s="246">
        <f t="shared" si="586"/>
        <v>0.99646608315098462</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87">
        <v>29</v>
      </c>
      <c r="B1457" s="242">
        <f t="shared" si="593"/>
        <v>46508</v>
      </c>
      <c r="C1457" s="243">
        <f t="shared" si="574"/>
        <v>46538</v>
      </c>
      <c r="D1457" s="120">
        <f t="shared" si="575"/>
        <v>31</v>
      </c>
      <c r="E1457" s="120">
        <f t="shared" si="576"/>
        <v>5</v>
      </c>
      <c r="F1457" s="275">
        <f t="shared" si="577"/>
        <v>46523.5</v>
      </c>
      <c r="G1457" s="120">
        <f t="shared" si="578"/>
        <v>24328</v>
      </c>
      <c r="H1457" s="245">
        <f t="shared" si="579"/>
        <v>1</v>
      </c>
      <c r="I1457" s="121">
        <f t="shared" si="580"/>
        <v>1.02</v>
      </c>
      <c r="J1457" s="121">
        <f t="shared" si="581"/>
        <v>1.02</v>
      </c>
      <c r="K1457" s="120">
        <f t="shared" si="582"/>
        <v>0</v>
      </c>
      <c r="L1457" s="120">
        <f t="shared" si="583"/>
        <v>0</v>
      </c>
      <c r="M1457" s="246">
        <f t="shared" si="584"/>
        <v>0</v>
      </c>
      <c r="N1457" s="121">
        <f t="shared" si="585"/>
        <v>1.02</v>
      </c>
      <c r="O1457" s="246">
        <f t="shared" si="586"/>
        <v>0.99746717724288836</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87">
        <v>30</v>
      </c>
      <c r="B1458" s="242">
        <f t="shared" si="593"/>
        <v>46539</v>
      </c>
      <c r="C1458" s="243">
        <f t="shared" si="574"/>
        <v>46568</v>
      </c>
      <c r="D1458" s="120">
        <f t="shared" si="575"/>
        <v>30</v>
      </c>
      <c r="E1458" s="120">
        <f t="shared" si="576"/>
        <v>6</v>
      </c>
      <c r="F1458" s="275">
        <f t="shared" si="577"/>
        <v>46554</v>
      </c>
      <c r="G1458" s="120">
        <f t="shared" si="578"/>
        <v>24329</v>
      </c>
      <c r="H1458" s="245">
        <f t="shared" si="579"/>
        <v>1</v>
      </c>
      <c r="I1458" s="121">
        <f t="shared" si="580"/>
        <v>1.02</v>
      </c>
      <c r="J1458" s="121">
        <f t="shared" si="581"/>
        <v>1.0608</v>
      </c>
      <c r="K1458" s="120">
        <f t="shared" si="582"/>
        <v>1</v>
      </c>
      <c r="L1458" s="120">
        <f t="shared" si="583"/>
        <v>30</v>
      </c>
      <c r="M1458" s="246">
        <f t="shared" si="584"/>
        <v>1</v>
      </c>
      <c r="N1458" s="121">
        <f t="shared" si="585"/>
        <v>1.0608</v>
      </c>
      <c r="O1458" s="246">
        <f t="shared" si="586"/>
        <v>0.9984682713347921</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87">
        <v>31</v>
      </c>
      <c r="B1459" s="242">
        <f t="shared" si="593"/>
        <v>46569</v>
      </c>
      <c r="C1459" s="243">
        <f t="shared" si="574"/>
        <v>46599</v>
      </c>
      <c r="D1459" s="120">
        <f t="shared" si="575"/>
        <v>31</v>
      </c>
      <c r="E1459" s="120">
        <f t="shared" si="576"/>
        <v>7</v>
      </c>
      <c r="F1459" s="275">
        <f t="shared" si="577"/>
        <v>46584.5</v>
      </c>
      <c r="G1459" s="120">
        <f t="shared" si="578"/>
        <v>24330</v>
      </c>
      <c r="H1459" s="245">
        <f t="shared" si="579"/>
        <v>1</v>
      </c>
      <c r="I1459" s="121">
        <f t="shared" si="580"/>
        <v>1.0608</v>
      </c>
      <c r="J1459" s="121">
        <f t="shared" si="581"/>
        <v>1.0608</v>
      </c>
      <c r="K1459" s="120">
        <f t="shared" si="582"/>
        <v>0</v>
      </c>
      <c r="L1459" s="120">
        <f t="shared" si="583"/>
        <v>0</v>
      </c>
      <c r="M1459" s="246">
        <f t="shared" si="584"/>
        <v>0</v>
      </c>
      <c r="N1459" s="121">
        <f t="shared" si="585"/>
        <v>1.0608</v>
      </c>
      <c r="O1459" s="246">
        <f t="shared" si="586"/>
        <v>0.99946936542669573</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87">
        <v>32</v>
      </c>
      <c r="B1460" s="242">
        <f t="shared" si="593"/>
        <v>46600</v>
      </c>
      <c r="C1460" s="243">
        <f t="shared" si="574"/>
        <v>46630</v>
      </c>
      <c r="D1460" s="120">
        <f t="shared" si="575"/>
        <v>31</v>
      </c>
      <c r="E1460" s="120">
        <f t="shared" si="576"/>
        <v>8</v>
      </c>
      <c r="F1460" s="275">
        <f t="shared" si="577"/>
        <v>46615.5</v>
      </c>
      <c r="G1460" s="120">
        <f t="shared" si="578"/>
        <v>24331</v>
      </c>
      <c r="H1460" s="245">
        <f t="shared" si="579"/>
        <v>1</v>
      </c>
      <c r="I1460" s="121">
        <f t="shared" si="580"/>
        <v>1.0608</v>
      </c>
      <c r="J1460" s="121">
        <f t="shared" si="581"/>
        <v>1.0608</v>
      </c>
      <c r="K1460" s="120">
        <f t="shared" si="582"/>
        <v>0</v>
      </c>
      <c r="L1460" s="120">
        <f t="shared" si="583"/>
        <v>0</v>
      </c>
      <c r="M1460" s="246">
        <f t="shared" si="584"/>
        <v>0</v>
      </c>
      <c r="N1460" s="121">
        <f t="shared" si="585"/>
        <v>1.0608</v>
      </c>
      <c r="O1460" s="246">
        <f t="shared" si="586"/>
        <v>1.0004868708971553</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87">
        <v>33</v>
      </c>
      <c r="B1461" s="242">
        <f t="shared" si="593"/>
        <v>46631</v>
      </c>
      <c r="C1461" s="243">
        <f t="shared" si="574"/>
        <v>46660</v>
      </c>
      <c r="D1461" s="120">
        <f t="shared" si="575"/>
        <v>30</v>
      </c>
      <c r="E1461" s="120">
        <f t="shared" si="576"/>
        <v>9</v>
      </c>
      <c r="F1461" s="275">
        <f t="shared" si="577"/>
        <v>46646</v>
      </c>
      <c r="G1461" s="120">
        <f t="shared" si="578"/>
        <v>24332</v>
      </c>
      <c r="H1461" s="245">
        <f t="shared" si="579"/>
        <v>1</v>
      </c>
      <c r="I1461" s="121">
        <f t="shared" si="580"/>
        <v>1.0608</v>
      </c>
      <c r="J1461" s="121">
        <f t="shared" si="581"/>
        <v>1.0608</v>
      </c>
      <c r="K1461" s="120">
        <f t="shared" si="582"/>
        <v>0</v>
      </c>
      <c r="L1461" s="120">
        <f t="shared" si="583"/>
        <v>0</v>
      </c>
      <c r="M1461" s="246">
        <f t="shared" si="584"/>
        <v>0</v>
      </c>
      <c r="N1461" s="121">
        <f t="shared" si="585"/>
        <v>1.0608</v>
      </c>
      <c r="O1461" s="246">
        <f t="shared" si="586"/>
        <v>1.0014879649890589</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87">
        <v>34</v>
      </c>
      <c r="B1462" s="242">
        <f t="shared" si="593"/>
        <v>46661</v>
      </c>
      <c r="C1462" s="243">
        <f t="shared" si="574"/>
        <v>46691</v>
      </c>
      <c r="D1462" s="120">
        <f t="shared" si="575"/>
        <v>31</v>
      </c>
      <c r="E1462" s="120">
        <f t="shared" si="576"/>
        <v>10</v>
      </c>
      <c r="F1462" s="275">
        <f t="shared" si="577"/>
        <v>46676.5</v>
      </c>
      <c r="G1462" s="120">
        <f t="shared" si="578"/>
        <v>24333</v>
      </c>
      <c r="H1462" s="245">
        <f t="shared" si="579"/>
        <v>1</v>
      </c>
      <c r="I1462" s="121">
        <f t="shared" si="580"/>
        <v>1.0608</v>
      </c>
      <c r="J1462" s="121">
        <f t="shared" si="581"/>
        <v>1.0608</v>
      </c>
      <c r="K1462" s="120">
        <f t="shared" si="582"/>
        <v>0</v>
      </c>
      <c r="L1462" s="120">
        <f t="shared" si="583"/>
        <v>0</v>
      </c>
      <c r="M1462" s="246">
        <f t="shared" si="584"/>
        <v>0</v>
      </c>
      <c r="N1462" s="121">
        <f t="shared" si="585"/>
        <v>1.0608</v>
      </c>
      <c r="O1462" s="246">
        <f t="shared" si="586"/>
        <v>1.0024890590809628</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87">
        <v>35</v>
      </c>
      <c r="B1463" s="242">
        <f t="shared" si="593"/>
        <v>46692</v>
      </c>
      <c r="C1463" s="243">
        <f t="shared" si="574"/>
        <v>46721</v>
      </c>
      <c r="D1463" s="120">
        <f t="shared" si="575"/>
        <v>30</v>
      </c>
      <c r="E1463" s="120">
        <f t="shared" si="576"/>
        <v>11</v>
      </c>
      <c r="F1463" s="275">
        <f t="shared" si="577"/>
        <v>46707</v>
      </c>
      <c r="G1463" s="120">
        <f t="shared" si="578"/>
        <v>24334</v>
      </c>
      <c r="H1463" s="245">
        <f t="shared" si="579"/>
        <v>1</v>
      </c>
      <c r="I1463" s="121">
        <f t="shared" si="580"/>
        <v>1.0608</v>
      </c>
      <c r="J1463" s="121">
        <f t="shared" si="581"/>
        <v>1.0608</v>
      </c>
      <c r="K1463" s="120">
        <f t="shared" si="582"/>
        <v>0</v>
      </c>
      <c r="L1463" s="120">
        <f t="shared" si="583"/>
        <v>0</v>
      </c>
      <c r="M1463" s="246">
        <f t="shared" si="584"/>
        <v>0</v>
      </c>
      <c r="N1463" s="121">
        <f t="shared" si="585"/>
        <v>1.0608</v>
      </c>
      <c r="O1463" s="246">
        <f t="shared" si="586"/>
        <v>1.0034901531728664</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87">
        <v>36</v>
      </c>
      <c r="B1464" s="242">
        <f t="shared" si="593"/>
        <v>46722</v>
      </c>
      <c r="C1464" s="243">
        <f t="shared" si="574"/>
        <v>46752</v>
      </c>
      <c r="D1464" s="120">
        <f t="shared" si="575"/>
        <v>31</v>
      </c>
      <c r="E1464" s="120">
        <f t="shared" si="576"/>
        <v>12</v>
      </c>
      <c r="F1464" s="275">
        <f t="shared" si="577"/>
        <v>46737.5</v>
      </c>
      <c r="G1464" s="120">
        <f t="shared" si="578"/>
        <v>24335</v>
      </c>
      <c r="H1464" s="245">
        <f t="shared" si="579"/>
        <v>1</v>
      </c>
      <c r="I1464" s="121">
        <f t="shared" si="580"/>
        <v>1.0608</v>
      </c>
      <c r="J1464" s="121">
        <f t="shared" si="581"/>
        <v>1.0608</v>
      </c>
      <c r="K1464" s="120">
        <f t="shared" si="582"/>
        <v>0</v>
      </c>
      <c r="L1464" s="120">
        <f t="shared" si="583"/>
        <v>0</v>
      </c>
      <c r="M1464" s="246">
        <f t="shared" si="584"/>
        <v>0</v>
      </c>
      <c r="N1464" s="121">
        <f t="shared" si="585"/>
        <v>1.0608</v>
      </c>
      <c r="O1464" s="246">
        <f t="shared" si="586"/>
        <v>1.0044912472647702</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87">
        <v>37</v>
      </c>
      <c r="B1465" s="242">
        <f t="shared" si="593"/>
        <v>46753</v>
      </c>
      <c r="C1465" s="243">
        <f t="shared" si="574"/>
        <v>46783</v>
      </c>
      <c r="D1465" s="120">
        <f t="shared" si="575"/>
        <v>31</v>
      </c>
      <c r="E1465" s="120">
        <f t="shared" si="576"/>
        <v>1</v>
      </c>
      <c r="F1465" s="275">
        <f t="shared" si="577"/>
        <v>46768.5</v>
      </c>
      <c r="G1465" s="120">
        <f t="shared" si="578"/>
        <v>24336</v>
      </c>
      <c r="H1465" s="245">
        <f t="shared" si="579"/>
        <v>1</v>
      </c>
      <c r="I1465" s="121">
        <f t="shared" si="580"/>
        <v>1.0608</v>
      </c>
      <c r="J1465" s="121">
        <f t="shared" si="581"/>
        <v>1.0608</v>
      </c>
      <c r="K1465" s="120">
        <f t="shared" si="582"/>
        <v>0</v>
      </c>
      <c r="L1465" s="120">
        <f t="shared" si="583"/>
        <v>0</v>
      </c>
      <c r="M1465" s="246">
        <f t="shared" si="584"/>
        <v>0</v>
      </c>
      <c r="N1465" s="121">
        <f t="shared" si="585"/>
        <v>1.0608</v>
      </c>
      <c r="O1465" s="246">
        <f t="shared" si="586"/>
        <v>1.0049999999999999</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87">
        <v>38</v>
      </c>
      <c r="B1466" s="242">
        <f t="shared" si="593"/>
        <v>46784</v>
      </c>
      <c r="C1466" s="243">
        <f t="shared" si="574"/>
        <v>46812</v>
      </c>
      <c r="D1466" s="120">
        <f t="shared" si="575"/>
        <v>29</v>
      </c>
      <c r="E1466" s="120">
        <f t="shared" si="576"/>
        <v>2</v>
      </c>
      <c r="F1466" s="275">
        <f t="shared" si="577"/>
        <v>46798.5</v>
      </c>
      <c r="G1466" s="120">
        <f t="shared" si="578"/>
        <v>24337</v>
      </c>
      <c r="H1466" s="245">
        <f t="shared" si="579"/>
        <v>1</v>
      </c>
      <c r="I1466" s="121">
        <f t="shared" si="580"/>
        <v>1.0608</v>
      </c>
      <c r="J1466" s="121">
        <f t="shared" si="581"/>
        <v>1.0608</v>
      </c>
      <c r="K1466" s="120">
        <f t="shared" si="582"/>
        <v>0</v>
      </c>
      <c r="L1466" s="120">
        <f t="shared" si="583"/>
        <v>0</v>
      </c>
      <c r="M1466" s="246">
        <f t="shared" si="584"/>
        <v>0</v>
      </c>
      <c r="N1466" s="121">
        <f t="shared" si="585"/>
        <v>1.0608</v>
      </c>
      <c r="O1466" s="246">
        <f t="shared" si="586"/>
        <v>1.0049999999999999</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87">
        <v>39</v>
      </c>
      <c r="B1467" s="242">
        <f t="shared" si="593"/>
        <v>46813</v>
      </c>
      <c r="C1467" s="243">
        <f t="shared" si="574"/>
        <v>46843</v>
      </c>
      <c r="D1467" s="120">
        <f t="shared" si="575"/>
        <v>31</v>
      </c>
      <c r="E1467" s="120">
        <f t="shared" si="576"/>
        <v>3</v>
      </c>
      <c r="F1467" s="275">
        <f t="shared" si="577"/>
        <v>46828.5</v>
      </c>
      <c r="G1467" s="120">
        <f t="shared" si="578"/>
        <v>24338</v>
      </c>
      <c r="H1467" s="245">
        <f t="shared" si="579"/>
        <v>1</v>
      </c>
      <c r="I1467" s="121">
        <f t="shared" si="580"/>
        <v>1.0608</v>
      </c>
      <c r="J1467" s="121">
        <f t="shared" si="581"/>
        <v>1.0608</v>
      </c>
      <c r="K1467" s="120">
        <f t="shared" si="582"/>
        <v>0</v>
      </c>
      <c r="L1467" s="120">
        <f t="shared" si="583"/>
        <v>0</v>
      </c>
      <c r="M1467" s="246">
        <f t="shared" si="584"/>
        <v>0</v>
      </c>
      <c r="N1467" s="121">
        <f t="shared" si="585"/>
        <v>1.0608</v>
      </c>
      <c r="O1467" s="246">
        <f t="shared" si="586"/>
        <v>1.0049999999999999</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87">
        <v>40</v>
      </c>
      <c r="B1468" s="242">
        <f t="shared" si="593"/>
        <v>46844</v>
      </c>
      <c r="C1468" s="243">
        <f t="shared" si="574"/>
        <v>46873</v>
      </c>
      <c r="D1468" s="120">
        <f t="shared" si="575"/>
        <v>30</v>
      </c>
      <c r="E1468" s="120">
        <f t="shared" si="576"/>
        <v>4</v>
      </c>
      <c r="F1468" s="275">
        <f t="shared" si="577"/>
        <v>46859</v>
      </c>
      <c r="G1468" s="120">
        <f t="shared" si="578"/>
        <v>24339</v>
      </c>
      <c r="H1468" s="245">
        <f t="shared" si="579"/>
        <v>1</v>
      </c>
      <c r="I1468" s="121">
        <f t="shared" si="580"/>
        <v>1.0608</v>
      </c>
      <c r="J1468" s="121">
        <f t="shared" si="581"/>
        <v>1.0608</v>
      </c>
      <c r="K1468" s="120">
        <f t="shared" si="582"/>
        <v>0</v>
      </c>
      <c r="L1468" s="120">
        <f t="shared" si="583"/>
        <v>0</v>
      </c>
      <c r="M1468" s="246">
        <f t="shared" si="584"/>
        <v>0</v>
      </c>
      <c r="N1468" s="121">
        <f t="shared" si="585"/>
        <v>1.0608</v>
      </c>
      <c r="O1468" s="246">
        <f t="shared" si="586"/>
        <v>1.0049999999999999</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87">
        <v>41</v>
      </c>
      <c r="B1469" s="242">
        <f t="shared" si="593"/>
        <v>46874</v>
      </c>
      <c r="C1469" s="243">
        <f t="shared" si="574"/>
        <v>46904</v>
      </c>
      <c r="D1469" s="120">
        <f t="shared" si="575"/>
        <v>31</v>
      </c>
      <c r="E1469" s="120">
        <f t="shared" si="576"/>
        <v>5</v>
      </c>
      <c r="F1469" s="275">
        <f t="shared" si="577"/>
        <v>46889.5</v>
      </c>
      <c r="G1469" s="120">
        <f t="shared" si="578"/>
        <v>24340</v>
      </c>
      <c r="H1469" s="245">
        <f t="shared" si="579"/>
        <v>1</v>
      </c>
      <c r="I1469" s="121">
        <f t="shared" si="580"/>
        <v>1.0608</v>
      </c>
      <c r="J1469" s="121">
        <f t="shared" si="581"/>
        <v>1.0608</v>
      </c>
      <c r="K1469" s="120">
        <f t="shared" si="582"/>
        <v>0</v>
      </c>
      <c r="L1469" s="120">
        <f t="shared" si="583"/>
        <v>0</v>
      </c>
      <c r="M1469" s="246">
        <f t="shared" si="584"/>
        <v>0</v>
      </c>
      <c r="N1469" s="121">
        <f t="shared" si="585"/>
        <v>1.0608</v>
      </c>
      <c r="O1469" s="246">
        <f t="shared" si="586"/>
        <v>1.0049999999999999</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87">
        <v>42</v>
      </c>
      <c r="B1470" s="242">
        <f t="shared" si="593"/>
        <v>46905</v>
      </c>
      <c r="C1470" s="243">
        <f t="shared" si="574"/>
        <v>46934</v>
      </c>
      <c r="D1470" s="120">
        <f t="shared" si="575"/>
        <v>30</v>
      </c>
      <c r="E1470" s="120">
        <f t="shared" si="576"/>
        <v>6</v>
      </c>
      <c r="F1470" s="275">
        <f t="shared" si="577"/>
        <v>46920</v>
      </c>
      <c r="G1470" s="120">
        <f t="shared" si="578"/>
        <v>24341</v>
      </c>
      <c r="H1470" s="245">
        <f t="shared" si="579"/>
        <v>1</v>
      </c>
      <c r="I1470" s="121">
        <f t="shared" si="580"/>
        <v>1.0608</v>
      </c>
      <c r="J1470" s="121">
        <f t="shared" si="581"/>
        <v>1.0608</v>
      </c>
      <c r="K1470" s="120">
        <f t="shared" si="582"/>
        <v>0</v>
      </c>
      <c r="L1470" s="120">
        <f t="shared" si="583"/>
        <v>0</v>
      </c>
      <c r="M1470" s="246">
        <f t="shared" si="584"/>
        <v>0</v>
      </c>
      <c r="N1470" s="121">
        <f t="shared" si="585"/>
        <v>1.0608</v>
      </c>
      <c r="O1470" s="246">
        <f t="shared" si="586"/>
        <v>1.0049999999999999</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87">
        <v>43</v>
      </c>
      <c r="B1471" s="242">
        <f t="shared" si="593"/>
        <v>46935</v>
      </c>
      <c r="C1471" s="243">
        <f t="shared" si="574"/>
        <v>46965</v>
      </c>
      <c r="D1471" s="120">
        <f t="shared" si="575"/>
        <v>31</v>
      </c>
      <c r="E1471" s="120">
        <f t="shared" si="576"/>
        <v>7</v>
      </c>
      <c r="F1471" s="275">
        <f t="shared" si="577"/>
        <v>46950.5</v>
      </c>
      <c r="G1471" s="120">
        <f t="shared" si="578"/>
        <v>24342</v>
      </c>
      <c r="H1471" s="245">
        <f t="shared" si="579"/>
        <v>1</v>
      </c>
      <c r="I1471" s="121">
        <f t="shared" si="580"/>
        <v>1.0608</v>
      </c>
      <c r="J1471" s="121">
        <f t="shared" si="581"/>
        <v>1.0608</v>
      </c>
      <c r="K1471" s="120">
        <f t="shared" si="582"/>
        <v>0</v>
      </c>
      <c r="L1471" s="120">
        <f t="shared" si="583"/>
        <v>0</v>
      </c>
      <c r="M1471" s="246">
        <f t="shared" si="584"/>
        <v>0</v>
      </c>
      <c r="N1471" s="121">
        <f t="shared" si="585"/>
        <v>1.0608</v>
      </c>
      <c r="O1471" s="246">
        <f t="shared" si="586"/>
        <v>1.0049999999999999</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87">
        <v>44</v>
      </c>
      <c r="B1472" s="242">
        <f t="shared" si="593"/>
        <v>46966</v>
      </c>
      <c r="C1472" s="243">
        <f t="shared" si="574"/>
        <v>46996</v>
      </c>
      <c r="D1472" s="120">
        <f t="shared" si="575"/>
        <v>31</v>
      </c>
      <c r="E1472" s="120">
        <f t="shared" si="576"/>
        <v>8</v>
      </c>
      <c r="F1472" s="275">
        <f t="shared" si="577"/>
        <v>46981.5</v>
      </c>
      <c r="G1472" s="120">
        <f t="shared" si="578"/>
        <v>24343</v>
      </c>
      <c r="H1472" s="245">
        <f t="shared" si="579"/>
        <v>1</v>
      </c>
      <c r="I1472" s="121">
        <f t="shared" si="580"/>
        <v>1.0608</v>
      </c>
      <c r="J1472" s="121">
        <f t="shared" si="581"/>
        <v>1.0608</v>
      </c>
      <c r="K1472" s="120">
        <f t="shared" si="582"/>
        <v>0</v>
      </c>
      <c r="L1472" s="120">
        <f t="shared" si="583"/>
        <v>0</v>
      </c>
      <c r="M1472" s="246">
        <f t="shared" si="584"/>
        <v>0</v>
      </c>
      <c r="N1472" s="121">
        <f t="shared" si="585"/>
        <v>1.0608</v>
      </c>
      <c r="O1472" s="246">
        <f t="shared" si="586"/>
        <v>1.0049999999999999</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87">
        <v>45</v>
      </c>
      <c r="B1473" s="242">
        <f t="shared" si="593"/>
        <v>46997</v>
      </c>
      <c r="C1473" s="243">
        <f t="shared" si="574"/>
        <v>47026</v>
      </c>
      <c r="D1473" s="120">
        <f t="shared" si="575"/>
        <v>30</v>
      </c>
      <c r="E1473" s="120">
        <f t="shared" si="576"/>
        <v>9</v>
      </c>
      <c r="F1473" s="275">
        <f t="shared" si="577"/>
        <v>47012</v>
      </c>
      <c r="G1473" s="120">
        <f t="shared" si="578"/>
        <v>24344</v>
      </c>
      <c r="H1473" s="245">
        <f t="shared" si="579"/>
        <v>1</v>
      </c>
      <c r="I1473" s="121">
        <f t="shared" si="580"/>
        <v>1.0608</v>
      </c>
      <c r="J1473" s="121">
        <f t="shared" si="581"/>
        <v>1.0608</v>
      </c>
      <c r="K1473" s="120">
        <f t="shared" si="582"/>
        <v>0</v>
      </c>
      <c r="L1473" s="120">
        <f t="shared" si="583"/>
        <v>0</v>
      </c>
      <c r="M1473" s="246">
        <f t="shared" si="584"/>
        <v>0</v>
      </c>
      <c r="N1473" s="121">
        <f t="shared" si="585"/>
        <v>1.0608</v>
      </c>
      <c r="O1473" s="246">
        <f t="shared" si="586"/>
        <v>1.0049999999999999</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87">
        <v>46</v>
      </c>
      <c r="B1474" s="242">
        <f t="shared" si="593"/>
        <v>47027</v>
      </c>
      <c r="C1474" s="243">
        <f t="shared" si="574"/>
        <v>47057</v>
      </c>
      <c r="D1474" s="120">
        <f t="shared" si="575"/>
        <v>31</v>
      </c>
      <c r="E1474" s="120">
        <f t="shared" si="576"/>
        <v>10</v>
      </c>
      <c r="F1474" s="275">
        <f t="shared" si="577"/>
        <v>47042.5</v>
      </c>
      <c r="G1474" s="120">
        <f t="shared" si="578"/>
        <v>24345</v>
      </c>
      <c r="H1474" s="245">
        <f t="shared" si="579"/>
        <v>1</v>
      </c>
      <c r="I1474" s="121">
        <f t="shared" si="580"/>
        <v>1.0608</v>
      </c>
      <c r="J1474" s="121">
        <f t="shared" si="581"/>
        <v>1.0608</v>
      </c>
      <c r="K1474" s="120">
        <f t="shared" si="582"/>
        <v>0</v>
      </c>
      <c r="L1474" s="120">
        <f t="shared" si="583"/>
        <v>0</v>
      </c>
      <c r="M1474" s="246">
        <f t="shared" si="584"/>
        <v>0</v>
      </c>
      <c r="N1474" s="121">
        <f t="shared" si="585"/>
        <v>1.0608</v>
      </c>
      <c r="O1474" s="246">
        <f t="shared" si="586"/>
        <v>1.0049999999999999</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87">
        <v>47</v>
      </c>
      <c r="B1475" s="242">
        <f t="shared" si="593"/>
        <v>47058</v>
      </c>
      <c r="C1475" s="243">
        <f t="shared" si="574"/>
        <v>47087</v>
      </c>
      <c r="D1475" s="120">
        <f t="shared" si="575"/>
        <v>30</v>
      </c>
      <c r="E1475" s="120">
        <f t="shared" si="576"/>
        <v>11</v>
      </c>
      <c r="F1475" s="275">
        <f t="shared" si="577"/>
        <v>47073</v>
      </c>
      <c r="G1475" s="120">
        <f t="shared" si="578"/>
        <v>24346</v>
      </c>
      <c r="H1475" s="245">
        <f t="shared" si="579"/>
        <v>1</v>
      </c>
      <c r="I1475" s="121">
        <f t="shared" si="580"/>
        <v>1.0608</v>
      </c>
      <c r="J1475" s="121">
        <f t="shared" si="581"/>
        <v>1.0608</v>
      </c>
      <c r="K1475" s="120">
        <f t="shared" si="582"/>
        <v>0</v>
      </c>
      <c r="L1475" s="120">
        <f t="shared" si="583"/>
        <v>0</v>
      </c>
      <c r="M1475" s="246">
        <f t="shared" si="584"/>
        <v>0</v>
      </c>
      <c r="N1475" s="121">
        <f t="shared" si="585"/>
        <v>1.0608</v>
      </c>
      <c r="O1475" s="246">
        <f t="shared" si="586"/>
        <v>1.0049999999999999</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87">
        <v>48</v>
      </c>
      <c r="B1476" s="242">
        <f t="shared" si="593"/>
        <v>47088</v>
      </c>
      <c r="C1476" s="243">
        <f t="shared" si="574"/>
        <v>47118</v>
      </c>
      <c r="D1476" s="120">
        <f t="shared" si="575"/>
        <v>31</v>
      </c>
      <c r="E1476" s="120">
        <f t="shared" si="576"/>
        <v>12</v>
      </c>
      <c r="F1476" s="275">
        <f t="shared" si="577"/>
        <v>47103.5</v>
      </c>
      <c r="G1476" s="120">
        <f t="shared" si="578"/>
        <v>24347</v>
      </c>
      <c r="H1476" s="245">
        <f t="shared" si="579"/>
        <v>1</v>
      </c>
      <c r="I1476" s="121">
        <f t="shared" si="580"/>
        <v>1.0608</v>
      </c>
      <c r="J1476" s="121">
        <f t="shared" si="581"/>
        <v>1.0608</v>
      </c>
      <c r="K1476" s="120">
        <f t="shared" si="582"/>
        <v>0</v>
      </c>
      <c r="L1476" s="120">
        <f t="shared" si="583"/>
        <v>0</v>
      </c>
      <c r="M1476" s="246">
        <f t="shared" si="584"/>
        <v>0</v>
      </c>
      <c r="N1476" s="121">
        <f t="shared" si="585"/>
        <v>1.0608</v>
      </c>
      <c r="O1476" s="246">
        <f t="shared" si="586"/>
        <v>1.0049999999999999</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1651</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24">
        <f>SUMPRODUCT($H$1429:$H$1476,$Q$1429:$Q$1476,$O$1429:$O$1476)/SUMPRODUCT($H$1429:$H$1476,$Q$1429:$Q$1476)</f>
        <v>0.99299370897155337</v>
      </c>
      <c r="G1477" s="224">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24">
        <f>IF(N(INDEX(lr_mind,27))=0,1,INDEX(lr_mind,27))</f>
        <v>1</v>
      </c>
      <c r="G1480" s="224">
        <f>IF(N(INDEX(lr_m0,27))=0,1,INDEX(lr_m0,27))</f>
        <v>0.99</v>
      </c>
      <c r="H1480" s="74">
        <f>IF(N(INDEX(lr_m0asof,27))=0,DATE(nr_PlanYear-1,10,1),INDEX(lr_m0asof,27))</f>
        <v>46295</v>
      </c>
      <c r="I1480" s="224">
        <f>IF(N(INDEX(lr_m1,27))=0,1,INDEX(lr_m1,27))</f>
        <v>0.98499999999999999</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94">EOMONTH($B1483,0)</f>
        <v>45688</v>
      </c>
      <c r="D1483" s="120">
        <f t="shared" ref="D1483:D1530" si="595">$C1483-$B1483+1</f>
        <v>31</v>
      </c>
      <c r="E1483" s="120">
        <f t="shared" ref="E1483:E1530" si="596">MONTH($B1483)</f>
        <v>1</v>
      </c>
      <c r="F1483" s="275">
        <f t="shared" ref="F1483:F1530" si="597">($B1483+$C1483+1)/2</f>
        <v>45673.5</v>
      </c>
      <c r="G1483" s="120">
        <f t="shared" ref="G1483:G1530" si="598">YEAR($B1483)*12+MONTH($B1483)-1</f>
        <v>24300</v>
      </c>
      <c r="H1483" s="245">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46">
        <f t="shared" ref="M1483:M1530" si="604">IF($K1483=0,0,MIN(1,$L1483/$D1483))</f>
        <v>0</v>
      </c>
      <c r="N1483" s="121">
        <f t="shared" ref="N1483:N1530" si="605">IF($K1483=0,$J1483,(1-$M1483)*$I1483+$M1483*$J1483)</f>
        <v>1</v>
      </c>
      <c r="O1483" s="246">
        <f t="shared" ref="O1483:O1530" si="606">IF($F1483&lt;$B$1481,$E$1481+$I$1481*($F1483-$A$1481),IF($F1483&lt;$C$1481,$F$1481+$J$1481*($F1483-$B$1481),$G$1481+$K$1481*($F1483-$C$1481)))</f>
        <v>0.99681072210065647</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87">
        <v>2</v>
      </c>
      <c r="B1484" s="242">
        <f t="shared" ref="B1484:B1530" si="613">EDATE($B1483,1)</f>
        <v>45689</v>
      </c>
      <c r="C1484" s="243">
        <f t="shared" si="594"/>
        <v>45716</v>
      </c>
      <c r="D1484" s="120">
        <f t="shared" si="595"/>
        <v>28</v>
      </c>
      <c r="E1484" s="120">
        <f t="shared" si="596"/>
        <v>2</v>
      </c>
      <c r="F1484" s="275">
        <f t="shared" si="597"/>
        <v>45703</v>
      </c>
      <c r="G1484" s="120">
        <f t="shared" si="598"/>
        <v>24301</v>
      </c>
      <c r="H1484" s="245">
        <f t="shared" si="599"/>
        <v>1</v>
      </c>
      <c r="I1484" s="121">
        <f t="shared" si="600"/>
        <v>1</v>
      </c>
      <c r="J1484" s="121">
        <f t="shared" si="601"/>
        <v>1</v>
      </c>
      <c r="K1484" s="120">
        <f t="shared" si="602"/>
        <v>0</v>
      </c>
      <c r="L1484" s="120">
        <f t="shared" si="603"/>
        <v>0</v>
      </c>
      <c r="M1484" s="246">
        <f t="shared" si="604"/>
        <v>0</v>
      </c>
      <c r="N1484" s="121">
        <f t="shared" si="605"/>
        <v>1</v>
      </c>
      <c r="O1484" s="246">
        <f t="shared" si="606"/>
        <v>0.99648796498905901</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87">
        <v>3</v>
      </c>
      <c r="B1485" s="242">
        <f t="shared" si="613"/>
        <v>45717</v>
      </c>
      <c r="C1485" s="243">
        <f t="shared" si="594"/>
        <v>45747</v>
      </c>
      <c r="D1485" s="120">
        <f t="shared" si="595"/>
        <v>31</v>
      </c>
      <c r="E1485" s="120">
        <f t="shared" si="596"/>
        <v>3</v>
      </c>
      <c r="F1485" s="275">
        <f t="shared" si="597"/>
        <v>45732.5</v>
      </c>
      <c r="G1485" s="120">
        <f t="shared" si="598"/>
        <v>24302</v>
      </c>
      <c r="H1485" s="245">
        <f t="shared" si="599"/>
        <v>1</v>
      </c>
      <c r="I1485" s="121">
        <f t="shared" si="600"/>
        <v>1</v>
      </c>
      <c r="J1485" s="121">
        <f t="shared" si="601"/>
        <v>1</v>
      </c>
      <c r="K1485" s="120">
        <f t="shared" si="602"/>
        <v>0</v>
      </c>
      <c r="L1485" s="120">
        <f t="shared" si="603"/>
        <v>0</v>
      </c>
      <c r="M1485" s="246">
        <f t="shared" si="604"/>
        <v>0</v>
      </c>
      <c r="N1485" s="121">
        <f t="shared" si="605"/>
        <v>1</v>
      </c>
      <c r="O1485" s="246">
        <f t="shared" si="606"/>
        <v>0.99616520787746166</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87">
        <v>4</v>
      </c>
      <c r="B1486" s="242">
        <f t="shared" si="613"/>
        <v>45748</v>
      </c>
      <c r="C1486" s="243">
        <f t="shared" si="594"/>
        <v>45777</v>
      </c>
      <c r="D1486" s="120">
        <f t="shared" si="595"/>
        <v>30</v>
      </c>
      <c r="E1486" s="120">
        <f t="shared" si="596"/>
        <v>4</v>
      </c>
      <c r="F1486" s="275">
        <f t="shared" si="597"/>
        <v>45763</v>
      </c>
      <c r="G1486" s="120">
        <f t="shared" si="598"/>
        <v>24303</v>
      </c>
      <c r="H1486" s="245">
        <f t="shared" si="599"/>
        <v>1</v>
      </c>
      <c r="I1486" s="121">
        <f t="shared" si="600"/>
        <v>1</v>
      </c>
      <c r="J1486" s="121">
        <f t="shared" si="601"/>
        <v>1</v>
      </c>
      <c r="K1486" s="120">
        <f t="shared" si="602"/>
        <v>0</v>
      </c>
      <c r="L1486" s="120">
        <f t="shared" si="603"/>
        <v>0</v>
      </c>
      <c r="M1486" s="246">
        <f t="shared" si="604"/>
        <v>0</v>
      </c>
      <c r="N1486" s="121">
        <f t="shared" si="605"/>
        <v>1</v>
      </c>
      <c r="O1486" s="246">
        <f t="shared" si="606"/>
        <v>0.99583150984682711</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87">
        <v>5</v>
      </c>
      <c r="B1487" s="242">
        <f t="shared" si="613"/>
        <v>45778</v>
      </c>
      <c r="C1487" s="243">
        <f t="shared" si="594"/>
        <v>45808</v>
      </c>
      <c r="D1487" s="120">
        <f t="shared" si="595"/>
        <v>31</v>
      </c>
      <c r="E1487" s="120">
        <f t="shared" si="596"/>
        <v>5</v>
      </c>
      <c r="F1487" s="275">
        <f t="shared" si="597"/>
        <v>45793.5</v>
      </c>
      <c r="G1487" s="120">
        <f t="shared" si="598"/>
        <v>24304</v>
      </c>
      <c r="H1487" s="245">
        <f t="shared" si="599"/>
        <v>1</v>
      </c>
      <c r="I1487" s="121">
        <f t="shared" si="600"/>
        <v>1</v>
      </c>
      <c r="J1487" s="121">
        <f t="shared" si="601"/>
        <v>1</v>
      </c>
      <c r="K1487" s="120">
        <f t="shared" si="602"/>
        <v>0</v>
      </c>
      <c r="L1487" s="120">
        <f t="shared" si="603"/>
        <v>0</v>
      </c>
      <c r="M1487" s="246">
        <f t="shared" si="604"/>
        <v>0</v>
      </c>
      <c r="N1487" s="121">
        <f t="shared" si="605"/>
        <v>1</v>
      </c>
      <c r="O1487" s="246">
        <f t="shared" si="606"/>
        <v>0.99549781181619257</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87">
        <v>6</v>
      </c>
      <c r="B1488" s="242">
        <f t="shared" si="613"/>
        <v>45809</v>
      </c>
      <c r="C1488" s="243">
        <f t="shared" si="594"/>
        <v>45838</v>
      </c>
      <c r="D1488" s="120">
        <f t="shared" si="595"/>
        <v>30</v>
      </c>
      <c r="E1488" s="120">
        <f t="shared" si="596"/>
        <v>6</v>
      </c>
      <c r="F1488" s="275">
        <f t="shared" si="597"/>
        <v>45824</v>
      </c>
      <c r="G1488" s="120">
        <f t="shared" si="598"/>
        <v>24305</v>
      </c>
      <c r="H1488" s="245">
        <f t="shared" si="599"/>
        <v>1</v>
      </c>
      <c r="I1488" s="121">
        <f t="shared" si="600"/>
        <v>1</v>
      </c>
      <c r="J1488" s="121">
        <f t="shared" si="601"/>
        <v>1</v>
      </c>
      <c r="K1488" s="120">
        <f t="shared" si="602"/>
        <v>0</v>
      </c>
      <c r="L1488" s="120">
        <f t="shared" si="603"/>
        <v>0</v>
      </c>
      <c r="M1488" s="246">
        <f t="shared" si="604"/>
        <v>0</v>
      </c>
      <c r="N1488" s="121">
        <f t="shared" si="605"/>
        <v>1</v>
      </c>
      <c r="O1488" s="246">
        <f t="shared" si="606"/>
        <v>0.99516411378555791</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87">
        <v>7</v>
      </c>
      <c r="B1489" s="242">
        <f t="shared" si="613"/>
        <v>45839</v>
      </c>
      <c r="C1489" s="243">
        <f t="shared" si="594"/>
        <v>45869</v>
      </c>
      <c r="D1489" s="120">
        <f t="shared" si="595"/>
        <v>31</v>
      </c>
      <c r="E1489" s="120">
        <f t="shared" si="596"/>
        <v>7</v>
      </c>
      <c r="F1489" s="275">
        <f t="shared" si="597"/>
        <v>45854.5</v>
      </c>
      <c r="G1489" s="120">
        <f t="shared" si="598"/>
        <v>24306</v>
      </c>
      <c r="H1489" s="245">
        <f t="shared" si="599"/>
        <v>1</v>
      </c>
      <c r="I1489" s="121">
        <f t="shared" si="600"/>
        <v>1</v>
      </c>
      <c r="J1489" s="121">
        <f t="shared" si="601"/>
        <v>1</v>
      </c>
      <c r="K1489" s="120">
        <f t="shared" si="602"/>
        <v>0</v>
      </c>
      <c r="L1489" s="120">
        <f t="shared" si="603"/>
        <v>0</v>
      </c>
      <c r="M1489" s="246">
        <f t="shared" si="604"/>
        <v>0</v>
      </c>
      <c r="N1489" s="121">
        <f t="shared" si="605"/>
        <v>1</v>
      </c>
      <c r="O1489" s="246">
        <f t="shared" si="606"/>
        <v>0.99483041575492337</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87">
        <v>8</v>
      </c>
      <c r="B1490" s="242">
        <f t="shared" si="613"/>
        <v>45870</v>
      </c>
      <c r="C1490" s="243">
        <f t="shared" si="594"/>
        <v>45900</v>
      </c>
      <c r="D1490" s="120">
        <f t="shared" si="595"/>
        <v>31</v>
      </c>
      <c r="E1490" s="120">
        <f t="shared" si="596"/>
        <v>8</v>
      </c>
      <c r="F1490" s="275">
        <f t="shared" si="597"/>
        <v>45885.5</v>
      </c>
      <c r="G1490" s="120">
        <f t="shared" si="598"/>
        <v>24307</v>
      </c>
      <c r="H1490" s="245">
        <f t="shared" si="599"/>
        <v>1</v>
      </c>
      <c r="I1490" s="121">
        <f t="shared" si="600"/>
        <v>1</v>
      </c>
      <c r="J1490" s="121">
        <f t="shared" si="601"/>
        <v>1</v>
      </c>
      <c r="K1490" s="120">
        <f t="shared" si="602"/>
        <v>0</v>
      </c>
      <c r="L1490" s="120">
        <f t="shared" si="603"/>
        <v>0</v>
      </c>
      <c r="M1490" s="246">
        <f t="shared" si="604"/>
        <v>0</v>
      </c>
      <c r="N1490" s="121">
        <f t="shared" si="605"/>
        <v>1</v>
      </c>
      <c r="O1490" s="246">
        <f t="shared" si="606"/>
        <v>0.99449124726477023</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87">
        <v>9</v>
      </c>
      <c r="B1491" s="242">
        <f t="shared" si="613"/>
        <v>45901</v>
      </c>
      <c r="C1491" s="243">
        <f t="shared" si="594"/>
        <v>45930</v>
      </c>
      <c r="D1491" s="120">
        <f t="shared" si="595"/>
        <v>30</v>
      </c>
      <c r="E1491" s="120">
        <f t="shared" si="596"/>
        <v>9</v>
      </c>
      <c r="F1491" s="275">
        <f t="shared" si="597"/>
        <v>45916</v>
      </c>
      <c r="G1491" s="120">
        <f t="shared" si="598"/>
        <v>24308</v>
      </c>
      <c r="H1491" s="245">
        <f t="shared" si="599"/>
        <v>1</v>
      </c>
      <c r="I1491" s="121">
        <f t="shared" si="600"/>
        <v>1</v>
      </c>
      <c r="J1491" s="121">
        <f t="shared" si="601"/>
        <v>1</v>
      </c>
      <c r="K1491" s="120">
        <f t="shared" si="602"/>
        <v>0</v>
      </c>
      <c r="L1491" s="120">
        <f t="shared" si="603"/>
        <v>0</v>
      </c>
      <c r="M1491" s="246">
        <f t="shared" si="604"/>
        <v>0</v>
      </c>
      <c r="N1491" s="121">
        <f t="shared" si="605"/>
        <v>1</v>
      </c>
      <c r="O1491" s="246">
        <f t="shared" si="606"/>
        <v>0.99415754923413568</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87">
        <v>10</v>
      </c>
      <c r="B1492" s="242">
        <f t="shared" si="613"/>
        <v>45931</v>
      </c>
      <c r="C1492" s="243">
        <f t="shared" si="594"/>
        <v>45961</v>
      </c>
      <c r="D1492" s="120">
        <f t="shared" si="595"/>
        <v>31</v>
      </c>
      <c r="E1492" s="120">
        <f t="shared" si="596"/>
        <v>10</v>
      </c>
      <c r="F1492" s="275">
        <f t="shared" si="597"/>
        <v>45946.5</v>
      </c>
      <c r="G1492" s="120">
        <f t="shared" si="598"/>
        <v>24309</v>
      </c>
      <c r="H1492" s="245">
        <f t="shared" si="599"/>
        <v>1</v>
      </c>
      <c r="I1492" s="121">
        <f t="shared" si="600"/>
        <v>1</v>
      </c>
      <c r="J1492" s="121">
        <f t="shared" si="601"/>
        <v>1</v>
      </c>
      <c r="K1492" s="120">
        <f t="shared" si="602"/>
        <v>0</v>
      </c>
      <c r="L1492" s="120">
        <f t="shared" si="603"/>
        <v>0</v>
      </c>
      <c r="M1492" s="246">
        <f t="shared" si="604"/>
        <v>0</v>
      </c>
      <c r="N1492" s="121">
        <f t="shared" si="605"/>
        <v>1</v>
      </c>
      <c r="O1492" s="246">
        <f t="shared" si="606"/>
        <v>0.99382385120350103</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87">
        <v>11</v>
      </c>
      <c r="B1493" s="242">
        <f t="shared" si="613"/>
        <v>45962</v>
      </c>
      <c r="C1493" s="243">
        <f t="shared" si="594"/>
        <v>45991</v>
      </c>
      <c r="D1493" s="120">
        <f t="shared" si="595"/>
        <v>30</v>
      </c>
      <c r="E1493" s="120">
        <f t="shared" si="596"/>
        <v>11</v>
      </c>
      <c r="F1493" s="275">
        <f t="shared" si="597"/>
        <v>45977</v>
      </c>
      <c r="G1493" s="120">
        <f t="shared" si="598"/>
        <v>24310</v>
      </c>
      <c r="H1493" s="245">
        <f t="shared" si="599"/>
        <v>1</v>
      </c>
      <c r="I1493" s="121">
        <f t="shared" si="600"/>
        <v>1</v>
      </c>
      <c r="J1493" s="121">
        <f t="shared" si="601"/>
        <v>1</v>
      </c>
      <c r="K1493" s="120">
        <f t="shared" si="602"/>
        <v>0</v>
      </c>
      <c r="L1493" s="120">
        <f t="shared" si="603"/>
        <v>0</v>
      </c>
      <c r="M1493" s="246">
        <f t="shared" si="604"/>
        <v>0</v>
      </c>
      <c r="N1493" s="121">
        <f t="shared" si="605"/>
        <v>1</v>
      </c>
      <c r="O1493" s="246">
        <f t="shared" si="606"/>
        <v>0.99349015317286649</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87">
        <v>12</v>
      </c>
      <c r="B1494" s="242">
        <f t="shared" si="613"/>
        <v>45992</v>
      </c>
      <c r="C1494" s="243">
        <f t="shared" si="594"/>
        <v>46022</v>
      </c>
      <c r="D1494" s="120">
        <f t="shared" si="595"/>
        <v>31</v>
      </c>
      <c r="E1494" s="120">
        <f t="shared" si="596"/>
        <v>12</v>
      </c>
      <c r="F1494" s="275">
        <f t="shared" si="597"/>
        <v>46007.5</v>
      </c>
      <c r="G1494" s="120">
        <f t="shared" si="598"/>
        <v>24311</v>
      </c>
      <c r="H1494" s="245">
        <f t="shared" si="599"/>
        <v>1</v>
      </c>
      <c r="I1494" s="121">
        <f t="shared" si="600"/>
        <v>1</v>
      </c>
      <c r="J1494" s="121">
        <f t="shared" si="601"/>
        <v>1</v>
      </c>
      <c r="K1494" s="120">
        <f t="shared" si="602"/>
        <v>0</v>
      </c>
      <c r="L1494" s="120">
        <f t="shared" si="603"/>
        <v>0</v>
      </c>
      <c r="M1494" s="246">
        <f t="shared" si="604"/>
        <v>0</v>
      </c>
      <c r="N1494" s="121">
        <f t="shared" si="605"/>
        <v>1</v>
      </c>
      <c r="O1494" s="246">
        <f t="shared" si="606"/>
        <v>0.99315645514223194</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87">
        <v>13</v>
      </c>
      <c r="B1495" s="242">
        <f t="shared" si="613"/>
        <v>46023</v>
      </c>
      <c r="C1495" s="243">
        <f t="shared" si="594"/>
        <v>46053</v>
      </c>
      <c r="D1495" s="120">
        <f t="shared" si="595"/>
        <v>31</v>
      </c>
      <c r="E1495" s="120">
        <f t="shared" si="596"/>
        <v>1</v>
      </c>
      <c r="F1495" s="275">
        <f t="shared" si="597"/>
        <v>46038.5</v>
      </c>
      <c r="G1495" s="120">
        <f t="shared" si="598"/>
        <v>24312</v>
      </c>
      <c r="H1495" s="245">
        <f t="shared" si="599"/>
        <v>1</v>
      </c>
      <c r="I1495" s="121">
        <f t="shared" si="600"/>
        <v>1</v>
      </c>
      <c r="J1495" s="121">
        <f t="shared" si="601"/>
        <v>1</v>
      </c>
      <c r="K1495" s="120">
        <f t="shared" si="602"/>
        <v>0</v>
      </c>
      <c r="L1495" s="120">
        <f t="shared" si="603"/>
        <v>0</v>
      </c>
      <c r="M1495" s="246">
        <f t="shared" si="604"/>
        <v>0</v>
      </c>
      <c r="N1495" s="121">
        <f t="shared" si="605"/>
        <v>1</v>
      </c>
      <c r="O1495" s="246">
        <f t="shared" si="606"/>
        <v>0.9928172866520788</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87">
        <v>14</v>
      </c>
      <c r="B1496" s="242">
        <f t="shared" si="613"/>
        <v>46054</v>
      </c>
      <c r="C1496" s="243">
        <f t="shared" si="594"/>
        <v>46081</v>
      </c>
      <c r="D1496" s="120">
        <f t="shared" si="595"/>
        <v>28</v>
      </c>
      <c r="E1496" s="120">
        <f t="shared" si="596"/>
        <v>2</v>
      </c>
      <c r="F1496" s="275">
        <f t="shared" si="597"/>
        <v>46068</v>
      </c>
      <c r="G1496" s="120">
        <f t="shared" si="598"/>
        <v>24313</v>
      </c>
      <c r="H1496" s="245">
        <f t="shared" si="599"/>
        <v>1</v>
      </c>
      <c r="I1496" s="121">
        <f t="shared" si="600"/>
        <v>1</v>
      </c>
      <c r="J1496" s="121">
        <f t="shared" si="601"/>
        <v>1</v>
      </c>
      <c r="K1496" s="120">
        <f t="shared" si="602"/>
        <v>0</v>
      </c>
      <c r="L1496" s="120">
        <f t="shared" si="603"/>
        <v>0</v>
      </c>
      <c r="M1496" s="246">
        <f t="shared" si="604"/>
        <v>0</v>
      </c>
      <c r="N1496" s="121">
        <f t="shared" si="605"/>
        <v>1</v>
      </c>
      <c r="O1496" s="246">
        <f t="shared" si="606"/>
        <v>0.99249452954048134</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87">
        <v>15</v>
      </c>
      <c r="B1497" s="242">
        <f t="shared" si="613"/>
        <v>46082</v>
      </c>
      <c r="C1497" s="243">
        <f t="shared" si="594"/>
        <v>46112</v>
      </c>
      <c r="D1497" s="120">
        <f t="shared" si="595"/>
        <v>31</v>
      </c>
      <c r="E1497" s="120">
        <f t="shared" si="596"/>
        <v>3</v>
      </c>
      <c r="F1497" s="275">
        <f t="shared" si="597"/>
        <v>46097.5</v>
      </c>
      <c r="G1497" s="120">
        <f t="shared" si="598"/>
        <v>24314</v>
      </c>
      <c r="H1497" s="245">
        <f t="shared" si="599"/>
        <v>1</v>
      </c>
      <c r="I1497" s="121">
        <f t="shared" si="600"/>
        <v>1</v>
      </c>
      <c r="J1497" s="121">
        <f t="shared" si="601"/>
        <v>1</v>
      </c>
      <c r="K1497" s="120">
        <f t="shared" si="602"/>
        <v>0</v>
      </c>
      <c r="L1497" s="120">
        <f t="shared" si="603"/>
        <v>0</v>
      </c>
      <c r="M1497" s="246">
        <f t="shared" si="604"/>
        <v>0</v>
      </c>
      <c r="N1497" s="121">
        <f t="shared" si="605"/>
        <v>1</v>
      </c>
      <c r="O1497" s="246">
        <f t="shared" si="606"/>
        <v>0.99217177242888399</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87">
        <v>16</v>
      </c>
      <c r="B1498" s="242">
        <f t="shared" si="613"/>
        <v>46113</v>
      </c>
      <c r="C1498" s="243">
        <f t="shared" si="594"/>
        <v>46142</v>
      </c>
      <c r="D1498" s="120">
        <f t="shared" si="595"/>
        <v>30</v>
      </c>
      <c r="E1498" s="120">
        <f t="shared" si="596"/>
        <v>4</v>
      </c>
      <c r="F1498" s="275">
        <f t="shared" si="597"/>
        <v>46128</v>
      </c>
      <c r="G1498" s="120">
        <f t="shared" si="598"/>
        <v>24315</v>
      </c>
      <c r="H1498" s="245">
        <f t="shared" si="599"/>
        <v>1</v>
      </c>
      <c r="I1498" s="121">
        <f t="shared" si="600"/>
        <v>1</v>
      </c>
      <c r="J1498" s="121">
        <f t="shared" si="601"/>
        <v>1</v>
      </c>
      <c r="K1498" s="120">
        <f t="shared" si="602"/>
        <v>0</v>
      </c>
      <c r="L1498" s="120">
        <f t="shared" si="603"/>
        <v>0</v>
      </c>
      <c r="M1498" s="246">
        <f t="shared" si="604"/>
        <v>0</v>
      </c>
      <c r="N1498" s="121">
        <f t="shared" si="605"/>
        <v>1</v>
      </c>
      <c r="O1498" s="246">
        <f t="shared" si="606"/>
        <v>0.99183807439824945</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87">
        <v>17</v>
      </c>
      <c r="B1499" s="242">
        <f t="shared" si="613"/>
        <v>46143</v>
      </c>
      <c r="C1499" s="243">
        <f t="shared" si="594"/>
        <v>46173</v>
      </c>
      <c r="D1499" s="120">
        <f t="shared" si="595"/>
        <v>31</v>
      </c>
      <c r="E1499" s="120">
        <f t="shared" si="596"/>
        <v>5</v>
      </c>
      <c r="F1499" s="275">
        <f t="shared" si="597"/>
        <v>46158.5</v>
      </c>
      <c r="G1499" s="120">
        <f t="shared" si="598"/>
        <v>24316</v>
      </c>
      <c r="H1499" s="245">
        <f t="shared" si="599"/>
        <v>1</v>
      </c>
      <c r="I1499" s="121">
        <f t="shared" si="600"/>
        <v>1</v>
      </c>
      <c r="J1499" s="121">
        <f t="shared" si="601"/>
        <v>1</v>
      </c>
      <c r="K1499" s="120">
        <f t="shared" si="602"/>
        <v>0</v>
      </c>
      <c r="L1499" s="120">
        <f t="shared" si="603"/>
        <v>0</v>
      </c>
      <c r="M1499" s="246">
        <f t="shared" si="604"/>
        <v>0</v>
      </c>
      <c r="N1499" s="121">
        <f t="shared" si="605"/>
        <v>1</v>
      </c>
      <c r="O1499" s="246">
        <f t="shared" si="606"/>
        <v>0.9915043763676149</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87">
        <v>18</v>
      </c>
      <c r="B1500" s="242">
        <f t="shared" si="613"/>
        <v>46174</v>
      </c>
      <c r="C1500" s="243">
        <f t="shared" si="594"/>
        <v>46203</v>
      </c>
      <c r="D1500" s="120">
        <f t="shared" si="595"/>
        <v>30</v>
      </c>
      <c r="E1500" s="120">
        <f t="shared" si="596"/>
        <v>6</v>
      </c>
      <c r="F1500" s="275">
        <f t="shared" si="597"/>
        <v>46189</v>
      </c>
      <c r="G1500" s="120">
        <f t="shared" si="598"/>
        <v>24317</v>
      </c>
      <c r="H1500" s="245">
        <f t="shared" si="599"/>
        <v>1</v>
      </c>
      <c r="I1500" s="121">
        <f t="shared" si="600"/>
        <v>1</v>
      </c>
      <c r="J1500" s="121">
        <f t="shared" si="601"/>
        <v>1</v>
      </c>
      <c r="K1500" s="120">
        <f t="shared" si="602"/>
        <v>0</v>
      </c>
      <c r="L1500" s="120">
        <f t="shared" si="603"/>
        <v>0</v>
      </c>
      <c r="M1500" s="246">
        <f t="shared" si="604"/>
        <v>0</v>
      </c>
      <c r="N1500" s="121">
        <f t="shared" si="605"/>
        <v>1</v>
      </c>
      <c r="O1500" s="246">
        <f t="shared" si="606"/>
        <v>0.99117067833698025</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87">
        <v>19</v>
      </c>
      <c r="B1501" s="242">
        <f t="shared" si="613"/>
        <v>46204</v>
      </c>
      <c r="C1501" s="243">
        <f t="shared" si="594"/>
        <v>46234</v>
      </c>
      <c r="D1501" s="120">
        <f t="shared" si="595"/>
        <v>31</v>
      </c>
      <c r="E1501" s="120">
        <f t="shared" si="596"/>
        <v>7</v>
      </c>
      <c r="F1501" s="275">
        <f t="shared" si="597"/>
        <v>46219.5</v>
      </c>
      <c r="G1501" s="120">
        <f t="shared" si="598"/>
        <v>24318</v>
      </c>
      <c r="H1501" s="245">
        <f t="shared" si="599"/>
        <v>1</v>
      </c>
      <c r="I1501" s="121">
        <f t="shared" si="600"/>
        <v>1</v>
      </c>
      <c r="J1501" s="121">
        <f t="shared" si="601"/>
        <v>1</v>
      </c>
      <c r="K1501" s="120">
        <f t="shared" si="602"/>
        <v>0</v>
      </c>
      <c r="L1501" s="120">
        <f t="shared" si="603"/>
        <v>0</v>
      </c>
      <c r="M1501" s="246">
        <f t="shared" si="604"/>
        <v>0</v>
      </c>
      <c r="N1501" s="121">
        <f t="shared" si="605"/>
        <v>1</v>
      </c>
      <c r="O1501" s="246">
        <f t="shared" si="606"/>
        <v>0.9908369803063457</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87">
        <v>20</v>
      </c>
      <c r="B1502" s="242">
        <f t="shared" si="613"/>
        <v>46235</v>
      </c>
      <c r="C1502" s="243">
        <f t="shared" si="594"/>
        <v>46265</v>
      </c>
      <c r="D1502" s="120">
        <f t="shared" si="595"/>
        <v>31</v>
      </c>
      <c r="E1502" s="120">
        <f t="shared" si="596"/>
        <v>8</v>
      </c>
      <c r="F1502" s="275">
        <f t="shared" si="597"/>
        <v>46250.5</v>
      </c>
      <c r="G1502" s="120">
        <f t="shared" si="598"/>
        <v>24319</v>
      </c>
      <c r="H1502" s="245">
        <f t="shared" si="599"/>
        <v>1</v>
      </c>
      <c r="I1502" s="121">
        <f t="shared" si="600"/>
        <v>1</v>
      </c>
      <c r="J1502" s="121">
        <f t="shared" si="601"/>
        <v>1</v>
      </c>
      <c r="K1502" s="120">
        <f t="shared" si="602"/>
        <v>0</v>
      </c>
      <c r="L1502" s="120">
        <f t="shared" si="603"/>
        <v>0</v>
      </c>
      <c r="M1502" s="246">
        <f t="shared" si="604"/>
        <v>0</v>
      </c>
      <c r="N1502" s="121">
        <f t="shared" si="605"/>
        <v>1</v>
      </c>
      <c r="O1502" s="246">
        <f t="shared" si="606"/>
        <v>0.99049781181619256</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87">
        <v>21</v>
      </c>
      <c r="B1503" s="242">
        <f t="shared" si="613"/>
        <v>46266</v>
      </c>
      <c r="C1503" s="243">
        <f t="shared" si="594"/>
        <v>46295</v>
      </c>
      <c r="D1503" s="120">
        <f t="shared" si="595"/>
        <v>30</v>
      </c>
      <c r="E1503" s="120">
        <f t="shared" si="596"/>
        <v>9</v>
      </c>
      <c r="F1503" s="275">
        <f t="shared" si="597"/>
        <v>46281</v>
      </c>
      <c r="G1503" s="120">
        <f t="shared" si="598"/>
        <v>24320</v>
      </c>
      <c r="H1503" s="245">
        <f t="shared" si="599"/>
        <v>1</v>
      </c>
      <c r="I1503" s="121">
        <f t="shared" si="600"/>
        <v>1</v>
      </c>
      <c r="J1503" s="121">
        <f t="shared" si="601"/>
        <v>1</v>
      </c>
      <c r="K1503" s="120">
        <f t="shared" si="602"/>
        <v>0</v>
      </c>
      <c r="L1503" s="120">
        <f t="shared" si="603"/>
        <v>0</v>
      </c>
      <c r="M1503" s="246">
        <f t="shared" si="604"/>
        <v>0</v>
      </c>
      <c r="N1503" s="121">
        <f t="shared" si="605"/>
        <v>1</v>
      </c>
      <c r="O1503" s="246">
        <f t="shared" si="606"/>
        <v>0.99016411378555802</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87">
        <v>22</v>
      </c>
      <c r="B1504" s="242">
        <f t="shared" si="613"/>
        <v>46296</v>
      </c>
      <c r="C1504" s="243">
        <f t="shared" si="594"/>
        <v>46326</v>
      </c>
      <c r="D1504" s="120">
        <f t="shared" si="595"/>
        <v>31</v>
      </c>
      <c r="E1504" s="120">
        <f t="shared" si="596"/>
        <v>10</v>
      </c>
      <c r="F1504" s="275">
        <f t="shared" si="597"/>
        <v>46311.5</v>
      </c>
      <c r="G1504" s="120">
        <f t="shared" si="598"/>
        <v>24321</v>
      </c>
      <c r="H1504" s="245">
        <f t="shared" si="599"/>
        <v>1</v>
      </c>
      <c r="I1504" s="121">
        <f t="shared" si="600"/>
        <v>1</v>
      </c>
      <c r="J1504" s="121">
        <f t="shared" si="601"/>
        <v>1</v>
      </c>
      <c r="K1504" s="120">
        <f t="shared" si="602"/>
        <v>0</v>
      </c>
      <c r="L1504" s="120">
        <f t="shared" si="603"/>
        <v>0</v>
      </c>
      <c r="M1504" s="246">
        <f t="shared" si="604"/>
        <v>0</v>
      </c>
      <c r="N1504" s="121">
        <f t="shared" si="605"/>
        <v>1</v>
      </c>
      <c r="O1504" s="246">
        <f t="shared" si="606"/>
        <v>0.98983041575492337</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87">
        <v>23</v>
      </c>
      <c r="B1505" s="242">
        <f t="shared" si="613"/>
        <v>46327</v>
      </c>
      <c r="C1505" s="243">
        <f t="shared" si="594"/>
        <v>46356</v>
      </c>
      <c r="D1505" s="120">
        <f t="shared" si="595"/>
        <v>30</v>
      </c>
      <c r="E1505" s="120">
        <f t="shared" si="596"/>
        <v>11</v>
      </c>
      <c r="F1505" s="275">
        <f t="shared" si="597"/>
        <v>46342</v>
      </c>
      <c r="G1505" s="120">
        <f t="shared" si="598"/>
        <v>24322</v>
      </c>
      <c r="H1505" s="245">
        <f t="shared" si="599"/>
        <v>1</v>
      </c>
      <c r="I1505" s="121">
        <f t="shared" si="600"/>
        <v>1</v>
      </c>
      <c r="J1505" s="121">
        <f t="shared" si="601"/>
        <v>1</v>
      </c>
      <c r="K1505" s="120">
        <f t="shared" si="602"/>
        <v>0</v>
      </c>
      <c r="L1505" s="120">
        <f t="shared" si="603"/>
        <v>0</v>
      </c>
      <c r="M1505" s="246">
        <f t="shared" si="604"/>
        <v>0</v>
      </c>
      <c r="N1505" s="121">
        <f t="shared" si="605"/>
        <v>1</v>
      </c>
      <c r="O1505" s="246">
        <f t="shared" si="606"/>
        <v>0.98949671772428882</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87">
        <v>24</v>
      </c>
      <c r="B1506" s="242">
        <f t="shared" si="613"/>
        <v>46357</v>
      </c>
      <c r="C1506" s="243">
        <f t="shared" si="594"/>
        <v>46387</v>
      </c>
      <c r="D1506" s="120">
        <f t="shared" si="595"/>
        <v>31</v>
      </c>
      <c r="E1506" s="120">
        <f t="shared" si="596"/>
        <v>12</v>
      </c>
      <c r="F1506" s="275">
        <f t="shared" si="597"/>
        <v>46372.5</v>
      </c>
      <c r="G1506" s="120">
        <f t="shared" si="598"/>
        <v>24323</v>
      </c>
      <c r="H1506" s="245">
        <f t="shared" si="599"/>
        <v>1</v>
      </c>
      <c r="I1506" s="121">
        <f t="shared" si="600"/>
        <v>1</v>
      </c>
      <c r="J1506" s="121">
        <f t="shared" si="601"/>
        <v>1</v>
      </c>
      <c r="K1506" s="120">
        <f t="shared" si="602"/>
        <v>0</v>
      </c>
      <c r="L1506" s="120">
        <f t="shared" si="603"/>
        <v>0</v>
      </c>
      <c r="M1506" s="246">
        <f t="shared" si="604"/>
        <v>0</v>
      </c>
      <c r="N1506" s="121">
        <f t="shared" si="605"/>
        <v>1</v>
      </c>
      <c r="O1506" s="246">
        <f t="shared" si="606"/>
        <v>0.98916301969365428</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87">
        <v>25</v>
      </c>
      <c r="B1507" s="242">
        <f t="shared" si="613"/>
        <v>46388</v>
      </c>
      <c r="C1507" s="243">
        <f t="shared" si="594"/>
        <v>46418</v>
      </c>
      <c r="D1507" s="120">
        <f t="shared" si="595"/>
        <v>31</v>
      </c>
      <c r="E1507" s="120">
        <f t="shared" si="596"/>
        <v>1</v>
      </c>
      <c r="F1507" s="275">
        <f t="shared" si="597"/>
        <v>46403.5</v>
      </c>
      <c r="G1507" s="120">
        <f t="shared" si="598"/>
        <v>24324</v>
      </c>
      <c r="H1507" s="245">
        <f t="shared" si="599"/>
        <v>1</v>
      </c>
      <c r="I1507" s="121">
        <f t="shared" si="600"/>
        <v>1</v>
      </c>
      <c r="J1507" s="121">
        <f t="shared" si="601"/>
        <v>1</v>
      </c>
      <c r="K1507" s="120">
        <f t="shared" si="602"/>
        <v>0</v>
      </c>
      <c r="L1507" s="120">
        <f t="shared" si="603"/>
        <v>0</v>
      </c>
      <c r="M1507" s="246">
        <f t="shared" si="604"/>
        <v>0</v>
      </c>
      <c r="N1507" s="121">
        <f t="shared" si="605"/>
        <v>1</v>
      </c>
      <c r="O1507" s="246">
        <f t="shared" si="606"/>
        <v>0.98882385120350114</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87">
        <v>26</v>
      </c>
      <c r="B1508" s="242">
        <f t="shared" si="613"/>
        <v>46419</v>
      </c>
      <c r="C1508" s="243">
        <f t="shared" si="594"/>
        <v>46446</v>
      </c>
      <c r="D1508" s="120">
        <f t="shared" si="595"/>
        <v>28</v>
      </c>
      <c r="E1508" s="120">
        <f t="shared" si="596"/>
        <v>2</v>
      </c>
      <c r="F1508" s="275">
        <f t="shared" si="597"/>
        <v>46433</v>
      </c>
      <c r="G1508" s="120">
        <f t="shared" si="598"/>
        <v>24325</v>
      </c>
      <c r="H1508" s="245">
        <f t="shared" si="599"/>
        <v>1</v>
      </c>
      <c r="I1508" s="121">
        <f t="shared" si="600"/>
        <v>1</v>
      </c>
      <c r="J1508" s="121">
        <f t="shared" si="601"/>
        <v>1</v>
      </c>
      <c r="K1508" s="120">
        <f t="shared" si="602"/>
        <v>0</v>
      </c>
      <c r="L1508" s="120">
        <f t="shared" si="603"/>
        <v>0</v>
      </c>
      <c r="M1508" s="246">
        <f t="shared" si="604"/>
        <v>0</v>
      </c>
      <c r="N1508" s="121">
        <f t="shared" si="605"/>
        <v>1</v>
      </c>
      <c r="O1508" s="246">
        <f t="shared" si="606"/>
        <v>0.98850109409190368</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87">
        <v>27</v>
      </c>
      <c r="B1509" s="242">
        <f t="shared" si="613"/>
        <v>46447</v>
      </c>
      <c r="C1509" s="243">
        <f t="shared" si="594"/>
        <v>46477</v>
      </c>
      <c r="D1509" s="120">
        <f t="shared" si="595"/>
        <v>31</v>
      </c>
      <c r="E1509" s="120">
        <f t="shared" si="596"/>
        <v>3</v>
      </c>
      <c r="F1509" s="275">
        <f t="shared" si="597"/>
        <v>46462.5</v>
      </c>
      <c r="G1509" s="120">
        <f t="shared" si="598"/>
        <v>24326</v>
      </c>
      <c r="H1509" s="245">
        <f t="shared" si="599"/>
        <v>1</v>
      </c>
      <c r="I1509" s="121">
        <f t="shared" si="600"/>
        <v>1</v>
      </c>
      <c r="J1509" s="121">
        <f t="shared" si="601"/>
        <v>1</v>
      </c>
      <c r="K1509" s="120">
        <f t="shared" si="602"/>
        <v>0</v>
      </c>
      <c r="L1509" s="120">
        <f t="shared" si="603"/>
        <v>0</v>
      </c>
      <c r="M1509" s="246">
        <f t="shared" si="604"/>
        <v>0</v>
      </c>
      <c r="N1509" s="121">
        <f t="shared" si="605"/>
        <v>1</v>
      </c>
      <c r="O1509" s="246">
        <f t="shared" si="606"/>
        <v>0.98817833698030633</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87">
        <v>28</v>
      </c>
      <c r="B1510" s="242">
        <f t="shared" si="613"/>
        <v>46478</v>
      </c>
      <c r="C1510" s="243">
        <f t="shared" si="594"/>
        <v>46507</v>
      </c>
      <c r="D1510" s="120">
        <f t="shared" si="595"/>
        <v>30</v>
      </c>
      <c r="E1510" s="120">
        <f t="shared" si="596"/>
        <v>4</v>
      </c>
      <c r="F1510" s="275">
        <f t="shared" si="597"/>
        <v>46493</v>
      </c>
      <c r="G1510" s="120">
        <f t="shared" si="598"/>
        <v>24327</v>
      </c>
      <c r="H1510" s="245">
        <f t="shared" si="599"/>
        <v>1</v>
      </c>
      <c r="I1510" s="121">
        <f t="shared" si="600"/>
        <v>1</v>
      </c>
      <c r="J1510" s="121">
        <f t="shared" si="601"/>
        <v>1</v>
      </c>
      <c r="K1510" s="120">
        <f t="shared" si="602"/>
        <v>0</v>
      </c>
      <c r="L1510" s="120">
        <f t="shared" si="603"/>
        <v>0</v>
      </c>
      <c r="M1510" s="246">
        <f t="shared" si="604"/>
        <v>0</v>
      </c>
      <c r="N1510" s="121">
        <f t="shared" si="605"/>
        <v>1</v>
      </c>
      <c r="O1510" s="246">
        <f t="shared" si="606"/>
        <v>0.98784463894967178</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87">
        <v>29</v>
      </c>
      <c r="B1511" s="242">
        <f t="shared" si="613"/>
        <v>46508</v>
      </c>
      <c r="C1511" s="243">
        <f t="shared" si="594"/>
        <v>46538</v>
      </c>
      <c r="D1511" s="120">
        <f t="shared" si="595"/>
        <v>31</v>
      </c>
      <c r="E1511" s="120">
        <f t="shared" si="596"/>
        <v>5</v>
      </c>
      <c r="F1511" s="275">
        <f t="shared" si="597"/>
        <v>46523.5</v>
      </c>
      <c r="G1511" s="120">
        <f t="shared" si="598"/>
        <v>24328</v>
      </c>
      <c r="H1511" s="245">
        <f t="shared" si="599"/>
        <v>1</v>
      </c>
      <c r="I1511" s="121">
        <f t="shared" si="600"/>
        <v>1</v>
      </c>
      <c r="J1511" s="121">
        <f t="shared" si="601"/>
        <v>1</v>
      </c>
      <c r="K1511" s="120">
        <f t="shared" si="602"/>
        <v>0</v>
      </c>
      <c r="L1511" s="120">
        <f t="shared" si="603"/>
        <v>0</v>
      </c>
      <c r="M1511" s="246">
        <f t="shared" si="604"/>
        <v>0</v>
      </c>
      <c r="N1511" s="121">
        <f t="shared" si="605"/>
        <v>1</v>
      </c>
      <c r="O1511" s="246">
        <f t="shared" si="606"/>
        <v>0.98751094091903724</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87">
        <v>30</v>
      </c>
      <c r="B1512" s="242">
        <f t="shared" si="613"/>
        <v>46539</v>
      </c>
      <c r="C1512" s="243">
        <f t="shared" si="594"/>
        <v>46568</v>
      </c>
      <c r="D1512" s="120">
        <f t="shared" si="595"/>
        <v>30</v>
      </c>
      <c r="E1512" s="120">
        <f t="shared" si="596"/>
        <v>6</v>
      </c>
      <c r="F1512" s="275">
        <f t="shared" si="597"/>
        <v>46554</v>
      </c>
      <c r="G1512" s="120">
        <f t="shared" si="598"/>
        <v>24329</v>
      </c>
      <c r="H1512" s="245">
        <f t="shared" si="599"/>
        <v>1</v>
      </c>
      <c r="I1512" s="121">
        <f t="shared" si="600"/>
        <v>1</v>
      </c>
      <c r="J1512" s="121">
        <f t="shared" si="601"/>
        <v>1</v>
      </c>
      <c r="K1512" s="120">
        <f t="shared" si="602"/>
        <v>0</v>
      </c>
      <c r="L1512" s="120">
        <f t="shared" si="603"/>
        <v>0</v>
      </c>
      <c r="M1512" s="246">
        <f t="shared" si="604"/>
        <v>0</v>
      </c>
      <c r="N1512" s="121">
        <f t="shared" si="605"/>
        <v>1</v>
      </c>
      <c r="O1512" s="246">
        <f t="shared" si="606"/>
        <v>0.98717724288840258</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87">
        <v>31</v>
      </c>
      <c r="B1513" s="242">
        <f t="shared" si="613"/>
        <v>46569</v>
      </c>
      <c r="C1513" s="243">
        <f t="shared" si="594"/>
        <v>46599</v>
      </c>
      <c r="D1513" s="120">
        <f t="shared" si="595"/>
        <v>31</v>
      </c>
      <c r="E1513" s="120">
        <f t="shared" si="596"/>
        <v>7</v>
      </c>
      <c r="F1513" s="275">
        <f t="shared" si="597"/>
        <v>46584.5</v>
      </c>
      <c r="G1513" s="120">
        <f t="shared" si="598"/>
        <v>24330</v>
      </c>
      <c r="H1513" s="245">
        <f t="shared" si="599"/>
        <v>1</v>
      </c>
      <c r="I1513" s="121">
        <f t="shared" si="600"/>
        <v>1</v>
      </c>
      <c r="J1513" s="121">
        <f t="shared" si="601"/>
        <v>1</v>
      </c>
      <c r="K1513" s="120">
        <f t="shared" si="602"/>
        <v>0</v>
      </c>
      <c r="L1513" s="120">
        <f t="shared" si="603"/>
        <v>0</v>
      </c>
      <c r="M1513" s="246">
        <f t="shared" si="604"/>
        <v>0</v>
      </c>
      <c r="N1513" s="121">
        <f t="shared" si="605"/>
        <v>1</v>
      </c>
      <c r="O1513" s="246">
        <f t="shared" si="606"/>
        <v>0.98684354485776804</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87">
        <v>32</v>
      </c>
      <c r="B1514" s="242">
        <f t="shared" si="613"/>
        <v>46600</v>
      </c>
      <c r="C1514" s="243">
        <f t="shared" si="594"/>
        <v>46630</v>
      </c>
      <c r="D1514" s="120">
        <f t="shared" si="595"/>
        <v>31</v>
      </c>
      <c r="E1514" s="120">
        <f t="shared" si="596"/>
        <v>8</v>
      </c>
      <c r="F1514" s="275">
        <f t="shared" si="597"/>
        <v>46615.5</v>
      </c>
      <c r="G1514" s="120">
        <f t="shared" si="598"/>
        <v>24331</v>
      </c>
      <c r="H1514" s="245">
        <f t="shared" si="599"/>
        <v>1</v>
      </c>
      <c r="I1514" s="121">
        <f t="shared" si="600"/>
        <v>1</v>
      </c>
      <c r="J1514" s="121">
        <f t="shared" si="601"/>
        <v>1</v>
      </c>
      <c r="K1514" s="120">
        <f t="shared" si="602"/>
        <v>0</v>
      </c>
      <c r="L1514" s="120">
        <f t="shared" si="603"/>
        <v>0</v>
      </c>
      <c r="M1514" s="246">
        <f t="shared" si="604"/>
        <v>0</v>
      </c>
      <c r="N1514" s="121">
        <f t="shared" si="605"/>
        <v>1</v>
      </c>
      <c r="O1514" s="246">
        <f t="shared" si="606"/>
        <v>0.9865043763676149</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87">
        <v>33</v>
      </c>
      <c r="B1515" s="242">
        <f t="shared" si="613"/>
        <v>46631</v>
      </c>
      <c r="C1515" s="243">
        <f t="shared" si="594"/>
        <v>46660</v>
      </c>
      <c r="D1515" s="120">
        <f t="shared" si="595"/>
        <v>30</v>
      </c>
      <c r="E1515" s="120">
        <f t="shared" si="596"/>
        <v>9</v>
      </c>
      <c r="F1515" s="275">
        <f t="shared" si="597"/>
        <v>46646</v>
      </c>
      <c r="G1515" s="120">
        <f t="shared" si="598"/>
        <v>24332</v>
      </c>
      <c r="H1515" s="245">
        <f t="shared" si="599"/>
        <v>1</v>
      </c>
      <c r="I1515" s="121">
        <f t="shared" si="600"/>
        <v>1</v>
      </c>
      <c r="J1515" s="121">
        <f t="shared" si="601"/>
        <v>1</v>
      </c>
      <c r="K1515" s="120">
        <f t="shared" si="602"/>
        <v>0</v>
      </c>
      <c r="L1515" s="120">
        <f t="shared" si="603"/>
        <v>0</v>
      </c>
      <c r="M1515" s="246">
        <f t="shared" si="604"/>
        <v>0</v>
      </c>
      <c r="N1515" s="121">
        <f t="shared" si="605"/>
        <v>1</v>
      </c>
      <c r="O1515" s="246">
        <f t="shared" si="606"/>
        <v>0.98617067833698024</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87">
        <v>34</v>
      </c>
      <c r="B1516" s="242">
        <f t="shared" si="613"/>
        <v>46661</v>
      </c>
      <c r="C1516" s="243">
        <f t="shared" si="594"/>
        <v>46691</v>
      </c>
      <c r="D1516" s="120">
        <f t="shared" si="595"/>
        <v>31</v>
      </c>
      <c r="E1516" s="120">
        <f t="shared" si="596"/>
        <v>10</v>
      </c>
      <c r="F1516" s="275">
        <f t="shared" si="597"/>
        <v>46676.5</v>
      </c>
      <c r="G1516" s="120">
        <f t="shared" si="598"/>
        <v>24333</v>
      </c>
      <c r="H1516" s="245">
        <f t="shared" si="599"/>
        <v>1</v>
      </c>
      <c r="I1516" s="121">
        <f t="shared" si="600"/>
        <v>1</v>
      </c>
      <c r="J1516" s="121">
        <f t="shared" si="601"/>
        <v>1</v>
      </c>
      <c r="K1516" s="120">
        <f t="shared" si="602"/>
        <v>0</v>
      </c>
      <c r="L1516" s="120">
        <f t="shared" si="603"/>
        <v>0</v>
      </c>
      <c r="M1516" s="246">
        <f t="shared" si="604"/>
        <v>0</v>
      </c>
      <c r="N1516" s="121">
        <f t="shared" si="605"/>
        <v>1</v>
      </c>
      <c r="O1516" s="246">
        <f t="shared" si="606"/>
        <v>0.9858369803063457</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87">
        <v>35</v>
      </c>
      <c r="B1517" s="242">
        <f t="shared" si="613"/>
        <v>46692</v>
      </c>
      <c r="C1517" s="243">
        <f t="shared" si="594"/>
        <v>46721</v>
      </c>
      <c r="D1517" s="120">
        <f t="shared" si="595"/>
        <v>30</v>
      </c>
      <c r="E1517" s="120">
        <f t="shared" si="596"/>
        <v>11</v>
      </c>
      <c r="F1517" s="275">
        <f t="shared" si="597"/>
        <v>46707</v>
      </c>
      <c r="G1517" s="120">
        <f t="shared" si="598"/>
        <v>24334</v>
      </c>
      <c r="H1517" s="245">
        <f t="shared" si="599"/>
        <v>1</v>
      </c>
      <c r="I1517" s="121">
        <f t="shared" si="600"/>
        <v>1</v>
      </c>
      <c r="J1517" s="121">
        <f t="shared" si="601"/>
        <v>1</v>
      </c>
      <c r="K1517" s="120">
        <f t="shared" si="602"/>
        <v>0</v>
      </c>
      <c r="L1517" s="120">
        <f t="shared" si="603"/>
        <v>0</v>
      </c>
      <c r="M1517" s="246">
        <f t="shared" si="604"/>
        <v>0</v>
      </c>
      <c r="N1517" s="121">
        <f t="shared" si="605"/>
        <v>1</v>
      </c>
      <c r="O1517" s="246">
        <f t="shared" si="606"/>
        <v>0.98550328227571116</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87">
        <v>36</v>
      </c>
      <c r="B1518" s="242">
        <f t="shared" si="613"/>
        <v>46722</v>
      </c>
      <c r="C1518" s="243">
        <f t="shared" si="594"/>
        <v>46752</v>
      </c>
      <c r="D1518" s="120">
        <f t="shared" si="595"/>
        <v>31</v>
      </c>
      <c r="E1518" s="120">
        <f t="shared" si="596"/>
        <v>12</v>
      </c>
      <c r="F1518" s="275">
        <f t="shared" si="597"/>
        <v>46737.5</v>
      </c>
      <c r="G1518" s="120">
        <f t="shared" si="598"/>
        <v>24335</v>
      </c>
      <c r="H1518" s="245">
        <f t="shared" si="599"/>
        <v>1</v>
      </c>
      <c r="I1518" s="121">
        <f t="shared" si="600"/>
        <v>1</v>
      </c>
      <c r="J1518" s="121">
        <f t="shared" si="601"/>
        <v>1</v>
      </c>
      <c r="K1518" s="120">
        <f t="shared" si="602"/>
        <v>0</v>
      </c>
      <c r="L1518" s="120">
        <f t="shared" si="603"/>
        <v>0</v>
      </c>
      <c r="M1518" s="246">
        <f t="shared" si="604"/>
        <v>0</v>
      </c>
      <c r="N1518" s="121">
        <f t="shared" si="605"/>
        <v>1</v>
      </c>
      <c r="O1518" s="246">
        <f t="shared" si="606"/>
        <v>0.98516958424507661</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87">
        <v>37</v>
      </c>
      <c r="B1519" s="242">
        <f t="shared" si="613"/>
        <v>46753</v>
      </c>
      <c r="C1519" s="243">
        <f t="shared" si="594"/>
        <v>46783</v>
      </c>
      <c r="D1519" s="120">
        <f t="shared" si="595"/>
        <v>31</v>
      </c>
      <c r="E1519" s="120">
        <f t="shared" si="596"/>
        <v>1</v>
      </c>
      <c r="F1519" s="275">
        <f t="shared" si="597"/>
        <v>46768.5</v>
      </c>
      <c r="G1519" s="120">
        <f t="shared" si="598"/>
        <v>24336</v>
      </c>
      <c r="H1519" s="245">
        <f t="shared" si="599"/>
        <v>1</v>
      </c>
      <c r="I1519" s="121">
        <f t="shared" si="600"/>
        <v>1</v>
      </c>
      <c r="J1519" s="121">
        <f t="shared" si="601"/>
        <v>1</v>
      </c>
      <c r="K1519" s="120">
        <f t="shared" si="602"/>
        <v>0</v>
      </c>
      <c r="L1519" s="120">
        <f t="shared" si="603"/>
        <v>0</v>
      </c>
      <c r="M1519" s="246">
        <f t="shared" si="604"/>
        <v>0</v>
      </c>
      <c r="N1519" s="121">
        <f t="shared" si="605"/>
        <v>1</v>
      </c>
      <c r="O1519" s="246">
        <f t="shared" si="606"/>
        <v>0.98499999999999999</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87">
        <v>38</v>
      </c>
      <c r="B1520" s="242">
        <f t="shared" si="613"/>
        <v>46784</v>
      </c>
      <c r="C1520" s="243">
        <f t="shared" si="594"/>
        <v>46812</v>
      </c>
      <c r="D1520" s="120">
        <f t="shared" si="595"/>
        <v>29</v>
      </c>
      <c r="E1520" s="120">
        <f t="shared" si="596"/>
        <v>2</v>
      </c>
      <c r="F1520" s="275">
        <f t="shared" si="597"/>
        <v>46798.5</v>
      </c>
      <c r="G1520" s="120">
        <f t="shared" si="598"/>
        <v>24337</v>
      </c>
      <c r="H1520" s="245">
        <f t="shared" si="599"/>
        <v>1</v>
      </c>
      <c r="I1520" s="121">
        <f t="shared" si="600"/>
        <v>1</v>
      </c>
      <c r="J1520" s="121">
        <f t="shared" si="601"/>
        <v>1</v>
      </c>
      <c r="K1520" s="120">
        <f t="shared" si="602"/>
        <v>0</v>
      </c>
      <c r="L1520" s="120">
        <f t="shared" si="603"/>
        <v>0</v>
      </c>
      <c r="M1520" s="246">
        <f t="shared" si="604"/>
        <v>0</v>
      </c>
      <c r="N1520" s="121">
        <f t="shared" si="605"/>
        <v>1</v>
      </c>
      <c r="O1520" s="246">
        <f t="shared" si="606"/>
        <v>0.98499999999999999</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87">
        <v>39</v>
      </c>
      <c r="B1521" s="242">
        <f t="shared" si="613"/>
        <v>46813</v>
      </c>
      <c r="C1521" s="243">
        <f t="shared" si="594"/>
        <v>46843</v>
      </c>
      <c r="D1521" s="120">
        <f t="shared" si="595"/>
        <v>31</v>
      </c>
      <c r="E1521" s="120">
        <f t="shared" si="596"/>
        <v>3</v>
      </c>
      <c r="F1521" s="275">
        <f t="shared" si="597"/>
        <v>46828.5</v>
      </c>
      <c r="G1521" s="120">
        <f t="shared" si="598"/>
        <v>24338</v>
      </c>
      <c r="H1521" s="245">
        <f t="shared" si="599"/>
        <v>1</v>
      </c>
      <c r="I1521" s="121">
        <f t="shared" si="600"/>
        <v>1</v>
      </c>
      <c r="J1521" s="121">
        <f t="shared" si="601"/>
        <v>1</v>
      </c>
      <c r="K1521" s="120">
        <f t="shared" si="602"/>
        <v>0</v>
      </c>
      <c r="L1521" s="120">
        <f t="shared" si="603"/>
        <v>0</v>
      </c>
      <c r="M1521" s="246">
        <f t="shared" si="604"/>
        <v>0</v>
      </c>
      <c r="N1521" s="121">
        <f t="shared" si="605"/>
        <v>1</v>
      </c>
      <c r="O1521" s="246">
        <f t="shared" si="606"/>
        <v>0.98499999999999999</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87">
        <v>40</v>
      </c>
      <c r="B1522" s="242">
        <f t="shared" si="613"/>
        <v>46844</v>
      </c>
      <c r="C1522" s="243">
        <f t="shared" si="594"/>
        <v>46873</v>
      </c>
      <c r="D1522" s="120">
        <f t="shared" si="595"/>
        <v>30</v>
      </c>
      <c r="E1522" s="120">
        <f t="shared" si="596"/>
        <v>4</v>
      </c>
      <c r="F1522" s="275">
        <f t="shared" si="597"/>
        <v>46859</v>
      </c>
      <c r="G1522" s="120">
        <f t="shared" si="598"/>
        <v>24339</v>
      </c>
      <c r="H1522" s="245">
        <f t="shared" si="599"/>
        <v>1</v>
      </c>
      <c r="I1522" s="121">
        <f t="shared" si="600"/>
        <v>1</v>
      </c>
      <c r="J1522" s="121">
        <f t="shared" si="601"/>
        <v>1</v>
      </c>
      <c r="K1522" s="120">
        <f t="shared" si="602"/>
        <v>0</v>
      </c>
      <c r="L1522" s="120">
        <f t="shared" si="603"/>
        <v>0</v>
      </c>
      <c r="M1522" s="246">
        <f t="shared" si="604"/>
        <v>0</v>
      </c>
      <c r="N1522" s="121">
        <f t="shared" si="605"/>
        <v>1</v>
      </c>
      <c r="O1522" s="246">
        <f t="shared" si="606"/>
        <v>0.98499999999999999</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87">
        <v>41</v>
      </c>
      <c r="B1523" s="242">
        <f t="shared" si="613"/>
        <v>46874</v>
      </c>
      <c r="C1523" s="243">
        <f t="shared" si="594"/>
        <v>46904</v>
      </c>
      <c r="D1523" s="120">
        <f t="shared" si="595"/>
        <v>31</v>
      </c>
      <c r="E1523" s="120">
        <f t="shared" si="596"/>
        <v>5</v>
      </c>
      <c r="F1523" s="275">
        <f t="shared" si="597"/>
        <v>46889.5</v>
      </c>
      <c r="G1523" s="120">
        <f t="shared" si="598"/>
        <v>24340</v>
      </c>
      <c r="H1523" s="245">
        <f t="shared" si="599"/>
        <v>1</v>
      </c>
      <c r="I1523" s="121">
        <f t="shared" si="600"/>
        <v>1</v>
      </c>
      <c r="J1523" s="121">
        <f t="shared" si="601"/>
        <v>1</v>
      </c>
      <c r="K1523" s="120">
        <f t="shared" si="602"/>
        <v>0</v>
      </c>
      <c r="L1523" s="120">
        <f t="shared" si="603"/>
        <v>0</v>
      </c>
      <c r="M1523" s="246">
        <f t="shared" si="604"/>
        <v>0</v>
      </c>
      <c r="N1523" s="121">
        <f t="shared" si="605"/>
        <v>1</v>
      </c>
      <c r="O1523" s="246">
        <f t="shared" si="606"/>
        <v>0.98499999999999999</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87">
        <v>42</v>
      </c>
      <c r="B1524" s="242">
        <f t="shared" si="613"/>
        <v>46905</v>
      </c>
      <c r="C1524" s="243">
        <f t="shared" si="594"/>
        <v>46934</v>
      </c>
      <c r="D1524" s="120">
        <f t="shared" si="595"/>
        <v>30</v>
      </c>
      <c r="E1524" s="120">
        <f t="shared" si="596"/>
        <v>6</v>
      </c>
      <c r="F1524" s="275">
        <f t="shared" si="597"/>
        <v>46920</v>
      </c>
      <c r="G1524" s="120">
        <f t="shared" si="598"/>
        <v>24341</v>
      </c>
      <c r="H1524" s="245">
        <f t="shared" si="599"/>
        <v>1</v>
      </c>
      <c r="I1524" s="121">
        <f t="shared" si="600"/>
        <v>1</v>
      </c>
      <c r="J1524" s="121">
        <f t="shared" si="601"/>
        <v>1</v>
      </c>
      <c r="K1524" s="120">
        <f t="shared" si="602"/>
        <v>0</v>
      </c>
      <c r="L1524" s="120">
        <f t="shared" si="603"/>
        <v>0</v>
      </c>
      <c r="M1524" s="246">
        <f t="shared" si="604"/>
        <v>0</v>
      </c>
      <c r="N1524" s="121">
        <f t="shared" si="605"/>
        <v>1</v>
      </c>
      <c r="O1524" s="246">
        <f t="shared" si="606"/>
        <v>0.98499999999999999</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87">
        <v>43</v>
      </c>
      <c r="B1525" s="242">
        <f t="shared" si="613"/>
        <v>46935</v>
      </c>
      <c r="C1525" s="243">
        <f t="shared" si="594"/>
        <v>46965</v>
      </c>
      <c r="D1525" s="120">
        <f t="shared" si="595"/>
        <v>31</v>
      </c>
      <c r="E1525" s="120">
        <f t="shared" si="596"/>
        <v>7</v>
      </c>
      <c r="F1525" s="275">
        <f t="shared" si="597"/>
        <v>46950.5</v>
      </c>
      <c r="G1525" s="120">
        <f t="shared" si="598"/>
        <v>24342</v>
      </c>
      <c r="H1525" s="245">
        <f t="shared" si="599"/>
        <v>1</v>
      </c>
      <c r="I1525" s="121">
        <f t="shared" si="600"/>
        <v>1</v>
      </c>
      <c r="J1525" s="121">
        <f t="shared" si="601"/>
        <v>1</v>
      </c>
      <c r="K1525" s="120">
        <f t="shared" si="602"/>
        <v>0</v>
      </c>
      <c r="L1525" s="120">
        <f t="shared" si="603"/>
        <v>0</v>
      </c>
      <c r="M1525" s="246">
        <f t="shared" si="604"/>
        <v>0</v>
      </c>
      <c r="N1525" s="121">
        <f t="shared" si="605"/>
        <v>1</v>
      </c>
      <c r="O1525" s="246">
        <f t="shared" si="606"/>
        <v>0.98499999999999999</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87">
        <v>44</v>
      </c>
      <c r="B1526" s="242">
        <f t="shared" si="613"/>
        <v>46966</v>
      </c>
      <c r="C1526" s="243">
        <f t="shared" si="594"/>
        <v>46996</v>
      </c>
      <c r="D1526" s="120">
        <f t="shared" si="595"/>
        <v>31</v>
      </c>
      <c r="E1526" s="120">
        <f t="shared" si="596"/>
        <v>8</v>
      </c>
      <c r="F1526" s="275">
        <f t="shared" si="597"/>
        <v>46981.5</v>
      </c>
      <c r="G1526" s="120">
        <f t="shared" si="598"/>
        <v>24343</v>
      </c>
      <c r="H1526" s="245">
        <f t="shared" si="599"/>
        <v>1</v>
      </c>
      <c r="I1526" s="121">
        <f t="shared" si="600"/>
        <v>1</v>
      </c>
      <c r="J1526" s="121">
        <f t="shared" si="601"/>
        <v>1</v>
      </c>
      <c r="K1526" s="120">
        <f t="shared" si="602"/>
        <v>0</v>
      </c>
      <c r="L1526" s="120">
        <f t="shared" si="603"/>
        <v>0</v>
      </c>
      <c r="M1526" s="246">
        <f t="shared" si="604"/>
        <v>0</v>
      </c>
      <c r="N1526" s="121">
        <f t="shared" si="605"/>
        <v>1</v>
      </c>
      <c r="O1526" s="246">
        <f t="shared" si="606"/>
        <v>0.98499999999999999</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87">
        <v>45</v>
      </c>
      <c r="B1527" s="242">
        <f t="shared" si="613"/>
        <v>46997</v>
      </c>
      <c r="C1527" s="243">
        <f t="shared" si="594"/>
        <v>47026</v>
      </c>
      <c r="D1527" s="120">
        <f t="shared" si="595"/>
        <v>30</v>
      </c>
      <c r="E1527" s="120">
        <f t="shared" si="596"/>
        <v>9</v>
      </c>
      <c r="F1527" s="275">
        <f t="shared" si="597"/>
        <v>47012</v>
      </c>
      <c r="G1527" s="120">
        <f t="shared" si="598"/>
        <v>24344</v>
      </c>
      <c r="H1527" s="245">
        <f t="shared" si="599"/>
        <v>1</v>
      </c>
      <c r="I1527" s="121">
        <f t="shared" si="600"/>
        <v>1</v>
      </c>
      <c r="J1527" s="121">
        <f t="shared" si="601"/>
        <v>1</v>
      </c>
      <c r="K1527" s="120">
        <f t="shared" si="602"/>
        <v>0</v>
      </c>
      <c r="L1527" s="120">
        <f t="shared" si="603"/>
        <v>0</v>
      </c>
      <c r="M1527" s="246">
        <f t="shared" si="604"/>
        <v>0</v>
      </c>
      <c r="N1527" s="121">
        <f t="shared" si="605"/>
        <v>1</v>
      </c>
      <c r="O1527" s="246">
        <f t="shared" si="606"/>
        <v>0.98499999999999999</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87">
        <v>46</v>
      </c>
      <c r="B1528" s="242">
        <f t="shared" si="613"/>
        <v>47027</v>
      </c>
      <c r="C1528" s="243">
        <f t="shared" si="594"/>
        <v>47057</v>
      </c>
      <c r="D1528" s="120">
        <f t="shared" si="595"/>
        <v>31</v>
      </c>
      <c r="E1528" s="120">
        <f t="shared" si="596"/>
        <v>10</v>
      </c>
      <c r="F1528" s="275">
        <f t="shared" si="597"/>
        <v>47042.5</v>
      </c>
      <c r="G1528" s="120">
        <f t="shared" si="598"/>
        <v>24345</v>
      </c>
      <c r="H1528" s="245">
        <f t="shared" si="599"/>
        <v>1</v>
      </c>
      <c r="I1528" s="121">
        <f t="shared" si="600"/>
        <v>1</v>
      </c>
      <c r="J1528" s="121">
        <f t="shared" si="601"/>
        <v>1</v>
      </c>
      <c r="K1528" s="120">
        <f t="shared" si="602"/>
        <v>0</v>
      </c>
      <c r="L1528" s="120">
        <f t="shared" si="603"/>
        <v>0</v>
      </c>
      <c r="M1528" s="246">
        <f t="shared" si="604"/>
        <v>0</v>
      </c>
      <c r="N1528" s="121">
        <f t="shared" si="605"/>
        <v>1</v>
      </c>
      <c r="O1528" s="246">
        <f t="shared" si="606"/>
        <v>0.98499999999999999</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87">
        <v>47</v>
      </c>
      <c r="B1529" s="242">
        <f t="shared" si="613"/>
        <v>47058</v>
      </c>
      <c r="C1529" s="243">
        <f t="shared" si="594"/>
        <v>47087</v>
      </c>
      <c r="D1529" s="120">
        <f t="shared" si="595"/>
        <v>30</v>
      </c>
      <c r="E1529" s="120">
        <f t="shared" si="596"/>
        <v>11</v>
      </c>
      <c r="F1529" s="275">
        <f t="shared" si="597"/>
        <v>47073</v>
      </c>
      <c r="G1529" s="120">
        <f t="shared" si="598"/>
        <v>24346</v>
      </c>
      <c r="H1529" s="245">
        <f t="shared" si="599"/>
        <v>1</v>
      </c>
      <c r="I1529" s="121">
        <f t="shared" si="600"/>
        <v>1</v>
      </c>
      <c r="J1529" s="121">
        <f t="shared" si="601"/>
        <v>1</v>
      </c>
      <c r="K1529" s="120">
        <f t="shared" si="602"/>
        <v>0</v>
      </c>
      <c r="L1529" s="120">
        <f t="shared" si="603"/>
        <v>0</v>
      </c>
      <c r="M1529" s="246">
        <f t="shared" si="604"/>
        <v>0</v>
      </c>
      <c r="N1529" s="121">
        <f t="shared" si="605"/>
        <v>1</v>
      </c>
      <c r="O1529" s="246">
        <f t="shared" si="606"/>
        <v>0.98499999999999999</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87">
        <v>48</v>
      </c>
      <c r="B1530" s="242">
        <f t="shared" si="613"/>
        <v>47088</v>
      </c>
      <c r="C1530" s="243">
        <f t="shared" si="594"/>
        <v>47118</v>
      </c>
      <c r="D1530" s="120">
        <f t="shared" si="595"/>
        <v>31</v>
      </c>
      <c r="E1530" s="120">
        <f t="shared" si="596"/>
        <v>12</v>
      </c>
      <c r="F1530" s="275">
        <f t="shared" si="597"/>
        <v>47103.5</v>
      </c>
      <c r="G1530" s="120">
        <f t="shared" si="598"/>
        <v>24347</v>
      </c>
      <c r="H1530" s="245">
        <f t="shared" si="599"/>
        <v>1</v>
      </c>
      <c r="I1530" s="121">
        <f t="shared" si="600"/>
        <v>1</v>
      </c>
      <c r="J1530" s="121">
        <f t="shared" si="601"/>
        <v>1</v>
      </c>
      <c r="K1530" s="120">
        <f t="shared" si="602"/>
        <v>0</v>
      </c>
      <c r="L1530" s="120">
        <f t="shared" si="603"/>
        <v>0</v>
      </c>
      <c r="M1530" s="246">
        <f t="shared" si="604"/>
        <v>0</v>
      </c>
      <c r="N1530" s="121">
        <f t="shared" si="605"/>
        <v>1</v>
      </c>
      <c r="O1530" s="246">
        <f t="shared" si="606"/>
        <v>0.98499999999999999</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1651</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0.98900209700948194</v>
      </c>
      <c r="G1531" s="224">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24">
        <f>IF(N(INDEX(lr_mind,28))=0,1,INDEX(lr_mind,28))</f>
        <v>1</v>
      </c>
      <c r="G1534" s="224">
        <f>IF(N(INDEX(lr_m0,28))=0,1,INDEX(lr_m0,28))</f>
        <v>0.99</v>
      </c>
      <c r="H1534" s="74">
        <f>IF(N(INDEX(lr_m0asof,28))=0,DATE(nr_PlanYear-1,10,1),INDEX(lr_m0asof,28))</f>
        <v>46295</v>
      </c>
      <c r="I1534" s="224">
        <f>IF(N(INDEX(lr_m1,28))=0,1,INDEX(lr_m1,28))</f>
        <v>1</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614">EOMONTH($B1537,0)</f>
        <v>45688</v>
      </c>
      <c r="D1537" s="120">
        <f t="shared" ref="D1537:D1584" si="615">$C1537-$B1537+1</f>
        <v>31</v>
      </c>
      <c r="E1537" s="120">
        <f t="shared" ref="E1537:E1584" si="616">MONTH($B1537)</f>
        <v>1</v>
      </c>
      <c r="F1537" s="275">
        <f t="shared" ref="F1537:F1584" si="617">($B1537+$C1537+1)/2</f>
        <v>45673.5</v>
      </c>
      <c r="G1537" s="120">
        <f t="shared" ref="G1537:G1584" si="618">YEAR($B1537)*12+MONTH($B1537)-1</f>
        <v>24300</v>
      </c>
      <c r="H1537" s="245">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46">
        <f t="shared" ref="M1537:M1584" si="624">IF($K1537=0,0,MIN(1,$L1537/$D1537))</f>
        <v>0</v>
      </c>
      <c r="N1537" s="121">
        <f t="shared" ref="N1537:N1584" si="625">IF($K1537=0,$J1537,(1-$M1537)*$I1537+$M1537*$J1537)</f>
        <v>1</v>
      </c>
      <c r="O1537" s="246">
        <f t="shared" ref="O1537:O1584" si="626">IF($F1537&lt;$B$1535,$E$1535+$I$1535*($F1537-$A$1535),IF($F1537&lt;$C$1535,$F$1535+$J$1535*($F1537-$B$1535),$G$1535+$K$1535*($F1537-$C$1535)))</f>
        <v>0.97637855579868715</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87">
        <v>2</v>
      </c>
      <c r="B1538" s="242">
        <f t="shared" ref="B1538:B1584" si="633">EDATE($B1537,1)</f>
        <v>45689</v>
      </c>
      <c r="C1538" s="243">
        <f t="shared" si="614"/>
        <v>45716</v>
      </c>
      <c r="D1538" s="120">
        <f t="shared" si="615"/>
        <v>28</v>
      </c>
      <c r="E1538" s="120">
        <f t="shared" si="616"/>
        <v>2</v>
      </c>
      <c r="F1538" s="275">
        <f t="shared" si="617"/>
        <v>45703</v>
      </c>
      <c r="G1538" s="120">
        <f t="shared" si="618"/>
        <v>24301</v>
      </c>
      <c r="H1538" s="245">
        <f t="shared" si="619"/>
        <v>1</v>
      </c>
      <c r="I1538" s="121">
        <f t="shared" si="620"/>
        <v>1</v>
      </c>
      <c r="J1538" s="121">
        <f t="shared" si="621"/>
        <v>1</v>
      </c>
      <c r="K1538" s="120">
        <f t="shared" si="622"/>
        <v>0</v>
      </c>
      <c r="L1538" s="120">
        <f t="shared" si="623"/>
        <v>0</v>
      </c>
      <c r="M1538" s="246">
        <f t="shared" si="624"/>
        <v>0</v>
      </c>
      <c r="N1538" s="121">
        <f t="shared" si="625"/>
        <v>1</v>
      </c>
      <c r="O1538" s="246">
        <f t="shared" si="626"/>
        <v>0.97702407002188185</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87">
        <v>3</v>
      </c>
      <c r="B1539" s="242">
        <f t="shared" si="633"/>
        <v>45717</v>
      </c>
      <c r="C1539" s="243">
        <f t="shared" si="614"/>
        <v>45747</v>
      </c>
      <c r="D1539" s="120">
        <f t="shared" si="615"/>
        <v>31</v>
      </c>
      <c r="E1539" s="120">
        <f t="shared" si="616"/>
        <v>3</v>
      </c>
      <c r="F1539" s="275">
        <f t="shared" si="617"/>
        <v>45732.5</v>
      </c>
      <c r="G1539" s="120">
        <f t="shared" si="618"/>
        <v>24302</v>
      </c>
      <c r="H1539" s="245">
        <f t="shared" si="619"/>
        <v>1</v>
      </c>
      <c r="I1539" s="121">
        <f t="shared" si="620"/>
        <v>1</v>
      </c>
      <c r="J1539" s="121">
        <f t="shared" si="621"/>
        <v>1</v>
      </c>
      <c r="K1539" s="120">
        <f t="shared" si="622"/>
        <v>0</v>
      </c>
      <c r="L1539" s="120">
        <f t="shared" si="623"/>
        <v>0</v>
      </c>
      <c r="M1539" s="246">
        <f t="shared" si="624"/>
        <v>0</v>
      </c>
      <c r="N1539" s="121">
        <f t="shared" si="625"/>
        <v>1</v>
      </c>
      <c r="O1539" s="246">
        <f t="shared" si="626"/>
        <v>0.97766958424507666</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87">
        <v>4</v>
      </c>
      <c r="B1540" s="242">
        <f t="shared" si="633"/>
        <v>45748</v>
      </c>
      <c r="C1540" s="243">
        <f t="shared" si="614"/>
        <v>45777</v>
      </c>
      <c r="D1540" s="120">
        <f t="shared" si="615"/>
        <v>30</v>
      </c>
      <c r="E1540" s="120">
        <f t="shared" si="616"/>
        <v>4</v>
      </c>
      <c r="F1540" s="275">
        <f t="shared" si="617"/>
        <v>45763</v>
      </c>
      <c r="G1540" s="120">
        <f t="shared" si="618"/>
        <v>24303</v>
      </c>
      <c r="H1540" s="245">
        <f t="shared" si="619"/>
        <v>1</v>
      </c>
      <c r="I1540" s="121">
        <f t="shared" si="620"/>
        <v>1</v>
      </c>
      <c r="J1540" s="121">
        <f t="shared" si="621"/>
        <v>1</v>
      </c>
      <c r="K1540" s="120">
        <f t="shared" si="622"/>
        <v>0</v>
      </c>
      <c r="L1540" s="120">
        <f t="shared" si="623"/>
        <v>0</v>
      </c>
      <c r="M1540" s="246">
        <f t="shared" si="624"/>
        <v>0</v>
      </c>
      <c r="N1540" s="121">
        <f t="shared" si="625"/>
        <v>1</v>
      </c>
      <c r="O1540" s="246">
        <f t="shared" si="626"/>
        <v>0.97833698030634575</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87">
        <v>5</v>
      </c>
      <c r="B1541" s="242">
        <f t="shared" si="633"/>
        <v>45778</v>
      </c>
      <c r="C1541" s="243">
        <f t="shared" si="614"/>
        <v>45808</v>
      </c>
      <c r="D1541" s="120">
        <f t="shared" si="615"/>
        <v>31</v>
      </c>
      <c r="E1541" s="120">
        <f t="shared" si="616"/>
        <v>5</v>
      </c>
      <c r="F1541" s="275">
        <f t="shared" si="617"/>
        <v>45793.5</v>
      </c>
      <c r="G1541" s="120">
        <f t="shared" si="618"/>
        <v>24304</v>
      </c>
      <c r="H1541" s="245">
        <f t="shared" si="619"/>
        <v>1</v>
      </c>
      <c r="I1541" s="121">
        <f t="shared" si="620"/>
        <v>1</v>
      </c>
      <c r="J1541" s="121">
        <f t="shared" si="621"/>
        <v>1</v>
      </c>
      <c r="K1541" s="120">
        <f t="shared" si="622"/>
        <v>0</v>
      </c>
      <c r="L1541" s="120">
        <f t="shared" si="623"/>
        <v>0</v>
      </c>
      <c r="M1541" s="246">
        <f t="shared" si="624"/>
        <v>0</v>
      </c>
      <c r="N1541" s="121">
        <f t="shared" si="625"/>
        <v>1</v>
      </c>
      <c r="O1541" s="246">
        <f t="shared" si="626"/>
        <v>0.97900437636761495</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87">
        <v>6</v>
      </c>
      <c r="B1542" s="242">
        <f t="shared" si="633"/>
        <v>45809</v>
      </c>
      <c r="C1542" s="243">
        <f t="shared" si="614"/>
        <v>45838</v>
      </c>
      <c r="D1542" s="120">
        <f t="shared" si="615"/>
        <v>30</v>
      </c>
      <c r="E1542" s="120">
        <f t="shared" si="616"/>
        <v>6</v>
      </c>
      <c r="F1542" s="275">
        <f t="shared" si="617"/>
        <v>45824</v>
      </c>
      <c r="G1542" s="120">
        <f t="shared" si="618"/>
        <v>24305</v>
      </c>
      <c r="H1542" s="245">
        <f t="shared" si="619"/>
        <v>1</v>
      </c>
      <c r="I1542" s="121">
        <f t="shared" si="620"/>
        <v>1</v>
      </c>
      <c r="J1542" s="121">
        <f t="shared" si="621"/>
        <v>1</v>
      </c>
      <c r="K1542" s="120">
        <f t="shared" si="622"/>
        <v>0</v>
      </c>
      <c r="L1542" s="120">
        <f t="shared" si="623"/>
        <v>0</v>
      </c>
      <c r="M1542" s="246">
        <f t="shared" si="624"/>
        <v>0</v>
      </c>
      <c r="N1542" s="121">
        <f t="shared" si="625"/>
        <v>1</v>
      </c>
      <c r="O1542" s="246">
        <f t="shared" si="626"/>
        <v>0.97967177242888404</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87">
        <v>7</v>
      </c>
      <c r="B1543" s="242">
        <f t="shared" si="633"/>
        <v>45839</v>
      </c>
      <c r="C1543" s="243">
        <f t="shared" si="614"/>
        <v>45869</v>
      </c>
      <c r="D1543" s="120">
        <f t="shared" si="615"/>
        <v>31</v>
      </c>
      <c r="E1543" s="120">
        <f t="shared" si="616"/>
        <v>7</v>
      </c>
      <c r="F1543" s="275">
        <f t="shared" si="617"/>
        <v>45854.5</v>
      </c>
      <c r="G1543" s="120">
        <f t="shared" si="618"/>
        <v>24306</v>
      </c>
      <c r="H1543" s="245">
        <f t="shared" si="619"/>
        <v>1</v>
      </c>
      <c r="I1543" s="121">
        <f t="shared" si="620"/>
        <v>1</v>
      </c>
      <c r="J1543" s="121">
        <f t="shared" si="621"/>
        <v>1</v>
      </c>
      <c r="K1543" s="120">
        <f t="shared" si="622"/>
        <v>0</v>
      </c>
      <c r="L1543" s="120">
        <f t="shared" si="623"/>
        <v>0</v>
      </c>
      <c r="M1543" s="246">
        <f t="shared" si="624"/>
        <v>0</v>
      </c>
      <c r="N1543" s="121">
        <f t="shared" si="625"/>
        <v>1</v>
      </c>
      <c r="O1543" s="246">
        <f t="shared" si="626"/>
        <v>0.98033916849015323</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87">
        <v>8</v>
      </c>
      <c r="B1544" s="242">
        <f t="shared" si="633"/>
        <v>45870</v>
      </c>
      <c r="C1544" s="243">
        <f t="shared" si="614"/>
        <v>45900</v>
      </c>
      <c r="D1544" s="120">
        <f t="shared" si="615"/>
        <v>31</v>
      </c>
      <c r="E1544" s="120">
        <f t="shared" si="616"/>
        <v>8</v>
      </c>
      <c r="F1544" s="275">
        <f t="shared" si="617"/>
        <v>45885.5</v>
      </c>
      <c r="G1544" s="120">
        <f t="shared" si="618"/>
        <v>24307</v>
      </c>
      <c r="H1544" s="245">
        <f t="shared" si="619"/>
        <v>1</v>
      </c>
      <c r="I1544" s="121">
        <f t="shared" si="620"/>
        <v>1</v>
      </c>
      <c r="J1544" s="121">
        <f t="shared" si="621"/>
        <v>1</v>
      </c>
      <c r="K1544" s="120">
        <f t="shared" si="622"/>
        <v>0</v>
      </c>
      <c r="L1544" s="120">
        <f t="shared" si="623"/>
        <v>0</v>
      </c>
      <c r="M1544" s="246">
        <f t="shared" si="624"/>
        <v>0</v>
      </c>
      <c r="N1544" s="121">
        <f t="shared" si="625"/>
        <v>1</v>
      </c>
      <c r="O1544" s="246">
        <f t="shared" si="626"/>
        <v>0.98101750547045952</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87">
        <v>9</v>
      </c>
      <c r="B1545" s="242">
        <f t="shared" si="633"/>
        <v>45901</v>
      </c>
      <c r="C1545" s="243">
        <f t="shared" si="614"/>
        <v>45930</v>
      </c>
      <c r="D1545" s="120">
        <f t="shared" si="615"/>
        <v>30</v>
      </c>
      <c r="E1545" s="120">
        <f t="shared" si="616"/>
        <v>9</v>
      </c>
      <c r="F1545" s="275">
        <f t="shared" si="617"/>
        <v>45916</v>
      </c>
      <c r="G1545" s="120">
        <f t="shared" si="618"/>
        <v>24308</v>
      </c>
      <c r="H1545" s="245">
        <f t="shared" si="619"/>
        <v>1</v>
      </c>
      <c r="I1545" s="121">
        <f t="shared" si="620"/>
        <v>1</v>
      </c>
      <c r="J1545" s="121">
        <f t="shared" si="621"/>
        <v>1</v>
      </c>
      <c r="K1545" s="120">
        <f t="shared" si="622"/>
        <v>0</v>
      </c>
      <c r="L1545" s="120">
        <f t="shared" si="623"/>
        <v>0</v>
      </c>
      <c r="M1545" s="246">
        <f t="shared" si="624"/>
        <v>0</v>
      </c>
      <c r="N1545" s="121">
        <f t="shared" si="625"/>
        <v>1</v>
      </c>
      <c r="O1545" s="246">
        <f t="shared" si="626"/>
        <v>0.98168490153172872</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87">
        <v>10</v>
      </c>
      <c r="B1546" s="242">
        <f t="shared" si="633"/>
        <v>45931</v>
      </c>
      <c r="C1546" s="243">
        <f t="shared" si="614"/>
        <v>45961</v>
      </c>
      <c r="D1546" s="120">
        <f t="shared" si="615"/>
        <v>31</v>
      </c>
      <c r="E1546" s="120">
        <f t="shared" si="616"/>
        <v>10</v>
      </c>
      <c r="F1546" s="275">
        <f t="shared" si="617"/>
        <v>45946.5</v>
      </c>
      <c r="G1546" s="120">
        <f t="shared" si="618"/>
        <v>24309</v>
      </c>
      <c r="H1546" s="245">
        <f t="shared" si="619"/>
        <v>1</v>
      </c>
      <c r="I1546" s="121">
        <f t="shared" si="620"/>
        <v>1</v>
      </c>
      <c r="J1546" s="121">
        <f t="shared" si="621"/>
        <v>1</v>
      </c>
      <c r="K1546" s="120">
        <f t="shared" si="622"/>
        <v>0</v>
      </c>
      <c r="L1546" s="120">
        <f t="shared" si="623"/>
        <v>0</v>
      </c>
      <c r="M1546" s="246">
        <f t="shared" si="624"/>
        <v>0</v>
      </c>
      <c r="N1546" s="121">
        <f t="shared" si="625"/>
        <v>1</v>
      </c>
      <c r="O1546" s="246">
        <f t="shared" si="626"/>
        <v>0.9823522975929978</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87">
        <v>11</v>
      </c>
      <c r="B1547" s="242">
        <f t="shared" si="633"/>
        <v>45962</v>
      </c>
      <c r="C1547" s="243">
        <f t="shared" si="614"/>
        <v>45991</v>
      </c>
      <c r="D1547" s="120">
        <f t="shared" si="615"/>
        <v>30</v>
      </c>
      <c r="E1547" s="120">
        <f t="shared" si="616"/>
        <v>11</v>
      </c>
      <c r="F1547" s="275">
        <f t="shared" si="617"/>
        <v>45977</v>
      </c>
      <c r="G1547" s="120">
        <f t="shared" si="618"/>
        <v>24310</v>
      </c>
      <c r="H1547" s="245">
        <f t="shared" si="619"/>
        <v>1</v>
      </c>
      <c r="I1547" s="121">
        <f t="shared" si="620"/>
        <v>1</v>
      </c>
      <c r="J1547" s="121">
        <f t="shared" si="621"/>
        <v>1</v>
      </c>
      <c r="K1547" s="120">
        <f t="shared" si="622"/>
        <v>0</v>
      </c>
      <c r="L1547" s="120">
        <f t="shared" si="623"/>
        <v>0</v>
      </c>
      <c r="M1547" s="246">
        <f t="shared" si="624"/>
        <v>0</v>
      </c>
      <c r="N1547" s="121">
        <f t="shared" si="625"/>
        <v>1</v>
      </c>
      <c r="O1547" s="246">
        <f t="shared" si="626"/>
        <v>0.983019693654267</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87">
        <v>12</v>
      </c>
      <c r="B1548" s="242">
        <f t="shared" si="633"/>
        <v>45992</v>
      </c>
      <c r="C1548" s="243">
        <f t="shared" si="614"/>
        <v>46022</v>
      </c>
      <c r="D1548" s="120">
        <f t="shared" si="615"/>
        <v>31</v>
      </c>
      <c r="E1548" s="120">
        <f t="shared" si="616"/>
        <v>12</v>
      </c>
      <c r="F1548" s="275">
        <f t="shared" si="617"/>
        <v>46007.5</v>
      </c>
      <c r="G1548" s="120">
        <f t="shared" si="618"/>
        <v>24311</v>
      </c>
      <c r="H1548" s="245">
        <f t="shared" si="619"/>
        <v>1</v>
      </c>
      <c r="I1548" s="121">
        <f t="shared" si="620"/>
        <v>1</v>
      </c>
      <c r="J1548" s="121">
        <f t="shared" si="621"/>
        <v>1</v>
      </c>
      <c r="K1548" s="120">
        <f t="shared" si="622"/>
        <v>0</v>
      </c>
      <c r="L1548" s="120">
        <f t="shared" si="623"/>
        <v>0</v>
      </c>
      <c r="M1548" s="246">
        <f t="shared" si="624"/>
        <v>0</v>
      </c>
      <c r="N1548" s="121">
        <f t="shared" si="625"/>
        <v>1</v>
      </c>
      <c r="O1548" s="246">
        <f t="shared" si="626"/>
        <v>0.98368708971553609</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87">
        <v>13</v>
      </c>
      <c r="B1549" s="242">
        <f t="shared" si="633"/>
        <v>46023</v>
      </c>
      <c r="C1549" s="243">
        <f t="shared" si="614"/>
        <v>46053</v>
      </c>
      <c r="D1549" s="120">
        <f t="shared" si="615"/>
        <v>31</v>
      </c>
      <c r="E1549" s="120">
        <f t="shared" si="616"/>
        <v>1</v>
      </c>
      <c r="F1549" s="275">
        <f t="shared" si="617"/>
        <v>46038.5</v>
      </c>
      <c r="G1549" s="120">
        <f t="shared" si="618"/>
        <v>24312</v>
      </c>
      <c r="H1549" s="245">
        <f t="shared" si="619"/>
        <v>1</v>
      </c>
      <c r="I1549" s="121">
        <f t="shared" si="620"/>
        <v>1</v>
      </c>
      <c r="J1549" s="121">
        <f t="shared" si="621"/>
        <v>1</v>
      </c>
      <c r="K1549" s="120">
        <f t="shared" si="622"/>
        <v>0</v>
      </c>
      <c r="L1549" s="120">
        <f t="shared" si="623"/>
        <v>0</v>
      </c>
      <c r="M1549" s="246">
        <f t="shared" si="624"/>
        <v>0</v>
      </c>
      <c r="N1549" s="121">
        <f t="shared" si="625"/>
        <v>1</v>
      </c>
      <c r="O1549" s="246">
        <f t="shared" si="626"/>
        <v>0.98436542669584248</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87">
        <v>14</v>
      </c>
      <c r="B1550" s="242">
        <f t="shared" si="633"/>
        <v>46054</v>
      </c>
      <c r="C1550" s="243">
        <f t="shared" si="614"/>
        <v>46081</v>
      </c>
      <c r="D1550" s="120">
        <f t="shared" si="615"/>
        <v>28</v>
      </c>
      <c r="E1550" s="120">
        <f t="shared" si="616"/>
        <v>2</v>
      </c>
      <c r="F1550" s="275">
        <f t="shared" si="617"/>
        <v>46068</v>
      </c>
      <c r="G1550" s="120">
        <f t="shared" si="618"/>
        <v>24313</v>
      </c>
      <c r="H1550" s="245">
        <f t="shared" si="619"/>
        <v>1</v>
      </c>
      <c r="I1550" s="121">
        <f t="shared" si="620"/>
        <v>1</v>
      </c>
      <c r="J1550" s="121">
        <f t="shared" si="621"/>
        <v>1</v>
      </c>
      <c r="K1550" s="120">
        <f t="shared" si="622"/>
        <v>0</v>
      </c>
      <c r="L1550" s="120">
        <f t="shared" si="623"/>
        <v>0</v>
      </c>
      <c r="M1550" s="246">
        <f t="shared" si="624"/>
        <v>0</v>
      </c>
      <c r="N1550" s="121">
        <f t="shared" si="625"/>
        <v>1</v>
      </c>
      <c r="O1550" s="246">
        <f t="shared" si="626"/>
        <v>0.98501094091903718</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87">
        <v>15</v>
      </c>
      <c r="B1551" s="242">
        <f t="shared" si="633"/>
        <v>46082</v>
      </c>
      <c r="C1551" s="243">
        <f t="shared" si="614"/>
        <v>46112</v>
      </c>
      <c r="D1551" s="120">
        <f t="shared" si="615"/>
        <v>31</v>
      </c>
      <c r="E1551" s="120">
        <f t="shared" si="616"/>
        <v>3</v>
      </c>
      <c r="F1551" s="275">
        <f t="shared" si="617"/>
        <v>46097.5</v>
      </c>
      <c r="G1551" s="120">
        <f t="shared" si="618"/>
        <v>24314</v>
      </c>
      <c r="H1551" s="245">
        <f t="shared" si="619"/>
        <v>1</v>
      </c>
      <c r="I1551" s="121">
        <f t="shared" si="620"/>
        <v>1</v>
      </c>
      <c r="J1551" s="121">
        <f t="shared" si="621"/>
        <v>1</v>
      </c>
      <c r="K1551" s="120">
        <f t="shared" si="622"/>
        <v>0</v>
      </c>
      <c r="L1551" s="120">
        <f t="shared" si="623"/>
        <v>0</v>
      </c>
      <c r="M1551" s="246">
        <f t="shared" si="624"/>
        <v>0</v>
      </c>
      <c r="N1551" s="121">
        <f t="shared" si="625"/>
        <v>1</v>
      </c>
      <c r="O1551" s="246">
        <f t="shared" si="626"/>
        <v>0.98565645514223199</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87">
        <v>16</v>
      </c>
      <c r="B1552" s="242">
        <f t="shared" si="633"/>
        <v>46113</v>
      </c>
      <c r="C1552" s="243">
        <f t="shared" si="614"/>
        <v>46142</v>
      </c>
      <c r="D1552" s="120">
        <f t="shared" si="615"/>
        <v>30</v>
      </c>
      <c r="E1552" s="120">
        <f t="shared" si="616"/>
        <v>4</v>
      </c>
      <c r="F1552" s="275">
        <f t="shared" si="617"/>
        <v>46128</v>
      </c>
      <c r="G1552" s="120">
        <f t="shared" si="618"/>
        <v>24315</v>
      </c>
      <c r="H1552" s="245">
        <f t="shared" si="619"/>
        <v>1</v>
      </c>
      <c r="I1552" s="121">
        <f t="shared" si="620"/>
        <v>1</v>
      </c>
      <c r="J1552" s="121">
        <f t="shared" si="621"/>
        <v>1.04</v>
      </c>
      <c r="K1552" s="120">
        <f t="shared" si="622"/>
        <v>1</v>
      </c>
      <c r="L1552" s="120">
        <f t="shared" si="623"/>
        <v>30</v>
      </c>
      <c r="M1552" s="246">
        <f t="shared" si="624"/>
        <v>1</v>
      </c>
      <c r="N1552" s="121">
        <f t="shared" si="625"/>
        <v>1.04</v>
      </c>
      <c r="O1552" s="246">
        <f t="shared" si="626"/>
        <v>0.98632385120350108</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87">
        <v>17</v>
      </c>
      <c r="B1553" s="242">
        <f t="shared" si="633"/>
        <v>46143</v>
      </c>
      <c r="C1553" s="243">
        <f t="shared" si="614"/>
        <v>46173</v>
      </c>
      <c r="D1553" s="120">
        <f t="shared" si="615"/>
        <v>31</v>
      </c>
      <c r="E1553" s="120">
        <f t="shared" si="616"/>
        <v>5</v>
      </c>
      <c r="F1553" s="275">
        <f t="shared" si="617"/>
        <v>46158.5</v>
      </c>
      <c r="G1553" s="120">
        <f t="shared" si="618"/>
        <v>24316</v>
      </c>
      <c r="H1553" s="245">
        <f t="shared" si="619"/>
        <v>1</v>
      </c>
      <c r="I1553" s="121">
        <f t="shared" si="620"/>
        <v>1.04</v>
      </c>
      <c r="J1553" s="121">
        <f t="shared" si="621"/>
        <v>1.04</v>
      </c>
      <c r="K1553" s="120">
        <f t="shared" si="622"/>
        <v>0</v>
      </c>
      <c r="L1553" s="120">
        <f t="shared" si="623"/>
        <v>0</v>
      </c>
      <c r="M1553" s="246">
        <f t="shared" si="624"/>
        <v>0</v>
      </c>
      <c r="N1553" s="121">
        <f t="shared" si="625"/>
        <v>1.04</v>
      </c>
      <c r="O1553" s="246">
        <f t="shared" si="626"/>
        <v>0.98699124726477028</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87">
        <v>18</v>
      </c>
      <c r="B1554" s="242">
        <f t="shared" si="633"/>
        <v>46174</v>
      </c>
      <c r="C1554" s="243">
        <f t="shared" si="614"/>
        <v>46203</v>
      </c>
      <c r="D1554" s="120">
        <f t="shared" si="615"/>
        <v>30</v>
      </c>
      <c r="E1554" s="120">
        <f t="shared" si="616"/>
        <v>6</v>
      </c>
      <c r="F1554" s="275">
        <f t="shared" si="617"/>
        <v>46189</v>
      </c>
      <c r="G1554" s="120">
        <f t="shared" si="618"/>
        <v>24317</v>
      </c>
      <c r="H1554" s="245">
        <f t="shared" si="619"/>
        <v>1</v>
      </c>
      <c r="I1554" s="121">
        <f t="shared" si="620"/>
        <v>1.04</v>
      </c>
      <c r="J1554" s="121">
        <f t="shared" si="621"/>
        <v>1.04</v>
      </c>
      <c r="K1554" s="120">
        <f t="shared" si="622"/>
        <v>0</v>
      </c>
      <c r="L1554" s="120">
        <f t="shared" si="623"/>
        <v>0</v>
      </c>
      <c r="M1554" s="246">
        <f t="shared" si="624"/>
        <v>0</v>
      </c>
      <c r="N1554" s="121">
        <f t="shared" si="625"/>
        <v>1.04</v>
      </c>
      <c r="O1554" s="246">
        <f t="shared" si="626"/>
        <v>0.98765864332603936</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87">
        <v>19</v>
      </c>
      <c r="B1555" s="242">
        <f t="shared" si="633"/>
        <v>46204</v>
      </c>
      <c r="C1555" s="243">
        <f t="shared" si="614"/>
        <v>46234</v>
      </c>
      <c r="D1555" s="120">
        <f t="shared" si="615"/>
        <v>31</v>
      </c>
      <c r="E1555" s="120">
        <f t="shared" si="616"/>
        <v>7</v>
      </c>
      <c r="F1555" s="275">
        <f t="shared" si="617"/>
        <v>46219.5</v>
      </c>
      <c r="G1555" s="120">
        <f t="shared" si="618"/>
        <v>24318</v>
      </c>
      <c r="H1555" s="245">
        <f t="shared" si="619"/>
        <v>1</v>
      </c>
      <c r="I1555" s="121">
        <f t="shared" si="620"/>
        <v>1.04</v>
      </c>
      <c r="J1555" s="121">
        <f t="shared" si="621"/>
        <v>1.04</v>
      </c>
      <c r="K1555" s="120">
        <f t="shared" si="622"/>
        <v>0</v>
      </c>
      <c r="L1555" s="120">
        <f t="shared" si="623"/>
        <v>0</v>
      </c>
      <c r="M1555" s="246">
        <f t="shared" si="624"/>
        <v>0</v>
      </c>
      <c r="N1555" s="121">
        <f t="shared" si="625"/>
        <v>1.04</v>
      </c>
      <c r="O1555" s="246">
        <f t="shared" si="626"/>
        <v>0.98832603938730856</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87">
        <v>20</v>
      </c>
      <c r="B1556" s="242">
        <f t="shared" si="633"/>
        <v>46235</v>
      </c>
      <c r="C1556" s="243">
        <f t="shared" si="614"/>
        <v>46265</v>
      </c>
      <c r="D1556" s="120">
        <f t="shared" si="615"/>
        <v>31</v>
      </c>
      <c r="E1556" s="120">
        <f t="shared" si="616"/>
        <v>8</v>
      </c>
      <c r="F1556" s="275">
        <f t="shared" si="617"/>
        <v>46250.5</v>
      </c>
      <c r="G1556" s="120">
        <f t="shared" si="618"/>
        <v>24319</v>
      </c>
      <c r="H1556" s="245">
        <f t="shared" si="619"/>
        <v>1</v>
      </c>
      <c r="I1556" s="121">
        <f t="shared" si="620"/>
        <v>1.04</v>
      </c>
      <c r="J1556" s="121">
        <f t="shared" si="621"/>
        <v>1.04</v>
      </c>
      <c r="K1556" s="120">
        <f t="shared" si="622"/>
        <v>0</v>
      </c>
      <c r="L1556" s="120">
        <f t="shared" si="623"/>
        <v>0</v>
      </c>
      <c r="M1556" s="246">
        <f t="shared" si="624"/>
        <v>0</v>
      </c>
      <c r="N1556" s="121">
        <f t="shared" si="625"/>
        <v>1.04</v>
      </c>
      <c r="O1556" s="246">
        <f t="shared" si="626"/>
        <v>0.98900437636761485</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87">
        <v>21</v>
      </c>
      <c r="B1557" s="242">
        <f t="shared" si="633"/>
        <v>46266</v>
      </c>
      <c r="C1557" s="243">
        <f t="shared" si="614"/>
        <v>46295</v>
      </c>
      <c r="D1557" s="120">
        <f t="shared" si="615"/>
        <v>30</v>
      </c>
      <c r="E1557" s="120">
        <f t="shared" si="616"/>
        <v>9</v>
      </c>
      <c r="F1557" s="275">
        <f t="shared" si="617"/>
        <v>46281</v>
      </c>
      <c r="G1557" s="120">
        <f t="shared" si="618"/>
        <v>24320</v>
      </c>
      <c r="H1557" s="245">
        <f t="shared" si="619"/>
        <v>1</v>
      </c>
      <c r="I1557" s="121">
        <f t="shared" si="620"/>
        <v>1.04</v>
      </c>
      <c r="J1557" s="121">
        <f t="shared" si="621"/>
        <v>1.04</v>
      </c>
      <c r="K1557" s="120">
        <f t="shared" si="622"/>
        <v>0</v>
      </c>
      <c r="L1557" s="120">
        <f t="shared" si="623"/>
        <v>0</v>
      </c>
      <c r="M1557" s="246">
        <f t="shared" si="624"/>
        <v>0</v>
      </c>
      <c r="N1557" s="121">
        <f t="shared" si="625"/>
        <v>1.04</v>
      </c>
      <c r="O1557" s="246">
        <f t="shared" si="626"/>
        <v>0.98967177242888404</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87">
        <v>22</v>
      </c>
      <c r="B1558" s="242">
        <f t="shared" si="633"/>
        <v>46296</v>
      </c>
      <c r="C1558" s="243">
        <f t="shared" si="614"/>
        <v>46326</v>
      </c>
      <c r="D1558" s="120">
        <f t="shared" si="615"/>
        <v>31</v>
      </c>
      <c r="E1558" s="120">
        <f t="shared" si="616"/>
        <v>10</v>
      </c>
      <c r="F1558" s="275">
        <f t="shared" si="617"/>
        <v>46311.5</v>
      </c>
      <c r="G1558" s="120">
        <f t="shared" si="618"/>
        <v>24321</v>
      </c>
      <c r="H1558" s="245">
        <f t="shared" si="619"/>
        <v>1</v>
      </c>
      <c r="I1558" s="121">
        <f t="shared" si="620"/>
        <v>1.04</v>
      </c>
      <c r="J1558" s="121">
        <f t="shared" si="621"/>
        <v>1.04</v>
      </c>
      <c r="K1558" s="120">
        <f t="shared" si="622"/>
        <v>0</v>
      </c>
      <c r="L1558" s="120">
        <f t="shared" si="623"/>
        <v>0</v>
      </c>
      <c r="M1558" s="246">
        <f t="shared" si="624"/>
        <v>0</v>
      </c>
      <c r="N1558" s="121">
        <f t="shared" si="625"/>
        <v>1.04</v>
      </c>
      <c r="O1558" s="246">
        <f t="shared" si="626"/>
        <v>0.99033916849015313</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87">
        <v>23</v>
      </c>
      <c r="B1559" s="242">
        <f t="shared" si="633"/>
        <v>46327</v>
      </c>
      <c r="C1559" s="243">
        <f t="shared" si="614"/>
        <v>46356</v>
      </c>
      <c r="D1559" s="120">
        <f t="shared" si="615"/>
        <v>30</v>
      </c>
      <c r="E1559" s="120">
        <f t="shared" si="616"/>
        <v>11</v>
      </c>
      <c r="F1559" s="275">
        <f t="shared" si="617"/>
        <v>46342</v>
      </c>
      <c r="G1559" s="120">
        <f t="shared" si="618"/>
        <v>24322</v>
      </c>
      <c r="H1559" s="245">
        <f t="shared" si="619"/>
        <v>1</v>
      </c>
      <c r="I1559" s="121">
        <f t="shared" si="620"/>
        <v>1.04</v>
      </c>
      <c r="J1559" s="121">
        <f t="shared" si="621"/>
        <v>1.04</v>
      </c>
      <c r="K1559" s="120">
        <f t="shared" si="622"/>
        <v>0</v>
      </c>
      <c r="L1559" s="120">
        <f t="shared" si="623"/>
        <v>0</v>
      </c>
      <c r="M1559" s="246">
        <f t="shared" si="624"/>
        <v>0</v>
      </c>
      <c r="N1559" s="121">
        <f t="shared" si="625"/>
        <v>1.04</v>
      </c>
      <c r="O1559" s="246">
        <f t="shared" si="626"/>
        <v>0.99100656455142233</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87">
        <v>24</v>
      </c>
      <c r="B1560" s="242">
        <f t="shared" si="633"/>
        <v>46357</v>
      </c>
      <c r="C1560" s="243">
        <f t="shared" si="614"/>
        <v>46387</v>
      </c>
      <c r="D1560" s="120">
        <f t="shared" si="615"/>
        <v>31</v>
      </c>
      <c r="E1560" s="120">
        <f t="shared" si="616"/>
        <v>12</v>
      </c>
      <c r="F1560" s="275">
        <f t="shared" si="617"/>
        <v>46372.5</v>
      </c>
      <c r="G1560" s="120">
        <f t="shared" si="618"/>
        <v>24323</v>
      </c>
      <c r="H1560" s="245">
        <f t="shared" si="619"/>
        <v>1</v>
      </c>
      <c r="I1560" s="121">
        <f t="shared" si="620"/>
        <v>1.04</v>
      </c>
      <c r="J1560" s="121">
        <f t="shared" si="621"/>
        <v>1.04</v>
      </c>
      <c r="K1560" s="120">
        <f t="shared" si="622"/>
        <v>0</v>
      </c>
      <c r="L1560" s="120">
        <f t="shared" si="623"/>
        <v>0</v>
      </c>
      <c r="M1560" s="246">
        <f t="shared" si="624"/>
        <v>0</v>
      </c>
      <c r="N1560" s="121">
        <f t="shared" si="625"/>
        <v>1.04</v>
      </c>
      <c r="O1560" s="246">
        <f t="shared" si="626"/>
        <v>0.99167396061269142</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87">
        <v>25</v>
      </c>
      <c r="B1561" s="242">
        <f t="shared" si="633"/>
        <v>46388</v>
      </c>
      <c r="C1561" s="243">
        <f t="shared" si="614"/>
        <v>46418</v>
      </c>
      <c r="D1561" s="120">
        <f t="shared" si="615"/>
        <v>31</v>
      </c>
      <c r="E1561" s="120">
        <f t="shared" si="616"/>
        <v>1</v>
      </c>
      <c r="F1561" s="275">
        <f t="shared" si="617"/>
        <v>46403.5</v>
      </c>
      <c r="G1561" s="120">
        <f t="shared" si="618"/>
        <v>24324</v>
      </c>
      <c r="H1561" s="245">
        <f t="shared" si="619"/>
        <v>1</v>
      </c>
      <c r="I1561" s="121">
        <f t="shared" si="620"/>
        <v>1.04</v>
      </c>
      <c r="J1561" s="121">
        <f t="shared" si="621"/>
        <v>1.04</v>
      </c>
      <c r="K1561" s="120">
        <f t="shared" si="622"/>
        <v>0</v>
      </c>
      <c r="L1561" s="120">
        <f t="shared" si="623"/>
        <v>0</v>
      </c>
      <c r="M1561" s="246">
        <f t="shared" si="624"/>
        <v>0</v>
      </c>
      <c r="N1561" s="121">
        <f t="shared" si="625"/>
        <v>1.04</v>
      </c>
      <c r="O1561" s="246">
        <f t="shared" si="626"/>
        <v>0.99235229759299781</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87">
        <v>26</v>
      </c>
      <c r="B1562" s="242">
        <f t="shared" si="633"/>
        <v>46419</v>
      </c>
      <c r="C1562" s="243">
        <f t="shared" si="614"/>
        <v>46446</v>
      </c>
      <c r="D1562" s="120">
        <f t="shared" si="615"/>
        <v>28</v>
      </c>
      <c r="E1562" s="120">
        <f t="shared" si="616"/>
        <v>2</v>
      </c>
      <c r="F1562" s="275">
        <f t="shared" si="617"/>
        <v>46433</v>
      </c>
      <c r="G1562" s="120">
        <f t="shared" si="618"/>
        <v>24325</v>
      </c>
      <c r="H1562" s="245">
        <f t="shared" si="619"/>
        <v>1</v>
      </c>
      <c r="I1562" s="121">
        <f t="shared" si="620"/>
        <v>1.04</v>
      </c>
      <c r="J1562" s="121">
        <f t="shared" si="621"/>
        <v>1.04</v>
      </c>
      <c r="K1562" s="120">
        <f t="shared" si="622"/>
        <v>0</v>
      </c>
      <c r="L1562" s="120">
        <f t="shared" si="623"/>
        <v>0</v>
      </c>
      <c r="M1562" s="246">
        <f t="shared" si="624"/>
        <v>0</v>
      </c>
      <c r="N1562" s="121">
        <f t="shared" si="625"/>
        <v>1.04</v>
      </c>
      <c r="O1562" s="246">
        <f t="shared" si="626"/>
        <v>0.99299781181619251</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87">
        <v>27</v>
      </c>
      <c r="B1563" s="242">
        <f t="shared" si="633"/>
        <v>46447</v>
      </c>
      <c r="C1563" s="243">
        <f t="shared" si="614"/>
        <v>46477</v>
      </c>
      <c r="D1563" s="120">
        <f t="shared" si="615"/>
        <v>31</v>
      </c>
      <c r="E1563" s="120">
        <f t="shared" si="616"/>
        <v>3</v>
      </c>
      <c r="F1563" s="275">
        <f t="shared" si="617"/>
        <v>46462.5</v>
      </c>
      <c r="G1563" s="120">
        <f t="shared" si="618"/>
        <v>24326</v>
      </c>
      <c r="H1563" s="245">
        <f t="shared" si="619"/>
        <v>1</v>
      </c>
      <c r="I1563" s="121">
        <f t="shared" si="620"/>
        <v>1.04</v>
      </c>
      <c r="J1563" s="121">
        <f t="shared" si="621"/>
        <v>1.04</v>
      </c>
      <c r="K1563" s="120">
        <f t="shared" si="622"/>
        <v>0</v>
      </c>
      <c r="L1563" s="120">
        <f t="shared" si="623"/>
        <v>0</v>
      </c>
      <c r="M1563" s="246">
        <f t="shared" si="624"/>
        <v>0</v>
      </c>
      <c r="N1563" s="121">
        <f t="shared" si="625"/>
        <v>1.04</v>
      </c>
      <c r="O1563" s="246">
        <f t="shared" si="626"/>
        <v>0.99364332603938732</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87">
        <v>28</v>
      </c>
      <c r="B1564" s="242">
        <f t="shared" si="633"/>
        <v>46478</v>
      </c>
      <c r="C1564" s="243">
        <f t="shared" si="614"/>
        <v>46507</v>
      </c>
      <c r="D1564" s="120">
        <f t="shared" si="615"/>
        <v>30</v>
      </c>
      <c r="E1564" s="120">
        <f t="shared" si="616"/>
        <v>4</v>
      </c>
      <c r="F1564" s="275">
        <f t="shared" si="617"/>
        <v>46493</v>
      </c>
      <c r="G1564" s="120">
        <f t="shared" si="618"/>
        <v>24327</v>
      </c>
      <c r="H1564" s="245">
        <f t="shared" si="619"/>
        <v>1</v>
      </c>
      <c r="I1564" s="121">
        <f t="shared" si="620"/>
        <v>1.04</v>
      </c>
      <c r="J1564" s="121">
        <f t="shared" si="621"/>
        <v>1.04</v>
      </c>
      <c r="K1564" s="120">
        <f t="shared" si="622"/>
        <v>0</v>
      </c>
      <c r="L1564" s="120">
        <f t="shared" si="623"/>
        <v>0</v>
      </c>
      <c r="M1564" s="246">
        <f t="shared" si="624"/>
        <v>0</v>
      </c>
      <c r="N1564" s="121">
        <f t="shared" si="625"/>
        <v>1.04</v>
      </c>
      <c r="O1564" s="246">
        <f t="shared" si="626"/>
        <v>0.99431072210065641</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87">
        <v>29</v>
      </c>
      <c r="B1565" s="242">
        <f t="shared" si="633"/>
        <v>46508</v>
      </c>
      <c r="C1565" s="243">
        <f t="shared" si="614"/>
        <v>46538</v>
      </c>
      <c r="D1565" s="120">
        <f t="shared" si="615"/>
        <v>31</v>
      </c>
      <c r="E1565" s="120">
        <f t="shared" si="616"/>
        <v>5</v>
      </c>
      <c r="F1565" s="275">
        <f t="shared" si="617"/>
        <v>46523.5</v>
      </c>
      <c r="G1565" s="120">
        <f t="shared" si="618"/>
        <v>24328</v>
      </c>
      <c r="H1565" s="245">
        <f t="shared" si="619"/>
        <v>1</v>
      </c>
      <c r="I1565" s="121">
        <f t="shared" si="620"/>
        <v>1.04</v>
      </c>
      <c r="J1565" s="121">
        <f t="shared" si="621"/>
        <v>1.04</v>
      </c>
      <c r="K1565" s="120">
        <f t="shared" si="622"/>
        <v>0</v>
      </c>
      <c r="L1565" s="120">
        <f t="shared" si="623"/>
        <v>0</v>
      </c>
      <c r="M1565" s="246">
        <f t="shared" si="624"/>
        <v>0</v>
      </c>
      <c r="N1565" s="121">
        <f t="shared" si="625"/>
        <v>1.04</v>
      </c>
      <c r="O1565" s="246">
        <f t="shared" si="626"/>
        <v>0.99497811816192561</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87">
        <v>30</v>
      </c>
      <c r="B1566" s="242">
        <f t="shared" si="633"/>
        <v>46539</v>
      </c>
      <c r="C1566" s="243">
        <f t="shared" si="614"/>
        <v>46568</v>
      </c>
      <c r="D1566" s="120">
        <f t="shared" si="615"/>
        <v>30</v>
      </c>
      <c r="E1566" s="120">
        <f t="shared" si="616"/>
        <v>6</v>
      </c>
      <c r="F1566" s="275">
        <f t="shared" si="617"/>
        <v>46554</v>
      </c>
      <c r="G1566" s="120">
        <f t="shared" si="618"/>
        <v>24329</v>
      </c>
      <c r="H1566" s="245">
        <f t="shared" si="619"/>
        <v>1</v>
      </c>
      <c r="I1566" s="121">
        <f t="shared" si="620"/>
        <v>1.04</v>
      </c>
      <c r="J1566" s="121">
        <f t="shared" si="621"/>
        <v>1.04</v>
      </c>
      <c r="K1566" s="120">
        <f t="shared" si="622"/>
        <v>0</v>
      </c>
      <c r="L1566" s="120">
        <f t="shared" si="623"/>
        <v>0</v>
      </c>
      <c r="M1566" s="246">
        <f t="shared" si="624"/>
        <v>0</v>
      </c>
      <c r="N1566" s="121">
        <f t="shared" si="625"/>
        <v>1.04</v>
      </c>
      <c r="O1566" s="246">
        <f t="shared" si="626"/>
        <v>0.99564551422319469</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87">
        <v>31</v>
      </c>
      <c r="B1567" s="242">
        <f t="shared" si="633"/>
        <v>46569</v>
      </c>
      <c r="C1567" s="243">
        <f t="shared" si="614"/>
        <v>46599</v>
      </c>
      <c r="D1567" s="120">
        <f t="shared" si="615"/>
        <v>31</v>
      </c>
      <c r="E1567" s="120">
        <f t="shared" si="616"/>
        <v>7</v>
      </c>
      <c r="F1567" s="275">
        <f t="shared" si="617"/>
        <v>46584.5</v>
      </c>
      <c r="G1567" s="120">
        <f t="shared" si="618"/>
        <v>24330</v>
      </c>
      <c r="H1567" s="245">
        <f t="shared" si="619"/>
        <v>1</v>
      </c>
      <c r="I1567" s="121">
        <f t="shared" si="620"/>
        <v>1.04</v>
      </c>
      <c r="J1567" s="121">
        <f t="shared" si="621"/>
        <v>1.04</v>
      </c>
      <c r="K1567" s="120">
        <f t="shared" si="622"/>
        <v>0</v>
      </c>
      <c r="L1567" s="120">
        <f t="shared" si="623"/>
        <v>0</v>
      </c>
      <c r="M1567" s="246">
        <f t="shared" si="624"/>
        <v>0</v>
      </c>
      <c r="N1567" s="121">
        <f t="shared" si="625"/>
        <v>1.04</v>
      </c>
      <c r="O1567" s="246">
        <f t="shared" si="626"/>
        <v>0.99631291028446389</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87">
        <v>32</v>
      </c>
      <c r="B1568" s="242">
        <f t="shared" si="633"/>
        <v>46600</v>
      </c>
      <c r="C1568" s="243">
        <f t="shared" si="614"/>
        <v>46630</v>
      </c>
      <c r="D1568" s="120">
        <f t="shared" si="615"/>
        <v>31</v>
      </c>
      <c r="E1568" s="120">
        <f t="shared" si="616"/>
        <v>8</v>
      </c>
      <c r="F1568" s="275">
        <f t="shared" si="617"/>
        <v>46615.5</v>
      </c>
      <c r="G1568" s="120">
        <f t="shared" si="618"/>
        <v>24331</v>
      </c>
      <c r="H1568" s="245">
        <f t="shared" si="619"/>
        <v>1</v>
      </c>
      <c r="I1568" s="121">
        <f t="shared" si="620"/>
        <v>1.04</v>
      </c>
      <c r="J1568" s="121">
        <f t="shared" si="621"/>
        <v>1.04</v>
      </c>
      <c r="K1568" s="120">
        <f t="shared" si="622"/>
        <v>0</v>
      </c>
      <c r="L1568" s="120">
        <f t="shared" si="623"/>
        <v>0</v>
      </c>
      <c r="M1568" s="246">
        <f t="shared" si="624"/>
        <v>0</v>
      </c>
      <c r="N1568" s="121">
        <f t="shared" si="625"/>
        <v>1.04</v>
      </c>
      <c r="O1568" s="246">
        <f t="shared" si="626"/>
        <v>0.99699124726477029</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87">
        <v>33</v>
      </c>
      <c r="B1569" s="242">
        <f t="shared" si="633"/>
        <v>46631</v>
      </c>
      <c r="C1569" s="243">
        <f t="shared" si="614"/>
        <v>46660</v>
      </c>
      <c r="D1569" s="120">
        <f t="shared" si="615"/>
        <v>30</v>
      </c>
      <c r="E1569" s="120">
        <f t="shared" si="616"/>
        <v>9</v>
      </c>
      <c r="F1569" s="275">
        <f t="shared" si="617"/>
        <v>46646</v>
      </c>
      <c r="G1569" s="120">
        <f t="shared" si="618"/>
        <v>24332</v>
      </c>
      <c r="H1569" s="245">
        <f t="shared" si="619"/>
        <v>1</v>
      </c>
      <c r="I1569" s="121">
        <f t="shared" si="620"/>
        <v>1.04</v>
      </c>
      <c r="J1569" s="121">
        <f t="shared" si="621"/>
        <v>1.04</v>
      </c>
      <c r="K1569" s="120">
        <f t="shared" si="622"/>
        <v>0</v>
      </c>
      <c r="L1569" s="120">
        <f t="shared" si="623"/>
        <v>0</v>
      </c>
      <c r="M1569" s="246">
        <f t="shared" si="624"/>
        <v>0</v>
      </c>
      <c r="N1569" s="121">
        <f t="shared" si="625"/>
        <v>1.04</v>
      </c>
      <c r="O1569" s="246">
        <f t="shared" si="626"/>
        <v>0.99765864332603937</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87">
        <v>34</v>
      </c>
      <c r="B1570" s="242">
        <f t="shared" si="633"/>
        <v>46661</v>
      </c>
      <c r="C1570" s="243">
        <f t="shared" si="614"/>
        <v>46691</v>
      </c>
      <c r="D1570" s="120">
        <f t="shared" si="615"/>
        <v>31</v>
      </c>
      <c r="E1570" s="120">
        <f t="shared" si="616"/>
        <v>10</v>
      </c>
      <c r="F1570" s="275">
        <f t="shared" si="617"/>
        <v>46676.5</v>
      </c>
      <c r="G1570" s="120">
        <f t="shared" si="618"/>
        <v>24333</v>
      </c>
      <c r="H1570" s="245">
        <f t="shared" si="619"/>
        <v>1</v>
      </c>
      <c r="I1570" s="121">
        <f t="shared" si="620"/>
        <v>1.04</v>
      </c>
      <c r="J1570" s="121">
        <f t="shared" si="621"/>
        <v>1.04</v>
      </c>
      <c r="K1570" s="120">
        <f t="shared" si="622"/>
        <v>0</v>
      </c>
      <c r="L1570" s="120">
        <f t="shared" si="623"/>
        <v>0</v>
      </c>
      <c r="M1570" s="246">
        <f t="shared" si="624"/>
        <v>0</v>
      </c>
      <c r="N1570" s="121">
        <f t="shared" si="625"/>
        <v>1.04</v>
      </c>
      <c r="O1570" s="246">
        <f t="shared" si="626"/>
        <v>0.99832603938730857</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87">
        <v>35</v>
      </c>
      <c r="B1571" s="242">
        <f t="shared" si="633"/>
        <v>46692</v>
      </c>
      <c r="C1571" s="243">
        <f t="shared" si="614"/>
        <v>46721</v>
      </c>
      <c r="D1571" s="120">
        <f t="shared" si="615"/>
        <v>30</v>
      </c>
      <c r="E1571" s="120">
        <f t="shared" si="616"/>
        <v>11</v>
      </c>
      <c r="F1571" s="275">
        <f t="shared" si="617"/>
        <v>46707</v>
      </c>
      <c r="G1571" s="120">
        <f t="shared" si="618"/>
        <v>24334</v>
      </c>
      <c r="H1571" s="245">
        <f t="shared" si="619"/>
        <v>1</v>
      </c>
      <c r="I1571" s="121">
        <f t="shared" si="620"/>
        <v>1.04</v>
      </c>
      <c r="J1571" s="121">
        <f t="shared" si="621"/>
        <v>1.04</v>
      </c>
      <c r="K1571" s="120">
        <f t="shared" si="622"/>
        <v>0</v>
      </c>
      <c r="L1571" s="120">
        <f t="shared" si="623"/>
        <v>0</v>
      </c>
      <c r="M1571" s="246">
        <f t="shared" si="624"/>
        <v>0</v>
      </c>
      <c r="N1571" s="121">
        <f t="shared" si="625"/>
        <v>1.04</v>
      </c>
      <c r="O1571" s="246">
        <f t="shared" si="626"/>
        <v>0.99899343544857766</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87">
        <v>36</v>
      </c>
      <c r="B1572" s="242">
        <f t="shared" si="633"/>
        <v>46722</v>
      </c>
      <c r="C1572" s="243">
        <f t="shared" si="614"/>
        <v>46752</v>
      </c>
      <c r="D1572" s="120">
        <f t="shared" si="615"/>
        <v>31</v>
      </c>
      <c r="E1572" s="120">
        <f t="shared" si="616"/>
        <v>12</v>
      </c>
      <c r="F1572" s="275">
        <f t="shared" si="617"/>
        <v>46737.5</v>
      </c>
      <c r="G1572" s="120">
        <f t="shared" si="618"/>
        <v>24335</v>
      </c>
      <c r="H1572" s="245">
        <f t="shared" si="619"/>
        <v>1</v>
      </c>
      <c r="I1572" s="121">
        <f t="shared" si="620"/>
        <v>1.04</v>
      </c>
      <c r="J1572" s="121">
        <f t="shared" si="621"/>
        <v>1.04</v>
      </c>
      <c r="K1572" s="120">
        <f t="shared" si="622"/>
        <v>0</v>
      </c>
      <c r="L1572" s="120">
        <f t="shared" si="623"/>
        <v>0</v>
      </c>
      <c r="M1572" s="246">
        <f t="shared" si="624"/>
        <v>0</v>
      </c>
      <c r="N1572" s="121">
        <f t="shared" si="625"/>
        <v>1.04</v>
      </c>
      <c r="O1572" s="246">
        <f t="shared" si="626"/>
        <v>0.99966083150984686</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87">
        <v>37</v>
      </c>
      <c r="B1573" s="242">
        <f t="shared" si="633"/>
        <v>46753</v>
      </c>
      <c r="C1573" s="243">
        <f t="shared" si="614"/>
        <v>46783</v>
      </c>
      <c r="D1573" s="120">
        <f t="shared" si="615"/>
        <v>31</v>
      </c>
      <c r="E1573" s="120">
        <f t="shared" si="616"/>
        <v>1</v>
      </c>
      <c r="F1573" s="275">
        <f t="shared" si="617"/>
        <v>46768.5</v>
      </c>
      <c r="G1573" s="120">
        <f t="shared" si="618"/>
        <v>24336</v>
      </c>
      <c r="H1573" s="245">
        <f t="shared" si="619"/>
        <v>1</v>
      </c>
      <c r="I1573" s="121">
        <f t="shared" si="620"/>
        <v>1.04</v>
      </c>
      <c r="J1573" s="121">
        <f t="shared" si="621"/>
        <v>1.04</v>
      </c>
      <c r="K1573" s="120">
        <f t="shared" si="622"/>
        <v>0</v>
      </c>
      <c r="L1573" s="120">
        <f t="shared" si="623"/>
        <v>0</v>
      </c>
      <c r="M1573" s="246">
        <f t="shared" si="624"/>
        <v>0</v>
      </c>
      <c r="N1573" s="121">
        <f t="shared" si="625"/>
        <v>1.04</v>
      </c>
      <c r="O1573" s="246">
        <f t="shared" si="626"/>
        <v>1</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87">
        <v>38</v>
      </c>
      <c r="B1574" s="242">
        <f t="shared" si="633"/>
        <v>46784</v>
      </c>
      <c r="C1574" s="243">
        <f t="shared" si="614"/>
        <v>46812</v>
      </c>
      <c r="D1574" s="120">
        <f t="shared" si="615"/>
        <v>29</v>
      </c>
      <c r="E1574" s="120">
        <f t="shared" si="616"/>
        <v>2</v>
      </c>
      <c r="F1574" s="275">
        <f t="shared" si="617"/>
        <v>46798.5</v>
      </c>
      <c r="G1574" s="120">
        <f t="shared" si="618"/>
        <v>24337</v>
      </c>
      <c r="H1574" s="245">
        <f t="shared" si="619"/>
        <v>1</v>
      </c>
      <c r="I1574" s="121">
        <f t="shared" si="620"/>
        <v>1.04</v>
      </c>
      <c r="J1574" s="121">
        <f t="shared" si="621"/>
        <v>1.04</v>
      </c>
      <c r="K1574" s="120">
        <f t="shared" si="622"/>
        <v>0</v>
      </c>
      <c r="L1574" s="120">
        <f t="shared" si="623"/>
        <v>0</v>
      </c>
      <c r="M1574" s="246">
        <f t="shared" si="624"/>
        <v>0</v>
      </c>
      <c r="N1574" s="121">
        <f t="shared" si="625"/>
        <v>1.04</v>
      </c>
      <c r="O1574" s="246">
        <f t="shared" si="626"/>
        <v>1</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87">
        <v>39</v>
      </c>
      <c r="B1575" s="242">
        <f t="shared" si="633"/>
        <v>46813</v>
      </c>
      <c r="C1575" s="243">
        <f t="shared" si="614"/>
        <v>46843</v>
      </c>
      <c r="D1575" s="120">
        <f t="shared" si="615"/>
        <v>31</v>
      </c>
      <c r="E1575" s="120">
        <f t="shared" si="616"/>
        <v>3</v>
      </c>
      <c r="F1575" s="275">
        <f t="shared" si="617"/>
        <v>46828.5</v>
      </c>
      <c r="G1575" s="120">
        <f t="shared" si="618"/>
        <v>24338</v>
      </c>
      <c r="H1575" s="245">
        <f t="shared" si="619"/>
        <v>1</v>
      </c>
      <c r="I1575" s="121">
        <f t="shared" si="620"/>
        <v>1.04</v>
      </c>
      <c r="J1575" s="121">
        <f t="shared" si="621"/>
        <v>1.04</v>
      </c>
      <c r="K1575" s="120">
        <f t="shared" si="622"/>
        <v>0</v>
      </c>
      <c r="L1575" s="120">
        <f t="shared" si="623"/>
        <v>0</v>
      </c>
      <c r="M1575" s="246">
        <f t="shared" si="624"/>
        <v>0</v>
      </c>
      <c r="N1575" s="121">
        <f t="shared" si="625"/>
        <v>1.04</v>
      </c>
      <c r="O1575" s="246">
        <f t="shared" si="626"/>
        <v>1</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87">
        <v>40</v>
      </c>
      <c r="B1576" s="242">
        <f t="shared" si="633"/>
        <v>46844</v>
      </c>
      <c r="C1576" s="243">
        <f t="shared" si="614"/>
        <v>46873</v>
      </c>
      <c r="D1576" s="120">
        <f t="shared" si="615"/>
        <v>30</v>
      </c>
      <c r="E1576" s="120">
        <f t="shared" si="616"/>
        <v>4</v>
      </c>
      <c r="F1576" s="275">
        <f t="shared" si="617"/>
        <v>46859</v>
      </c>
      <c r="G1576" s="120">
        <f t="shared" si="618"/>
        <v>24339</v>
      </c>
      <c r="H1576" s="245">
        <f t="shared" si="619"/>
        <v>1</v>
      </c>
      <c r="I1576" s="121">
        <f t="shared" si="620"/>
        <v>1.04</v>
      </c>
      <c r="J1576" s="121">
        <f t="shared" si="621"/>
        <v>1.04</v>
      </c>
      <c r="K1576" s="120">
        <f t="shared" si="622"/>
        <v>0</v>
      </c>
      <c r="L1576" s="120">
        <f t="shared" si="623"/>
        <v>0</v>
      </c>
      <c r="M1576" s="246">
        <f t="shared" si="624"/>
        <v>0</v>
      </c>
      <c r="N1576" s="121">
        <f t="shared" si="625"/>
        <v>1.04</v>
      </c>
      <c r="O1576" s="246">
        <f t="shared" si="626"/>
        <v>1</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87">
        <v>41</v>
      </c>
      <c r="B1577" s="242">
        <f t="shared" si="633"/>
        <v>46874</v>
      </c>
      <c r="C1577" s="243">
        <f t="shared" si="614"/>
        <v>46904</v>
      </c>
      <c r="D1577" s="120">
        <f t="shared" si="615"/>
        <v>31</v>
      </c>
      <c r="E1577" s="120">
        <f t="shared" si="616"/>
        <v>5</v>
      </c>
      <c r="F1577" s="275">
        <f t="shared" si="617"/>
        <v>46889.5</v>
      </c>
      <c r="G1577" s="120">
        <f t="shared" si="618"/>
        <v>24340</v>
      </c>
      <c r="H1577" s="245">
        <f t="shared" si="619"/>
        <v>1</v>
      </c>
      <c r="I1577" s="121">
        <f t="shared" si="620"/>
        <v>1.04</v>
      </c>
      <c r="J1577" s="121">
        <f t="shared" si="621"/>
        <v>1.04</v>
      </c>
      <c r="K1577" s="120">
        <f t="shared" si="622"/>
        <v>0</v>
      </c>
      <c r="L1577" s="120">
        <f t="shared" si="623"/>
        <v>0</v>
      </c>
      <c r="M1577" s="246">
        <f t="shared" si="624"/>
        <v>0</v>
      </c>
      <c r="N1577" s="121">
        <f t="shared" si="625"/>
        <v>1.04</v>
      </c>
      <c r="O1577" s="246">
        <f t="shared" si="626"/>
        <v>1</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87">
        <v>42</v>
      </c>
      <c r="B1578" s="242">
        <f t="shared" si="633"/>
        <v>46905</v>
      </c>
      <c r="C1578" s="243">
        <f t="shared" si="614"/>
        <v>46934</v>
      </c>
      <c r="D1578" s="120">
        <f t="shared" si="615"/>
        <v>30</v>
      </c>
      <c r="E1578" s="120">
        <f t="shared" si="616"/>
        <v>6</v>
      </c>
      <c r="F1578" s="275">
        <f t="shared" si="617"/>
        <v>46920</v>
      </c>
      <c r="G1578" s="120">
        <f t="shared" si="618"/>
        <v>24341</v>
      </c>
      <c r="H1578" s="245">
        <f t="shared" si="619"/>
        <v>1</v>
      </c>
      <c r="I1578" s="121">
        <f t="shared" si="620"/>
        <v>1.04</v>
      </c>
      <c r="J1578" s="121">
        <f t="shared" si="621"/>
        <v>1.04</v>
      </c>
      <c r="K1578" s="120">
        <f t="shared" si="622"/>
        <v>0</v>
      </c>
      <c r="L1578" s="120">
        <f t="shared" si="623"/>
        <v>0</v>
      </c>
      <c r="M1578" s="246">
        <f t="shared" si="624"/>
        <v>0</v>
      </c>
      <c r="N1578" s="121">
        <f t="shared" si="625"/>
        <v>1.04</v>
      </c>
      <c r="O1578" s="246">
        <f t="shared" si="626"/>
        <v>1</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87">
        <v>43</v>
      </c>
      <c r="B1579" s="242">
        <f t="shared" si="633"/>
        <v>46935</v>
      </c>
      <c r="C1579" s="243">
        <f t="shared" si="614"/>
        <v>46965</v>
      </c>
      <c r="D1579" s="120">
        <f t="shared" si="615"/>
        <v>31</v>
      </c>
      <c r="E1579" s="120">
        <f t="shared" si="616"/>
        <v>7</v>
      </c>
      <c r="F1579" s="275">
        <f t="shared" si="617"/>
        <v>46950.5</v>
      </c>
      <c r="G1579" s="120">
        <f t="shared" si="618"/>
        <v>24342</v>
      </c>
      <c r="H1579" s="245">
        <f t="shared" si="619"/>
        <v>1</v>
      </c>
      <c r="I1579" s="121">
        <f t="shared" si="620"/>
        <v>1.04</v>
      </c>
      <c r="J1579" s="121">
        <f t="shared" si="621"/>
        <v>1.04</v>
      </c>
      <c r="K1579" s="120">
        <f t="shared" si="622"/>
        <v>0</v>
      </c>
      <c r="L1579" s="120">
        <f t="shared" si="623"/>
        <v>0</v>
      </c>
      <c r="M1579" s="246">
        <f t="shared" si="624"/>
        <v>0</v>
      </c>
      <c r="N1579" s="121">
        <f t="shared" si="625"/>
        <v>1.04</v>
      </c>
      <c r="O1579" s="246">
        <f t="shared" si="626"/>
        <v>1</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87">
        <v>44</v>
      </c>
      <c r="B1580" s="242">
        <f t="shared" si="633"/>
        <v>46966</v>
      </c>
      <c r="C1580" s="243">
        <f t="shared" si="614"/>
        <v>46996</v>
      </c>
      <c r="D1580" s="120">
        <f t="shared" si="615"/>
        <v>31</v>
      </c>
      <c r="E1580" s="120">
        <f t="shared" si="616"/>
        <v>8</v>
      </c>
      <c r="F1580" s="275">
        <f t="shared" si="617"/>
        <v>46981.5</v>
      </c>
      <c r="G1580" s="120">
        <f t="shared" si="618"/>
        <v>24343</v>
      </c>
      <c r="H1580" s="245">
        <f t="shared" si="619"/>
        <v>1</v>
      </c>
      <c r="I1580" s="121">
        <f t="shared" si="620"/>
        <v>1.04</v>
      </c>
      <c r="J1580" s="121">
        <f t="shared" si="621"/>
        <v>1.04</v>
      </c>
      <c r="K1580" s="120">
        <f t="shared" si="622"/>
        <v>0</v>
      </c>
      <c r="L1580" s="120">
        <f t="shared" si="623"/>
        <v>0</v>
      </c>
      <c r="M1580" s="246">
        <f t="shared" si="624"/>
        <v>0</v>
      </c>
      <c r="N1580" s="121">
        <f t="shared" si="625"/>
        <v>1.04</v>
      </c>
      <c r="O1580" s="246">
        <f t="shared" si="626"/>
        <v>1</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87">
        <v>45</v>
      </c>
      <c r="B1581" s="242">
        <f t="shared" si="633"/>
        <v>46997</v>
      </c>
      <c r="C1581" s="243">
        <f t="shared" si="614"/>
        <v>47026</v>
      </c>
      <c r="D1581" s="120">
        <f t="shared" si="615"/>
        <v>30</v>
      </c>
      <c r="E1581" s="120">
        <f t="shared" si="616"/>
        <v>9</v>
      </c>
      <c r="F1581" s="275">
        <f t="shared" si="617"/>
        <v>47012</v>
      </c>
      <c r="G1581" s="120">
        <f t="shared" si="618"/>
        <v>24344</v>
      </c>
      <c r="H1581" s="245">
        <f t="shared" si="619"/>
        <v>1</v>
      </c>
      <c r="I1581" s="121">
        <f t="shared" si="620"/>
        <v>1.04</v>
      </c>
      <c r="J1581" s="121">
        <f t="shared" si="621"/>
        <v>1.04</v>
      </c>
      <c r="K1581" s="120">
        <f t="shared" si="622"/>
        <v>0</v>
      </c>
      <c r="L1581" s="120">
        <f t="shared" si="623"/>
        <v>0</v>
      </c>
      <c r="M1581" s="246">
        <f t="shared" si="624"/>
        <v>0</v>
      </c>
      <c r="N1581" s="121">
        <f t="shared" si="625"/>
        <v>1.04</v>
      </c>
      <c r="O1581" s="246">
        <f t="shared" si="626"/>
        <v>1</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87">
        <v>46</v>
      </c>
      <c r="B1582" s="242">
        <f t="shared" si="633"/>
        <v>47027</v>
      </c>
      <c r="C1582" s="243">
        <f t="shared" si="614"/>
        <v>47057</v>
      </c>
      <c r="D1582" s="120">
        <f t="shared" si="615"/>
        <v>31</v>
      </c>
      <c r="E1582" s="120">
        <f t="shared" si="616"/>
        <v>10</v>
      </c>
      <c r="F1582" s="275">
        <f t="shared" si="617"/>
        <v>47042.5</v>
      </c>
      <c r="G1582" s="120">
        <f t="shared" si="618"/>
        <v>24345</v>
      </c>
      <c r="H1582" s="245">
        <f t="shared" si="619"/>
        <v>1</v>
      </c>
      <c r="I1582" s="121">
        <f t="shared" si="620"/>
        <v>1.04</v>
      </c>
      <c r="J1582" s="121">
        <f t="shared" si="621"/>
        <v>1.04</v>
      </c>
      <c r="K1582" s="120">
        <f t="shared" si="622"/>
        <v>0</v>
      </c>
      <c r="L1582" s="120">
        <f t="shared" si="623"/>
        <v>0</v>
      </c>
      <c r="M1582" s="246">
        <f t="shared" si="624"/>
        <v>0</v>
      </c>
      <c r="N1582" s="121">
        <f t="shared" si="625"/>
        <v>1.04</v>
      </c>
      <c r="O1582" s="246">
        <f t="shared" si="626"/>
        <v>1</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87">
        <v>47</v>
      </c>
      <c r="B1583" s="242">
        <f t="shared" si="633"/>
        <v>47058</v>
      </c>
      <c r="C1583" s="243">
        <f t="shared" si="614"/>
        <v>47087</v>
      </c>
      <c r="D1583" s="120">
        <f t="shared" si="615"/>
        <v>30</v>
      </c>
      <c r="E1583" s="120">
        <f t="shared" si="616"/>
        <v>11</v>
      </c>
      <c r="F1583" s="275">
        <f t="shared" si="617"/>
        <v>47073</v>
      </c>
      <c r="G1583" s="120">
        <f t="shared" si="618"/>
        <v>24346</v>
      </c>
      <c r="H1583" s="245">
        <f t="shared" si="619"/>
        <v>1</v>
      </c>
      <c r="I1583" s="121">
        <f t="shared" si="620"/>
        <v>1.04</v>
      </c>
      <c r="J1583" s="121">
        <f t="shared" si="621"/>
        <v>1.04</v>
      </c>
      <c r="K1583" s="120">
        <f t="shared" si="622"/>
        <v>0</v>
      </c>
      <c r="L1583" s="120">
        <f t="shared" si="623"/>
        <v>0</v>
      </c>
      <c r="M1583" s="246">
        <f t="shared" si="624"/>
        <v>0</v>
      </c>
      <c r="N1583" s="121">
        <f t="shared" si="625"/>
        <v>1.04</v>
      </c>
      <c r="O1583" s="246">
        <f t="shared" si="626"/>
        <v>1</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87">
        <v>48</v>
      </c>
      <c r="B1584" s="242">
        <f t="shared" si="633"/>
        <v>47088</v>
      </c>
      <c r="C1584" s="243">
        <f t="shared" si="614"/>
        <v>47118</v>
      </c>
      <c r="D1584" s="120">
        <f t="shared" si="615"/>
        <v>31</v>
      </c>
      <c r="E1584" s="120">
        <f t="shared" si="616"/>
        <v>12</v>
      </c>
      <c r="F1584" s="275">
        <f t="shared" si="617"/>
        <v>47103.5</v>
      </c>
      <c r="G1584" s="120">
        <f t="shared" si="618"/>
        <v>24347</v>
      </c>
      <c r="H1584" s="245">
        <f t="shared" si="619"/>
        <v>1</v>
      </c>
      <c r="I1584" s="121">
        <f t="shared" si="620"/>
        <v>1.04</v>
      </c>
      <c r="J1584" s="121">
        <f t="shared" si="621"/>
        <v>1.04</v>
      </c>
      <c r="K1584" s="120">
        <f t="shared" si="622"/>
        <v>0</v>
      </c>
      <c r="L1584" s="120">
        <f t="shared" si="623"/>
        <v>0</v>
      </c>
      <c r="M1584" s="246">
        <f t="shared" si="624"/>
        <v>0</v>
      </c>
      <c r="N1584" s="121">
        <f t="shared" si="625"/>
        <v>1.04</v>
      </c>
      <c r="O1584" s="246">
        <f t="shared" si="626"/>
        <v>1</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1651</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24">
        <f>SUMPRODUCT($H$1537:$H$1584,$Q$1537:$Q$1584,$O$1537:$O$1584)/SUMPRODUCT($H$1537:$H$1584,$Q$1537:$Q$1584)</f>
        <v>0.99199580598103554</v>
      </c>
      <c r="G1585" s="224">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24">
        <f>IF(N(INDEX(lr_mind,29))=0,1,INDEX(lr_mind,29))</f>
        <v>1</v>
      </c>
      <c r="G1588" s="224">
        <f>IF(N(INDEX(lr_m0,29))=0,1,INDEX(lr_m0,29))</f>
        <v>0.99</v>
      </c>
      <c r="H1588" s="74">
        <f>IF(N(INDEX(lr_m0asof,29))=0,DATE(nr_PlanYear-1,10,1),INDEX(lr_m0asof,29))</f>
        <v>46295</v>
      </c>
      <c r="I1588" s="224">
        <f>IF(N(INDEX(lr_m1,29))=0,1,INDEX(lr_m1,29))</f>
        <v>0.98</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34">EOMONTH($B1591,0)</f>
        <v>45688</v>
      </c>
      <c r="D1591" s="120">
        <f t="shared" ref="D1591:D1638" si="635">$C1591-$B1591+1</f>
        <v>31</v>
      </c>
      <c r="E1591" s="120">
        <f t="shared" ref="E1591:E1638" si="636">MONTH($B1591)</f>
        <v>1</v>
      </c>
      <c r="F1591" s="275">
        <f t="shared" ref="F1591:F1638" si="637">($B1591+$C1591+1)/2</f>
        <v>45673.5</v>
      </c>
      <c r="G1591" s="120">
        <f t="shared" ref="G1591:G1638" si="638">YEAR($B1591)*12+MONTH($B1591)-1</f>
        <v>24300</v>
      </c>
      <c r="H1591" s="245">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46">
        <f t="shared" ref="M1591:M1638" si="644">IF($K1591=0,0,MIN(1,$L1591/$D1591))</f>
        <v>0</v>
      </c>
      <c r="N1591" s="121">
        <f t="shared" ref="N1591:N1638" si="645">IF($K1591=0,$J1591,(1-$M1591)*$I1591+$M1591*$J1591)</f>
        <v>1</v>
      </c>
      <c r="O1591" s="246">
        <f t="shared" ref="O1591:O1638" si="646">IF($F1591&lt;$B$1589,$E$1589+$I$1589*($F1591-$A$1589),IF($F1591&lt;$C$1589,$F$1589+$J$1589*($F1591-$B$1589),$G$1589+$K$1589*($F1591-$C$1589)))</f>
        <v>1.0036214442013129</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87">
        <v>2</v>
      </c>
      <c r="B1592" s="242">
        <f t="shared" ref="B1592:B1638" si="653">EDATE($B1591,1)</f>
        <v>45689</v>
      </c>
      <c r="C1592" s="243">
        <f t="shared" si="634"/>
        <v>45716</v>
      </c>
      <c r="D1592" s="120">
        <f t="shared" si="635"/>
        <v>28</v>
      </c>
      <c r="E1592" s="120">
        <f t="shared" si="636"/>
        <v>2</v>
      </c>
      <c r="F1592" s="275">
        <f t="shared" si="637"/>
        <v>45703</v>
      </c>
      <c r="G1592" s="120">
        <f t="shared" si="638"/>
        <v>24301</v>
      </c>
      <c r="H1592" s="245">
        <f t="shared" si="639"/>
        <v>1</v>
      </c>
      <c r="I1592" s="121">
        <f t="shared" si="640"/>
        <v>1</v>
      </c>
      <c r="J1592" s="121">
        <f t="shared" si="641"/>
        <v>1</v>
      </c>
      <c r="K1592" s="120">
        <f t="shared" si="642"/>
        <v>0</v>
      </c>
      <c r="L1592" s="120">
        <f t="shared" si="643"/>
        <v>0</v>
      </c>
      <c r="M1592" s="246">
        <f t="shared" si="644"/>
        <v>0</v>
      </c>
      <c r="N1592" s="121">
        <f t="shared" si="645"/>
        <v>1</v>
      </c>
      <c r="O1592" s="246">
        <f t="shared" si="646"/>
        <v>1.002975929978118</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87">
        <v>3</v>
      </c>
      <c r="B1593" s="242">
        <f t="shared" si="653"/>
        <v>45717</v>
      </c>
      <c r="C1593" s="243">
        <f t="shared" si="634"/>
        <v>45747</v>
      </c>
      <c r="D1593" s="120">
        <f t="shared" si="635"/>
        <v>31</v>
      </c>
      <c r="E1593" s="120">
        <f t="shared" si="636"/>
        <v>3</v>
      </c>
      <c r="F1593" s="275">
        <f t="shared" si="637"/>
        <v>45732.5</v>
      </c>
      <c r="G1593" s="120">
        <f t="shared" si="638"/>
        <v>24302</v>
      </c>
      <c r="H1593" s="245">
        <f t="shared" si="639"/>
        <v>1</v>
      </c>
      <c r="I1593" s="121">
        <f t="shared" si="640"/>
        <v>1</v>
      </c>
      <c r="J1593" s="121">
        <f t="shared" si="641"/>
        <v>1</v>
      </c>
      <c r="K1593" s="120">
        <f t="shared" si="642"/>
        <v>0</v>
      </c>
      <c r="L1593" s="120">
        <f t="shared" si="643"/>
        <v>0</v>
      </c>
      <c r="M1593" s="246">
        <f t="shared" si="644"/>
        <v>0</v>
      </c>
      <c r="N1593" s="121">
        <f t="shared" si="645"/>
        <v>1</v>
      </c>
      <c r="O1593" s="246">
        <f t="shared" si="646"/>
        <v>1.0023304157549233</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87">
        <v>4</v>
      </c>
      <c r="B1594" s="242">
        <f t="shared" si="653"/>
        <v>45748</v>
      </c>
      <c r="C1594" s="243">
        <f t="shared" si="634"/>
        <v>45777</v>
      </c>
      <c r="D1594" s="120">
        <f t="shared" si="635"/>
        <v>30</v>
      </c>
      <c r="E1594" s="120">
        <f t="shared" si="636"/>
        <v>4</v>
      </c>
      <c r="F1594" s="275">
        <f t="shared" si="637"/>
        <v>45763</v>
      </c>
      <c r="G1594" s="120">
        <f t="shared" si="638"/>
        <v>24303</v>
      </c>
      <c r="H1594" s="245">
        <f t="shared" si="639"/>
        <v>1</v>
      </c>
      <c r="I1594" s="121">
        <f t="shared" si="640"/>
        <v>1</v>
      </c>
      <c r="J1594" s="121">
        <f t="shared" si="641"/>
        <v>1</v>
      </c>
      <c r="K1594" s="120">
        <f t="shared" si="642"/>
        <v>0</v>
      </c>
      <c r="L1594" s="120">
        <f t="shared" si="643"/>
        <v>0</v>
      </c>
      <c r="M1594" s="246">
        <f t="shared" si="644"/>
        <v>0</v>
      </c>
      <c r="N1594" s="121">
        <f t="shared" si="645"/>
        <v>1</v>
      </c>
      <c r="O1594" s="246">
        <f t="shared" si="646"/>
        <v>1.0016630196936542</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87">
        <v>5</v>
      </c>
      <c r="B1595" s="242">
        <f t="shared" si="653"/>
        <v>45778</v>
      </c>
      <c r="C1595" s="243">
        <f t="shared" si="634"/>
        <v>45808</v>
      </c>
      <c r="D1595" s="120">
        <f t="shared" si="635"/>
        <v>31</v>
      </c>
      <c r="E1595" s="120">
        <f t="shared" si="636"/>
        <v>5</v>
      </c>
      <c r="F1595" s="275">
        <f t="shared" si="637"/>
        <v>45793.5</v>
      </c>
      <c r="G1595" s="120">
        <f t="shared" si="638"/>
        <v>24304</v>
      </c>
      <c r="H1595" s="245">
        <f t="shared" si="639"/>
        <v>1</v>
      </c>
      <c r="I1595" s="121">
        <f t="shared" si="640"/>
        <v>1</v>
      </c>
      <c r="J1595" s="121">
        <f t="shared" si="641"/>
        <v>1</v>
      </c>
      <c r="K1595" s="120">
        <f t="shared" si="642"/>
        <v>0</v>
      </c>
      <c r="L1595" s="120">
        <f t="shared" si="643"/>
        <v>0</v>
      </c>
      <c r="M1595" s="246">
        <f t="shared" si="644"/>
        <v>0</v>
      </c>
      <c r="N1595" s="121">
        <f t="shared" si="645"/>
        <v>1</v>
      </c>
      <c r="O1595" s="246">
        <f t="shared" si="646"/>
        <v>1.0009956236323851</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87">
        <v>6</v>
      </c>
      <c r="B1596" s="242">
        <f t="shared" si="653"/>
        <v>45809</v>
      </c>
      <c r="C1596" s="243">
        <f t="shared" si="634"/>
        <v>45838</v>
      </c>
      <c r="D1596" s="120">
        <f t="shared" si="635"/>
        <v>30</v>
      </c>
      <c r="E1596" s="120">
        <f t="shared" si="636"/>
        <v>6</v>
      </c>
      <c r="F1596" s="275">
        <f t="shared" si="637"/>
        <v>45824</v>
      </c>
      <c r="G1596" s="120">
        <f t="shared" si="638"/>
        <v>24305</v>
      </c>
      <c r="H1596" s="245">
        <f t="shared" si="639"/>
        <v>1</v>
      </c>
      <c r="I1596" s="121">
        <f t="shared" si="640"/>
        <v>1</v>
      </c>
      <c r="J1596" s="121">
        <f t="shared" si="641"/>
        <v>1</v>
      </c>
      <c r="K1596" s="120">
        <f t="shared" si="642"/>
        <v>0</v>
      </c>
      <c r="L1596" s="120">
        <f t="shared" si="643"/>
        <v>0</v>
      </c>
      <c r="M1596" s="246">
        <f t="shared" si="644"/>
        <v>0</v>
      </c>
      <c r="N1596" s="121">
        <f t="shared" si="645"/>
        <v>1</v>
      </c>
      <c r="O1596" s="246">
        <f t="shared" si="646"/>
        <v>1.0003282275711158</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87">
        <v>7</v>
      </c>
      <c r="B1597" s="242">
        <f t="shared" si="653"/>
        <v>45839</v>
      </c>
      <c r="C1597" s="243">
        <f t="shared" si="634"/>
        <v>45869</v>
      </c>
      <c r="D1597" s="120">
        <f t="shared" si="635"/>
        <v>31</v>
      </c>
      <c r="E1597" s="120">
        <f t="shared" si="636"/>
        <v>7</v>
      </c>
      <c r="F1597" s="275">
        <f t="shared" si="637"/>
        <v>45854.5</v>
      </c>
      <c r="G1597" s="120">
        <f t="shared" si="638"/>
        <v>24306</v>
      </c>
      <c r="H1597" s="245">
        <f t="shared" si="639"/>
        <v>1</v>
      </c>
      <c r="I1597" s="121">
        <f t="shared" si="640"/>
        <v>1</v>
      </c>
      <c r="J1597" s="121">
        <f t="shared" si="641"/>
        <v>1</v>
      </c>
      <c r="K1597" s="120">
        <f t="shared" si="642"/>
        <v>0</v>
      </c>
      <c r="L1597" s="120">
        <f t="shared" si="643"/>
        <v>0</v>
      </c>
      <c r="M1597" s="246">
        <f t="shared" si="644"/>
        <v>0</v>
      </c>
      <c r="N1597" s="121">
        <f t="shared" si="645"/>
        <v>1</v>
      </c>
      <c r="O1597" s="246">
        <f t="shared" si="646"/>
        <v>0.99966083150984675</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87">
        <v>8</v>
      </c>
      <c r="B1598" s="242">
        <f t="shared" si="653"/>
        <v>45870</v>
      </c>
      <c r="C1598" s="243">
        <f t="shared" si="634"/>
        <v>45900</v>
      </c>
      <c r="D1598" s="120">
        <f t="shared" si="635"/>
        <v>31</v>
      </c>
      <c r="E1598" s="120">
        <f t="shared" si="636"/>
        <v>8</v>
      </c>
      <c r="F1598" s="275">
        <f t="shared" si="637"/>
        <v>45885.5</v>
      </c>
      <c r="G1598" s="120">
        <f t="shared" si="638"/>
        <v>24307</v>
      </c>
      <c r="H1598" s="245">
        <f t="shared" si="639"/>
        <v>1</v>
      </c>
      <c r="I1598" s="121">
        <f t="shared" si="640"/>
        <v>1</v>
      </c>
      <c r="J1598" s="121">
        <f t="shared" si="641"/>
        <v>1</v>
      </c>
      <c r="K1598" s="120">
        <f t="shared" si="642"/>
        <v>0</v>
      </c>
      <c r="L1598" s="120">
        <f t="shared" si="643"/>
        <v>0</v>
      </c>
      <c r="M1598" s="246">
        <f t="shared" si="644"/>
        <v>0</v>
      </c>
      <c r="N1598" s="121">
        <f t="shared" si="645"/>
        <v>1</v>
      </c>
      <c r="O1598" s="246">
        <f t="shared" si="646"/>
        <v>0.99898249452954047</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87">
        <v>9</v>
      </c>
      <c r="B1599" s="242">
        <f t="shared" si="653"/>
        <v>45901</v>
      </c>
      <c r="C1599" s="243">
        <f t="shared" si="634"/>
        <v>45930</v>
      </c>
      <c r="D1599" s="120">
        <f t="shared" si="635"/>
        <v>30</v>
      </c>
      <c r="E1599" s="120">
        <f t="shared" si="636"/>
        <v>9</v>
      </c>
      <c r="F1599" s="275">
        <f t="shared" si="637"/>
        <v>45916</v>
      </c>
      <c r="G1599" s="120">
        <f t="shared" si="638"/>
        <v>24308</v>
      </c>
      <c r="H1599" s="245">
        <f t="shared" si="639"/>
        <v>1</v>
      </c>
      <c r="I1599" s="121">
        <f t="shared" si="640"/>
        <v>1</v>
      </c>
      <c r="J1599" s="121">
        <f t="shared" si="641"/>
        <v>1</v>
      </c>
      <c r="K1599" s="120">
        <f t="shared" si="642"/>
        <v>0</v>
      </c>
      <c r="L1599" s="120">
        <f t="shared" si="643"/>
        <v>0</v>
      </c>
      <c r="M1599" s="246">
        <f t="shared" si="644"/>
        <v>0</v>
      </c>
      <c r="N1599" s="121">
        <f t="shared" si="645"/>
        <v>1</v>
      </c>
      <c r="O1599" s="246">
        <f t="shared" si="646"/>
        <v>0.99831509846827127</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87">
        <v>10</v>
      </c>
      <c r="B1600" s="242">
        <f t="shared" si="653"/>
        <v>45931</v>
      </c>
      <c r="C1600" s="243">
        <f t="shared" si="634"/>
        <v>45961</v>
      </c>
      <c r="D1600" s="120">
        <f t="shared" si="635"/>
        <v>31</v>
      </c>
      <c r="E1600" s="120">
        <f t="shared" si="636"/>
        <v>10</v>
      </c>
      <c r="F1600" s="275">
        <f t="shared" si="637"/>
        <v>45946.5</v>
      </c>
      <c r="G1600" s="120">
        <f t="shared" si="638"/>
        <v>24309</v>
      </c>
      <c r="H1600" s="245">
        <f t="shared" si="639"/>
        <v>1</v>
      </c>
      <c r="I1600" s="121">
        <f t="shared" si="640"/>
        <v>1</v>
      </c>
      <c r="J1600" s="121">
        <f t="shared" si="641"/>
        <v>1</v>
      </c>
      <c r="K1600" s="120">
        <f t="shared" si="642"/>
        <v>0</v>
      </c>
      <c r="L1600" s="120">
        <f t="shared" si="643"/>
        <v>0</v>
      </c>
      <c r="M1600" s="246">
        <f t="shared" si="644"/>
        <v>0</v>
      </c>
      <c r="N1600" s="121">
        <f t="shared" si="645"/>
        <v>1</v>
      </c>
      <c r="O1600" s="246">
        <f t="shared" si="646"/>
        <v>0.99764770240700218</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87">
        <v>11</v>
      </c>
      <c r="B1601" s="242">
        <f t="shared" si="653"/>
        <v>45962</v>
      </c>
      <c r="C1601" s="243">
        <f t="shared" si="634"/>
        <v>45991</v>
      </c>
      <c r="D1601" s="120">
        <f t="shared" si="635"/>
        <v>30</v>
      </c>
      <c r="E1601" s="120">
        <f t="shared" si="636"/>
        <v>11</v>
      </c>
      <c r="F1601" s="275">
        <f t="shared" si="637"/>
        <v>45977</v>
      </c>
      <c r="G1601" s="120">
        <f t="shared" si="638"/>
        <v>24310</v>
      </c>
      <c r="H1601" s="245">
        <f t="shared" si="639"/>
        <v>1</v>
      </c>
      <c r="I1601" s="121">
        <f t="shared" si="640"/>
        <v>1</v>
      </c>
      <c r="J1601" s="121">
        <f t="shared" si="641"/>
        <v>1</v>
      </c>
      <c r="K1601" s="120">
        <f t="shared" si="642"/>
        <v>0</v>
      </c>
      <c r="L1601" s="120">
        <f t="shared" si="643"/>
        <v>0</v>
      </c>
      <c r="M1601" s="246">
        <f t="shared" si="644"/>
        <v>0</v>
      </c>
      <c r="N1601" s="121">
        <f t="shared" si="645"/>
        <v>1</v>
      </c>
      <c r="O1601" s="246">
        <f t="shared" si="646"/>
        <v>0.99698030634573298</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87">
        <v>12</v>
      </c>
      <c r="B1602" s="242">
        <f t="shared" si="653"/>
        <v>45992</v>
      </c>
      <c r="C1602" s="243">
        <f t="shared" si="634"/>
        <v>46022</v>
      </c>
      <c r="D1602" s="120">
        <f t="shared" si="635"/>
        <v>31</v>
      </c>
      <c r="E1602" s="120">
        <f t="shared" si="636"/>
        <v>12</v>
      </c>
      <c r="F1602" s="275">
        <f t="shared" si="637"/>
        <v>46007.5</v>
      </c>
      <c r="G1602" s="120">
        <f t="shared" si="638"/>
        <v>24311</v>
      </c>
      <c r="H1602" s="245">
        <f t="shared" si="639"/>
        <v>1</v>
      </c>
      <c r="I1602" s="121">
        <f t="shared" si="640"/>
        <v>1</v>
      </c>
      <c r="J1602" s="121">
        <f t="shared" si="641"/>
        <v>1</v>
      </c>
      <c r="K1602" s="120">
        <f t="shared" si="642"/>
        <v>0</v>
      </c>
      <c r="L1602" s="120">
        <f t="shared" si="643"/>
        <v>0</v>
      </c>
      <c r="M1602" s="246">
        <f t="shared" si="644"/>
        <v>0</v>
      </c>
      <c r="N1602" s="121">
        <f t="shared" si="645"/>
        <v>1</v>
      </c>
      <c r="O1602" s="246">
        <f t="shared" si="646"/>
        <v>0.99631291028446389</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87">
        <v>13</v>
      </c>
      <c r="B1603" s="242">
        <f t="shared" si="653"/>
        <v>46023</v>
      </c>
      <c r="C1603" s="243">
        <f t="shared" si="634"/>
        <v>46053</v>
      </c>
      <c r="D1603" s="120">
        <f t="shared" si="635"/>
        <v>31</v>
      </c>
      <c r="E1603" s="120">
        <f t="shared" si="636"/>
        <v>1</v>
      </c>
      <c r="F1603" s="275">
        <f t="shared" si="637"/>
        <v>46038.5</v>
      </c>
      <c r="G1603" s="120">
        <f t="shared" si="638"/>
        <v>24312</v>
      </c>
      <c r="H1603" s="245">
        <f t="shared" si="639"/>
        <v>1</v>
      </c>
      <c r="I1603" s="121">
        <f t="shared" si="640"/>
        <v>1</v>
      </c>
      <c r="J1603" s="121">
        <f t="shared" si="641"/>
        <v>1</v>
      </c>
      <c r="K1603" s="120">
        <f t="shared" si="642"/>
        <v>0</v>
      </c>
      <c r="L1603" s="120">
        <f t="shared" si="643"/>
        <v>0</v>
      </c>
      <c r="M1603" s="246">
        <f t="shared" si="644"/>
        <v>0</v>
      </c>
      <c r="N1603" s="121">
        <f t="shared" si="645"/>
        <v>1</v>
      </c>
      <c r="O1603" s="246">
        <f t="shared" si="646"/>
        <v>0.9956345733041575</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87">
        <v>14</v>
      </c>
      <c r="B1604" s="242">
        <f t="shared" si="653"/>
        <v>46054</v>
      </c>
      <c r="C1604" s="243">
        <f t="shared" si="634"/>
        <v>46081</v>
      </c>
      <c r="D1604" s="120">
        <f t="shared" si="635"/>
        <v>28</v>
      </c>
      <c r="E1604" s="120">
        <f t="shared" si="636"/>
        <v>2</v>
      </c>
      <c r="F1604" s="275">
        <f t="shared" si="637"/>
        <v>46068</v>
      </c>
      <c r="G1604" s="120">
        <f t="shared" si="638"/>
        <v>24313</v>
      </c>
      <c r="H1604" s="245">
        <f t="shared" si="639"/>
        <v>1</v>
      </c>
      <c r="I1604" s="121">
        <f t="shared" si="640"/>
        <v>1</v>
      </c>
      <c r="J1604" s="121">
        <f t="shared" si="641"/>
        <v>1</v>
      </c>
      <c r="K1604" s="120">
        <f t="shared" si="642"/>
        <v>0</v>
      </c>
      <c r="L1604" s="120">
        <f t="shared" si="643"/>
        <v>0</v>
      </c>
      <c r="M1604" s="246">
        <f t="shared" si="644"/>
        <v>0</v>
      </c>
      <c r="N1604" s="121">
        <f t="shared" si="645"/>
        <v>1</v>
      </c>
      <c r="O1604" s="246">
        <f t="shared" si="646"/>
        <v>0.9949890590809628</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87">
        <v>15</v>
      </c>
      <c r="B1605" s="242">
        <f t="shared" si="653"/>
        <v>46082</v>
      </c>
      <c r="C1605" s="243">
        <f t="shared" si="634"/>
        <v>46112</v>
      </c>
      <c r="D1605" s="120">
        <f t="shared" si="635"/>
        <v>31</v>
      </c>
      <c r="E1605" s="120">
        <f t="shared" si="636"/>
        <v>3</v>
      </c>
      <c r="F1605" s="275">
        <f t="shared" si="637"/>
        <v>46097.5</v>
      </c>
      <c r="G1605" s="120">
        <f t="shared" si="638"/>
        <v>24314</v>
      </c>
      <c r="H1605" s="245">
        <f t="shared" si="639"/>
        <v>1</v>
      </c>
      <c r="I1605" s="121">
        <f t="shared" si="640"/>
        <v>1</v>
      </c>
      <c r="J1605" s="121">
        <f t="shared" si="641"/>
        <v>1</v>
      </c>
      <c r="K1605" s="120">
        <f t="shared" si="642"/>
        <v>0</v>
      </c>
      <c r="L1605" s="120">
        <f t="shared" si="643"/>
        <v>0</v>
      </c>
      <c r="M1605" s="246">
        <f t="shared" si="644"/>
        <v>0</v>
      </c>
      <c r="N1605" s="121">
        <f t="shared" si="645"/>
        <v>1</v>
      </c>
      <c r="O1605" s="246">
        <f t="shared" si="646"/>
        <v>0.99434354485776799</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87">
        <v>16</v>
      </c>
      <c r="B1606" s="242">
        <f t="shared" si="653"/>
        <v>46113</v>
      </c>
      <c r="C1606" s="243">
        <f t="shared" si="634"/>
        <v>46142</v>
      </c>
      <c r="D1606" s="120">
        <f t="shared" si="635"/>
        <v>30</v>
      </c>
      <c r="E1606" s="120">
        <f t="shared" si="636"/>
        <v>4</v>
      </c>
      <c r="F1606" s="275">
        <f t="shared" si="637"/>
        <v>46128</v>
      </c>
      <c r="G1606" s="120">
        <f t="shared" si="638"/>
        <v>24315</v>
      </c>
      <c r="H1606" s="245">
        <f t="shared" si="639"/>
        <v>1</v>
      </c>
      <c r="I1606" s="121">
        <f t="shared" si="640"/>
        <v>1</v>
      </c>
      <c r="J1606" s="121">
        <f t="shared" si="641"/>
        <v>1</v>
      </c>
      <c r="K1606" s="120">
        <f t="shared" si="642"/>
        <v>0</v>
      </c>
      <c r="L1606" s="120">
        <f t="shared" si="643"/>
        <v>0</v>
      </c>
      <c r="M1606" s="246">
        <f t="shared" si="644"/>
        <v>0</v>
      </c>
      <c r="N1606" s="121">
        <f t="shared" si="645"/>
        <v>1</v>
      </c>
      <c r="O1606" s="246">
        <f t="shared" si="646"/>
        <v>0.9936761487964989</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87">
        <v>17</v>
      </c>
      <c r="B1607" s="242">
        <f t="shared" si="653"/>
        <v>46143</v>
      </c>
      <c r="C1607" s="243">
        <f t="shared" si="634"/>
        <v>46173</v>
      </c>
      <c r="D1607" s="120">
        <f t="shared" si="635"/>
        <v>31</v>
      </c>
      <c r="E1607" s="120">
        <f t="shared" si="636"/>
        <v>5</v>
      </c>
      <c r="F1607" s="275">
        <f t="shared" si="637"/>
        <v>46158.5</v>
      </c>
      <c r="G1607" s="120">
        <f t="shared" si="638"/>
        <v>24316</v>
      </c>
      <c r="H1607" s="245">
        <f t="shared" si="639"/>
        <v>1</v>
      </c>
      <c r="I1607" s="121">
        <f t="shared" si="640"/>
        <v>1</v>
      </c>
      <c r="J1607" s="121">
        <f t="shared" si="641"/>
        <v>1.05</v>
      </c>
      <c r="K1607" s="120">
        <f t="shared" si="642"/>
        <v>1</v>
      </c>
      <c r="L1607" s="120">
        <f t="shared" si="643"/>
        <v>31</v>
      </c>
      <c r="M1607" s="246">
        <f t="shared" si="644"/>
        <v>1</v>
      </c>
      <c r="N1607" s="121">
        <f t="shared" si="645"/>
        <v>1.05</v>
      </c>
      <c r="O1607" s="246">
        <f t="shared" si="646"/>
        <v>0.9930087527352297</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87">
        <v>18</v>
      </c>
      <c r="B1608" s="242">
        <f t="shared" si="653"/>
        <v>46174</v>
      </c>
      <c r="C1608" s="243">
        <f t="shared" si="634"/>
        <v>46203</v>
      </c>
      <c r="D1608" s="120">
        <f t="shared" si="635"/>
        <v>30</v>
      </c>
      <c r="E1608" s="120">
        <f t="shared" si="636"/>
        <v>6</v>
      </c>
      <c r="F1608" s="275">
        <f t="shared" si="637"/>
        <v>46189</v>
      </c>
      <c r="G1608" s="120">
        <f t="shared" si="638"/>
        <v>24317</v>
      </c>
      <c r="H1608" s="245">
        <f t="shared" si="639"/>
        <v>1</v>
      </c>
      <c r="I1608" s="121">
        <f t="shared" si="640"/>
        <v>1.05</v>
      </c>
      <c r="J1608" s="121">
        <f t="shared" si="641"/>
        <v>1.05</v>
      </c>
      <c r="K1608" s="120">
        <f t="shared" si="642"/>
        <v>0</v>
      </c>
      <c r="L1608" s="120">
        <f t="shared" si="643"/>
        <v>0</v>
      </c>
      <c r="M1608" s="246">
        <f t="shared" si="644"/>
        <v>0</v>
      </c>
      <c r="N1608" s="121">
        <f t="shared" si="645"/>
        <v>1.05</v>
      </c>
      <c r="O1608" s="246">
        <f t="shared" si="646"/>
        <v>0.99234135667396062</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87">
        <v>19</v>
      </c>
      <c r="B1609" s="242">
        <f t="shared" si="653"/>
        <v>46204</v>
      </c>
      <c r="C1609" s="243">
        <f t="shared" si="634"/>
        <v>46234</v>
      </c>
      <c r="D1609" s="120">
        <f t="shared" si="635"/>
        <v>31</v>
      </c>
      <c r="E1609" s="120">
        <f t="shared" si="636"/>
        <v>7</v>
      </c>
      <c r="F1609" s="275">
        <f t="shared" si="637"/>
        <v>46219.5</v>
      </c>
      <c r="G1609" s="120">
        <f t="shared" si="638"/>
        <v>24318</v>
      </c>
      <c r="H1609" s="245">
        <f t="shared" si="639"/>
        <v>1</v>
      </c>
      <c r="I1609" s="121">
        <f t="shared" si="640"/>
        <v>1.05</v>
      </c>
      <c r="J1609" s="121">
        <f t="shared" si="641"/>
        <v>1.05</v>
      </c>
      <c r="K1609" s="120">
        <f t="shared" si="642"/>
        <v>0</v>
      </c>
      <c r="L1609" s="120">
        <f t="shared" si="643"/>
        <v>0</v>
      </c>
      <c r="M1609" s="246">
        <f t="shared" si="644"/>
        <v>0</v>
      </c>
      <c r="N1609" s="121">
        <f t="shared" si="645"/>
        <v>1.05</v>
      </c>
      <c r="O1609" s="246">
        <f t="shared" si="646"/>
        <v>0.99167396061269142</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87">
        <v>20</v>
      </c>
      <c r="B1610" s="242">
        <f t="shared" si="653"/>
        <v>46235</v>
      </c>
      <c r="C1610" s="243">
        <f t="shared" si="634"/>
        <v>46265</v>
      </c>
      <c r="D1610" s="120">
        <f t="shared" si="635"/>
        <v>31</v>
      </c>
      <c r="E1610" s="120">
        <f t="shared" si="636"/>
        <v>8</v>
      </c>
      <c r="F1610" s="275">
        <f t="shared" si="637"/>
        <v>46250.5</v>
      </c>
      <c r="G1610" s="120">
        <f t="shared" si="638"/>
        <v>24319</v>
      </c>
      <c r="H1610" s="245">
        <f t="shared" si="639"/>
        <v>1</v>
      </c>
      <c r="I1610" s="121">
        <f t="shared" si="640"/>
        <v>1.05</v>
      </c>
      <c r="J1610" s="121">
        <f t="shared" si="641"/>
        <v>1.05</v>
      </c>
      <c r="K1610" s="120">
        <f t="shared" si="642"/>
        <v>0</v>
      </c>
      <c r="L1610" s="120">
        <f t="shared" si="643"/>
        <v>0</v>
      </c>
      <c r="M1610" s="246">
        <f t="shared" si="644"/>
        <v>0</v>
      </c>
      <c r="N1610" s="121">
        <f t="shared" si="645"/>
        <v>1.05</v>
      </c>
      <c r="O1610" s="246">
        <f t="shared" si="646"/>
        <v>0.99099562363238514</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87">
        <v>21</v>
      </c>
      <c r="B1611" s="242">
        <f t="shared" si="653"/>
        <v>46266</v>
      </c>
      <c r="C1611" s="243">
        <f t="shared" si="634"/>
        <v>46295</v>
      </c>
      <c r="D1611" s="120">
        <f t="shared" si="635"/>
        <v>30</v>
      </c>
      <c r="E1611" s="120">
        <f t="shared" si="636"/>
        <v>9</v>
      </c>
      <c r="F1611" s="275">
        <f t="shared" si="637"/>
        <v>46281</v>
      </c>
      <c r="G1611" s="120">
        <f t="shared" si="638"/>
        <v>24320</v>
      </c>
      <c r="H1611" s="245">
        <f t="shared" si="639"/>
        <v>1</v>
      </c>
      <c r="I1611" s="121">
        <f t="shared" si="640"/>
        <v>1.05</v>
      </c>
      <c r="J1611" s="121">
        <f t="shared" si="641"/>
        <v>1.05</v>
      </c>
      <c r="K1611" s="120">
        <f t="shared" si="642"/>
        <v>0</v>
      </c>
      <c r="L1611" s="120">
        <f t="shared" si="643"/>
        <v>0</v>
      </c>
      <c r="M1611" s="246">
        <f t="shared" si="644"/>
        <v>0</v>
      </c>
      <c r="N1611" s="121">
        <f t="shared" si="645"/>
        <v>1.05</v>
      </c>
      <c r="O1611" s="246">
        <f t="shared" si="646"/>
        <v>0.99032822757111594</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87">
        <v>22</v>
      </c>
      <c r="B1612" s="242">
        <f t="shared" si="653"/>
        <v>46296</v>
      </c>
      <c r="C1612" s="243">
        <f t="shared" si="634"/>
        <v>46326</v>
      </c>
      <c r="D1612" s="120">
        <f t="shared" si="635"/>
        <v>31</v>
      </c>
      <c r="E1612" s="120">
        <f t="shared" si="636"/>
        <v>10</v>
      </c>
      <c r="F1612" s="275">
        <f t="shared" si="637"/>
        <v>46311.5</v>
      </c>
      <c r="G1612" s="120">
        <f t="shared" si="638"/>
        <v>24321</v>
      </c>
      <c r="H1612" s="245">
        <f t="shared" si="639"/>
        <v>1</v>
      </c>
      <c r="I1612" s="121">
        <f t="shared" si="640"/>
        <v>1.05</v>
      </c>
      <c r="J1612" s="121">
        <f t="shared" si="641"/>
        <v>1.05</v>
      </c>
      <c r="K1612" s="120">
        <f t="shared" si="642"/>
        <v>0</v>
      </c>
      <c r="L1612" s="120">
        <f t="shared" si="643"/>
        <v>0</v>
      </c>
      <c r="M1612" s="246">
        <f t="shared" si="644"/>
        <v>0</v>
      </c>
      <c r="N1612" s="121">
        <f t="shared" si="645"/>
        <v>1.05</v>
      </c>
      <c r="O1612" s="246">
        <f t="shared" si="646"/>
        <v>0.98966083150984685</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87">
        <v>23</v>
      </c>
      <c r="B1613" s="242">
        <f t="shared" si="653"/>
        <v>46327</v>
      </c>
      <c r="C1613" s="243">
        <f t="shared" si="634"/>
        <v>46356</v>
      </c>
      <c r="D1613" s="120">
        <f t="shared" si="635"/>
        <v>30</v>
      </c>
      <c r="E1613" s="120">
        <f t="shared" si="636"/>
        <v>11</v>
      </c>
      <c r="F1613" s="275">
        <f t="shared" si="637"/>
        <v>46342</v>
      </c>
      <c r="G1613" s="120">
        <f t="shared" si="638"/>
        <v>24322</v>
      </c>
      <c r="H1613" s="245">
        <f t="shared" si="639"/>
        <v>1</v>
      </c>
      <c r="I1613" s="121">
        <f t="shared" si="640"/>
        <v>1.05</v>
      </c>
      <c r="J1613" s="121">
        <f t="shared" si="641"/>
        <v>1.05</v>
      </c>
      <c r="K1613" s="120">
        <f t="shared" si="642"/>
        <v>0</v>
      </c>
      <c r="L1613" s="120">
        <f t="shared" si="643"/>
        <v>0</v>
      </c>
      <c r="M1613" s="246">
        <f t="shared" si="644"/>
        <v>0</v>
      </c>
      <c r="N1613" s="121">
        <f t="shared" si="645"/>
        <v>1.05</v>
      </c>
      <c r="O1613" s="246">
        <f t="shared" si="646"/>
        <v>0.98899343544857765</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87">
        <v>24</v>
      </c>
      <c r="B1614" s="242">
        <f t="shared" si="653"/>
        <v>46357</v>
      </c>
      <c r="C1614" s="243">
        <f t="shared" si="634"/>
        <v>46387</v>
      </c>
      <c r="D1614" s="120">
        <f t="shared" si="635"/>
        <v>31</v>
      </c>
      <c r="E1614" s="120">
        <f t="shared" si="636"/>
        <v>12</v>
      </c>
      <c r="F1614" s="275">
        <f t="shared" si="637"/>
        <v>46372.5</v>
      </c>
      <c r="G1614" s="120">
        <f t="shared" si="638"/>
        <v>24323</v>
      </c>
      <c r="H1614" s="245">
        <f t="shared" si="639"/>
        <v>1</v>
      </c>
      <c r="I1614" s="121">
        <f t="shared" si="640"/>
        <v>1.05</v>
      </c>
      <c r="J1614" s="121">
        <f t="shared" si="641"/>
        <v>1.05</v>
      </c>
      <c r="K1614" s="120">
        <f t="shared" si="642"/>
        <v>0</v>
      </c>
      <c r="L1614" s="120">
        <f t="shared" si="643"/>
        <v>0</v>
      </c>
      <c r="M1614" s="246">
        <f t="shared" si="644"/>
        <v>0</v>
      </c>
      <c r="N1614" s="121">
        <f t="shared" si="645"/>
        <v>1.05</v>
      </c>
      <c r="O1614" s="246">
        <f t="shared" si="646"/>
        <v>0.98832603938730856</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87">
        <v>25</v>
      </c>
      <c r="B1615" s="242">
        <f t="shared" si="653"/>
        <v>46388</v>
      </c>
      <c r="C1615" s="243">
        <f t="shared" si="634"/>
        <v>46418</v>
      </c>
      <c r="D1615" s="120">
        <f t="shared" si="635"/>
        <v>31</v>
      </c>
      <c r="E1615" s="120">
        <f t="shared" si="636"/>
        <v>1</v>
      </c>
      <c r="F1615" s="275">
        <f t="shared" si="637"/>
        <v>46403.5</v>
      </c>
      <c r="G1615" s="120">
        <f t="shared" si="638"/>
        <v>24324</v>
      </c>
      <c r="H1615" s="245">
        <f t="shared" si="639"/>
        <v>1</v>
      </c>
      <c r="I1615" s="121">
        <f t="shared" si="640"/>
        <v>1.05</v>
      </c>
      <c r="J1615" s="121">
        <f t="shared" si="641"/>
        <v>1.05</v>
      </c>
      <c r="K1615" s="120">
        <f t="shared" si="642"/>
        <v>0</v>
      </c>
      <c r="L1615" s="120">
        <f t="shared" si="643"/>
        <v>0</v>
      </c>
      <c r="M1615" s="246">
        <f t="shared" si="644"/>
        <v>0</v>
      </c>
      <c r="N1615" s="121">
        <f t="shared" si="645"/>
        <v>1.05</v>
      </c>
      <c r="O1615" s="246">
        <f t="shared" si="646"/>
        <v>0.98764770240700217</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87">
        <v>26</v>
      </c>
      <c r="B1616" s="242">
        <f t="shared" si="653"/>
        <v>46419</v>
      </c>
      <c r="C1616" s="243">
        <f t="shared" si="634"/>
        <v>46446</v>
      </c>
      <c r="D1616" s="120">
        <f t="shared" si="635"/>
        <v>28</v>
      </c>
      <c r="E1616" s="120">
        <f t="shared" si="636"/>
        <v>2</v>
      </c>
      <c r="F1616" s="275">
        <f t="shared" si="637"/>
        <v>46433</v>
      </c>
      <c r="G1616" s="120">
        <f t="shared" si="638"/>
        <v>24325</v>
      </c>
      <c r="H1616" s="245">
        <f t="shared" si="639"/>
        <v>1</v>
      </c>
      <c r="I1616" s="121">
        <f t="shared" si="640"/>
        <v>1.05</v>
      </c>
      <c r="J1616" s="121">
        <f t="shared" si="641"/>
        <v>1.05</v>
      </c>
      <c r="K1616" s="120">
        <f t="shared" si="642"/>
        <v>0</v>
      </c>
      <c r="L1616" s="120">
        <f t="shared" si="643"/>
        <v>0</v>
      </c>
      <c r="M1616" s="246">
        <f t="shared" si="644"/>
        <v>0</v>
      </c>
      <c r="N1616" s="121">
        <f t="shared" si="645"/>
        <v>1.05</v>
      </c>
      <c r="O1616" s="246">
        <f t="shared" si="646"/>
        <v>0.98700218818380747</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87">
        <v>27</v>
      </c>
      <c r="B1617" s="242">
        <f t="shared" si="653"/>
        <v>46447</v>
      </c>
      <c r="C1617" s="243">
        <f t="shared" si="634"/>
        <v>46477</v>
      </c>
      <c r="D1617" s="120">
        <f t="shared" si="635"/>
        <v>31</v>
      </c>
      <c r="E1617" s="120">
        <f t="shared" si="636"/>
        <v>3</v>
      </c>
      <c r="F1617" s="275">
        <f t="shared" si="637"/>
        <v>46462.5</v>
      </c>
      <c r="G1617" s="120">
        <f t="shared" si="638"/>
        <v>24326</v>
      </c>
      <c r="H1617" s="245">
        <f t="shared" si="639"/>
        <v>1</v>
      </c>
      <c r="I1617" s="121">
        <f t="shared" si="640"/>
        <v>1.05</v>
      </c>
      <c r="J1617" s="121">
        <f t="shared" si="641"/>
        <v>1.05</v>
      </c>
      <c r="K1617" s="120">
        <f t="shared" si="642"/>
        <v>0</v>
      </c>
      <c r="L1617" s="120">
        <f t="shared" si="643"/>
        <v>0</v>
      </c>
      <c r="M1617" s="246">
        <f t="shared" si="644"/>
        <v>0</v>
      </c>
      <c r="N1617" s="121">
        <f t="shared" si="645"/>
        <v>1.05</v>
      </c>
      <c r="O1617" s="246">
        <f t="shared" si="646"/>
        <v>0.98635667396061266</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87">
        <v>28</v>
      </c>
      <c r="B1618" s="242">
        <f t="shared" si="653"/>
        <v>46478</v>
      </c>
      <c r="C1618" s="243">
        <f t="shared" si="634"/>
        <v>46507</v>
      </c>
      <c r="D1618" s="120">
        <f t="shared" si="635"/>
        <v>30</v>
      </c>
      <c r="E1618" s="120">
        <f t="shared" si="636"/>
        <v>4</v>
      </c>
      <c r="F1618" s="275">
        <f t="shared" si="637"/>
        <v>46493</v>
      </c>
      <c r="G1618" s="120">
        <f t="shared" si="638"/>
        <v>24327</v>
      </c>
      <c r="H1618" s="245">
        <f t="shared" si="639"/>
        <v>1</v>
      </c>
      <c r="I1618" s="121">
        <f t="shared" si="640"/>
        <v>1.05</v>
      </c>
      <c r="J1618" s="121">
        <f t="shared" si="641"/>
        <v>1.05</v>
      </c>
      <c r="K1618" s="120">
        <f t="shared" si="642"/>
        <v>0</v>
      </c>
      <c r="L1618" s="120">
        <f t="shared" si="643"/>
        <v>0</v>
      </c>
      <c r="M1618" s="246">
        <f t="shared" si="644"/>
        <v>0</v>
      </c>
      <c r="N1618" s="121">
        <f t="shared" si="645"/>
        <v>1.05</v>
      </c>
      <c r="O1618" s="246">
        <f t="shared" si="646"/>
        <v>0.98568927789934357</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87">
        <v>29</v>
      </c>
      <c r="B1619" s="242">
        <f t="shared" si="653"/>
        <v>46508</v>
      </c>
      <c r="C1619" s="243">
        <f t="shared" si="634"/>
        <v>46538</v>
      </c>
      <c r="D1619" s="120">
        <f t="shared" si="635"/>
        <v>31</v>
      </c>
      <c r="E1619" s="120">
        <f t="shared" si="636"/>
        <v>5</v>
      </c>
      <c r="F1619" s="275">
        <f t="shared" si="637"/>
        <v>46523.5</v>
      </c>
      <c r="G1619" s="120">
        <f t="shared" si="638"/>
        <v>24328</v>
      </c>
      <c r="H1619" s="245">
        <f t="shared" si="639"/>
        <v>1</v>
      </c>
      <c r="I1619" s="121">
        <f t="shared" si="640"/>
        <v>1.05</v>
      </c>
      <c r="J1619" s="121">
        <f t="shared" si="641"/>
        <v>1.05</v>
      </c>
      <c r="K1619" s="120">
        <f t="shared" si="642"/>
        <v>0</v>
      </c>
      <c r="L1619" s="120">
        <f t="shared" si="643"/>
        <v>0</v>
      </c>
      <c r="M1619" s="246">
        <f t="shared" si="644"/>
        <v>0</v>
      </c>
      <c r="N1619" s="121">
        <f t="shared" si="645"/>
        <v>1.05</v>
      </c>
      <c r="O1619" s="246">
        <f t="shared" si="646"/>
        <v>0.98502188183807438</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87">
        <v>30</v>
      </c>
      <c r="B1620" s="242">
        <f t="shared" si="653"/>
        <v>46539</v>
      </c>
      <c r="C1620" s="243">
        <f t="shared" si="634"/>
        <v>46568</v>
      </c>
      <c r="D1620" s="120">
        <f t="shared" si="635"/>
        <v>30</v>
      </c>
      <c r="E1620" s="120">
        <f t="shared" si="636"/>
        <v>6</v>
      </c>
      <c r="F1620" s="275">
        <f t="shared" si="637"/>
        <v>46554</v>
      </c>
      <c r="G1620" s="120">
        <f t="shared" si="638"/>
        <v>24329</v>
      </c>
      <c r="H1620" s="245">
        <f t="shared" si="639"/>
        <v>1</v>
      </c>
      <c r="I1620" s="121">
        <f t="shared" si="640"/>
        <v>1.05</v>
      </c>
      <c r="J1620" s="121">
        <f t="shared" si="641"/>
        <v>1.05</v>
      </c>
      <c r="K1620" s="120">
        <f t="shared" si="642"/>
        <v>0</v>
      </c>
      <c r="L1620" s="120">
        <f t="shared" si="643"/>
        <v>0</v>
      </c>
      <c r="M1620" s="246">
        <f t="shared" si="644"/>
        <v>0</v>
      </c>
      <c r="N1620" s="121">
        <f t="shared" si="645"/>
        <v>1.05</v>
      </c>
      <c r="O1620" s="246">
        <f t="shared" si="646"/>
        <v>0.98435448577680529</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87">
        <v>31</v>
      </c>
      <c r="B1621" s="242">
        <f t="shared" si="653"/>
        <v>46569</v>
      </c>
      <c r="C1621" s="243">
        <f t="shared" si="634"/>
        <v>46599</v>
      </c>
      <c r="D1621" s="120">
        <f t="shared" si="635"/>
        <v>31</v>
      </c>
      <c r="E1621" s="120">
        <f t="shared" si="636"/>
        <v>7</v>
      </c>
      <c r="F1621" s="275">
        <f t="shared" si="637"/>
        <v>46584.5</v>
      </c>
      <c r="G1621" s="120">
        <f t="shared" si="638"/>
        <v>24330</v>
      </c>
      <c r="H1621" s="245">
        <f t="shared" si="639"/>
        <v>1</v>
      </c>
      <c r="I1621" s="121">
        <f t="shared" si="640"/>
        <v>1.05</v>
      </c>
      <c r="J1621" s="121">
        <f t="shared" si="641"/>
        <v>1.05</v>
      </c>
      <c r="K1621" s="120">
        <f t="shared" si="642"/>
        <v>0</v>
      </c>
      <c r="L1621" s="120">
        <f t="shared" si="643"/>
        <v>0</v>
      </c>
      <c r="M1621" s="246">
        <f t="shared" si="644"/>
        <v>0</v>
      </c>
      <c r="N1621" s="121">
        <f t="shared" si="645"/>
        <v>1.05</v>
      </c>
      <c r="O1621" s="246">
        <f t="shared" si="646"/>
        <v>0.98368708971553609</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87">
        <v>32</v>
      </c>
      <c r="B1622" s="242">
        <f t="shared" si="653"/>
        <v>46600</v>
      </c>
      <c r="C1622" s="243">
        <f t="shared" si="634"/>
        <v>46630</v>
      </c>
      <c r="D1622" s="120">
        <f t="shared" si="635"/>
        <v>31</v>
      </c>
      <c r="E1622" s="120">
        <f t="shared" si="636"/>
        <v>8</v>
      </c>
      <c r="F1622" s="275">
        <f t="shared" si="637"/>
        <v>46615.5</v>
      </c>
      <c r="G1622" s="120">
        <f t="shared" si="638"/>
        <v>24331</v>
      </c>
      <c r="H1622" s="245">
        <f t="shared" si="639"/>
        <v>1</v>
      </c>
      <c r="I1622" s="121">
        <f t="shared" si="640"/>
        <v>1.05</v>
      </c>
      <c r="J1622" s="121">
        <f t="shared" si="641"/>
        <v>1.05</v>
      </c>
      <c r="K1622" s="120">
        <f t="shared" si="642"/>
        <v>0</v>
      </c>
      <c r="L1622" s="120">
        <f t="shared" si="643"/>
        <v>0</v>
      </c>
      <c r="M1622" s="246">
        <f t="shared" si="644"/>
        <v>0</v>
      </c>
      <c r="N1622" s="121">
        <f t="shared" si="645"/>
        <v>1.05</v>
      </c>
      <c r="O1622" s="246">
        <f t="shared" si="646"/>
        <v>0.9830087527352297</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87">
        <v>33</v>
      </c>
      <c r="B1623" s="242">
        <f t="shared" si="653"/>
        <v>46631</v>
      </c>
      <c r="C1623" s="243">
        <f t="shared" si="634"/>
        <v>46660</v>
      </c>
      <c r="D1623" s="120">
        <f t="shared" si="635"/>
        <v>30</v>
      </c>
      <c r="E1623" s="120">
        <f t="shared" si="636"/>
        <v>9</v>
      </c>
      <c r="F1623" s="275">
        <f t="shared" si="637"/>
        <v>46646</v>
      </c>
      <c r="G1623" s="120">
        <f t="shared" si="638"/>
        <v>24332</v>
      </c>
      <c r="H1623" s="245">
        <f t="shared" si="639"/>
        <v>1</v>
      </c>
      <c r="I1623" s="121">
        <f t="shared" si="640"/>
        <v>1.05</v>
      </c>
      <c r="J1623" s="121">
        <f t="shared" si="641"/>
        <v>1.05</v>
      </c>
      <c r="K1623" s="120">
        <f t="shared" si="642"/>
        <v>0</v>
      </c>
      <c r="L1623" s="120">
        <f t="shared" si="643"/>
        <v>0</v>
      </c>
      <c r="M1623" s="246">
        <f t="shared" si="644"/>
        <v>0</v>
      </c>
      <c r="N1623" s="121">
        <f t="shared" si="645"/>
        <v>1.05</v>
      </c>
      <c r="O1623" s="246">
        <f t="shared" si="646"/>
        <v>0.98234135667396061</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87">
        <v>34</v>
      </c>
      <c r="B1624" s="242">
        <f t="shared" si="653"/>
        <v>46661</v>
      </c>
      <c r="C1624" s="243">
        <f t="shared" si="634"/>
        <v>46691</v>
      </c>
      <c r="D1624" s="120">
        <f t="shared" si="635"/>
        <v>31</v>
      </c>
      <c r="E1624" s="120">
        <f t="shared" si="636"/>
        <v>10</v>
      </c>
      <c r="F1624" s="275">
        <f t="shared" si="637"/>
        <v>46676.5</v>
      </c>
      <c r="G1624" s="120">
        <f t="shared" si="638"/>
        <v>24333</v>
      </c>
      <c r="H1624" s="245">
        <f t="shared" si="639"/>
        <v>1</v>
      </c>
      <c r="I1624" s="121">
        <f t="shared" si="640"/>
        <v>1.05</v>
      </c>
      <c r="J1624" s="121">
        <f t="shared" si="641"/>
        <v>1.05</v>
      </c>
      <c r="K1624" s="120">
        <f t="shared" si="642"/>
        <v>0</v>
      </c>
      <c r="L1624" s="120">
        <f t="shared" si="643"/>
        <v>0</v>
      </c>
      <c r="M1624" s="246">
        <f t="shared" si="644"/>
        <v>0</v>
      </c>
      <c r="N1624" s="121">
        <f t="shared" si="645"/>
        <v>1.05</v>
      </c>
      <c r="O1624" s="246">
        <f t="shared" si="646"/>
        <v>0.98167396061269141</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87">
        <v>35</v>
      </c>
      <c r="B1625" s="242">
        <f t="shared" si="653"/>
        <v>46692</v>
      </c>
      <c r="C1625" s="243">
        <f t="shared" si="634"/>
        <v>46721</v>
      </c>
      <c r="D1625" s="120">
        <f t="shared" si="635"/>
        <v>30</v>
      </c>
      <c r="E1625" s="120">
        <f t="shared" si="636"/>
        <v>11</v>
      </c>
      <c r="F1625" s="275">
        <f t="shared" si="637"/>
        <v>46707</v>
      </c>
      <c r="G1625" s="120">
        <f t="shared" si="638"/>
        <v>24334</v>
      </c>
      <c r="H1625" s="245">
        <f t="shared" si="639"/>
        <v>1</v>
      </c>
      <c r="I1625" s="121">
        <f t="shared" si="640"/>
        <v>1.05</v>
      </c>
      <c r="J1625" s="121">
        <f t="shared" si="641"/>
        <v>1.05</v>
      </c>
      <c r="K1625" s="120">
        <f t="shared" si="642"/>
        <v>0</v>
      </c>
      <c r="L1625" s="120">
        <f t="shared" si="643"/>
        <v>0</v>
      </c>
      <c r="M1625" s="246">
        <f t="shared" si="644"/>
        <v>0</v>
      </c>
      <c r="N1625" s="121">
        <f t="shared" si="645"/>
        <v>1.05</v>
      </c>
      <c r="O1625" s="246">
        <f t="shared" si="646"/>
        <v>0.98100656455142232</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87">
        <v>36</v>
      </c>
      <c r="B1626" s="242">
        <f t="shared" si="653"/>
        <v>46722</v>
      </c>
      <c r="C1626" s="243">
        <f t="shared" si="634"/>
        <v>46752</v>
      </c>
      <c r="D1626" s="120">
        <f t="shared" si="635"/>
        <v>31</v>
      </c>
      <c r="E1626" s="120">
        <f t="shared" si="636"/>
        <v>12</v>
      </c>
      <c r="F1626" s="275">
        <f t="shared" si="637"/>
        <v>46737.5</v>
      </c>
      <c r="G1626" s="120">
        <f t="shared" si="638"/>
        <v>24335</v>
      </c>
      <c r="H1626" s="245">
        <f t="shared" si="639"/>
        <v>1</v>
      </c>
      <c r="I1626" s="121">
        <f t="shared" si="640"/>
        <v>1.05</v>
      </c>
      <c r="J1626" s="121">
        <f t="shared" si="641"/>
        <v>1.05</v>
      </c>
      <c r="K1626" s="120">
        <f t="shared" si="642"/>
        <v>0</v>
      </c>
      <c r="L1626" s="120">
        <f t="shared" si="643"/>
        <v>0</v>
      </c>
      <c r="M1626" s="246">
        <f t="shared" si="644"/>
        <v>0</v>
      </c>
      <c r="N1626" s="121">
        <f t="shared" si="645"/>
        <v>1.05</v>
      </c>
      <c r="O1626" s="246">
        <f t="shared" si="646"/>
        <v>0.98033916849015312</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87">
        <v>37</v>
      </c>
      <c r="B1627" s="242">
        <f t="shared" si="653"/>
        <v>46753</v>
      </c>
      <c r="C1627" s="243">
        <f t="shared" si="634"/>
        <v>46783</v>
      </c>
      <c r="D1627" s="120">
        <f t="shared" si="635"/>
        <v>31</v>
      </c>
      <c r="E1627" s="120">
        <f t="shared" si="636"/>
        <v>1</v>
      </c>
      <c r="F1627" s="275">
        <f t="shared" si="637"/>
        <v>46768.5</v>
      </c>
      <c r="G1627" s="120">
        <f t="shared" si="638"/>
        <v>24336</v>
      </c>
      <c r="H1627" s="245">
        <f t="shared" si="639"/>
        <v>1</v>
      </c>
      <c r="I1627" s="121">
        <f t="shared" si="640"/>
        <v>1.05</v>
      </c>
      <c r="J1627" s="121">
        <f t="shared" si="641"/>
        <v>1.05</v>
      </c>
      <c r="K1627" s="120">
        <f t="shared" si="642"/>
        <v>0</v>
      </c>
      <c r="L1627" s="120">
        <f t="shared" si="643"/>
        <v>0</v>
      </c>
      <c r="M1627" s="246">
        <f t="shared" si="644"/>
        <v>0</v>
      </c>
      <c r="N1627" s="121">
        <f t="shared" si="645"/>
        <v>1.05</v>
      </c>
      <c r="O1627" s="246">
        <f t="shared" si="646"/>
        <v>0.98</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87">
        <v>38</v>
      </c>
      <c r="B1628" s="242">
        <f t="shared" si="653"/>
        <v>46784</v>
      </c>
      <c r="C1628" s="243">
        <f t="shared" si="634"/>
        <v>46812</v>
      </c>
      <c r="D1628" s="120">
        <f t="shared" si="635"/>
        <v>29</v>
      </c>
      <c r="E1628" s="120">
        <f t="shared" si="636"/>
        <v>2</v>
      </c>
      <c r="F1628" s="275">
        <f t="shared" si="637"/>
        <v>46798.5</v>
      </c>
      <c r="G1628" s="120">
        <f t="shared" si="638"/>
        <v>24337</v>
      </c>
      <c r="H1628" s="245">
        <f t="shared" si="639"/>
        <v>1</v>
      </c>
      <c r="I1628" s="121">
        <f t="shared" si="640"/>
        <v>1.05</v>
      </c>
      <c r="J1628" s="121">
        <f t="shared" si="641"/>
        <v>1.05</v>
      </c>
      <c r="K1628" s="120">
        <f t="shared" si="642"/>
        <v>0</v>
      </c>
      <c r="L1628" s="120">
        <f t="shared" si="643"/>
        <v>0</v>
      </c>
      <c r="M1628" s="246">
        <f t="shared" si="644"/>
        <v>0</v>
      </c>
      <c r="N1628" s="121">
        <f t="shared" si="645"/>
        <v>1.05</v>
      </c>
      <c r="O1628" s="246">
        <f t="shared" si="646"/>
        <v>0.98</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87">
        <v>39</v>
      </c>
      <c r="B1629" s="242">
        <f t="shared" si="653"/>
        <v>46813</v>
      </c>
      <c r="C1629" s="243">
        <f t="shared" si="634"/>
        <v>46843</v>
      </c>
      <c r="D1629" s="120">
        <f t="shared" si="635"/>
        <v>31</v>
      </c>
      <c r="E1629" s="120">
        <f t="shared" si="636"/>
        <v>3</v>
      </c>
      <c r="F1629" s="275">
        <f t="shared" si="637"/>
        <v>46828.5</v>
      </c>
      <c r="G1629" s="120">
        <f t="shared" si="638"/>
        <v>24338</v>
      </c>
      <c r="H1629" s="245">
        <f t="shared" si="639"/>
        <v>1</v>
      </c>
      <c r="I1629" s="121">
        <f t="shared" si="640"/>
        <v>1.05</v>
      </c>
      <c r="J1629" s="121">
        <f t="shared" si="641"/>
        <v>1.05</v>
      </c>
      <c r="K1629" s="120">
        <f t="shared" si="642"/>
        <v>0</v>
      </c>
      <c r="L1629" s="120">
        <f t="shared" si="643"/>
        <v>0</v>
      </c>
      <c r="M1629" s="246">
        <f t="shared" si="644"/>
        <v>0</v>
      </c>
      <c r="N1629" s="121">
        <f t="shared" si="645"/>
        <v>1.05</v>
      </c>
      <c r="O1629" s="246">
        <f t="shared" si="646"/>
        <v>0.98</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87">
        <v>40</v>
      </c>
      <c r="B1630" s="242">
        <f t="shared" si="653"/>
        <v>46844</v>
      </c>
      <c r="C1630" s="243">
        <f t="shared" si="634"/>
        <v>46873</v>
      </c>
      <c r="D1630" s="120">
        <f t="shared" si="635"/>
        <v>30</v>
      </c>
      <c r="E1630" s="120">
        <f t="shared" si="636"/>
        <v>4</v>
      </c>
      <c r="F1630" s="275">
        <f t="shared" si="637"/>
        <v>46859</v>
      </c>
      <c r="G1630" s="120">
        <f t="shared" si="638"/>
        <v>24339</v>
      </c>
      <c r="H1630" s="245">
        <f t="shared" si="639"/>
        <v>1</v>
      </c>
      <c r="I1630" s="121">
        <f t="shared" si="640"/>
        <v>1.05</v>
      </c>
      <c r="J1630" s="121">
        <f t="shared" si="641"/>
        <v>1.05</v>
      </c>
      <c r="K1630" s="120">
        <f t="shared" si="642"/>
        <v>0</v>
      </c>
      <c r="L1630" s="120">
        <f t="shared" si="643"/>
        <v>0</v>
      </c>
      <c r="M1630" s="246">
        <f t="shared" si="644"/>
        <v>0</v>
      </c>
      <c r="N1630" s="121">
        <f t="shared" si="645"/>
        <v>1.05</v>
      </c>
      <c r="O1630" s="246">
        <f t="shared" si="646"/>
        <v>0.98</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87">
        <v>41</v>
      </c>
      <c r="B1631" s="242">
        <f t="shared" si="653"/>
        <v>46874</v>
      </c>
      <c r="C1631" s="243">
        <f t="shared" si="634"/>
        <v>46904</v>
      </c>
      <c r="D1631" s="120">
        <f t="shared" si="635"/>
        <v>31</v>
      </c>
      <c r="E1631" s="120">
        <f t="shared" si="636"/>
        <v>5</v>
      </c>
      <c r="F1631" s="275">
        <f t="shared" si="637"/>
        <v>46889.5</v>
      </c>
      <c r="G1631" s="120">
        <f t="shared" si="638"/>
        <v>24340</v>
      </c>
      <c r="H1631" s="245">
        <f t="shared" si="639"/>
        <v>1</v>
      </c>
      <c r="I1631" s="121">
        <f t="shared" si="640"/>
        <v>1.05</v>
      </c>
      <c r="J1631" s="121">
        <f t="shared" si="641"/>
        <v>1.05</v>
      </c>
      <c r="K1631" s="120">
        <f t="shared" si="642"/>
        <v>0</v>
      </c>
      <c r="L1631" s="120">
        <f t="shared" si="643"/>
        <v>0</v>
      </c>
      <c r="M1631" s="246">
        <f t="shared" si="644"/>
        <v>0</v>
      </c>
      <c r="N1631" s="121">
        <f t="shared" si="645"/>
        <v>1.05</v>
      </c>
      <c r="O1631" s="246">
        <f t="shared" si="646"/>
        <v>0.98</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87">
        <v>42</v>
      </c>
      <c r="B1632" s="242">
        <f t="shared" si="653"/>
        <v>46905</v>
      </c>
      <c r="C1632" s="243">
        <f t="shared" si="634"/>
        <v>46934</v>
      </c>
      <c r="D1632" s="120">
        <f t="shared" si="635"/>
        <v>30</v>
      </c>
      <c r="E1632" s="120">
        <f t="shared" si="636"/>
        <v>6</v>
      </c>
      <c r="F1632" s="275">
        <f t="shared" si="637"/>
        <v>46920</v>
      </c>
      <c r="G1632" s="120">
        <f t="shared" si="638"/>
        <v>24341</v>
      </c>
      <c r="H1632" s="245">
        <f t="shared" si="639"/>
        <v>1</v>
      </c>
      <c r="I1632" s="121">
        <f t="shared" si="640"/>
        <v>1.05</v>
      </c>
      <c r="J1632" s="121">
        <f t="shared" si="641"/>
        <v>1.05</v>
      </c>
      <c r="K1632" s="120">
        <f t="shared" si="642"/>
        <v>0</v>
      </c>
      <c r="L1632" s="120">
        <f t="shared" si="643"/>
        <v>0</v>
      </c>
      <c r="M1632" s="246">
        <f t="shared" si="644"/>
        <v>0</v>
      </c>
      <c r="N1632" s="121">
        <f t="shared" si="645"/>
        <v>1.05</v>
      </c>
      <c r="O1632" s="246">
        <f t="shared" si="646"/>
        <v>0.98</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87">
        <v>43</v>
      </c>
      <c r="B1633" s="242">
        <f t="shared" si="653"/>
        <v>46935</v>
      </c>
      <c r="C1633" s="243">
        <f t="shared" si="634"/>
        <v>46965</v>
      </c>
      <c r="D1633" s="120">
        <f t="shared" si="635"/>
        <v>31</v>
      </c>
      <c r="E1633" s="120">
        <f t="shared" si="636"/>
        <v>7</v>
      </c>
      <c r="F1633" s="275">
        <f t="shared" si="637"/>
        <v>46950.5</v>
      </c>
      <c r="G1633" s="120">
        <f t="shared" si="638"/>
        <v>24342</v>
      </c>
      <c r="H1633" s="245">
        <f t="shared" si="639"/>
        <v>1</v>
      </c>
      <c r="I1633" s="121">
        <f t="shared" si="640"/>
        <v>1.05</v>
      </c>
      <c r="J1633" s="121">
        <f t="shared" si="641"/>
        <v>1.05</v>
      </c>
      <c r="K1633" s="120">
        <f t="shared" si="642"/>
        <v>0</v>
      </c>
      <c r="L1633" s="120">
        <f t="shared" si="643"/>
        <v>0</v>
      </c>
      <c r="M1633" s="246">
        <f t="shared" si="644"/>
        <v>0</v>
      </c>
      <c r="N1633" s="121">
        <f t="shared" si="645"/>
        <v>1.05</v>
      </c>
      <c r="O1633" s="246">
        <f t="shared" si="646"/>
        <v>0.98</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87">
        <v>44</v>
      </c>
      <c r="B1634" s="242">
        <f t="shared" si="653"/>
        <v>46966</v>
      </c>
      <c r="C1634" s="243">
        <f t="shared" si="634"/>
        <v>46996</v>
      </c>
      <c r="D1634" s="120">
        <f t="shared" si="635"/>
        <v>31</v>
      </c>
      <c r="E1634" s="120">
        <f t="shared" si="636"/>
        <v>8</v>
      </c>
      <c r="F1634" s="275">
        <f t="shared" si="637"/>
        <v>46981.5</v>
      </c>
      <c r="G1634" s="120">
        <f t="shared" si="638"/>
        <v>24343</v>
      </c>
      <c r="H1634" s="245">
        <f t="shared" si="639"/>
        <v>1</v>
      </c>
      <c r="I1634" s="121">
        <f t="shared" si="640"/>
        <v>1.05</v>
      </c>
      <c r="J1634" s="121">
        <f t="shared" si="641"/>
        <v>1.05</v>
      </c>
      <c r="K1634" s="120">
        <f t="shared" si="642"/>
        <v>0</v>
      </c>
      <c r="L1634" s="120">
        <f t="shared" si="643"/>
        <v>0</v>
      </c>
      <c r="M1634" s="246">
        <f t="shared" si="644"/>
        <v>0</v>
      </c>
      <c r="N1634" s="121">
        <f t="shared" si="645"/>
        <v>1.05</v>
      </c>
      <c r="O1634" s="246">
        <f t="shared" si="646"/>
        <v>0.98</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87">
        <v>45</v>
      </c>
      <c r="B1635" s="242">
        <f t="shared" si="653"/>
        <v>46997</v>
      </c>
      <c r="C1635" s="243">
        <f t="shared" si="634"/>
        <v>47026</v>
      </c>
      <c r="D1635" s="120">
        <f t="shared" si="635"/>
        <v>30</v>
      </c>
      <c r="E1635" s="120">
        <f t="shared" si="636"/>
        <v>9</v>
      </c>
      <c r="F1635" s="275">
        <f t="shared" si="637"/>
        <v>47012</v>
      </c>
      <c r="G1635" s="120">
        <f t="shared" si="638"/>
        <v>24344</v>
      </c>
      <c r="H1635" s="245">
        <f t="shared" si="639"/>
        <v>1</v>
      </c>
      <c r="I1635" s="121">
        <f t="shared" si="640"/>
        <v>1.05</v>
      </c>
      <c r="J1635" s="121">
        <f t="shared" si="641"/>
        <v>1.05</v>
      </c>
      <c r="K1635" s="120">
        <f t="shared" si="642"/>
        <v>0</v>
      </c>
      <c r="L1635" s="120">
        <f t="shared" si="643"/>
        <v>0</v>
      </c>
      <c r="M1635" s="246">
        <f t="shared" si="644"/>
        <v>0</v>
      </c>
      <c r="N1635" s="121">
        <f t="shared" si="645"/>
        <v>1.05</v>
      </c>
      <c r="O1635" s="246">
        <f t="shared" si="646"/>
        <v>0.98</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87">
        <v>46</v>
      </c>
      <c r="B1636" s="242">
        <f t="shared" si="653"/>
        <v>47027</v>
      </c>
      <c r="C1636" s="243">
        <f t="shared" si="634"/>
        <v>47057</v>
      </c>
      <c r="D1636" s="120">
        <f t="shared" si="635"/>
        <v>31</v>
      </c>
      <c r="E1636" s="120">
        <f t="shared" si="636"/>
        <v>10</v>
      </c>
      <c r="F1636" s="275">
        <f t="shared" si="637"/>
        <v>47042.5</v>
      </c>
      <c r="G1636" s="120">
        <f t="shared" si="638"/>
        <v>24345</v>
      </c>
      <c r="H1636" s="245">
        <f t="shared" si="639"/>
        <v>1</v>
      </c>
      <c r="I1636" s="121">
        <f t="shared" si="640"/>
        <v>1.05</v>
      </c>
      <c r="J1636" s="121">
        <f t="shared" si="641"/>
        <v>1.05</v>
      </c>
      <c r="K1636" s="120">
        <f t="shared" si="642"/>
        <v>0</v>
      </c>
      <c r="L1636" s="120">
        <f t="shared" si="643"/>
        <v>0</v>
      </c>
      <c r="M1636" s="246">
        <f t="shared" si="644"/>
        <v>0</v>
      </c>
      <c r="N1636" s="121">
        <f t="shared" si="645"/>
        <v>1.05</v>
      </c>
      <c r="O1636" s="246">
        <f t="shared" si="646"/>
        <v>0.98</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87">
        <v>47</v>
      </c>
      <c r="B1637" s="242">
        <f t="shared" si="653"/>
        <v>47058</v>
      </c>
      <c r="C1637" s="243">
        <f t="shared" si="634"/>
        <v>47087</v>
      </c>
      <c r="D1637" s="120">
        <f t="shared" si="635"/>
        <v>30</v>
      </c>
      <c r="E1637" s="120">
        <f t="shared" si="636"/>
        <v>11</v>
      </c>
      <c r="F1637" s="275">
        <f t="shared" si="637"/>
        <v>47073</v>
      </c>
      <c r="G1637" s="120">
        <f t="shared" si="638"/>
        <v>24346</v>
      </c>
      <c r="H1637" s="245">
        <f t="shared" si="639"/>
        <v>1</v>
      </c>
      <c r="I1637" s="121">
        <f t="shared" si="640"/>
        <v>1.05</v>
      </c>
      <c r="J1637" s="121">
        <f t="shared" si="641"/>
        <v>1.05</v>
      </c>
      <c r="K1637" s="120">
        <f t="shared" si="642"/>
        <v>0</v>
      </c>
      <c r="L1637" s="120">
        <f t="shared" si="643"/>
        <v>0</v>
      </c>
      <c r="M1637" s="246">
        <f t="shared" si="644"/>
        <v>0</v>
      </c>
      <c r="N1637" s="121">
        <f t="shared" si="645"/>
        <v>1.05</v>
      </c>
      <c r="O1637" s="246">
        <f t="shared" si="646"/>
        <v>0.98</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87">
        <v>48</v>
      </c>
      <c r="B1638" s="242">
        <f t="shared" si="653"/>
        <v>47088</v>
      </c>
      <c r="C1638" s="243">
        <f t="shared" si="634"/>
        <v>47118</v>
      </c>
      <c r="D1638" s="120">
        <f t="shared" si="635"/>
        <v>31</v>
      </c>
      <c r="E1638" s="120">
        <f t="shared" si="636"/>
        <v>12</v>
      </c>
      <c r="F1638" s="275">
        <f t="shared" si="637"/>
        <v>47103.5</v>
      </c>
      <c r="G1638" s="120">
        <f t="shared" si="638"/>
        <v>24347</v>
      </c>
      <c r="H1638" s="245">
        <f t="shared" si="639"/>
        <v>1</v>
      </c>
      <c r="I1638" s="121">
        <f t="shared" si="640"/>
        <v>1.05</v>
      </c>
      <c r="J1638" s="121">
        <f t="shared" si="641"/>
        <v>1.05</v>
      </c>
      <c r="K1638" s="120">
        <f t="shared" si="642"/>
        <v>0</v>
      </c>
      <c r="L1638" s="120">
        <f t="shared" si="643"/>
        <v>0</v>
      </c>
      <c r="M1638" s="246">
        <f t="shared" si="644"/>
        <v>0</v>
      </c>
      <c r="N1638" s="121">
        <f t="shared" si="645"/>
        <v>1.05</v>
      </c>
      <c r="O1638" s="246">
        <f t="shared" si="646"/>
        <v>0.98</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1651</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24">
        <f>SUMPRODUCT($H$1591:$H$1638,$Q$1591:$Q$1638,$O$1591:$O$1638)/SUMPRODUCT($H$1591:$H$1638,$Q$1591:$Q$1638)</f>
        <v>0.98800419401896411</v>
      </c>
      <c r="G1639" s="224">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24">
        <f>IF(N(INDEX(lr_mind,30))=0,1,INDEX(lr_mind,30))</f>
        <v>1</v>
      </c>
      <c r="G1642" s="224">
        <f>IF(N(INDEX(lr_m0,30))=0,1,INDEX(lr_m0,30))</f>
        <v>0.99</v>
      </c>
      <c r="H1642" s="74">
        <f>IF(N(INDEX(lr_m0asof,30))=0,DATE(nr_PlanYear-1,10,1),INDEX(lr_m0asof,30))</f>
        <v>46295</v>
      </c>
      <c r="I1642" s="224">
        <f>IF(N(INDEX(lr_m1,30))=0,1,INDEX(lr_m1,30))</f>
        <v>0.995</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54">EOMONTH($B1645,0)</f>
        <v>45688</v>
      </c>
      <c r="D1645" s="120">
        <f t="shared" ref="D1645:D1692" si="655">$C1645-$B1645+1</f>
        <v>31</v>
      </c>
      <c r="E1645" s="120">
        <f t="shared" ref="E1645:E1692" si="656">MONTH($B1645)</f>
        <v>1</v>
      </c>
      <c r="F1645" s="275">
        <f t="shared" ref="F1645:F1692" si="657">($B1645+$C1645+1)/2</f>
        <v>45673.5</v>
      </c>
      <c r="G1645" s="120">
        <f t="shared" ref="G1645:G1692" si="658">YEAR($B1645)*12+MONTH($B1645)-1</f>
        <v>24300</v>
      </c>
      <c r="H1645" s="245">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46">
        <f t="shared" ref="M1645:M1692" si="664">IF($K1645=0,0,MIN(1,$L1645/$D1645))</f>
        <v>0</v>
      </c>
      <c r="N1645" s="121">
        <f t="shared" ref="N1645:N1692" si="665">IF($K1645=0,$J1645,(1-$M1645)*$I1645+$M1645*$J1645)</f>
        <v>1</v>
      </c>
      <c r="O1645" s="246">
        <f t="shared" ref="O1645:O1692" si="666">IF($F1645&lt;$B$1643,$E$1643+$I$1643*($F1645-$A$1643),IF($F1645&lt;$C$1643,$F$1643+$J$1643*($F1645-$B$1643),$G$1643+$K$1643*($F1645-$C$1643)))</f>
        <v>0.98318927789934352</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87">
        <v>2</v>
      </c>
      <c r="B1646" s="242">
        <f t="shared" ref="B1646:B1692" si="673">EDATE($B1645,1)</f>
        <v>45689</v>
      </c>
      <c r="C1646" s="243">
        <f t="shared" si="654"/>
        <v>45716</v>
      </c>
      <c r="D1646" s="120">
        <f t="shared" si="655"/>
        <v>28</v>
      </c>
      <c r="E1646" s="120">
        <f t="shared" si="656"/>
        <v>2</v>
      </c>
      <c r="F1646" s="275">
        <f t="shared" si="657"/>
        <v>45703</v>
      </c>
      <c r="G1646" s="120">
        <f t="shared" si="658"/>
        <v>24301</v>
      </c>
      <c r="H1646" s="245">
        <f t="shared" si="659"/>
        <v>1</v>
      </c>
      <c r="I1646" s="121">
        <f t="shared" si="660"/>
        <v>1</v>
      </c>
      <c r="J1646" s="121">
        <f t="shared" si="661"/>
        <v>1</v>
      </c>
      <c r="K1646" s="120">
        <f t="shared" si="662"/>
        <v>0</v>
      </c>
      <c r="L1646" s="120">
        <f t="shared" si="663"/>
        <v>0</v>
      </c>
      <c r="M1646" s="246">
        <f t="shared" si="664"/>
        <v>0</v>
      </c>
      <c r="N1646" s="121">
        <f t="shared" si="665"/>
        <v>1</v>
      </c>
      <c r="O1646" s="246">
        <f t="shared" si="666"/>
        <v>0.98351203501094098</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87">
        <v>3</v>
      </c>
      <c r="B1647" s="242">
        <f t="shared" si="673"/>
        <v>45717</v>
      </c>
      <c r="C1647" s="243">
        <f t="shared" si="654"/>
        <v>45747</v>
      </c>
      <c r="D1647" s="120">
        <f t="shared" si="655"/>
        <v>31</v>
      </c>
      <c r="E1647" s="120">
        <f t="shared" si="656"/>
        <v>3</v>
      </c>
      <c r="F1647" s="275">
        <f t="shared" si="657"/>
        <v>45732.5</v>
      </c>
      <c r="G1647" s="120">
        <f t="shared" si="658"/>
        <v>24302</v>
      </c>
      <c r="H1647" s="245">
        <f t="shared" si="659"/>
        <v>1</v>
      </c>
      <c r="I1647" s="121">
        <f t="shared" si="660"/>
        <v>1</v>
      </c>
      <c r="J1647" s="121">
        <f t="shared" si="661"/>
        <v>1</v>
      </c>
      <c r="K1647" s="120">
        <f t="shared" si="662"/>
        <v>0</v>
      </c>
      <c r="L1647" s="120">
        <f t="shared" si="663"/>
        <v>0</v>
      </c>
      <c r="M1647" s="246">
        <f t="shared" si="664"/>
        <v>0</v>
      </c>
      <c r="N1647" s="121">
        <f t="shared" si="665"/>
        <v>1</v>
      </c>
      <c r="O1647" s="246">
        <f t="shared" si="666"/>
        <v>0.98383479212253833</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87">
        <v>4</v>
      </c>
      <c r="B1648" s="242">
        <f t="shared" si="673"/>
        <v>45748</v>
      </c>
      <c r="C1648" s="243">
        <f t="shared" si="654"/>
        <v>45777</v>
      </c>
      <c r="D1648" s="120">
        <f t="shared" si="655"/>
        <v>30</v>
      </c>
      <c r="E1648" s="120">
        <f t="shared" si="656"/>
        <v>4</v>
      </c>
      <c r="F1648" s="275">
        <f t="shared" si="657"/>
        <v>45763</v>
      </c>
      <c r="G1648" s="120">
        <f t="shared" si="658"/>
        <v>24303</v>
      </c>
      <c r="H1648" s="245">
        <f t="shared" si="659"/>
        <v>1</v>
      </c>
      <c r="I1648" s="121">
        <f t="shared" si="660"/>
        <v>1</v>
      </c>
      <c r="J1648" s="121">
        <f t="shared" si="661"/>
        <v>1</v>
      </c>
      <c r="K1648" s="120">
        <f t="shared" si="662"/>
        <v>0</v>
      </c>
      <c r="L1648" s="120">
        <f t="shared" si="663"/>
        <v>0</v>
      </c>
      <c r="M1648" s="246">
        <f t="shared" si="664"/>
        <v>0</v>
      </c>
      <c r="N1648" s="121">
        <f t="shared" si="665"/>
        <v>1</v>
      </c>
      <c r="O1648" s="246">
        <f t="shared" si="666"/>
        <v>0.98416849015317287</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87">
        <v>5</v>
      </c>
      <c r="B1649" s="242">
        <f t="shared" si="673"/>
        <v>45778</v>
      </c>
      <c r="C1649" s="243">
        <f t="shared" si="654"/>
        <v>45808</v>
      </c>
      <c r="D1649" s="120">
        <f t="shared" si="655"/>
        <v>31</v>
      </c>
      <c r="E1649" s="120">
        <f t="shared" si="656"/>
        <v>5</v>
      </c>
      <c r="F1649" s="275">
        <f t="shared" si="657"/>
        <v>45793.5</v>
      </c>
      <c r="G1649" s="120">
        <f t="shared" si="658"/>
        <v>24304</v>
      </c>
      <c r="H1649" s="245">
        <f t="shared" si="659"/>
        <v>1</v>
      </c>
      <c r="I1649" s="121">
        <f t="shared" si="660"/>
        <v>1</v>
      </c>
      <c r="J1649" s="121">
        <f t="shared" si="661"/>
        <v>1</v>
      </c>
      <c r="K1649" s="120">
        <f t="shared" si="662"/>
        <v>0</v>
      </c>
      <c r="L1649" s="120">
        <f t="shared" si="663"/>
        <v>0</v>
      </c>
      <c r="M1649" s="246">
        <f t="shared" si="664"/>
        <v>0</v>
      </c>
      <c r="N1649" s="121">
        <f t="shared" si="665"/>
        <v>1</v>
      </c>
      <c r="O1649" s="246">
        <f t="shared" si="666"/>
        <v>0.98450218818380741</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87">
        <v>6</v>
      </c>
      <c r="B1650" s="242">
        <f t="shared" si="673"/>
        <v>45809</v>
      </c>
      <c r="C1650" s="243">
        <f t="shared" si="654"/>
        <v>45838</v>
      </c>
      <c r="D1650" s="120">
        <f t="shared" si="655"/>
        <v>30</v>
      </c>
      <c r="E1650" s="120">
        <f t="shared" si="656"/>
        <v>6</v>
      </c>
      <c r="F1650" s="275">
        <f t="shared" si="657"/>
        <v>45824</v>
      </c>
      <c r="G1650" s="120">
        <f t="shared" si="658"/>
        <v>24305</v>
      </c>
      <c r="H1650" s="245">
        <f t="shared" si="659"/>
        <v>1</v>
      </c>
      <c r="I1650" s="121">
        <f t="shared" si="660"/>
        <v>1</v>
      </c>
      <c r="J1650" s="121">
        <f t="shared" si="661"/>
        <v>1</v>
      </c>
      <c r="K1650" s="120">
        <f t="shared" si="662"/>
        <v>0</v>
      </c>
      <c r="L1650" s="120">
        <f t="shared" si="663"/>
        <v>0</v>
      </c>
      <c r="M1650" s="246">
        <f t="shared" si="664"/>
        <v>0</v>
      </c>
      <c r="N1650" s="121">
        <f t="shared" si="665"/>
        <v>1</v>
      </c>
      <c r="O1650" s="246">
        <f t="shared" si="666"/>
        <v>0.98483588621444207</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87">
        <v>7</v>
      </c>
      <c r="B1651" s="242">
        <f t="shared" si="673"/>
        <v>45839</v>
      </c>
      <c r="C1651" s="243">
        <f t="shared" si="654"/>
        <v>45869</v>
      </c>
      <c r="D1651" s="120">
        <f t="shared" si="655"/>
        <v>31</v>
      </c>
      <c r="E1651" s="120">
        <f t="shared" si="656"/>
        <v>7</v>
      </c>
      <c r="F1651" s="275">
        <f t="shared" si="657"/>
        <v>45854.5</v>
      </c>
      <c r="G1651" s="120">
        <f t="shared" si="658"/>
        <v>24306</v>
      </c>
      <c r="H1651" s="245">
        <f t="shared" si="659"/>
        <v>1</v>
      </c>
      <c r="I1651" s="121">
        <f t="shared" si="660"/>
        <v>1</v>
      </c>
      <c r="J1651" s="121">
        <f t="shared" si="661"/>
        <v>1</v>
      </c>
      <c r="K1651" s="120">
        <f t="shared" si="662"/>
        <v>0</v>
      </c>
      <c r="L1651" s="120">
        <f t="shared" si="663"/>
        <v>0</v>
      </c>
      <c r="M1651" s="246">
        <f t="shared" si="664"/>
        <v>0</v>
      </c>
      <c r="N1651" s="121">
        <f t="shared" si="665"/>
        <v>1</v>
      </c>
      <c r="O1651" s="246">
        <f t="shared" si="666"/>
        <v>0.98516958424507661</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87">
        <v>8</v>
      </c>
      <c r="B1652" s="242">
        <f t="shared" si="673"/>
        <v>45870</v>
      </c>
      <c r="C1652" s="243">
        <f t="shared" si="654"/>
        <v>45900</v>
      </c>
      <c r="D1652" s="120">
        <f t="shared" si="655"/>
        <v>31</v>
      </c>
      <c r="E1652" s="120">
        <f t="shared" si="656"/>
        <v>8</v>
      </c>
      <c r="F1652" s="275">
        <f t="shared" si="657"/>
        <v>45885.5</v>
      </c>
      <c r="G1652" s="120">
        <f t="shared" si="658"/>
        <v>24307</v>
      </c>
      <c r="H1652" s="245">
        <f t="shared" si="659"/>
        <v>1</v>
      </c>
      <c r="I1652" s="121">
        <f t="shared" si="660"/>
        <v>1</v>
      </c>
      <c r="J1652" s="121">
        <f t="shared" si="661"/>
        <v>1</v>
      </c>
      <c r="K1652" s="120">
        <f t="shared" si="662"/>
        <v>0</v>
      </c>
      <c r="L1652" s="120">
        <f t="shared" si="663"/>
        <v>0</v>
      </c>
      <c r="M1652" s="246">
        <f t="shared" si="664"/>
        <v>0</v>
      </c>
      <c r="N1652" s="121">
        <f t="shared" si="665"/>
        <v>1</v>
      </c>
      <c r="O1652" s="246">
        <f t="shared" si="666"/>
        <v>0.98550875273522975</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87">
        <v>9</v>
      </c>
      <c r="B1653" s="242">
        <f t="shared" si="673"/>
        <v>45901</v>
      </c>
      <c r="C1653" s="243">
        <f t="shared" si="654"/>
        <v>45930</v>
      </c>
      <c r="D1653" s="120">
        <f t="shared" si="655"/>
        <v>30</v>
      </c>
      <c r="E1653" s="120">
        <f t="shared" si="656"/>
        <v>9</v>
      </c>
      <c r="F1653" s="275">
        <f t="shared" si="657"/>
        <v>45916</v>
      </c>
      <c r="G1653" s="120">
        <f t="shared" si="658"/>
        <v>24308</v>
      </c>
      <c r="H1653" s="245">
        <f t="shared" si="659"/>
        <v>1</v>
      </c>
      <c r="I1653" s="121">
        <f t="shared" si="660"/>
        <v>1</v>
      </c>
      <c r="J1653" s="121">
        <f t="shared" si="661"/>
        <v>1</v>
      </c>
      <c r="K1653" s="120">
        <f t="shared" si="662"/>
        <v>0</v>
      </c>
      <c r="L1653" s="120">
        <f t="shared" si="663"/>
        <v>0</v>
      </c>
      <c r="M1653" s="246">
        <f t="shared" si="664"/>
        <v>0</v>
      </c>
      <c r="N1653" s="121">
        <f t="shared" si="665"/>
        <v>1</v>
      </c>
      <c r="O1653" s="246">
        <f t="shared" si="666"/>
        <v>0.9858424507658643</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87">
        <v>10</v>
      </c>
      <c r="B1654" s="242">
        <f t="shared" si="673"/>
        <v>45931</v>
      </c>
      <c r="C1654" s="243">
        <f t="shared" si="654"/>
        <v>45961</v>
      </c>
      <c r="D1654" s="120">
        <f t="shared" si="655"/>
        <v>31</v>
      </c>
      <c r="E1654" s="120">
        <f t="shared" si="656"/>
        <v>10</v>
      </c>
      <c r="F1654" s="275">
        <f t="shared" si="657"/>
        <v>45946.5</v>
      </c>
      <c r="G1654" s="120">
        <f t="shared" si="658"/>
        <v>24309</v>
      </c>
      <c r="H1654" s="245">
        <f t="shared" si="659"/>
        <v>1</v>
      </c>
      <c r="I1654" s="121">
        <f t="shared" si="660"/>
        <v>1</v>
      </c>
      <c r="J1654" s="121">
        <f t="shared" si="661"/>
        <v>1</v>
      </c>
      <c r="K1654" s="120">
        <f t="shared" si="662"/>
        <v>0</v>
      </c>
      <c r="L1654" s="120">
        <f t="shared" si="663"/>
        <v>0</v>
      </c>
      <c r="M1654" s="246">
        <f t="shared" si="664"/>
        <v>0</v>
      </c>
      <c r="N1654" s="121">
        <f t="shared" si="665"/>
        <v>1</v>
      </c>
      <c r="O1654" s="246">
        <f t="shared" si="666"/>
        <v>0.98617614879649895</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87">
        <v>11</v>
      </c>
      <c r="B1655" s="242">
        <f t="shared" si="673"/>
        <v>45962</v>
      </c>
      <c r="C1655" s="243">
        <f t="shared" si="654"/>
        <v>45991</v>
      </c>
      <c r="D1655" s="120">
        <f t="shared" si="655"/>
        <v>30</v>
      </c>
      <c r="E1655" s="120">
        <f t="shared" si="656"/>
        <v>11</v>
      </c>
      <c r="F1655" s="275">
        <f t="shared" si="657"/>
        <v>45977</v>
      </c>
      <c r="G1655" s="120">
        <f t="shared" si="658"/>
        <v>24310</v>
      </c>
      <c r="H1655" s="245">
        <f t="shared" si="659"/>
        <v>1</v>
      </c>
      <c r="I1655" s="121">
        <f t="shared" si="660"/>
        <v>1</v>
      </c>
      <c r="J1655" s="121">
        <f t="shared" si="661"/>
        <v>1</v>
      </c>
      <c r="K1655" s="120">
        <f t="shared" si="662"/>
        <v>0</v>
      </c>
      <c r="L1655" s="120">
        <f t="shared" si="663"/>
        <v>0</v>
      </c>
      <c r="M1655" s="246">
        <f t="shared" si="664"/>
        <v>0</v>
      </c>
      <c r="N1655" s="121">
        <f t="shared" si="665"/>
        <v>1</v>
      </c>
      <c r="O1655" s="246">
        <f t="shared" si="666"/>
        <v>0.9865098468271335</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87">
        <v>12</v>
      </c>
      <c r="B1656" s="242">
        <f t="shared" si="673"/>
        <v>45992</v>
      </c>
      <c r="C1656" s="243">
        <f t="shared" si="654"/>
        <v>46022</v>
      </c>
      <c r="D1656" s="120">
        <f t="shared" si="655"/>
        <v>31</v>
      </c>
      <c r="E1656" s="120">
        <f t="shared" si="656"/>
        <v>12</v>
      </c>
      <c r="F1656" s="275">
        <f t="shared" si="657"/>
        <v>46007.5</v>
      </c>
      <c r="G1656" s="120">
        <f t="shared" si="658"/>
        <v>24311</v>
      </c>
      <c r="H1656" s="245">
        <f t="shared" si="659"/>
        <v>1</v>
      </c>
      <c r="I1656" s="121">
        <f t="shared" si="660"/>
        <v>1</v>
      </c>
      <c r="J1656" s="121">
        <f t="shared" si="661"/>
        <v>1</v>
      </c>
      <c r="K1656" s="120">
        <f t="shared" si="662"/>
        <v>0</v>
      </c>
      <c r="L1656" s="120">
        <f t="shared" si="663"/>
        <v>0</v>
      </c>
      <c r="M1656" s="246">
        <f t="shared" si="664"/>
        <v>0</v>
      </c>
      <c r="N1656" s="121">
        <f t="shared" si="665"/>
        <v>1</v>
      </c>
      <c r="O1656" s="246">
        <f t="shared" si="666"/>
        <v>0.98684354485776804</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87">
        <v>13</v>
      </c>
      <c r="B1657" s="242">
        <f t="shared" si="673"/>
        <v>46023</v>
      </c>
      <c r="C1657" s="243">
        <f t="shared" si="654"/>
        <v>46053</v>
      </c>
      <c r="D1657" s="120">
        <f t="shared" si="655"/>
        <v>31</v>
      </c>
      <c r="E1657" s="120">
        <f t="shared" si="656"/>
        <v>1</v>
      </c>
      <c r="F1657" s="275">
        <f t="shared" si="657"/>
        <v>46038.5</v>
      </c>
      <c r="G1657" s="120">
        <f t="shared" si="658"/>
        <v>24312</v>
      </c>
      <c r="H1657" s="245">
        <f t="shared" si="659"/>
        <v>1</v>
      </c>
      <c r="I1657" s="121">
        <f t="shared" si="660"/>
        <v>1</v>
      </c>
      <c r="J1657" s="121">
        <f t="shared" si="661"/>
        <v>1</v>
      </c>
      <c r="K1657" s="120">
        <f t="shared" si="662"/>
        <v>0</v>
      </c>
      <c r="L1657" s="120">
        <f t="shared" si="663"/>
        <v>0</v>
      </c>
      <c r="M1657" s="246">
        <f t="shared" si="664"/>
        <v>0</v>
      </c>
      <c r="N1657" s="121">
        <f t="shared" si="665"/>
        <v>1</v>
      </c>
      <c r="O1657" s="246">
        <f t="shared" si="666"/>
        <v>0.98718271334792118</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87">
        <v>14</v>
      </c>
      <c r="B1658" s="242">
        <f t="shared" si="673"/>
        <v>46054</v>
      </c>
      <c r="C1658" s="243">
        <f t="shared" si="654"/>
        <v>46081</v>
      </c>
      <c r="D1658" s="120">
        <f t="shared" si="655"/>
        <v>28</v>
      </c>
      <c r="E1658" s="120">
        <f t="shared" si="656"/>
        <v>2</v>
      </c>
      <c r="F1658" s="275">
        <f t="shared" si="657"/>
        <v>46068</v>
      </c>
      <c r="G1658" s="120">
        <f t="shared" si="658"/>
        <v>24313</v>
      </c>
      <c r="H1658" s="245">
        <f t="shared" si="659"/>
        <v>1</v>
      </c>
      <c r="I1658" s="121">
        <f t="shared" si="660"/>
        <v>1</v>
      </c>
      <c r="J1658" s="121">
        <f t="shared" si="661"/>
        <v>1</v>
      </c>
      <c r="K1658" s="120">
        <f t="shared" si="662"/>
        <v>0</v>
      </c>
      <c r="L1658" s="120">
        <f t="shared" si="663"/>
        <v>0</v>
      </c>
      <c r="M1658" s="246">
        <f t="shared" si="664"/>
        <v>0</v>
      </c>
      <c r="N1658" s="121">
        <f t="shared" si="665"/>
        <v>1</v>
      </c>
      <c r="O1658" s="246">
        <f t="shared" si="666"/>
        <v>0.98750547045951864</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87">
        <v>15</v>
      </c>
      <c r="B1659" s="242">
        <f t="shared" si="673"/>
        <v>46082</v>
      </c>
      <c r="C1659" s="243">
        <f t="shared" si="654"/>
        <v>46112</v>
      </c>
      <c r="D1659" s="120">
        <f t="shared" si="655"/>
        <v>31</v>
      </c>
      <c r="E1659" s="120">
        <f t="shared" si="656"/>
        <v>3</v>
      </c>
      <c r="F1659" s="275">
        <f t="shared" si="657"/>
        <v>46097.5</v>
      </c>
      <c r="G1659" s="120">
        <f t="shared" si="658"/>
        <v>24314</v>
      </c>
      <c r="H1659" s="245">
        <f t="shared" si="659"/>
        <v>1</v>
      </c>
      <c r="I1659" s="121">
        <f t="shared" si="660"/>
        <v>1</v>
      </c>
      <c r="J1659" s="121">
        <f t="shared" si="661"/>
        <v>1</v>
      </c>
      <c r="K1659" s="120">
        <f t="shared" si="662"/>
        <v>0</v>
      </c>
      <c r="L1659" s="120">
        <f t="shared" si="663"/>
        <v>0</v>
      </c>
      <c r="M1659" s="246">
        <f t="shared" si="664"/>
        <v>0</v>
      </c>
      <c r="N1659" s="121">
        <f t="shared" si="665"/>
        <v>1</v>
      </c>
      <c r="O1659" s="246">
        <f t="shared" si="666"/>
        <v>0.98782822757111599</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87">
        <v>16</v>
      </c>
      <c r="B1660" s="242">
        <f t="shared" si="673"/>
        <v>46113</v>
      </c>
      <c r="C1660" s="243">
        <f t="shared" si="654"/>
        <v>46142</v>
      </c>
      <c r="D1660" s="120">
        <f t="shared" si="655"/>
        <v>30</v>
      </c>
      <c r="E1660" s="120">
        <f t="shared" si="656"/>
        <v>4</v>
      </c>
      <c r="F1660" s="275">
        <f t="shared" si="657"/>
        <v>46128</v>
      </c>
      <c r="G1660" s="120">
        <f t="shared" si="658"/>
        <v>24315</v>
      </c>
      <c r="H1660" s="245">
        <f t="shared" si="659"/>
        <v>1</v>
      </c>
      <c r="I1660" s="121">
        <f t="shared" si="660"/>
        <v>1</v>
      </c>
      <c r="J1660" s="121">
        <f t="shared" si="661"/>
        <v>1</v>
      </c>
      <c r="K1660" s="120">
        <f t="shared" si="662"/>
        <v>0</v>
      </c>
      <c r="L1660" s="120">
        <f t="shared" si="663"/>
        <v>0</v>
      </c>
      <c r="M1660" s="246">
        <f t="shared" si="664"/>
        <v>0</v>
      </c>
      <c r="N1660" s="121">
        <f t="shared" si="665"/>
        <v>1</v>
      </c>
      <c r="O1660" s="246">
        <f t="shared" si="666"/>
        <v>0.98816192560175053</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87">
        <v>17</v>
      </c>
      <c r="B1661" s="242">
        <f t="shared" si="673"/>
        <v>46143</v>
      </c>
      <c r="C1661" s="243">
        <f t="shared" si="654"/>
        <v>46173</v>
      </c>
      <c r="D1661" s="120">
        <f t="shared" si="655"/>
        <v>31</v>
      </c>
      <c r="E1661" s="120">
        <f t="shared" si="656"/>
        <v>5</v>
      </c>
      <c r="F1661" s="275">
        <f t="shared" si="657"/>
        <v>46158.5</v>
      </c>
      <c r="G1661" s="120">
        <f t="shared" si="658"/>
        <v>24316</v>
      </c>
      <c r="H1661" s="245">
        <f t="shared" si="659"/>
        <v>1</v>
      </c>
      <c r="I1661" s="121">
        <f t="shared" si="660"/>
        <v>1</v>
      </c>
      <c r="J1661" s="121">
        <f t="shared" si="661"/>
        <v>1</v>
      </c>
      <c r="K1661" s="120">
        <f t="shared" si="662"/>
        <v>0</v>
      </c>
      <c r="L1661" s="120">
        <f t="shared" si="663"/>
        <v>0</v>
      </c>
      <c r="M1661" s="246">
        <f t="shared" si="664"/>
        <v>0</v>
      </c>
      <c r="N1661" s="121">
        <f t="shared" si="665"/>
        <v>1</v>
      </c>
      <c r="O1661" s="246">
        <f t="shared" si="666"/>
        <v>0.98849562363238508</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87">
        <v>18</v>
      </c>
      <c r="B1662" s="242">
        <f t="shared" si="673"/>
        <v>46174</v>
      </c>
      <c r="C1662" s="243">
        <f t="shared" si="654"/>
        <v>46203</v>
      </c>
      <c r="D1662" s="120">
        <f t="shared" si="655"/>
        <v>30</v>
      </c>
      <c r="E1662" s="120">
        <f t="shared" si="656"/>
        <v>6</v>
      </c>
      <c r="F1662" s="275">
        <f t="shared" si="657"/>
        <v>46189</v>
      </c>
      <c r="G1662" s="120">
        <f t="shared" si="658"/>
        <v>24317</v>
      </c>
      <c r="H1662" s="245">
        <f t="shared" si="659"/>
        <v>1</v>
      </c>
      <c r="I1662" s="121">
        <f t="shared" si="660"/>
        <v>1</v>
      </c>
      <c r="J1662" s="121">
        <f t="shared" si="661"/>
        <v>1</v>
      </c>
      <c r="K1662" s="120">
        <f t="shared" si="662"/>
        <v>0</v>
      </c>
      <c r="L1662" s="120">
        <f t="shared" si="663"/>
        <v>0</v>
      </c>
      <c r="M1662" s="246">
        <f t="shared" si="664"/>
        <v>0</v>
      </c>
      <c r="N1662" s="121">
        <f t="shared" si="665"/>
        <v>1</v>
      </c>
      <c r="O1662" s="246">
        <f t="shared" si="666"/>
        <v>0.98882932166301973</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87">
        <v>19</v>
      </c>
      <c r="B1663" s="242">
        <f t="shared" si="673"/>
        <v>46204</v>
      </c>
      <c r="C1663" s="243">
        <f t="shared" si="654"/>
        <v>46234</v>
      </c>
      <c r="D1663" s="120">
        <f t="shared" si="655"/>
        <v>31</v>
      </c>
      <c r="E1663" s="120">
        <f t="shared" si="656"/>
        <v>7</v>
      </c>
      <c r="F1663" s="275">
        <f t="shared" si="657"/>
        <v>46219.5</v>
      </c>
      <c r="G1663" s="120">
        <f t="shared" si="658"/>
        <v>24318</v>
      </c>
      <c r="H1663" s="245">
        <f t="shared" si="659"/>
        <v>1</v>
      </c>
      <c r="I1663" s="121">
        <f t="shared" si="660"/>
        <v>1</v>
      </c>
      <c r="J1663" s="121">
        <f t="shared" si="661"/>
        <v>1</v>
      </c>
      <c r="K1663" s="120">
        <f t="shared" si="662"/>
        <v>0</v>
      </c>
      <c r="L1663" s="120">
        <f t="shared" si="663"/>
        <v>0</v>
      </c>
      <c r="M1663" s="246">
        <f t="shared" si="664"/>
        <v>0</v>
      </c>
      <c r="N1663" s="121">
        <f t="shared" si="665"/>
        <v>1</v>
      </c>
      <c r="O1663" s="246">
        <f t="shared" si="666"/>
        <v>0.98916301969365428</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87">
        <v>20</v>
      </c>
      <c r="B1664" s="242">
        <f t="shared" si="673"/>
        <v>46235</v>
      </c>
      <c r="C1664" s="243">
        <f t="shared" si="654"/>
        <v>46265</v>
      </c>
      <c r="D1664" s="120">
        <f t="shared" si="655"/>
        <v>31</v>
      </c>
      <c r="E1664" s="120">
        <f t="shared" si="656"/>
        <v>8</v>
      </c>
      <c r="F1664" s="275">
        <f t="shared" si="657"/>
        <v>46250.5</v>
      </c>
      <c r="G1664" s="120">
        <f t="shared" si="658"/>
        <v>24319</v>
      </c>
      <c r="H1664" s="245">
        <f t="shared" si="659"/>
        <v>1</v>
      </c>
      <c r="I1664" s="121">
        <f t="shared" si="660"/>
        <v>1</v>
      </c>
      <c r="J1664" s="121">
        <f t="shared" si="661"/>
        <v>1</v>
      </c>
      <c r="K1664" s="120">
        <f t="shared" si="662"/>
        <v>0</v>
      </c>
      <c r="L1664" s="120">
        <f t="shared" si="663"/>
        <v>0</v>
      </c>
      <c r="M1664" s="246">
        <f t="shared" si="664"/>
        <v>0</v>
      </c>
      <c r="N1664" s="121">
        <f t="shared" si="665"/>
        <v>1</v>
      </c>
      <c r="O1664" s="246">
        <f t="shared" si="666"/>
        <v>0.98950218818380742</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87">
        <v>21</v>
      </c>
      <c r="B1665" s="242">
        <f t="shared" si="673"/>
        <v>46266</v>
      </c>
      <c r="C1665" s="243">
        <f t="shared" si="654"/>
        <v>46295</v>
      </c>
      <c r="D1665" s="120">
        <f t="shared" si="655"/>
        <v>30</v>
      </c>
      <c r="E1665" s="120">
        <f t="shared" si="656"/>
        <v>9</v>
      </c>
      <c r="F1665" s="275">
        <f t="shared" si="657"/>
        <v>46281</v>
      </c>
      <c r="G1665" s="120">
        <f t="shared" si="658"/>
        <v>24320</v>
      </c>
      <c r="H1665" s="245">
        <f t="shared" si="659"/>
        <v>1</v>
      </c>
      <c r="I1665" s="121">
        <f t="shared" si="660"/>
        <v>1</v>
      </c>
      <c r="J1665" s="121">
        <f t="shared" si="661"/>
        <v>1</v>
      </c>
      <c r="K1665" s="120">
        <f t="shared" si="662"/>
        <v>0</v>
      </c>
      <c r="L1665" s="120">
        <f t="shared" si="663"/>
        <v>0</v>
      </c>
      <c r="M1665" s="246">
        <f t="shared" si="664"/>
        <v>0</v>
      </c>
      <c r="N1665" s="121">
        <f t="shared" si="665"/>
        <v>1</v>
      </c>
      <c r="O1665" s="246">
        <f t="shared" si="666"/>
        <v>0.98983588621444196</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87">
        <v>22</v>
      </c>
      <c r="B1666" s="242">
        <f t="shared" si="673"/>
        <v>46296</v>
      </c>
      <c r="C1666" s="243">
        <f t="shared" si="654"/>
        <v>46326</v>
      </c>
      <c r="D1666" s="120">
        <f t="shared" si="655"/>
        <v>31</v>
      </c>
      <c r="E1666" s="120">
        <f t="shared" si="656"/>
        <v>10</v>
      </c>
      <c r="F1666" s="275">
        <f t="shared" si="657"/>
        <v>46311.5</v>
      </c>
      <c r="G1666" s="120">
        <f t="shared" si="658"/>
        <v>24321</v>
      </c>
      <c r="H1666" s="245">
        <f t="shared" si="659"/>
        <v>1</v>
      </c>
      <c r="I1666" s="121">
        <f t="shared" si="660"/>
        <v>1</v>
      </c>
      <c r="J1666" s="121">
        <f t="shared" si="661"/>
        <v>1</v>
      </c>
      <c r="K1666" s="120">
        <f t="shared" si="662"/>
        <v>0</v>
      </c>
      <c r="L1666" s="120">
        <f t="shared" si="663"/>
        <v>0</v>
      </c>
      <c r="M1666" s="246">
        <f t="shared" si="664"/>
        <v>0</v>
      </c>
      <c r="N1666" s="121">
        <f t="shared" si="665"/>
        <v>1</v>
      </c>
      <c r="O1666" s="246">
        <f t="shared" si="666"/>
        <v>0.99016958424507662</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87">
        <v>23</v>
      </c>
      <c r="B1667" s="242">
        <f t="shared" si="673"/>
        <v>46327</v>
      </c>
      <c r="C1667" s="243">
        <f t="shared" si="654"/>
        <v>46356</v>
      </c>
      <c r="D1667" s="120">
        <f t="shared" si="655"/>
        <v>30</v>
      </c>
      <c r="E1667" s="120">
        <f t="shared" si="656"/>
        <v>11</v>
      </c>
      <c r="F1667" s="275">
        <f t="shared" si="657"/>
        <v>46342</v>
      </c>
      <c r="G1667" s="120">
        <f t="shared" si="658"/>
        <v>24322</v>
      </c>
      <c r="H1667" s="245">
        <f t="shared" si="659"/>
        <v>1</v>
      </c>
      <c r="I1667" s="121">
        <f t="shared" si="660"/>
        <v>1</v>
      </c>
      <c r="J1667" s="121">
        <f t="shared" si="661"/>
        <v>1</v>
      </c>
      <c r="K1667" s="120">
        <f t="shared" si="662"/>
        <v>0</v>
      </c>
      <c r="L1667" s="120">
        <f t="shared" si="663"/>
        <v>0</v>
      </c>
      <c r="M1667" s="246">
        <f t="shared" si="664"/>
        <v>0</v>
      </c>
      <c r="N1667" s="121">
        <f t="shared" si="665"/>
        <v>1</v>
      </c>
      <c r="O1667" s="246">
        <f t="shared" si="666"/>
        <v>0.99050328227571116</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87">
        <v>24</v>
      </c>
      <c r="B1668" s="242">
        <f t="shared" si="673"/>
        <v>46357</v>
      </c>
      <c r="C1668" s="243">
        <f t="shared" si="654"/>
        <v>46387</v>
      </c>
      <c r="D1668" s="120">
        <f t="shared" si="655"/>
        <v>31</v>
      </c>
      <c r="E1668" s="120">
        <f t="shared" si="656"/>
        <v>12</v>
      </c>
      <c r="F1668" s="275">
        <f t="shared" si="657"/>
        <v>46372.5</v>
      </c>
      <c r="G1668" s="120">
        <f t="shared" si="658"/>
        <v>24323</v>
      </c>
      <c r="H1668" s="245">
        <f t="shared" si="659"/>
        <v>1</v>
      </c>
      <c r="I1668" s="121">
        <f t="shared" si="660"/>
        <v>1</v>
      </c>
      <c r="J1668" s="121">
        <f t="shared" si="661"/>
        <v>1</v>
      </c>
      <c r="K1668" s="120">
        <f t="shared" si="662"/>
        <v>0</v>
      </c>
      <c r="L1668" s="120">
        <f t="shared" si="663"/>
        <v>0</v>
      </c>
      <c r="M1668" s="246">
        <f t="shared" si="664"/>
        <v>0</v>
      </c>
      <c r="N1668" s="121">
        <f t="shared" si="665"/>
        <v>1</v>
      </c>
      <c r="O1668" s="246">
        <f t="shared" si="666"/>
        <v>0.9908369803063457</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87">
        <v>25</v>
      </c>
      <c r="B1669" s="242">
        <f t="shared" si="673"/>
        <v>46388</v>
      </c>
      <c r="C1669" s="243">
        <f t="shared" si="654"/>
        <v>46418</v>
      </c>
      <c r="D1669" s="120">
        <f t="shared" si="655"/>
        <v>31</v>
      </c>
      <c r="E1669" s="120">
        <f t="shared" si="656"/>
        <v>1</v>
      </c>
      <c r="F1669" s="275">
        <f t="shared" si="657"/>
        <v>46403.5</v>
      </c>
      <c r="G1669" s="120">
        <f t="shared" si="658"/>
        <v>24324</v>
      </c>
      <c r="H1669" s="245">
        <f t="shared" si="659"/>
        <v>1</v>
      </c>
      <c r="I1669" s="121">
        <f t="shared" si="660"/>
        <v>1</v>
      </c>
      <c r="J1669" s="121">
        <f t="shared" si="661"/>
        <v>1</v>
      </c>
      <c r="K1669" s="120">
        <f t="shared" si="662"/>
        <v>0</v>
      </c>
      <c r="L1669" s="120">
        <f t="shared" si="663"/>
        <v>0</v>
      </c>
      <c r="M1669" s="246">
        <f t="shared" si="664"/>
        <v>0</v>
      </c>
      <c r="N1669" s="121">
        <f t="shared" si="665"/>
        <v>1</v>
      </c>
      <c r="O1669" s="246">
        <f t="shared" si="666"/>
        <v>0.99117614879649885</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87">
        <v>26</v>
      </c>
      <c r="B1670" s="242">
        <f t="shared" si="673"/>
        <v>46419</v>
      </c>
      <c r="C1670" s="243">
        <f t="shared" si="654"/>
        <v>46446</v>
      </c>
      <c r="D1670" s="120">
        <f t="shared" si="655"/>
        <v>28</v>
      </c>
      <c r="E1670" s="120">
        <f t="shared" si="656"/>
        <v>2</v>
      </c>
      <c r="F1670" s="275">
        <f t="shared" si="657"/>
        <v>46433</v>
      </c>
      <c r="G1670" s="120">
        <f t="shared" si="658"/>
        <v>24325</v>
      </c>
      <c r="H1670" s="245">
        <f t="shared" si="659"/>
        <v>1</v>
      </c>
      <c r="I1670" s="121">
        <f t="shared" si="660"/>
        <v>1</v>
      </c>
      <c r="J1670" s="121">
        <f t="shared" si="661"/>
        <v>1</v>
      </c>
      <c r="K1670" s="120">
        <f t="shared" si="662"/>
        <v>0</v>
      </c>
      <c r="L1670" s="120">
        <f t="shared" si="663"/>
        <v>0</v>
      </c>
      <c r="M1670" s="246">
        <f t="shared" si="664"/>
        <v>0</v>
      </c>
      <c r="N1670" s="121">
        <f t="shared" si="665"/>
        <v>1</v>
      </c>
      <c r="O1670" s="246">
        <f t="shared" si="666"/>
        <v>0.99149890590809631</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87">
        <v>27</v>
      </c>
      <c r="B1671" s="242">
        <f t="shared" si="673"/>
        <v>46447</v>
      </c>
      <c r="C1671" s="243">
        <f t="shared" si="654"/>
        <v>46477</v>
      </c>
      <c r="D1671" s="120">
        <f t="shared" si="655"/>
        <v>31</v>
      </c>
      <c r="E1671" s="120">
        <f t="shared" si="656"/>
        <v>3</v>
      </c>
      <c r="F1671" s="275">
        <f t="shared" si="657"/>
        <v>46462.5</v>
      </c>
      <c r="G1671" s="120">
        <f t="shared" si="658"/>
        <v>24326</v>
      </c>
      <c r="H1671" s="245">
        <f t="shared" si="659"/>
        <v>1</v>
      </c>
      <c r="I1671" s="121">
        <f t="shared" si="660"/>
        <v>1</v>
      </c>
      <c r="J1671" s="121">
        <f t="shared" si="661"/>
        <v>1</v>
      </c>
      <c r="K1671" s="120">
        <f t="shared" si="662"/>
        <v>0</v>
      </c>
      <c r="L1671" s="120">
        <f t="shared" si="663"/>
        <v>0</v>
      </c>
      <c r="M1671" s="246">
        <f t="shared" si="664"/>
        <v>0</v>
      </c>
      <c r="N1671" s="121">
        <f t="shared" si="665"/>
        <v>1</v>
      </c>
      <c r="O1671" s="246">
        <f t="shared" si="666"/>
        <v>0.99182166301969366</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87">
        <v>28</v>
      </c>
      <c r="B1672" s="242">
        <f t="shared" si="673"/>
        <v>46478</v>
      </c>
      <c r="C1672" s="243">
        <f t="shared" si="654"/>
        <v>46507</v>
      </c>
      <c r="D1672" s="120">
        <f t="shared" si="655"/>
        <v>30</v>
      </c>
      <c r="E1672" s="120">
        <f t="shared" si="656"/>
        <v>4</v>
      </c>
      <c r="F1672" s="275">
        <f t="shared" si="657"/>
        <v>46493</v>
      </c>
      <c r="G1672" s="120">
        <f t="shared" si="658"/>
        <v>24327</v>
      </c>
      <c r="H1672" s="245">
        <f t="shared" si="659"/>
        <v>1</v>
      </c>
      <c r="I1672" s="121">
        <f t="shared" si="660"/>
        <v>1</v>
      </c>
      <c r="J1672" s="121">
        <f t="shared" si="661"/>
        <v>1</v>
      </c>
      <c r="K1672" s="120">
        <f t="shared" si="662"/>
        <v>0</v>
      </c>
      <c r="L1672" s="120">
        <f t="shared" si="663"/>
        <v>0</v>
      </c>
      <c r="M1672" s="246">
        <f t="shared" si="664"/>
        <v>0</v>
      </c>
      <c r="N1672" s="121">
        <f t="shared" si="665"/>
        <v>1</v>
      </c>
      <c r="O1672" s="246">
        <f t="shared" si="666"/>
        <v>0.9921553610503282</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87">
        <v>29</v>
      </c>
      <c r="B1673" s="242">
        <f t="shared" si="673"/>
        <v>46508</v>
      </c>
      <c r="C1673" s="243">
        <f t="shared" si="654"/>
        <v>46538</v>
      </c>
      <c r="D1673" s="120">
        <f t="shared" si="655"/>
        <v>31</v>
      </c>
      <c r="E1673" s="120">
        <f t="shared" si="656"/>
        <v>5</v>
      </c>
      <c r="F1673" s="275">
        <f t="shared" si="657"/>
        <v>46523.5</v>
      </c>
      <c r="G1673" s="120">
        <f t="shared" si="658"/>
        <v>24328</v>
      </c>
      <c r="H1673" s="245">
        <f t="shared" si="659"/>
        <v>1</v>
      </c>
      <c r="I1673" s="121">
        <f t="shared" si="660"/>
        <v>1</v>
      </c>
      <c r="J1673" s="121">
        <f t="shared" si="661"/>
        <v>1</v>
      </c>
      <c r="K1673" s="120">
        <f t="shared" si="662"/>
        <v>0</v>
      </c>
      <c r="L1673" s="120">
        <f t="shared" si="663"/>
        <v>0</v>
      </c>
      <c r="M1673" s="246">
        <f t="shared" si="664"/>
        <v>0</v>
      </c>
      <c r="N1673" s="121">
        <f t="shared" si="665"/>
        <v>1</v>
      </c>
      <c r="O1673" s="246">
        <f t="shared" si="666"/>
        <v>0.99248905908096274</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87">
        <v>30</v>
      </c>
      <c r="B1674" s="242">
        <f t="shared" si="673"/>
        <v>46539</v>
      </c>
      <c r="C1674" s="243">
        <f t="shared" si="654"/>
        <v>46568</v>
      </c>
      <c r="D1674" s="120">
        <f t="shared" si="655"/>
        <v>30</v>
      </c>
      <c r="E1674" s="120">
        <f t="shared" si="656"/>
        <v>6</v>
      </c>
      <c r="F1674" s="275">
        <f t="shared" si="657"/>
        <v>46554</v>
      </c>
      <c r="G1674" s="120">
        <f t="shared" si="658"/>
        <v>24329</v>
      </c>
      <c r="H1674" s="245">
        <f t="shared" si="659"/>
        <v>1</v>
      </c>
      <c r="I1674" s="121">
        <f t="shared" si="660"/>
        <v>1</v>
      </c>
      <c r="J1674" s="121">
        <f t="shared" si="661"/>
        <v>1</v>
      </c>
      <c r="K1674" s="120">
        <f t="shared" si="662"/>
        <v>0</v>
      </c>
      <c r="L1674" s="120">
        <f t="shared" si="663"/>
        <v>0</v>
      </c>
      <c r="M1674" s="246">
        <f t="shared" si="664"/>
        <v>0</v>
      </c>
      <c r="N1674" s="121">
        <f t="shared" si="665"/>
        <v>1</v>
      </c>
      <c r="O1674" s="246">
        <f t="shared" si="666"/>
        <v>0.9928227571115974</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87">
        <v>31</v>
      </c>
      <c r="B1675" s="242">
        <f t="shared" si="673"/>
        <v>46569</v>
      </c>
      <c r="C1675" s="243">
        <f t="shared" si="654"/>
        <v>46599</v>
      </c>
      <c r="D1675" s="120">
        <f t="shared" si="655"/>
        <v>31</v>
      </c>
      <c r="E1675" s="120">
        <f t="shared" si="656"/>
        <v>7</v>
      </c>
      <c r="F1675" s="275">
        <f t="shared" si="657"/>
        <v>46584.5</v>
      </c>
      <c r="G1675" s="120">
        <f t="shared" si="658"/>
        <v>24330</v>
      </c>
      <c r="H1675" s="245">
        <f t="shared" si="659"/>
        <v>1</v>
      </c>
      <c r="I1675" s="121">
        <f t="shared" si="660"/>
        <v>1</v>
      </c>
      <c r="J1675" s="121">
        <f t="shared" si="661"/>
        <v>1</v>
      </c>
      <c r="K1675" s="120">
        <f t="shared" si="662"/>
        <v>0</v>
      </c>
      <c r="L1675" s="120">
        <f t="shared" si="663"/>
        <v>0</v>
      </c>
      <c r="M1675" s="246">
        <f t="shared" si="664"/>
        <v>0</v>
      </c>
      <c r="N1675" s="121">
        <f t="shared" si="665"/>
        <v>1</v>
      </c>
      <c r="O1675" s="246">
        <f t="shared" si="666"/>
        <v>0.99315645514223194</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87">
        <v>32</v>
      </c>
      <c r="B1676" s="242">
        <f t="shared" si="673"/>
        <v>46600</v>
      </c>
      <c r="C1676" s="243">
        <f t="shared" si="654"/>
        <v>46630</v>
      </c>
      <c r="D1676" s="120">
        <f t="shared" si="655"/>
        <v>31</v>
      </c>
      <c r="E1676" s="120">
        <f t="shared" si="656"/>
        <v>8</v>
      </c>
      <c r="F1676" s="275">
        <f t="shared" si="657"/>
        <v>46615.5</v>
      </c>
      <c r="G1676" s="120">
        <f t="shared" si="658"/>
        <v>24331</v>
      </c>
      <c r="H1676" s="245">
        <f t="shared" si="659"/>
        <v>1</v>
      </c>
      <c r="I1676" s="121">
        <f t="shared" si="660"/>
        <v>1</v>
      </c>
      <c r="J1676" s="121">
        <f t="shared" si="661"/>
        <v>1</v>
      </c>
      <c r="K1676" s="120">
        <f t="shared" si="662"/>
        <v>0</v>
      </c>
      <c r="L1676" s="120">
        <f t="shared" si="663"/>
        <v>0</v>
      </c>
      <c r="M1676" s="246">
        <f t="shared" si="664"/>
        <v>0</v>
      </c>
      <c r="N1676" s="121">
        <f t="shared" si="665"/>
        <v>1</v>
      </c>
      <c r="O1676" s="246">
        <f t="shared" si="666"/>
        <v>0.99349562363238508</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87">
        <v>33</v>
      </c>
      <c r="B1677" s="242">
        <f t="shared" si="673"/>
        <v>46631</v>
      </c>
      <c r="C1677" s="243">
        <f t="shared" si="654"/>
        <v>46660</v>
      </c>
      <c r="D1677" s="120">
        <f t="shared" si="655"/>
        <v>30</v>
      </c>
      <c r="E1677" s="120">
        <f t="shared" si="656"/>
        <v>9</v>
      </c>
      <c r="F1677" s="275">
        <f t="shared" si="657"/>
        <v>46646</v>
      </c>
      <c r="G1677" s="120">
        <f t="shared" si="658"/>
        <v>24332</v>
      </c>
      <c r="H1677" s="245">
        <f t="shared" si="659"/>
        <v>1</v>
      </c>
      <c r="I1677" s="121">
        <f t="shared" si="660"/>
        <v>1</v>
      </c>
      <c r="J1677" s="121">
        <f t="shared" si="661"/>
        <v>1</v>
      </c>
      <c r="K1677" s="120">
        <f t="shared" si="662"/>
        <v>0</v>
      </c>
      <c r="L1677" s="120">
        <f t="shared" si="663"/>
        <v>0</v>
      </c>
      <c r="M1677" s="246">
        <f t="shared" si="664"/>
        <v>0</v>
      </c>
      <c r="N1677" s="121">
        <f t="shared" si="665"/>
        <v>1</v>
      </c>
      <c r="O1677" s="246">
        <f t="shared" si="666"/>
        <v>0.99382932166301974</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87">
        <v>34</v>
      </c>
      <c r="B1678" s="242">
        <f t="shared" si="673"/>
        <v>46661</v>
      </c>
      <c r="C1678" s="243">
        <f t="shared" si="654"/>
        <v>46691</v>
      </c>
      <c r="D1678" s="120">
        <f t="shared" si="655"/>
        <v>31</v>
      </c>
      <c r="E1678" s="120">
        <f t="shared" si="656"/>
        <v>10</v>
      </c>
      <c r="F1678" s="275">
        <f t="shared" si="657"/>
        <v>46676.5</v>
      </c>
      <c r="G1678" s="120">
        <f t="shared" si="658"/>
        <v>24333</v>
      </c>
      <c r="H1678" s="245">
        <f t="shared" si="659"/>
        <v>1</v>
      </c>
      <c r="I1678" s="121">
        <f t="shared" si="660"/>
        <v>1</v>
      </c>
      <c r="J1678" s="121">
        <f t="shared" si="661"/>
        <v>1.04</v>
      </c>
      <c r="K1678" s="120">
        <f t="shared" si="662"/>
        <v>1</v>
      </c>
      <c r="L1678" s="120">
        <f t="shared" si="663"/>
        <v>31</v>
      </c>
      <c r="M1678" s="246">
        <f t="shared" si="664"/>
        <v>1</v>
      </c>
      <c r="N1678" s="121">
        <f t="shared" si="665"/>
        <v>1.04</v>
      </c>
      <c r="O1678" s="246">
        <f t="shared" si="666"/>
        <v>0.99416301969365428</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87">
        <v>35</v>
      </c>
      <c r="B1679" s="242">
        <f t="shared" si="673"/>
        <v>46692</v>
      </c>
      <c r="C1679" s="243">
        <f t="shared" si="654"/>
        <v>46721</v>
      </c>
      <c r="D1679" s="120">
        <f t="shared" si="655"/>
        <v>30</v>
      </c>
      <c r="E1679" s="120">
        <f t="shared" si="656"/>
        <v>11</v>
      </c>
      <c r="F1679" s="275">
        <f t="shared" si="657"/>
        <v>46707</v>
      </c>
      <c r="G1679" s="120">
        <f t="shared" si="658"/>
        <v>24334</v>
      </c>
      <c r="H1679" s="245">
        <f t="shared" si="659"/>
        <v>1</v>
      </c>
      <c r="I1679" s="121">
        <f t="shared" si="660"/>
        <v>1.04</v>
      </c>
      <c r="J1679" s="121">
        <f t="shared" si="661"/>
        <v>1.04</v>
      </c>
      <c r="K1679" s="120">
        <f t="shared" si="662"/>
        <v>0</v>
      </c>
      <c r="L1679" s="120">
        <f t="shared" si="663"/>
        <v>0</v>
      </c>
      <c r="M1679" s="246">
        <f t="shared" si="664"/>
        <v>0</v>
      </c>
      <c r="N1679" s="121">
        <f t="shared" si="665"/>
        <v>1.04</v>
      </c>
      <c r="O1679" s="246">
        <f t="shared" si="666"/>
        <v>0.99449671772428883</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87">
        <v>36</v>
      </c>
      <c r="B1680" s="242">
        <f t="shared" si="673"/>
        <v>46722</v>
      </c>
      <c r="C1680" s="243">
        <f t="shared" si="654"/>
        <v>46752</v>
      </c>
      <c r="D1680" s="120">
        <f t="shared" si="655"/>
        <v>31</v>
      </c>
      <c r="E1680" s="120">
        <f t="shared" si="656"/>
        <v>12</v>
      </c>
      <c r="F1680" s="275">
        <f t="shared" si="657"/>
        <v>46737.5</v>
      </c>
      <c r="G1680" s="120">
        <f t="shared" si="658"/>
        <v>24335</v>
      </c>
      <c r="H1680" s="245">
        <f t="shared" si="659"/>
        <v>1</v>
      </c>
      <c r="I1680" s="121">
        <f t="shared" si="660"/>
        <v>1.04</v>
      </c>
      <c r="J1680" s="121">
        <f t="shared" si="661"/>
        <v>1.04</v>
      </c>
      <c r="K1680" s="120">
        <f t="shared" si="662"/>
        <v>0</v>
      </c>
      <c r="L1680" s="120">
        <f t="shared" si="663"/>
        <v>0</v>
      </c>
      <c r="M1680" s="246">
        <f t="shared" si="664"/>
        <v>0</v>
      </c>
      <c r="N1680" s="121">
        <f t="shared" si="665"/>
        <v>1.04</v>
      </c>
      <c r="O1680" s="246">
        <f t="shared" si="666"/>
        <v>0.99483041575492337</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87">
        <v>37</v>
      </c>
      <c r="B1681" s="242">
        <f t="shared" si="673"/>
        <v>46753</v>
      </c>
      <c r="C1681" s="243">
        <f t="shared" si="654"/>
        <v>46783</v>
      </c>
      <c r="D1681" s="120">
        <f t="shared" si="655"/>
        <v>31</v>
      </c>
      <c r="E1681" s="120">
        <f t="shared" si="656"/>
        <v>1</v>
      </c>
      <c r="F1681" s="275">
        <f t="shared" si="657"/>
        <v>46768.5</v>
      </c>
      <c r="G1681" s="120">
        <f t="shared" si="658"/>
        <v>24336</v>
      </c>
      <c r="H1681" s="245">
        <f t="shared" si="659"/>
        <v>1</v>
      </c>
      <c r="I1681" s="121">
        <f t="shared" si="660"/>
        <v>1.04</v>
      </c>
      <c r="J1681" s="121">
        <f t="shared" si="661"/>
        <v>1.04</v>
      </c>
      <c r="K1681" s="120">
        <f t="shared" si="662"/>
        <v>0</v>
      </c>
      <c r="L1681" s="120">
        <f t="shared" si="663"/>
        <v>0</v>
      </c>
      <c r="M1681" s="246">
        <f t="shared" si="664"/>
        <v>0</v>
      </c>
      <c r="N1681" s="121">
        <f t="shared" si="665"/>
        <v>1.04</v>
      </c>
      <c r="O1681" s="246">
        <f t="shared" si="666"/>
        <v>0.995</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87">
        <v>38</v>
      </c>
      <c r="B1682" s="242">
        <f t="shared" si="673"/>
        <v>46784</v>
      </c>
      <c r="C1682" s="243">
        <f t="shared" si="654"/>
        <v>46812</v>
      </c>
      <c r="D1682" s="120">
        <f t="shared" si="655"/>
        <v>29</v>
      </c>
      <c r="E1682" s="120">
        <f t="shared" si="656"/>
        <v>2</v>
      </c>
      <c r="F1682" s="275">
        <f t="shared" si="657"/>
        <v>46798.5</v>
      </c>
      <c r="G1682" s="120">
        <f t="shared" si="658"/>
        <v>24337</v>
      </c>
      <c r="H1682" s="245">
        <f t="shared" si="659"/>
        <v>1</v>
      </c>
      <c r="I1682" s="121">
        <f t="shared" si="660"/>
        <v>1.04</v>
      </c>
      <c r="J1682" s="121">
        <f t="shared" si="661"/>
        <v>1.04</v>
      </c>
      <c r="K1682" s="120">
        <f t="shared" si="662"/>
        <v>0</v>
      </c>
      <c r="L1682" s="120">
        <f t="shared" si="663"/>
        <v>0</v>
      </c>
      <c r="M1682" s="246">
        <f t="shared" si="664"/>
        <v>0</v>
      </c>
      <c r="N1682" s="121">
        <f t="shared" si="665"/>
        <v>1.04</v>
      </c>
      <c r="O1682" s="246">
        <f t="shared" si="666"/>
        <v>0.995</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87">
        <v>39</v>
      </c>
      <c r="B1683" s="242">
        <f t="shared" si="673"/>
        <v>46813</v>
      </c>
      <c r="C1683" s="243">
        <f t="shared" si="654"/>
        <v>46843</v>
      </c>
      <c r="D1683" s="120">
        <f t="shared" si="655"/>
        <v>31</v>
      </c>
      <c r="E1683" s="120">
        <f t="shared" si="656"/>
        <v>3</v>
      </c>
      <c r="F1683" s="275">
        <f t="shared" si="657"/>
        <v>46828.5</v>
      </c>
      <c r="G1683" s="120">
        <f t="shared" si="658"/>
        <v>24338</v>
      </c>
      <c r="H1683" s="245">
        <f t="shared" si="659"/>
        <v>1</v>
      </c>
      <c r="I1683" s="121">
        <f t="shared" si="660"/>
        <v>1.04</v>
      </c>
      <c r="J1683" s="121">
        <f t="shared" si="661"/>
        <v>1.04</v>
      </c>
      <c r="K1683" s="120">
        <f t="shared" si="662"/>
        <v>0</v>
      </c>
      <c r="L1683" s="120">
        <f t="shared" si="663"/>
        <v>0</v>
      </c>
      <c r="M1683" s="246">
        <f t="shared" si="664"/>
        <v>0</v>
      </c>
      <c r="N1683" s="121">
        <f t="shared" si="665"/>
        <v>1.04</v>
      </c>
      <c r="O1683" s="246">
        <f t="shared" si="666"/>
        <v>0.995</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87">
        <v>40</v>
      </c>
      <c r="B1684" s="242">
        <f t="shared" si="673"/>
        <v>46844</v>
      </c>
      <c r="C1684" s="243">
        <f t="shared" si="654"/>
        <v>46873</v>
      </c>
      <c r="D1684" s="120">
        <f t="shared" si="655"/>
        <v>30</v>
      </c>
      <c r="E1684" s="120">
        <f t="shared" si="656"/>
        <v>4</v>
      </c>
      <c r="F1684" s="275">
        <f t="shared" si="657"/>
        <v>46859</v>
      </c>
      <c r="G1684" s="120">
        <f t="shared" si="658"/>
        <v>24339</v>
      </c>
      <c r="H1684" s="245">
        <f t="shared" si="659"/>
        <v>1</v>
      </c>
      <c r="I1684" s="121">
        <f t="shared" si="660"/>
        <v>1.04</v>
      </c>
      <c r="J1684" s="121">
        <f t="shared" si="661"/>
        <v>1.04</v>
      </c>
      <c r="K1684" s="120">
        <f t="shared" si="662"/>
        <v>0</v>
      </c>
      <c r="L1684" s="120">
        <f t="shared" si="663"/>
        <v>0</v>
      </c>
      <c r="M1684" s="246">
        <f t="shared" si="664"/>
        <v>0</v>
      </c>
      <c r="N1684" s="121">
        <f t="shared" si="665"/>
        <v>1.04</v>
      </c>
      <c r="O1684" s="246">
        <f t="shared" si="666"/>
        <v>0.995</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87">
        <v>41</v>
      </c>
      <c r="B1685" s="242">
        <f t="shared" si="673"/>
        <v>46874</v>
      </c>
      <c r="C1685" s="243">
        <f t="shared" si="654"/>
        <v>46904</v>
      </c>
      <c r="D1685" s="120">
        <f t="shared" si="655"/>
        <v>31</v>
      </c>
      <c r="E1685" s="120">
        <f t="shared" si="656"/>
        <v>5</v>
      </c>
      <c r="F1685" s="275">
        <f t="shared" si="657"/>
        <v>46889.5</v>
      </c>
      <c r="G1685" s="120">
        <f t="shared" si="658"/>
        <v>24340</v>
      </c>
      <c r="H1685" s="245">
        <f t="shared" si="659"/>
        <v>1</v>
      </c>
      <c r="I1685" s="121">
        <f t="shared" si="660"/>
        <v>1.04</v>
      </c>
      <c r="J1685" s="121">
        <f t="shared" si="661"/>
        <v>1.04</v>
      </c>
      <c r="K1685" s="120">
        <f t="shared" si="662"/>
        <v>0</v>
      </c>
      <c r="L1685" s="120">
        <f t="shared" si="663"/>
        <v>0</v>
      </c>
      <c r="M1685" s="246">
        <f t="shared" si="664"/>
        <v>0</v>
      </c>
      <c r="N1685" s="121">
        <f t="shared" si="665"/>
        <v>1.04</v>
      </c>
      <c r="O1685" s="246">
        <f t="shared" si="666"/>
        <v>0.995</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87">
        <v>42</v>
      </c>
      <c r="B1686" s="242">
        <f t="shared" si="673"/>
        <v>46905</v>
      </c>
      <c r="C1686" s="243">
        <f t="shared" si="654"/>
        <v>46934</v>
      </c>
      <c r="D1686" s="120">
        <f t="shared" si="655"/>
        <v>30</v>
      </c>
      <c r="E1686" s="120">
        <f t="shared" si="656"/>
        <v>6</v>
      </c>
      <c r="F1686" s="275">
        <f t="shared" si="657"/>
        <v>46920</v>
      </c>
      <c r="G1686" s="120">
        <f t="shared" si="658"/>
        <v>24341</v>
      </c>
      <c r="H1686" s="245">
        <f t="shared" si="659"/>
        <v>1</v>
      </c>
      <c r="I1686" s="121">
        <f t="shared" si="660"/>
        <v>1.04</v>
      </c>
      <c r="J1686" s="121">
        <f t="shared" si="661"/>
        <v>1.04</v>
      </c>
      <c r="K1686" s="120">
        <f t="shared" si="662"/>
        <v>0</v>
      </c>
      <c r="L1686" s="120">
        <f t="shared" si="663"/>
        <v>0</v>
      </c>
      <c r="M1686" s="246">
        <f t="shared" si="664"/>
        <v>0</v>
      </c>
      <c r="N1686" s="121">
        <f t="shared" si="665"/>
        <v>1.04</v>
      </c>
      <c r="O1686" s="246">
        <f t="shared" si="666"/>
        <v>0.995</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87">
        <v>43</v>
      </c>
      <c r="B1687" s="242">
        <f t="shared" si="673"/>
        <v>46935</v>
      </c>
      <c r="C1687" s="243">
        <f t="shared" si="654"/>
        <v>46965</v>
      </c>
      <c r="D1687" s="120">
        <f t="shared" si="655"/>
        <v>31</v>
      </c>
      <c r="E1687" s="120">
        <f t="shared" si="656"/>
        <v>7</v>
      </c>
      <c r="F1687" s="275">
        <f t="shared" si="657"/>
        <v>46950.5</v>
      </c>
      <c r="G1687" s="120">
        <f t="shared" si="658"/>
        <v>24342</v>
      </c>
      <c r="H1687" s="245">
        <f t="shared" si="659"/>
        <v>1</v>
      </c>
      <c r="I1687" s="121">
        <f t="shared" si="660"/>
        <v>1.04</v>
      </c>
      <c r="J1687" s="121">
        <f t="shared" si="661"/>
        <v>1.04</v>
      </c>
      <c r="K1687" s="120">
        <f t="shared" si="662"/>
        <v>0</v>
      </c>
      <c r="L1687" s="120">
        <f t="shared" si="663"/>
        <v>0</v>
      </c>
      <c r="M1687" s="246">
        <f t="shared" si="664"/>
        <v>0</v>
      </c>
      <c r="N1687" s="121">
        <f t="shared" si="665"/>
        <v>1.04</v>
      </c>
      <c r="O1687" s="246">
        <f t="shared" si="666"/>
        <v>0.995</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87">
        <v>44</v>
      </c>
      <c r="B1688" s="242">
        <f t="shared" si="673"/>
        <v>46966</v>
      </c>
      <c r="C1688" s="243">
        <f t="shared" si="654"/>
        <v>46996</v>
      </c>
      <c r="D1688" s="120">
        <f t="shared" si="655"/>
        <v>31</v>
      </c>
      <c r="E1688" s="120">
        <f t="shared" si="656"/>
        <v>8</v>
      </c>
      <c r="F1688" s="275">
        <f t="shared" si="657"/>
        <v>46981.5</v>
      </c>
      <c r="G1688" s="120">
        <f t="shared" si="658"/>
        <v>24343</v>
      </c>
      <c r="H1688" s="245">
        <f t="shared" si="659"/>
        <v>1</v>
      </c>
      <c r="I1688" s="121">
        <f t="shared" si="660"/>
        <v>1.04</v>
      </c>
      <c r="J1688" s="121">
        <f t="shared" si="661"/>
        <v>1.04</v>
      </c>
      <c r="K1688" s="120">
        <f t="shared" si="662"/>
        <v>0</v>
      </c>
      <c r="L1688" s="120">
        <f t="shared" si="663"/>
        <v>0</v>
      </c>
      <c r="M1688" s="246">
        <f t="shared" si="664"/>
        <v>0</v>
      </c>
      <c r="N1688" s="121">
        <f t="shared" si="665"/>
        <v>1.04</v>
      </c>
      <c r="O1688" s="246">
        <f t="shared" si="666"/>
        <v>0.995</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87">
        <v>45</v>
      </c>
      <c r="B1689" s="242">
        <f t="shared" si="673"/>
        <v>46997</v>
      </c>
      <c r="C1689" s="243">
        <f t="shared" si="654"/>
        <v>47026</v>
      </c>
      <c r="D1689" s="120">
        <f t="shared" si="655"/>
        <v>30</v>
      </c>
      <c r="E1689" s="120">
        <f t="shared" si="656"/>
        <v>9</v>
      </c>
      <c r="F1689" s="275">
        <f t="shared" si="657"/>
        <v>47012</v>
      </c>
      <c r="G1689" s="120">
        <f t="shared" si="658"/>
        <v>24344</v>
      </c>
      <c r="H1689" s="245">
        <f t="shared" si="659"/>
        <v>1</v>
      </c>
      <c r="I1689" s="121">
        <f t="shared" si="660"/>
        <v>1.04</v>
      </c>
      <c r="J1689" s="121">
        <f t="shared" si="661"/>
        <v>1.04</v>
      </c>
      <c r="K1689" s="120">
        <f t="shared" si="662"/>
        <v>0</v>
      </c>
      <c r="L1689" s="120">
        <f t="shared" si="663"/>
        <v>0</v>
      </c>
      <c r="M1689" s="246">
        <f t="shared" si="664"/>
        <v>0</v>
      </c>
      <c r="N1689" s="121">
        <f t="shared" si="665"/>
        <v>1.04</v>
      </c>
      <c r="O1689" s="246">
        <f t="shared" si="666"/>
        <v>0.995</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87">
        <v>46</v>
      </c>
      <c r="B1690" s="242">
        <f t="shared" si="673"/>
        <v>47027</v>
      </c>
      <c r="C1690" s="243">
        <f t="shared" si="654"/>
        <v>47057</v>
      </c>
      <c r="D1690" s="120">
        <f t="shared" si="655"/>
        <v>31</v>
      </c>
      <c r="E1690" s="120">
        <f t="shared" si="656"/>
        <v>10</v>
      </c>
      <c r="F1690" s="275">
        <f t="shared" si="657"/>
        <v>47042.5</v>
      </c>
      <c r="G1690" s="120">
        <f t="shared" si="658"/>
        <v>24345</v>
      </c>
      <c r="H1690" s="245">
        <f t="shared" si="659"/>
        <v>1</v>
      </c>
      <c r="I1690" s="121">
        <f t="shared" si="660"/>
        <v>1.04</v>
      </c>
      <c r="J1690" s="121">
        <f t="shared" si="661"/>
        <v>1.04</v>
      </c>
      <c r="K1690" s="120">
        <f t="shared" si="662"/>
        <v>0</v>
      </c>
      <c r="L1690" s="120">
        <f t="shared" si="663"/>
        <v>0</v>
      </c>
      <c r="M1690" s="246">
        <f t="shared" si="664"/>
        <v>0</v>
      </c>
      <c r="N1690" s="121">
        <f t="shared" si="665"/>
        <v>1.04</v>
      </c>
      <c r="O1690" s="246">
        <f t="shared" si="666"/>
        <v>0.995</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87">
        <v>47</v>
      </c>
      <c r="B1691" s="242">
        <f t="shared" si="673"/>
        <v>47058</v>
      </c>
      <c r="C1691" s="243">
        <f t="shared" si="654"/>
        <v>47087</v>
      </c>
      <c r="D1691" s="120">
        <f t="shared" si="655"/>
        <v>30</v>
      </c>
      <c r="E1691" s="120">
        <f t="shared" si="656"/>
        <v>11</v>
      </c>
      <c r="F1691" s="275">
        <f t="shared" si="657"/>
        <v>47073</v>
      </c>
      <c r="G1691" s="120">
        <f t="shared" si="658"/>
        <v>24346</v>
      </c>
      <c r="H1691" s="245">
        <f t="shared" si="659"/>
        <v>1</v>
      </c>
      <c r="I1691" s="121">
        <f t="shared" si="660"/>
        <v>1.04</v>
      </c>
      <c r="J1691" s="121">
        <f t="shared" si="661"/>
        <v>1.04</v>
      </c>
      <c r="K1691" s="120">
        <f t="shared" si="662"/>
        <v>0</v>
      </c>
      <c r="L1691" s="120">
        <f t="shared" si="663"/>
        <v>0</v>
      </c>
      <c r="M1691" s="246">
        <f t="shared" si="664"/>
        <v>0</v>
      </c>
      <c r="N1691" s="121">
        <f t="shared" si="665"/>
        <v>1.04</v>
      </c>
      <c r="O1691" s="246">
        <f t="shared" si="666"/>
        <v>0.995</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87">
        <v>48</v>
      </c>
      <c r="B1692" s="242">
        <f t="shared" si="673"/>
        <v>47088</v>
      </c>
      <c r="C1692" s="243">
        <f t="shared" si="654"/>
        <v>47118</v>
      </c>
      <c r="D1692" s="120">
        <f t="shared" si="655"/>
        <v>31</v>
      </c>
      <c r="E1692" s="120">
        <f t="shared" si="656"/>
        <v>12</v>
      </c>
      <c r="F1692" s="275">
        <f t="shared" si="657"/>
        <v>47103.5</v>
      </c>
      <c r="G1692" s="120">
        <f t="shared" si="658"/>
        <v>24347</v>
      </c>
      <c r="H1692" s="245">
        <f t="shared" si="659"/>
        <v>1</v>
      </c>
      <c r="I1692" s="121">
        <f t="shared" si="660"/>
        <v>1.04</v>
      </c>
      <c r="J1692" s="121">
        <f t="shared" si="661"/>
        <v>1.04</v>
      </c>
      <c r="K1692" s="120">
        <f t="shared" si="662"/>
        <v>0</v>
      </c>
      <c r="L1692" s="120">
        <f t="shared" si="663"/>
        <v>0</v>
      </c>
      <c r="M1692" s="246">
        <f t="shared" si="664"/>
        <v>0</v>
      </c>
      <c r="N1692" s="121">
        <f t="shared" si="665"/>
        <v>1.04</v>
      </c>
      <c r="O1692" s="246">
        <f t="shared" si="666"/>
        <v>0.995</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1651</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24">
        <f>SUMPRODUCT($H$1645:$H$1692,$Q$1645:$Q$1692,$O$1645:$O$1692)/SUMPRODUCT($H$1645:$H$1692,$Q$1645:$Q$1692)</f>
        <v>0.99099790299051793</v>
      </c>
      <c r="G1693" s="224">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24">
        <f>IF(N(INDEX(lr_mind,31))=0,1,INDEX(lr_mind,31))</f>
        <v>1</v>
      </c>
      <c r="G1696" s="224">
        <f>IF(N(INDEX(lr_m0,31))=0,1,INDEX(lr_m0,31))</f>
        <v>0.99</v>
      </c>
      <c r="H1696" s="74">
        <f>IF(N(INDEX(lr_m0asof,31))=0,DATE(nr_PlanYear-1,10,1),INDEX(lr_m0asof,31))</f>
        <v>46295</v>
      </c>
      <c r="I1696" s="224">
        <f>IF(N(INDEX(lr_m1,31))=0,1,INDEX(lr_m1,31))</f>
        <v>1.01</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74">EOMONTH($B1699,0)</f>
        <v>45688</v>
      </c>
      <c r="D1699" s="120">
        <f t="shared" ref="D1699:D1746" si="675">$C1699-$B1699+1</f>
        <v>31</v>
      </c>
      <c r="E1699" s="120">
        <f t="shared" ref="E1699:E1746" si="676">MONTH($B1699)</f>
        <v>1</v>
      </c>
      <c r="F1699" s="275">
        <f t="shared" ref="F1699:F1746" si="677">($B1699+$C1699+1)/2</f>
        <v>45673.5</v>
      </c>
      <c r="G1699" s="120">
        <f t="shared" ref="G1699:G1746" si="678">YEAR($B1699)*12+MONTH($B1699)-1</f>
        <v>24300</v>
      </c>
      <c r="H1699" s="245">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46">
        <f t="shared" ref="M1699:M1746" si="684">IF($K1699=0,0,MIN(1,$L1699/$D1699))</f>
        <v>0</v>
      </c>
      <c r="N1699" s="121">
        <f t="shared" ref="N1699:N1746" si="685">IF($K1699=0,$J1699,(1-$M1699)*$I1699+$M1699*$J1699)</f>
        <v>1</v>
      </c>
      <c r="O1699" s="246">
        <f t="shared" ref="O1699:O1746" si="686">IF($F1699&lt;$B$1697,$E$1697+$I$1697*($F1699-$A$1697),IF($F1699&lt;$C$1697,$F$1697+$J$1697*($F1699-$B$1697),$G$1697+$K$1697*($F1699-$C$1697)))</f>
        <v>0.96275711159737409</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87">
        <v>2</v>
      </c>
      <c r="B1700" s="242">
        <f t="shared" ref="B1700:B1746" si="693">EDATE($B1699,1)</f>
        <v>45689</v>
      </c>
      <c r="C1700" s="243">
        <f t="shared" si="674"/>
        <v>45716</v>
      </c>
      <c r="D1700" s="120">
        <f t="shared" si="675"/>
        <v>28</v>
      </c>
      <c r="E1700" s="120">
        <f t="shared" si="676"/>
        <v>2</v>
      </c>
      <c r="F1700" s="275">
        <f t="shared" si="677"/>
        <v>45703</v>
      </c>
      <c r="G1700" s="120">
        <f t="shared" si="678"/>
        <v>24301</v>
      </c>
      <c r="H1700" s="245">
        <f t="shared" si="679"/>
        <v>1</v>
      </c>
      <c r="I1700" s="121">
        <f t="shared" si="680"/>
        <v>1</v>
      </c>
      <c r="J1700" s="121">
        <f t="shared" si="681"/>
        <v>1</v>
      </c>
      <c r="K1700" s="120">
        <f t="shared" si="682"/>
        <v>0</v>
      </c>
      <c r="L1700" s="120">
        <f t="shared" si="683"/>
        <v>0</v>
      </c>
      <c r="M1700" s="246">
        <f t="shared" si="684"/>
        <v>0</v>
      </c>
      <c r="N1700" s="121">
        <f t="shared" si="685"/>
        <v>1</v>
      </c>
      <c r="O1700" s="246">
        <f t="shared" si="686"/>
        <v>0.9640481400437636</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87">
        <v>3</v>
      </c>
      <c r="B1701" s="242">
        <f t="shared" si="693"/>
        <v>45717</v>
      </c>
      <c r="C1701" s="243">
        <f t="shared" si="674"/>
        <v>45747</v>
      </c>
      <c r="D1701" s="120">
        <f t="shared" si="675"/>
        <v>31</v>
      </c>
      <c r="E1701" s="120">
        <f t="shared" si="676"/>
        <v>3</v>
      </c>
      <c r="F1701" s="275">
        <f t="shared" si="677"/>
        <v>45732.5</v>
      </c>
      <c r="G1701" s="120">
        <f t="shared" si="678"/>
        <v>24302</v>
      </c>
      <c r="H1701" s="245">
        <f t="shared" si="679"/>
        <v>1</v>
      </c>
      <c r="I1701" s="121">
        <f t="shared" si="680"/>
        <v>1</v>
      </c>
      <c r="J1701" s="121">
        <f t="shared" si="681"/>
        <v>1</v>
      </c>
      <c r="K1701" s="120">
        <f t="shared" si="682"/>
        <v>0</v>
      </c>
      <c r="L1701" s="120">
        <f t="shared" si="683"/>
        <v>0</v>
      </c>
      <c r="M1701" s="246">
        <f t="shared" si="684"/>
        <v>0</v>
      </c>
      <c r="N1701" s="121">
        <f t="shared" si="685"/>
        <v>1</v>
      </c>
      <c r="O1701" s="246">
        <f t="shared" si="686"/>
        <v>0.96533916849015311</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87">
        <v>4</v>
      </c>
      <c r="B1702" s="242">
        <f t="shared" si="693"/>
        <v>45748</v>
      </c>
      <c r="C1702" s="243">
        <f t="shared" si="674"/>
        <v>45777</v>
      </c>
      <c r="D1702" s="120">
        <f t="shared" si="675"/>
        <v>30</v>
      </c>
      <c r="E1702" s="120">
        <f t="shared" si="676"/>
        <v>4</v>
      </c>
      <c r="F1702" s="275">
        <f t="shared" si="677"/>
        <v>45763</v>
      </c>
      <c r="G1702" s="120">
        <f t="shared" si="678"/>
        <v>24303</v>
      </c>
      <c r="H1702" s="245">
        <f t="shared" si="679"/>
        <v>1</v>
      </c>
      <c r="I1702" s="121">
        <f t="shared" si="680"/>
        <v>1</v>
      </c>
      <c r="J1702" s="121">
        <f t="shared" si="681"/>
        <v>1</v>
      </c>
      <c r="K1702" s="120">
        <f t="shared" si="682"/>
        <v>0</v>
      </c>
      <c r="L1702" s="120">
        <f t="shared" si="683"/>
        <v>0</v>
      </c>
      <c r="M1702" s="246">
        <f t="shared" si="684"/>
        <v>0</v>
      </c>
      <c r="N1702" s="121">
        <f t="shared" si="685"/>
        <v>1</v>
      </c>
      <c r="O1702" s="246">
        <f t="shared" si="686"/>
        <v>0.9666739606126914</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87">
        <v>5</v>
      </c>
      <c r="B1703" s="242">
        <f t="shared" si="693"/>
        <v>45778</v>
      </c>
      <c r="C1703" s="243">
        <f t="shared" si="674"/>
        <v>45808</v>
      </c>
      <c r="D1703" s="120">
        <f t="shared" si="675"/>
        <v>31</v>
      </c>
      <c r="E1703" s="120">
        <f t="shared" si="676"/>
        <v>5</v>
      </c>
      <c r="F1703" s="275">
        <f t="shared" si="677"/>
        <v>45793.5</v>
      </c>
      <c r="G1703" s="120">
        <f t="shared" si="678"/>
        <v>24304</v>
      </c>
      <c r="H1703" s="245">
        <f t="shared" si="679"/>
        <v>1</v>
      </c>
      <c r="I1703" s="121">
        <f t="shared" si="680"/>
        <v>1</v>
      </c>
      <c r="J1703" s="121">
        <f t="shared" si="681"/>
        <v>1</v>
      </c>
      <c r="K1703" s="120">
        <f t="shared" si="682"/>
        <v>0</v>
      </c>
      <c r="L1703" s="120">
        <f t="shared" si="683"/>
        <v>0</v>
      </c>
      <c r="M1703" s="246">
        <f t="shared" si="684"/>
        <v>0</v>
      </c>
      <c r="N1703" s="121">
        <f t="shared" si="685"/>
        <v>1</v>
      </c>
      <c r="O1703" s="246">
        <f t="shared" si="686"/>
        <v>0.96800875273522968</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87">
        <v>6</v>
      </c>
      <c r="B1704" s="242">
        <f t="shared" si="693"/>
        <v>45809</v>
      </c>
      <c r="C1704" s="243">
        <f t="shared" si="674"/>
        <v>45838</v>
      </c>
      <c r="D1704" s="120">
        <f t="shared" si="675"/>
        <v>30</v>
      </c>
      <c r="E1704" s="120">
        <f t="shared" si="676"/>
        <v>6</v>
      </c>
      <c r="F1704" s="275">
        <f t="shared" si="677"/>
        <v>45824</v>
      </c>
      <c r="G1704" s="120">
        <f t="shared" si="678"/>
        <v>24305</v>
      </c>
      <c r="H1704" s="245">
        <f t="shared" si="679"/>
        <v>1</v>
      </c>
      <c r="I1704" s="121">
        <f t="shared" si="680"/>
        <v>1</v>
      </c>
      <c r="J1704" s="121">
        <f t="shared" si="681"/>
        <v>1</v>
      </c>
      <c r="K1704" s="120">
        <f t="shared" si="682"/>
        <v>0</v>
      </c>
      <c r="L1704" s="120">
        <f t="shared" si="683"/>
        <v>0</v>
      </c>
      <c r="M1704" s="246">
        <f t="shared" si="684"/>
        <v>0</v>
      </c>
      <c r="N1704" s="121">
        <f t="shared" si="685"/>
        <v>1</v>
      </c>
      <c r="O1704" s="246">
        <f t="shared" si="686"/>
        <v>0.96934354485776797</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87">
        <v>7</v>
      </c>
      <c r="B1705" s="242">
        <f t="shared" si="693"/>
        <v>45839</v>
      </c>
      <c r="C1705" s="243">
        <f t="shared" si="674"/>
        <v>45869</v>
      </c>
      <c r="D1705" s="120">
        <f t="shared" si="675"/>
        <v>31</v>
      </c>
      <c r="E1705" s="120">
        <f t="shared" si="676"/>
        <v>7</v>
      </c>
      <c r="F1705" s="275">
        <f t="shared" si="677"/>
        <v>45854.5</v>
      </c>
      <c r="G1705" s="120">
        <f t="shared" si="678"/>
        <v>24306</v>
      </c>
      <c r="H1705" s="245">
        <f t="shared" si="679"/>
        <v>1</v>
      </c>
      <c r="I1705" s="121">
        <f t="shared" si="680"/>
        <v>1</v>
      </c>
      <c r="J1705" s="121">
        <f t="shared" si="681"/>
        <v>1</v>
      </c>
      <c r="K1705" s="120">
        <f t="shared" si="682"/>
        <v>0</v>
      </c>
      <c r="L1705" s="120">
        <f t="shared" si="683"/>
        <v>0</v>
      </c>
      <c r="M1705" s="246">
        <f t="shared" si="684"/>
        <v>0</v>
      </c>
      <c r="N1705" s="121">
        <f t="shared" si="685"/>
        <v>1</v>
      </c>
      <c r="O1705" s="246">
        <f t="shared" si="686"/>
        <v>0.97067833698030626</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87">
        <v>8</v>
      </c>
      <c r="B1706" s="242">
        <f t="shared" si="693"/>
        <v>45870</v>
      </c>
      <c r="C1706" s="243">
        <f t="shared" si="674"/>
        <v>45900</v>
      </c>
      <c r="D1706" s="120">
        <f t="shared" si="675"/>
        <v>31</v>
      </c>
      <c r="E1706" s="120">
        <f t="shared" si="676"/>
        <v>8</v>
      </c>
      <c r="F1706" s="275">
        <f t="shared" si="677"/>
        <v>45885.5</v>
      </c>
      <c r="G1706" s="120">
        <f t="shared" si="678"/>
        <v>24307</v>
      </c>
      <c r="H1706" s="245">
        <f t="shared" si="679"/>
        <v>1</v>
      </c>
      <c r="I1706" s="121">
        <f t="shared" si="680"/>
        <v>1</v>
      </c>
      <c r="J1706" s="121">
        <f t="shared" si="681"/>
        <v>1</v>
      </c>
      <c r="K1706" s="120">
        <f t="shared" si="682"/>
        <v>0</v>
      </c>
      <c r="L1706" s="120">
        <f t="shared" si="683"/>
        <v>0</v>
      </c>
      <c r="M1706" s="246">
        <f t="shared" si="684"/>
        <v>0</v>
      </c>
      <c r="N1706" s="121">
        <f t="shared" si="685"/>
        <v>1</v>
      </c>
      <c r="O1706" s="246">
        <f t="shared" si="686"/>
        <v>0.97203501094091893</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87">
        <v>9</v>
      </c>
      <c r="B1707" s="242">
        <f t="shared" si="693"/>
        <v>45901</v>
      </c>
      <c r="C1707" s="243">
        <f t="shared" si="674"/>
        <v>45930</v>
      </c>
      <c r="D1707" s="120">
        <f t="shared" si="675"/>
        <v>30</v>
      </c>
      <c r="E1707" s="120">
        <f t="shared" si="676"/>
        <v>9</v>
      </c>
      <c r="F1707" s="275">
        <f t="shared" si="677"/>
        <v>45916</v>
      </c>
      <c r="G1707" s="120">
        <f t="shared" si="678"/>
        <v>24308</v>
      </c>
      <c r="H1707" s="245">
        <f t="shared" si="679"/>
        <v>1</v>
      </c>
      <c r="I1707" s="121">
        <f t="shared" si="680"/>
        <v>1</v>
      </c>
      <c r="J1707" s="121">
        <f t="shared" si="681"/>
        <v>1</v>
      </c>
      <c r="K1707" s="120">
        <f t="shared" si="682"/>
        <v>0</v>
      </c>
      <c r="L1707" s="120">
        <f t="shared" si="683"/>
        <v>0</v>
      </c>
      <c r="M1707" s="246">
        <f t="shared" si="684"/>
        <v>0</v>
      </c>
      <c r="N1707" s="121">
        <f t="shared" si="685"/>
        <v>1</v>
      </c>
      <c r="O1707" s="246">
        <f t="shared" si="686"/>
        <v>0.97336980306345722</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87">
        <v>10</v>
      </c>
      <c r="B1708" s="242">
        <f t="shared" si="693"/>
        <v>45931</v>
      </c>
      <c r="C1708" s="243">
        <f t="shared" si="674"/>
        <v>45961</v>
      </c>
      <c r="D1708" s="120">
        <f t="shared" si="675"/>
        <v>31</v>
      </c>
      <c r="E1708" s="120">
        <f t="shared" si="676"/>
        <v>10</v>
      </c>
      <c r="F1708" s="275">
        <f t="shared" si="677"/>
        <v>45946.5</v>
      </c>
      <c r="G1708" s="120">
        <f t="shared" si="678"/>
        <v>24309</v>
      </c>
      <c r="H1708" s="245">
        <f t="shared" si="679"/>
        <v>1</v>
      </c>
      <c r="I1708" s="121">
        <f t="shared" si="680"/>
        <v>1</v>
      </c>
      <c r="J1708" s="121">
        <f t="shared" si="681"/>
        <v>1</v>
      </c>
      <c r="K1708" s="120">
        <f t="shared" si="682"/>
        <v>0</v>
      </c>
      <c r="L1708" s="120">
        <f t="shared" si="683"/>
        <v>0</v>
      </c>
      <c r="M1708" s="246">
        <f t="shared" si="684"/>
        <v>0</v>
      </c>
      <c r="N1708" s="121">
        <f t="shared" si="685"/>
        <v>1</v>
      </c>
      <c r="O1708" s="246">
        <f t="shared" si="686"/>
        <v>0.97470459518599561</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87">
        <v>11</v>
      </c>
      <c r="B1709" s="242">
        <f t="shared" si="693"/>
        <v>45962</v>
      </c>
      <c r="C1709" s="243">
        <f t="shared" si="674"/>
        <v>45991</v>
      </c>
      <c r="D1709" s="120">
        <f t="shared" si="675"/>
        <v>30</v>
      </c>
      <c r="E1709" s="120">
        <f t="shared" si="676"/>
        <v>11</v>
      </c>
      <c r="F1709" s="275">
        <f t="shared" si="677"/>
        <v>45977</v>
      </c>
      <c r="G1709" s="120">
        <f t="shared" si="678"/>
        <v>24310</v>
      </c>
      <c r="H1709" s="245">
        <f t="shared" si="679"/>
        <v>1</v>
      </c>
      <c r="I1709" s="121">
        <f t="shared" si="680"/>
        <v>1</v>
      </c>
      <c r="J1709" s="121">
        <f t="shared" si="681"/>
        <v>1</v>
      </c>
      <c r="K1709" s="120">
        <f t="shared" si="682"/>
        <v>0</v>
      </c>
      <c r="L1709" s="120">
        <f t="shared" si="683"/>
        <v>0</v>
      </c>
      <c r="M1709" s="246">
        <f t="shared" si="684"/>
        <v>0</v>
      </c>
      <c r="N1709" s="121">
        <f t="shared" si="685"/>
        <v>1</v>
      </c>
      <c r="O1709" s="246">
        <f t="shared" si="686"/>
        <v>0.9760393873085339</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87">
        <v>12</v>
      </c>
      <c r="B1710" s="242">
        <f t="shared" si="693"/>
        <v>45992</v>
      </c>
      <c r="C1710" s="243">
        <f t="shared" si="674"/>
        <v>46022</v>
      </c>
      <c r="D1710" s="120">
        <f t="shared" si="675"/>
        <v>31</v>
      </c>
      <c r="E1710" s="120">
        <f t="shared" si="676"/>
        <v>12</v>
      </c>
      <c r="F1710" s="275">
        <f t="shared" si="677"/>
        <v>46007.5</v>
      </c>
      <c r="G1710" s="120">
        <f t="shared" si="678"/>
        <v>24311</v>
      </c>
      <c r="H1710" s="245">
        <f t="shared" si="679"/>
        <v>1</v>
      </c>
      <c r="I1710" s="121">
        <f t="shared" si="680"/>
        <v>1</v>
      </c>
      <c r="J1710" s="121">
        <f t="shared" si="681"/>
        <v>1</v>
      </c>
      <c r="K1710" s="120">
        <f t="shared" si="682"/>
        <v>0</v>
      </c>
      <c r="L1710" s="120">
        <f t="shared" si="683"/>
        <v>0</v>
      </c>
      <c r="M1710" s="246">
        <f t="shared" si="684"/>
        <v>0</v>
      </c>
      <c r="N1710" s="121">
        <f t="shared" si="685"/>
        <v>1</v>
      </c>
      <c r="O1710" s="246">
        <f t="shared" si="686"/>
        <v>0.97737417943107219</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87">
        <v>13</v>
      </c>
      <c r="B1711" s="242">
        <f t="shared" si="693"/>
        <v>46023</v>
      </c>
      <c r="C1711" s="243">
        <f t="shared" si="674"/>
        <v>46053</v>
      </c>
      <c r="D1711" s="120">
        <f t="shared" si="675"/>
        <v>31</v>
      </c>
      <c r="E1711" s="120">
        <f t="shared" si="676"/>
        <v>1</v>
      </c>
      <c r="F1711" s="275">
        <f t="shared" si="677"/>
        <v>46038.5</v>
      </c>
      <c r="G1711" s="120">
        <f t="shared" si="678"/>
        <v>24312</v>
      </c>
      <c r="H1711" s="245">
        <f t="shared" si="679"/>
        <v>1</v>
      </c>
      <c r="I1711" s="121">
        <f t="shared" si="680"/>
        <v>1</v>
      </c>
      <c r="J1711" s="121">
        <f t="shared" si="681"/>
        <v>1</v>
      </c>
      <c r="K1711" s="120">
        <f t="shared" si="682"/>
        <v>0</v>
      </c>
      <c r="L1711" s="120">
        <f t="shared" si="683"/>
        <v>0</v>
      </c>
      <c r="M1711" s="246">
        <f t="shared" si="684"/>
        <v>0</v>
      </c>
      <c r="N1711" s="121">
        <f t="shared" si="685"/>
        <v>1</v>
      </c>
      <c r="O1711" s="246">
        <f t="shared" si="686"/>
        <v>0.97873085339168486</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87">
        <v>14</v>
      </c>
      <c r="B1712" s="242">
        <f t="shared" si="693"/>
        <v>46054</v>
      </c>
      <c r="C1712" s="243">
        <f t="shared" si="674"/>
        <v>46081</v>
      </c>
      <c r="D1712" s="120">
        <f t="shared" si="675"/>
        <v>28</v>
      </c>
      <c r="E1712" s="120">
        <f t="shared" si="676"/>
        <v>2</v>
      </c>
      <c r="F1712" s="275">
        <f t="shared" si="677"/>
        <v>46068</v>
      </c>
      <c r="G1712" s="120">
        <f t="shared" si="678"/>
        <v>24313</v>
      </c>
      <c r="H1712" s="245">
        <f t="shared" si="679"/>
        <v>1</v>
      </c>
      <c r="I1712" s="121">
        <f t="shared" si="680"/>
        <v>1</v>
      </c>
      <c r="J1712" s="121">
        <f t="shared" si="681"/>
        <v>1</v>
      </c>
      <c r="K1712" s="120">
        <f t="shared" si="682"/>
        <v>0</v>
      </c>
      <c r="L1712" s="120">
        <f t="shared" si="683"/>
        <v>0</v>
      </c>
      <c r="M1712" s="246">
        <f t="shared" si="684"/>
        <v>0</v>
      </c>
      <c r="N1712" s="121">
        <f t="shared" si="685"/>
        <v>1</v>
      </c>
      <c r="O1712" s="246">
        <f t="shared" si="686"/>
        <v>0.98002188183807437</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87">
        <v>15</v>
      </c>
      <c r="B1713" s="242">
        <f t="shared" si="693"/>
        <v>46082</v>
      </c>
      <c r="C1713" s="243">
        <f t="shared" si="674"/>
        <v>46112</v>
      </c>
      <c r="D1713" s="120">
        <f t="shared" si="675"/>
        <v>31</v>
      </c>
      <c r="E1713" s="120">
        <f t="shared" si="676"/>
        <v>3</v>
      </c>
      <c r="F1713" s="275">
        <f t="shared" si="677"/>
        <v>46097.5</v>
      </c>
      <c r="G1713" s="120">
        <f t="shared" si="678"/>
        <v>24314</v>
      </c>
      <c r="H1713" s="245">
        <f t="shared" si="679"/>
        <v>1</v>
      </c>
      <c r="I1713" s="121">
        <f t="shared" si="680"/>
        <v>1</v>
      </c>
      <c r="J1713" s="121">
        <f t="shared" si="681"/>
        <v>1</v>
      </c>
      <c r="K1713" s="120">
        <f t="shared" si="682"/>
        <v>0</v>
      </c>
      <c r="L1713" s="120">
        <f t="shared" si="683"/>
        <v>0</v>
      </c>
      <c r="M1713" s="246">
        <f t="shared" si="684"/>
        <v>0</v>
      </c>
      <c r="N1713" s="121">
        <f t="shared" si="685"/>
        <v>1</v>
      </c>
      <c r="O1713" s="246">
        <f t="shared" si="686"/>
        <v>0.98131291028446388</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87">
        <v>16</v>
      </c>
      <c r="B1714" s="242">
        <f t="shared" si="693"/>
        <v>46113</v>
      </c>
      <c r="C1714" s="243">
        <f t="shared" si="674"/>
        <v>46142</v>
      </c>
      <c r="D1714" s="120">
        <f t="shared" si="675"/>
        <v>30</v>
      </c>
      <c r="E1714" s="120">
        <f t="shared" si="676"/>
        <v>4</v>
      </c>
      <c r="F1714" s="275">
        <f t="shared" si="677"/>
        <v>46128</v>
      </c>
      <c r="G1714" s="120">
        <f t="shared" si="678"/>
        <v>24315</v>
      </c>
      <c r="H1714" s="245">
        <f t="shared" si="679"/>
        <v>1</v>
      </c>
      <c r="I1714" s="121">
        <f t="shared" si="680"/>
        <v>1</v>
      </c>
      <c r="J1714" s="121">
        <f t="shared" si="681"/>
        <v>1</v>
      </c>
      <c r="K1714" s="120">
        <f t="shared" si="682"/>
        <v>0</v>
      </c>
      <c r="L1714" s="120">
        <f t="shared" si="683"/>
        <v>0</v>
      </c>
      <c r="M1714" s="246">
        <f t="shared" si="684"/>
        <v>0</v>
      </c>
      <c r="N1714" s="121">
        <f t="shared" si="685"/>
        <v>1</v>
      </c>
      <c r="O1714" s="246">
        <f t="shared" si="686"/>
        <v>0.98264770240700217</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87">
        <v>17</v>
      </c>
      <c r="B1715" s="242">
        <f t="shared" si="693"/>
        <v>46143</v>
      </c>
      <c r="C1715" s="243">
        <f t="shared" si="674"/>
        <v>46173</v>
      </c>
      <c r="D1715" s="120">
        <f t="shared" si="675"/>
        <v>31</v>
      </c>
      <c r="E1715" s="120">
        <f t="shared" si="676"/>
        <v>5</v>
      </c>
      <c r="F1715" s="275">
        <f t="shared" si="677"/>
        <v>46158.5</v>
      </c>
      <c r="G1715" s="120">
        <f t="shared" si="678"/>
        <v>24316</v>
      </c>
      <c r="H1715" s="245">
        <f t="shared" si="679"/>
        <v>1</v>
      </c>
      <c r="I1715" s="121">
        <f t="shared" si="680"/>
        <v>1</v>
      </c>
      <c r="J1715" s="121">
        <f t="shared" si="681"/>
        <v>1</v>
      </c>
      <c r="K1715" s="120">
        <f t="shared" si="682"/>
        <v>0</v>
      </c>
      <c r="L1715" s="120">
        <f t="shared" si="683"/>
        <v>0</v>
      </c>
      <c r="M1715" s="246">
        <f t="shared" si="684"/>
        <v>0</v>
      </c>
      <c r="N1715" s="121">
        <f t="shared" si="685"/>
        <v>1</v>
      </c>
      <c r="O1715" s="246">
        <f t="shared" si="686"/>
        <v>0.98398249452954045</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87">
        <v>18</v>
      </c>
      <c r="B1716" s="242">
        <f t="shared" si="693"/>
        <v>46174</v>
      </c>
      <c r="C1716" s="243">
        <f t="shared" si="674"/>
        <v>46203</v>
      </c>
      <c r="D1716" s="120">
        <f t="shared" si="675"/>
        <v>30</v>
      </c>
      <c r="E1716" s="120">
        <f t="shared" si="676"/>
        <v>6</v>
      </c>
      <c r="F1716" s="275">
        <f t="shared" si="677"/>
        <v>46189</v>
      </c>
      <c r="G1716" s="120">
        <f t="shared" si="678"/>
        <v>24317</v>
      </c>
      <c r="H1716" s="245">
        <f t="shared" si="679"/>
        <v>1</v>
      </c>
      <c r="I1716" s="121">
        <f t="shared" si="680"/>
        <v>1</v>
      </c>
      <c r="J1716" s="121">
        <f t="shared" si="681"/>
        <v>1</v>
      </c>
      <c r="K1716" s="120">
        <f t="shared" si="682"/>
        <v>0</v>
      </c>
      <c r="L1716" s="120">
        <f t="shared" si="683"/>
        <v>0</v>
      </c>
      <c r="M1716" s="246">
        <f t="shared" si="684"/>
        <v>0</v>
      </c>
      <c r="N1716" s="121">
        <f t="shared" si="685"/>
        <v>1</v>
      </c>
      <c r="O1716" s="246">
        <f t="shared" si="686"/>
        <v>0.98531728665207874</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87">
        <v>19</v>
      </c>
      <c r="B1717" s="242">
        <f t="shared" si="693"/>
        <v>46204</v>
      </c>
      <c r="C1717" s="243">
        <f t="shared" si="674"/>
        <v>46234</v>
      </c>
      <c r="D1717" s="120">
        <f t="shared" si="675"/>
        <v>31</v>
      </c>
      <c r="E1717" s="120">
        <f t="shared" si="676"/>
        <v>7</v>
      </c>
      <c r="F1717" s="275">
        <f t="shared" si="677"/>
        <v>46219.5</v>
      </c>
      <c r="G1717" s="120">
        <f t="shared" si="678"/>
        <v>24318</v>
      </c>
      <c r="H1717" s="245">
        <f t="shared" si="679"/>
        <v>1</v>
      </c>
      <c r="I1717" s="121">
        <f t="shared" si="680"/>
        <v>1</v>
      </c>
      <c r="J1717" s="121">
        <f t="shared" si="681"/>
        <v>1.02</v>
      </c>
      <c r="K1717" s="120">
        <f t="shared" si="682"/>
        <v>1</v>
      </c>
      <c r="L1717" s="120">
        <f t="shared" si="683"/>
        <v>31</v>
      </c>
      <c r="M1717" s="246">
        <f t="shared" si="684"/>
        <v>1</v>
      </c>
      <c r="N1717" s="121">
        <f t="shared" si="685"/>
        <v>1.02</v>
      </c>
      <c r="O1717" s="246">
        <f t="shared" si="686"/>
        <v>0.98665207877461703</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87">
        <v>20</v>
      </c>
      <c r="B1718" s="242">
        <f t="shared" si="693"/>
        <v>46235</v>
      </c>
      <c r="C1718" s="243">
        <f t="shared" si="674"/>
        <v>46265</v>
      </c>
      <c r="D1718" s="120">
        <f t="shared" si="675"/>
        <v>31</v>
      </c>
      <c r="E1718" s="120">
        <f t="shared" si="676"/>
        <v>8</v>
      </c>
      <c r="F1718" s="275">
        <f t="shared" si="677"/>
        <v>46250.5</v>
      </c>
      <c r="G1718" s="120">
        <f t="shared" si="678"/>
        <v>24319</v>
      </c>
      <c r="H1718" s="245">
        <f t="shared" si="679"/>
        <v>1</v>
      </c>
      <c r="I1718" s="121">
        <f t="shared" si="680"/>
        <v>1.02</v>
      </c>
      <c r="J1718" s="121">
        <f t="shared" si="681"/>
        <v>1.02</v>
      </c>
      <c r="K1718" s="120">
        <f t="shared" si="682"/>
        <v>0</v>
      </c>
      <c r="L1718" s="120">
        <f t="shared" si="683"/>
        <v>0</v>
      </c>
      <c r="M1718" s="246">
        <f t="shared" si="684"/>
        <v>0</v>
      </c>
      <c r="N1718" s="121">
        <f t="shared" si="685"/>
        <v>1.02</v>
      </c>
      <c r="O1718" s="246">
        <f t="shared" si="686"/>
        <v>0.9880087527352297</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87">
        <v>21</v>
      </c>
      <c r="B1719" s="242">
        <f t="shared" si="693"/>
        <v>46266</v>
      </c>
      <c r="C1719" s="243">
        <f t="shared" si="674"/>
        <v>46295</v>
      </c>
      <c r="D1719" s="120">
        <f t="shared" si="675"/>
        <v>30</v>
      </c>
      <c r="E1719" s="120">
        <f t="shared" si="676"/>
        <v>9</v>
      </c>
      <c r="F1719" s="275">
        <f t="shared" si="677"/>
        <v>46281</v>
      </c>
      <c r="G1719" s="120">
        <f t="shared" si="678"/>
        <v>24320</v>
      </c>
      <c r="H1719" s="245">
        <f t="shared" si="679"/>
        <v>1</v>
      </c>
      <c r="I1719" s="121">
        <f t="shared" si="680"/>
        <v>1.02</v>
      </c>
      <c r="J1719" s="121">
        <f t="shared" si="681"/>
        <v>1.02</v>
      </c>
      <c r="K1719" s="120">
        <f t="shared" si="682"/>
        <v>0</v>
      </c>
      <c r="L1719" s="120">
        <f t="shared" si="683"/>
        <v>0</v>
      </c>
      <c r="M1719" s="246">
        <f t="shared" si="684"/>
        <v>0</v>
      </c>
      <c r="N1719" s="121">
        <f t="shared" si="685"/>
        <v>1.02</v>
      </c>
      <c r="O1719" s="246">
        <f t="shared" si="686"/>
        <v>0.98934354485776799</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87">
        <v>22</v>
      </c>
      <c r="B1720" s="242">
        <f t="shared" si="693"/>
        <v>46296</v>
      </c>
      <c r="C1720" s="243">
        <f t="shared" si="674"/>
        <v>46326</v>
      </c>
      <c r="D1720" s="120">
        <f t="shared" si="675"/>
        <v>31</v>
      </c>
      <c r="E1720" s="120">
        <f t="shared" si="676"/>
        <v>10</v>
      </c>
      <c r="F1720" s="275">
        <f t="shared" si="677"/>
        <v>46311.5</v>
      </c>
      <c r="G1720" s="120">
        <f t="shared" si="678"/>
        <v>24321</v>
      </c>
      <c r="H1720" s="245">
        <f t="shared" si="679"/>
        <v>1</v>
      </c>
      <c r="I1720" s="121">
        <f t="shared" si="680"/>
        <v>1.02</v>
      </c>
      <c r="J1720" s="121">
        <f t="shared" si="681"/>
        <v>1.02</v>
      </c>
      <c r="K1720" s="120">
        <f t="shared" si="682"/>
        <v>0</v>
      </c>
      <c r="L1720" s="120">
        <f t="shared" si="683"/>
        <v>0</v>
      </c>
      <c r="M1720" s="246">
        <f t="shared" si="684"/>
        <v>0</v>
      </c>
      <c r="N1720" s="121">
        <f t="shared" si="685"/>
        <v>1.02</v>
      </c>
      <c r="O1720" s="246">
        <f t="shared" si="686"/>
        <v>0.99067833698030638</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87">
        <v>23</v>
      </c>
      <c r="B1721" s="242">
        <f t="shared" si="693"/>
        <v>46327</v>
      </c>
      <c r="C1721" s="243">
        <f t="shared" si="674"/>
        <v>46356</v>
      </c>
      <c r="D1721" s="120">
        <f t="shared" si="675"/>
        <v>30</v>
      </c>
      <c r="E1721" s="120">
        <f t="shared" si="676"/>
        <v>11</v>
      </c>
      <c r="F1721" s="275">
        <f t="shared" si="677"/>
        <v>46342</v>
      </c>
      <c r="G1721" s="120">
        <f t="shared" si="678"/>
        <v>24322</v>
      </c>
      <c r="H1721" s="245">
        <f t="shared" si="679"/>
        <v>1</v>
      </c>
      <c r="I1721" s="121">
        <f t="shared" si="680"/>
        <v>1.02</v>
      </c>
      <c r="J1721" s="121">
        <f t="shared" si="681"/>
        <v>1.02</v>
      </c>
      <c r="K1721" s="120">
        <f t="shared" si="682"/>
        <v>0</v>
      </c>
      <c r="L1721" s="120">
        <f t="shared" si="683"/>
        <v>0</v>
      </c>
      <c r="M1721" s="246">
        <f t="shared" si="684"/>
        <v>0</v>
      </c>
      <c r="N1721" s="121">
        <f t="shared" si="685"/>
        <v>1.02</v>
      </c>
      <c r="O1721" s="246">
        <f t="shared" si="686"/>
        <v>0.99201312910284467</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87">
        <v>24</v>
      </c>
      <c r="B1722" s="242">
        <f t="shared" si="693"/>
        <v>46357</v>
      </c>
      <c r="C1722" s="243">
        <f t="shared" si="674"/>
        <v>46387</v>
      </c>
      <c r="D1722" s="120">
        <f t="shared" si="675"/>
        <v>31</v>
      </c>
      <c r="E1722" s="120">
        <f t="shared" si="676"/>
        <v>12</v>
      </c>
      <c r="F1722" s="275">
        <f t="shared" si="677"/>
        <v>46372.5</v>
      </c>
      <c r="G1722" s="120">
        <f t="shared" si="678"/>
        <v>24323</v>
      </c>
      <c r="H1722" s="245">
        <f t="shared" si="679"/>
        <v>1</v>
      </c>
      <c r="I1722" s="121">
        <f t="shared" si="680"/>
        <v>1.02</v>
      </c>
      <c r="J1722" s="121">
        <f t="shared" si="681"/>
        <v>1.02</v>
      </c>
      <c r="K1722" s="120">
        <f t="shared" si="682"/>
        <v>0</v>
      </c>
      <c r="L1722" s="120">
        <f t="shared" si="683"/>
        <v>0</v>
      </c>
      <c r="M1722" s="246">
        <f t="shared" si="684"/>
        <v>0</v>
      </c>
      <c r="N1722" s="121">
        <f t="shared" si="685"/>
        <v>1.02</v>
      </c>
      <c r="O1722" s="246">
        <f t="shared" si="686"/>
        <v>0.99334792122538296</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87">
        <v>25</v>
      </c>
      <c r="B1723" s="242">
        <f t="shared" si="693"/>
        <v>46388</v>
      </c>
      <c r="C1723" s="243">
        <f t="shared" si="674"/>
        <v>46418</v>
      </c>
      <c r="D1723" s="120">
        <f t="shared" si="675"/>
        <v>31</v>
      </c>
      <c r="E1723" s="120">
        <f t="shared" si="676"/>
        <v>1</v>
      </c>
      <c r="F1723" s="275">
        <f t="shared" si="677"/>
        <v>46403.5</v>
      </c>
      <c r="G1723" s="120">
        <f t="shared" si="678"/>
        <v>24324</v>
      </c>
      <c r="H1723" s="245">
        <f t="shared" si="679"/>
        <v>1</v>
      </c>
      <c r="I1723" s="121">
        <f t="shared" si="680"/>
        <v>1.02</v>
      </c>
      <c r="J1723" s="121">
        <f t="shared" si="681"/>
        <v>1.02</v>
      </c>
      <c r="K1723" s="120">
        <f t="shared" si="682"/>
        <v>0</v>
      </c>
      <c r="L1723" s="120">
        <f t="shared" si="683"/>
        <v>0</v>
      </c>
      <c r="M1723" s="246">
        <f t="shared" si="684"/>
        <v>0</v>
      </c>
      <c r="N1723" s="121">
        <f t="shared" si="685"/>
        <v>1.02</v>
      </c>
      <c r="O1723" s="246">
        <f t="shared" si="686"/>
        <v>0.99470459518599563</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87">
        <v>26</v>
      </c>
      <c r="B1724" s="242">
        <f t="shared" si="693"/>
        <v>46419</v>
      </c>
      <c r="C1724" s="243">
        <f t="shared" si="674"/>
        <v>46446</v>
      </c>
      <c r="D1724" s="120">
        <f t="shared" si="675"/>
        <v>28</v>
      </c>
      <c r="E1724" s="120">
        <f t="shared" si="676"/>
        <v>2</v>
      </c>
      <c r="F1724" s="275">
        <f t="shared" si="677"/>
        <v>46433</v>
      </c>
      <c r="G1724" s="120">
        <f t="shared" si="678"/>
        <v>24325</v>
      </c>
      <c r="H1724" s="245">
        <f t="shared" si="679"/>
        <v>1</v>
      </c>
      <c r="I1724" s="121">
        <f t="shared" si="680"/>
        <v>1.02</v>
      </c>
      <c r="J1724" s="121">
        <f t="shared" si="681"/>
        <v>1.02</v>
      </c>
      <c r="K1724" s="120">
        <f t="shared" si="682"/>
        <v>0</v>
      </c>
      <c r="L1724" s="120">
        <f t="shared" si="683"/>
        <v>0</v>
      </c>
      <c r="M1724" s="246">
        <f t="shared" si="684"/>
        <v>0</v>
      </c>
      <c r="N1724" s="121">
        <f t="shared" si="685"/>
        <v>1.02</v>
      </c>
      <c r="O1724" s="246">
        <f t="shared" si="686"/>
        <v>0.99599562363238514</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87">
        <v>27</v>
      </c>
      <c r="B1725" s="242">
        <f t="shared" si="693"/>
        <v>46447</v>
      </c>
      <c r="C1725" s="243">
        <f t="shared" si="674"/>
        <v>46477</v>
      </c>
      <c r="D1725" s="120">
        <f t="shared" si="675"/>
        <v>31</v>
      </c>
      <c r="E1725" s="120">
        <f t="shared" si="676"/>
        <v>3</v>
      </c>
      <c r="F1725" s="275">
        <f t="shared" si="677"/>
        <v>46462.5</v>
      </c>
      <c r="G1725" s="120">
        <f t="shared" si="678"/>
        <v>24326</v>
      </c>
      <c r="H1725" s="245">
        <f t="shared" si="679"/>
        <v>1</v>
      </c>
      <c r="I1725" s="121">
        <f t="shared" si="680"/>
        <v>1.02</v>
      </c>
      <c r="J1725" s="121">
        <f t="shared" si="681"/>
        <v>1.02</v>
      </c>
      <c r="K1725" s="120">
        <f t="shared" si="682"/>
        <v>0</v>
      </c>
      <c r="L1725" s="120">
        <f t="shared" si="683"/>
        <v>0</v>
      </c>
      <c r="M1725" s="246">
        <f t="shared" si="684"/>
        <v>0</v>
      </c>
      <c r="N1725" s="121">
        <f t="shared" si="685"/>
        <v>1.02</v>
      </c>
      <c r="O1725" s="246">
        <f t="shared" si="686"/>
        <v>0.99728665207877465</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87">
        <v>28</v>
      </c>
      <c r="B1726" s="242">
        <f t="shared" si="693"/>
        <v>46478</v>
      </c>
      <c r="C1726" s="243">
        <f t="shared" si="674"/>
        <v>46507</v>
      </c>
      <c r="D1726" s="120">
        <f t="shared" si="675"/>
        <v>30</v>
      </c>
      <c r="E1726" s="120">
        <f t="shared" si="676"/>
        <v>4</v>
      </c>
      <c r="F1726" s="275">
        <f t="shared" si="677"/>
        <v>46493</v>
      </c>
      <c r="G1726" s="120">
        <f t="shared" si="678"/>
        <v>24327</v>
      </c>
      <c r="H1726" s="245">
        <f t="shared" si="679"/>
        <v>1</v>
      </c>
      <c r="I1726" s="121">
        <f t="shared" si="680"/>
        <v>1.02</v>
      </c>
      <c r="J1726" s="121">
        <f t="shared" si="681"/>
        <v>1.02</v>
      </c>
      <c r="K1726" s="120">
        <f t="shared" si="682"/>
        <v>0</v>
      </c>
      <c r="L1726" s="120">
        <f t="shared" si="683"/>
        <v>0</v>
      </c>
      <c r="M1726" s="246">
        <f t="shared" si="684"/>
        <v>0</v>
      </c>
      <c r="N1726" s="121">
        <f t="shared" si="685"/>
        <v>1.02</v>
      </c>
      <c r="O1726" s="246">
        <f t="shared" si="686"/>
        <v>0.99862144420131294</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87">
        <v>29</v>
      </c>
      <c r="B1727" s="242">
        <f t="shared" si="693"/>
        <v>46508</v>
      </c>
      <c r="C1727" s="243">
        <f t="shared" si="674"/>
        <v>46538</v>
      </c>
      <c r="D1727" s="120">
        <f t="shared" si="675"/>
        <v>31</v>
      </c>
      <c r="E1727" s="120">
        <f t="shared" si="676"/>
        <v>5</v>
      </c>
      <c r="F1727" s="275">
        <f t="shared" si="677"/>
        <v>46523.5</v>
      </c>
      <c r="G1727" s="120">
        <f t="shared" si="678"/>
        <v>24328</v>
      </c>
      <c r="H1727" s="245">
        <f t="shared" si="679"/>
        <v>1</v>
      </c>
      <c r="I1727" s="121">
        <f t="shared" si="680"/>
        <v>1.02</v>
      </c>
      <c r="J1727" s="121">
        <f t="shared" si="681"/>
        <v>1.02</v>
      </c>
      <c r="K1727" s="120">
        <f t="shared" si="682"/>
        <v>0</v>
      </c>
      <c r="L1727" s="120">
        <f t="shared" si="683"/>
        <v>0</v>
      </c>
      <c r="M1727" s="246">
        <f t="shared" si="684"/>
        <v>0</v>
      </c>
      <c r="N1727" s="121">
        <f t="shared" si="685"/>
        <v>1.02</v>
      </c>
      <c r="O1727" s="246">
        <f t="shared" si="686"/>
        <v>0.99995623632385122</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87">
        <v>30</v>
      </c>
      <c r="B1728" s="242">
        <f t="shared" si="693"/>
        <v>46539</v>
      </c>
      <c r="C1728" s="243">
        <f t="shared" si="674"/>
        <v>46568</v>
      </c>
      <c r="D1728" s="120">
        <f t="shared" si="675"/>
        <v>30</v>
      </c>
      <c r="E1728" s="120">
        <f t="shared" si="676"/>
        <v>6</v>
      </c>
      <c r="F1728" s="275">
        <f t="shared" si="677"/>
        <v>46554</v>
      </c>
      <c r="G1728" s="120">
        <f t="shared" si="678"/>
        <v>24329</v>
      </c>
      <c r="H1728" s="245">
        <f t="shared" si="679"/>
        <v>1</v>
      </c>
      <c r="I1728" s="121">
        <f t="shared" si="680"/>
        <v>1.02</v>
      </c>
      <c r="J1728" s="121">
        <f t="shared" si="681"/>
        <v>1.02</v>
      </c>
      <c r="K1728" s="120">
        <f t="shared" si="682"/>
        <v>0</v>
      </c>
      <c r="L1728" s="120">
        <f t="shared" si="683"/>
        <v>0</v>
      </c>
      <c r="M1728" s="246">
        <f t="shared" si="684"/>
        <v>0</v>
      </c>
      <c r="N1728" s="121">
        <f t="shared" si="685"/>
        <v>1.02</v>
      </c>
      <c r="O1728" s="246">
        <f t="shared" si="686"/>
        <v>1.0012910284463894</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87">
        <v>31</v>
      </c>
      <c r="B1729" s="242">
        <f t="shared" si="693"/>
        <v>46569</v>
      </c>
      <c r="C1729" s="243">
        <f t="shared" si="674"/>
        <v>46599</v>
      </c>
      <c r="D1729" s="120">
        <f t="shared" si="675"/>
        <v>31</v>
      </c>
      <c r="E1729" s="120">
        <f t="shared" si="676"/>
        <v>7</v>
      </c>
      <c r="F1729" s="275">
        <f t="shared" si="677"/>
        <v>46584.5</v>
      </c>
      <c r="G1729" s="120">
        <f t="shared" si="678"/>
        <v>24330</v>
      </c>
      <c r="H1729" s="245">
        <f t="shared" si="679"/>
        <v>1</v>
      </c>
      <c r="I1729" s="121">
        <f t="shared" si="680"/>
        <v>1.02</v>
      </c>
      <c r="J1729" s="121">
        <f t="shared" si="681"/>
        <v>1.02</v>
      </c>
      <c r="K1729" s="120">
        <f t="shared" si="682"/>
        <v>0</v>
      </c>
      <c r="L1729" s="120">
        <f t="shared" si="683"/>
        <v>0</v>
      </c>
      <c r="M1729" s="246">
        <f t="shared" si="684"/>
        <v>0</v>
      </c>
      <c r="N1729" s="121">
        <f t="shared" si="685"/>
        <v>1.02</v>
      </c>
      <c r="O1729" s="246">
        <f t="shared" si="686"/>
        <v>1.0026258205689278</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87">
        <v>32</v>
      </c>
      <c r="B1730" s="242">
        <f t="shared" si="693"/>
        <v>46600</v>
      </c>
      <c r="C1730" s="243">
        <f t="shared" si="674"/>
        <v>46630</v>
      </c>
      <c r="D1730" s="120">
        <f t="shared" si="675"/>
        <v>31</v>
      </c>
      <c r="E1730" s="120">
        <f t="shared" si="676"/>
        <v>8</v>
      </c>
      <c r="F1730" s="275">
        <f t="shared" si="677"/>
        <v>46615.5</v>
      </c>
      <c r="G1730" s="120">
        <f t="shared" si="678"/>
        <v>24331</v>
      </c>
      <c r="H1730" s="245">
        <f t="shared" si="679"/>
        <v>1</v>
      </c>
      <c r="I1730" s="121">
        <f t="shared" si="680"/>
        <v>1.02</v>
      </c>
      <c r="J1730" s="121">
        <f t="shared" si="681"/>
        <v>1.02</v>
      </c>
      <c r="K1730" s="120">
        <f t="shared" si="682"/>
        <v>0</v>
      </c>
      <c r="L1730" s="120">
        <f t="shared" si="683"/>
        <v>0</v>
      </c>
      <c r="M1730" s="246">
        <f t="shared" si="684"/>
        <v>0</v>
      </c>
      <c r="N1730" s="121">
        <f t="shared" si="685"/>
        <v>1.02</v>
      </c>
      <c r="O1730" s="246">
        <f t="shared" si="686"/>
        <v>1.0039824945295406</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87">
        <v>33</v>
      </c>
      <c r="B1731" s="242">
        <f t="shared" si="693"/>
        <v>46631</v>
      </c>
      <c r="C1731" s="243">
        <f t="shared" si="674"/>
        <v>46660</v>
      </c>
      <c r="D1731" s="120">
        <f t="shared" si="675"/>
        <v>30</v>
      </c>
      <c r="E1731" s="120">
        <f t="shared" si="676"/>
        <v>9</v>
      </c>
      <c r="F1731" s="275">
        <f t="shared" si="677"/>
        <v>46646</v>
      </c>
      <c r="G1731" s="120">
        <f t="shared" si="678"/>
        <v>24332</v>
      </c>
      <c r="H1731" s="245">
        <f t="shared" si="679"/>
        <v>1</v>
      </c>
      <c r="I1731" s="121">
        <f t="shared" si="680"/>
        <v>1.02</v>
      </c>
      <c r="J1731" s="121">
        <f t="shared" si="681"/>
        <v>1.02</v>
      </c>
      <c r="K1731" s="120">
        <f t="shared" si="682"/>
        <v>0</v>
      </c>
      <c r="L1731" s="120">
        <f t="shared" si="683"/>
        <v>0</v>
      </c>
      <c r="M1731" s="246">
        <f t="shared" si="684"/>
        <v>0</v>
      </c>
      <c r="N1731" s="121">
        <f t="shared" si="685"/>
        <v>1.02</v>
      </c>
      <c r="O1731" s="246">
        <f t="shared" si="686"/>
        <v>1.0053172866520788</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87">
        <v>34</v>
      </c>
      <c r="B1732" s="242">
        <f t="shared" si="693"/>
        <v>46661</v>
      </c>
      <c r="C1732" s="243">
        <f t="shared" si="674"/>
        <v>46691</v>
      </c>
      <c r="D1732" s="120">
        <f t="shared" si="675"/>
        <v>31</v>
      </c>
      <c r="E1732" s="120">
        <f t="shared" si="676"/>
        <v>10</v>
      </c>
      <c r="F1732" s="275">
        <f t="shared" si="677"/>
        <v>46676.5</v>
      </c>
      <c r="G1732" s="120">
        <f t="shared" si="678"/>
        <v>24333</v>
      </c>
      <c r="H1732" s="245">
        <f t="shared" si="679"/>
        <v>1</v>
      </c>
      <c r="I1732" s="121">
        <f t="shared" si="680"/>
        <v>1.02</v>
      </c>
      <c r="J1732" s="121">
        <f t="shared" si="681"/>
        <v>1.02</v>
      </c>
      <c r="K1732" s="120">
        <f t="shared" si="682"/>
        <v>0</v>
      </c>
      <c r="L1732" s="120">
        <f t="shared" si="683"/>
        <v>0</v>
      </c>
      <c r="M1732" s="246">
        <f t="shared" si="684"/>
        <v>0</v>
      </c>
      <c r="N1732" s="121">
        <f t="shared" si="685"/>
        <v>1.02</v>
      </c>
      <c r="O1732" s="246">
        <f t="shared" si="686"/>
        <v>1.0066520787746172</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87">
        <v>35</v>
      </c>
      <c r="B1733" s="242">
        <f t="shared" si="693"/>
        <v>46692</v>
      </c>
      <c r="C1733" s="243">
        <f t="shared" si="674"/>
        <v>46721</v>
      </c>
      <c r="D1733" s="120">
        <f t="shared" si="675"/>
        <v>30</v>
      </c>
      <c r="E1733" s="120">
        <f t="shared" si="676"/>
        <v>11</v>
      </c>
      <c r="F1733" s="275">
        <f t="shared" si="677"/>
        <v>46707</v>
      </c>
      <c r="G1733" s="120">
        <f t="shared" si="678"/>
        <v>24334</v>
      </c>
      <c r="H1733" s="245">
        <f t="shared" si="679"/>
        <v>1</v>
      </c>
      <c r="I1733" s="121">
        <f t="shared" si="680"/>
        <v>1.02</v>
      </c>
      <c r="J1733" s="121">
        <f t="shared" si="681"/>
        <v>1.02</v>
      </c>
      <c r="K1733" s="120">
        <f t="shared" si="682"/>
        <v>0</v>
      </c>
      <c r="L1733" s="120">
        <f t="shared" si="683"/>
        <v>0</v>
      </c>
      <c r="M1733" s="246">
        <f t="shared" si="684"/>
        <v>0</v>
      </c>
      <c r="N1733" s="121">
        <f t="shared" si="685"/>
        <v>1.02</v>
      </c>
      <c r="O1733" s="246">
        <f t="shared" si="686"/>
        <v>1.0079868708971553</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87">
        <v>36</v>
      </c>
      <c r="B1734" s="242">
        <f t="shared" si="693"/>
        <v>46722</v>
      </c>
      <c r="C1734" s="243">
        <f t="shared" si="674"/>
        <v>46752</v>
      </c>
      <c r="D1734" s="120">
        <f t="shared" si="675"/>
        <v>31</v>
      </c>
      <c r="E1734" s="120">
        <f t="shared" si="676"/>
        <v>12</v>
      </c>
      <c r="F1734" s="275">
        <f t="shared" si="677"/>
        <v>46737.5</v>
      </c>
      <c r="G1734" s="120">
        <f t="shared" si="678"/>
        <v>24335</v>
      </c>
      <c r="H1734" s="245">
        <f t="shared" si="679"/>
        <v>1</v>
      </c>
      <c r="I1734" s="121">
        <f t="shared" si="680"/>
        <v>1.02</v>
      </c>
      <c r="J1734" s="121">
        <f t="shared" si="681"/>
        <v>1.02</v>
      </c>
      <c r="K1734" s="120">
        <f t="shared" si="682"/>
        <v>0</v>
      </c>
      <c r="L1734" s="120">
        <f t="shared" si="683"/>
        <v>0</v>
      </c>
      <c r="M1734" s="246">
        <f t="shared" si="684"/>
        <v>0</v>
      </c>
      <c r="N1734" s="121">
        <f t="shared" si="685"/>
        <v>1.02</v>
      </c>
      <c r="O1734" s="246">
        <f t="shared" si="686"/>
        <v>1.0093216630196937</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87">
        <v>37</v>
      </c>
      <c r="B1735" s="242">
        <f t="shared" si="693"/>
        <v>46753</v>
      </c>
      <c r="C1735" s="243">
        <f t="shared" si="674"/>
        <v>46783</v>
      </c>
      <c r="D1735" s="120">
        <f t="shared" si="675"/>
        <v>31</v>
      </c>
      <c r="E1735" s="120">
        <f t="shared" si="676"/>
        <v>1</v>
      </c>
      <c r="F1735" s="275">
        <f t="shared" si="677"/>
        <v>46768.5</v>
      </c>
      <c r="G1735" s="120">
        <f t="shared" si="678"/>
        <v>24336</v>
      </c>
      <c r="H1735" s="245">
        <f t="shared" si="679"/>
        <v>1</v>
      </c>
      <c r="I1735" s="121">
        <f t="shared" si="680"/>
        <v>1.02</v>
      </c>
      <c r="J1735" s="121">
        <f t="shared" si="681"/>
        <v>1.02</v>
      </c>
      <c r="K1735" s="120">
        <f t="shared" si="682"/>
        <v>0</v>
      </c>
      <c r="L1735" s="120">
        <f t="shared" si="683"/>
        <v>0</v>
      </c>
      <c r="M1735" s="246">
        <f t="shared" si="684"/>
        <v>0</v>
      </c>
      <c r="N1735" s="121">
        <f t="shared" si="685"/>
        <v>1.02</v>
      </c>
      <c r="O1735" s="246">
        <f t="shared" si="686"/>
        <v>1.01</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87">
        <v>38</v>
      </c>
      <c r="B1736" s="242">
        <f t="shared" si="693"/>
        <v>46784</v>
      </c>
      <c r="C1736" s="243">
        <f t="shared" si="674"/>
        <v>46812</v>
      </c>
      <c r="D1736" s="120">
        <f t="shared" si="675"/>
        <v>29</v>
      </c>
      <c r="E1736" s="120">
        <f t="shared" si="676"/>
        <v>2</v>
      </c>
      <c r="F1736" s="275">
        <f t="shared" si="677"/>
        <v>46798.5</v>
      </c>
      <c r="G1736" s="120">
        <f t="shared" si="678"/>
        <v>24337</v>
      </c>
      <c r="H1736" s="245">
        <f t="shared" si="679"/>
        <v>1</v>
      </c>
      <c r="I1736" s="121">
        <f t="shared" si="680"/>
        <v>1.02</v>
      </c>
      <c r="J1736" s="121">
        <f t="shared" si="681"/>
        <v>1.02</v>
      </c>
      <c r="K1736" s="120">
        <f t="shared" si="682"/>
        <v>0</v>
      </c>
      <c r="L1736" s="120">
        <f t="shared" si="683"/>
        <v>0</v>
      </c>
      <c r="M1736" s="246">
        <f t="shared" si="684"/>
        <v>0</v>
      </c>
      <c r="N1736" s="121">
        <f t="shared" si="685"/>
        <v>1.02</v>
      </c>
      <c r="O1736" s="246">
        <f t="shared" si="686"/>
        <v>1.01</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87">
        <v>39</v>
      </c>
      <c r="B1737" s="242">
        <f t="shared" si="693"/>
        <v>46813</v>
      </c>
      <c r="C1737" s="243">
        <f t="shared" si="674"/>
        <v>46843</v>
      </c>
      <c r="D1737" s="120">
        <f t="shared" si="675"/>
        <v>31</v>
      </c>
      <c r="E1737" s="120">
        <f t="shared" si="676"/>
        <v>3</v>
      </c>
      <c r="F1737" s="275">
        <f t="shared" si="677"/>
        <v>46828.5</v>
      </c>
      <c r="G1737" s="120">
        <f t="shared" si="678"/>
        <v>24338</v>
      </c>
      <c r="H1737" s="245">
        <f t="shared" si="679"/>
        <v>1</v>
      </c>
      <c r="I1737" s="121">
        <f t="shared" si="680"/>
        <v>1.02</v>
      </c>
      <c r="J1737" s="121">
        <f t="shared" si="681"/>
        <v>1.02</v>
      </c>
      <c r="K1737" s="120">
        <f t="shared" si="682"/>
        <v>0</v>
      </c>
      <c r="L1737" s="120">
        <f t="shared" si="683"/>
        <v>0</v>
      </c>
      <c r="M1737" s="246">
        <f t="shared" si="684"/>
        <v>0</v>
      </c>
      <c r="N1737" s="121">
        <f t="shared" si="685"/>
        <v>1.02</v>
      </c>
      <c r="O1737" s="246">
        <f t="shared" si="686"/>
        <v>1.01</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87">
        <v>40</v>
      </c>
      <c r="B1738" s="242">
        <f t="shared" si="693"/>
        <v>46844</v>
      </c>
      <c r="C1738" s="243">
        <f t="shared" si="674"/>
        <v>46873</v>
      </c>
      <c r="D1738" s="120">
        <f t="shared" si="675"/>
        <v>30</v>
      </c>
      <c r="E1738" s="120">
        <f t="shared" si="676"/>
        <v>4</v>
      </c>
      <c r="F1738" s="275">
        <f t="shared" si="677"/>
        <v>46859</v>
      </c>
      <c r="G1738" s="120">
        <f t="shared" si="678"/>
        <v>24339</v>
      </c>
      <c r="H1738" s="245">
        <f t="shared" si="679"/>
        <v>1</v>
      </c>
      <c r="I1738" s="121">
        <f t="shared" si="680"/>
        <v>1.02</v>
      </c>
      <c r="J1738" s="121">
        <f t="shared" si="681"/>
        <v>1.02</v>
      </c>
      <c r="K1738" s="120">
        <f t="shared" si="682"/>
        <v>0</v>
      </c>
      <c r="L1738" s="120">
        <f t="shared" si="683"/>
        <v>0</v>
      </c>
      <c r="M1738" s="246">
        <f t="shared" si="684"/>
        <v>0</v>
      </c>
      <c r="N1738" s="121">
        <f t="shared" si="685"/>
        <v>1.02</v>
      </c>
      <c r="O1738" s="246">
        <f t="shared" si="686"/>
        <v>1.01</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87">
        <v>41</v>
      </c>
      <c r="B1739" s="242">
        <f t="shared" si="693"/>
        <v>46874</v>
      </c>
      <c r="C1739" s="243">
        <f t="shared" si="674"/>
        <v>46904</v>
      </c>
      <c r="D1739" s="120">
        <f t="shared" si="675"/>
        <v>31</v>
      </c>
      <c r="E1739" s="120">
        <f t="shared" si="676"/>
        <v>5</v>
      </c>
      <c r="F1739" s="275">
        <f t="shared" si="677"/>
        <v>46889.5</v>
      </c>
      <c r="G1739" s="120">
        <f t="shared" si="678"/>
        <v>24340</v>
      </c>
      <c r="H1739" s="245">
        <f t="shared" si="679"/>
        <v>1</v>
      </c>
      <c r="I1739" s="121">
        <f t="shared" si="680"/>
        <v>1.02</v>
      </c>
      <c r="J1739" s="121">
        <f t="shared" si="681"/>
        <v>1.02</v>
      </c>
      <c r="K1739" s="120">
        <f t="shared" si="682"/>
        <v>0</v>
      </c>
      <c r="L1739" s="120">
        <f t="shared" si="683"/>
        <v>0</v>
      </c>
      <c r="M1739" s="246">
        <f t="shared" si="684"/>
        <v>0</v>
      </c>
      <c r="N1739" s="121">
        <f t="shared" si="685"/>
        <v>1.02</v>
      </c>
      <c r="O1739" s="246">
        <f t="shared" si="686"/>
        <v>1.01</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87">
        <v>42</v>
      </c>
      <c r="B1740" s="242">
        <f t="shared" si="693"/>
        <v>46905</v>
      </c>
      <c r="C1740" s="243">
        <f t="shared" si="674"/>
        <v>46934</v>
      </c>
      <c r="D1740" s="120">
        <f t="shared" si="675"/>
        <v>30</v>
      </c>
      <c r="E1740" s="120">
        <f t="shared" si="676"/>
        <v>6</v>
      </c>
      <c r="F1740" s="275">
        <f t="shared" si="677"/>
        <v>46920</v>
      </c>
      <c r="G1740" s="120">
        <f t="shared" si="678"/>
        <v>24341</v>
      </c>
      <c r="H1740" s="245">
        <f t="shared" si="679"/>
        <v>1</v>
      </c>
      <c r="I1740" s="121">
        <f t="shared" si="680"/>
        <v>1.02</v>
      </c>
      <c r="J1740" s="121">
        <f t="shared" si="681"/>
        <v>1.02</v>
      </c>
      <c r="K1740" s="120">
        <f t="shared" si="682"/>
        <v>0</v>
      </c>
      <c r="L1740" s="120">
        <f t="shared" si="683"/>
        <v>0</v>
      </c>
      <c r="M1740" s="246">
        <f t="shared" si="684"/>
        <v>0</v>
      </c>
      <c r="N1740" s="121">
        <f t="shared" si="685"/>
        <v>1.02</v>
      </c>
      <c r="O1740" s="246">
        <f t="shared" si="686"/>
        <v>1.01</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87">
        <v>43</v>
      </c>
      <c r="B1741" s="242">
        <f t="shared" si="693"/>
        <v>46935</v>
      </c>
      <c r="C1741" s="243">
        <f t="shared" si="674"/>
        <v>46965</v>
      </c>
      <c r="D1741" s="120">
        <f t="shared" si="675"/>
        <v>31</v>
      </c>
      <c r="E1741" s="120">
        <f t="shared" si="676"/>
        <v>7</v>
      </c>
      <c r="F1741" s="275">
        <f t="shared" si="677"/>
        <v>46950.5</v>
      </c>
      <c r="G1741" s="120">
        <f t="shared" si="678"/>
        <v>24342</v>
      </c>
      <c r="H1741" s="245">
        <f t="shared" si="679"/>
        <v>1</v>
      </c>
      <c r="I1741" s="121">
        <f t="shared" si="680"/>
        <v>1.02</v>
      </c>
      <c r="J1741" s="121">
        <f t="shared" si="681"/>
        <v>1.02</v>
      </c>
      <c r="K1741" s="120">
        <f t="shared" si="682"/>
        <v>0</v>
      </c>
      <c r="L1741" s="120">
        <f t="shared" si="683"/>
        <v>0</v>
      </c>
      <c r="M1741" s="246">
        <f t="shared" si="684"/>
        <v>0</v>
      </c>
      <c r="N1741" s="121">
        <f t="shared" si="685"/>
        <v>1.02</v>
      </c>
      <c r="O1741" s="246">
        <f t="shared" si="686"/>
        <v>1.01</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87">
        <v>44</v>
      </c>
      <c r="B1742" s="242">
        <f t="shared" si="693"/>
        <v>46966</v>
      </c>
      <c r="C1742" s="243">
        <f t="shared" si="674"/>
        <v>46996</v>
      </c>
      <c r="D1742" s="120">
        <f t="shared" si="675"/>
        <v>31</v>
      </c>
      <c r="E1742" s="120">
        <f t="shared" si="676"/>
        <v>8</v>
      </c>
      <c r="F1742" s="275">
        <f t="shared" si="677"/>
        <v>46981.5</v>
      </c>
      <c r="G1742" s="120">
        <f t="shared" si="678"/>
        <v>24343</v>
      </c>
      <c r="H1742" s="245">
        <f t="shared" si="679"/>
        <v>1</v>
      </c>
      <c r="I1742" s="121">
        <f t="shared" si="680"/>
        <v>1.02</v>
      </c>
      <c r="J1742" s="121">
        <f t="shared" si="681"/>
        <v>1.02</v>
      </c>
      <c r="K1742" s="120">
        <f t="shared" si="682"/>
        <v>0</v>
      </c>
      <c r="L1742" s="120">
        <f t="shared" si="683"/>
        <v>0</v>
      </c>
      <c r="M1742" s="246">
        <f t="shared" si="684"/>
        <v>0</v>
      </c>
      <c r="N1742" s="121">
        <f t="shared" si="685"/>
        <v>1.02</v>
      </c>
      <c r="O1742" s="246">
        <f t="shared" si="686"/>
        <v>1.01</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87">
        <v>45</v>
      </c>
      <c r="B1743" s="242">
        <f t="shared" si="693"/>
        <v>46997</v>
      </c>
      <c r="C1743" s="243">
        <f t="shared" si="674"/>
        <v>47026</v>
      </c>
      <c r="D1743" s="120">
        <f t="shared" si="675"/>
        <v>30</v>
      </c>
      <c r="E1743" s="120">
        <f t="shared" si="676"/>
        <v>9</v>
      </c>
      <c r="F1743" s="275">
        <f t="shared" si="677"/>
        <v>47012</v>
      </c>
      <c r="G1743" s="120">
        <f t="shared" si="678"/>
        <v>24344</v>
      </c>
      <c r="H1743" s="245">
        <f t="shared" si="679"/>
        <v>1</v>
      </c>
      <c r="I1743" s="121">
        <f t="shared" si="680"/>
        <v>1.02</v>
      </c>
      <c r="J1743" s="121">
        <f t="shared" si="681"/>
        <v>1.02</v>
      </c>
      <c r="K1743" s="120">
        <f t="shared" si="682"/>
        <v>0</v>
      </c>
      <c r="L1743" s="120">
        <f t="shared" si="683"/>
        <v>0</v>
      </c>
      <c r="M1743" s="246">
        <f t="shared" si="684"/>
        <v>0</v>
      </c>
      <c r="N1743" s="121">
        <f t="shared" si="685"/>
        <v>1.02</v>
      </c>
      <c r="O1743" s="246">
        <f t="shared" si="686"/>
        <v>1.01</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87">
        <v>46</v>
      </c>
      <c r="B1744" s="242">
        <f t="shared" si="693"/>
        <v>47027</v>
      </c>
      <c r="C1744" s="243">
        <f t="shared" si="674"/>
        <v>47057</v>
      </c>
      <c r="D1744" s="120">
        <f t="shared" si="675"/>
        <v>31</v>
      </c>
      <c r="E1744" s="120">
        <f t="shared" si="676"/>
        <v>10</v>
      </c>
      <c r="F1744" s="275">
        <f t="shared" si="677"/>
        <v>47042.5</v>
      </c>
      <c r="G1744" s="120">
        <f t="shared" si="678"/>
        <v>24345</v>
      </c>
      <c r="H1744" s="245">
        <f t="shared" si="679"/>
        <v>1</v>
      </c>
      <c r="I1744" s="121">
        <f t="shared" si="680"/>
        <v>1.02</v>
      </c>
      <c r="J1744" s="121">
        <f t="shared" si="681"/>
        <v>1.02</v>
      </c>
      <c r="K1744" s="120">
        <f t="shared" si="682"/>
        <v>0</v>
      </c>
      <c r="L1744" s="120">
        <f t="shared" si="683"/>
        <v>0</v>
      </c>
      <c r="M1744" s="246">
        <f t="shared" si="684"/>
        <v>0</v>
      </c>
      <c r="N1744" s="121">
        <f t="shared" si="685"/>
        <v>1.02</v>
      </c>
      <c r="O1744" s="246">
        <f t="shared" si="686"/>
        <v>1.01</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87">
        <v>47</v>
      </c>
      <c r="B1745" s="242">
        <f t="shared" si="693"/>
        <v>47058</v>
      </c>
      <c r="C1745" s="243">
        <f t="shared" si="674"/>
        <v>47087</v>
      </c>
      <c r="D1745" s="120">
        <f t="shared" si="675"/>
        <v>30</v>
      </c>
      <c r="E1745" s="120">
        <f t="shared" si="676"/>
        <v>11</v>
      </c>
      <c r="F1745" s="275">
        <f t="shared" si="677"/>
        <v>47073</v>
      </c>
      <c r="G1745" s="120">
        <f t="shared" si="678"/>
        <v>24346</v>
      </c>
      <c r="H1745" s="245">
        <f t="shared" si="679"/>
        <v>1</v>
      </c>
      <c r="I1745" s="121">
        <f t="shared" si="680"/>
        <v>1.02</v>
      </c>
      <c r="J1745" s="121">
        <f t="shared" si="681"/>
        <v>1.02</v>
      </c>
      <c r="K1745" s="120">
        <f t="shared" si="682"/>
        <v>0</v>
      </c>
      <c r="L1745" s="120">
        <f t="shared" si="683"/>
        <v>0</v>
      </c>
      <c r="M1745" s="246">
        <f t="shared" si="684"/>
        <v>0</v>
      </c>
      <c r="N1745" s="121">
        <f t="shared" si="685"/>
        <v>1.02</v>
      </c>
      <c r="O1745" s="246">
        <f t="shared" si="686"/>
        <v>1.01</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87">
        <v>48</v>
      </c>
      <c r="B1746" s="242">
        <f t="shared" si="693"/>
        <v>47088</v>
      </c>
      <c r="C1746" s="243">
        <f t="shared" si="674"/>
        <v>47118</v>
      </c>
      <c r="D1746" s="120">
        <f t="shared" si="675"/>
        <v>31</v>
      </c>
      <c r="E1746" s="120">
        <f t="shared" si="676"/>
        <v>12</v>
      </c>
      <c r="F1746" s="275">
        <f t="shared" si="677"/>
        <v>47103.5</v>
      </c>
      <c r="G1746" s="120">
        <f t="shared" si="678"/>
        <v>24347</v>
      </c>
      <c r="H1746" s="245">
        <f t="shared" si="679"/>
        <v>1</v>
      </c>
      <c r="I1746" s="121">
        <f t="shared" si="680"/>
        <v>1.02</v>
      </c>
      <c r="J1746" s="121">
        <f t="shared" si="681"/>
        <v>1.02</v>
      </c>
      <c r="K1746" s="120">
        <f t="shared" si="682"/>
        <v>0</v>
      </c>
      <c r="L1746" s="120">
        <f t="shared" si="683"/>
        <v>0</v>
      </c>
      <c r="M1746" s="246">
        <f t="shared" si="684"/>
        <v>0</v>
      </c>
      <c r="N1746" s="121">
        <f t="shared" si="685"/>
        <v>1.02</v>
      </c>
      <c r="O1746" s="246">
        <f t="shared" si="686"/>
        <v>1.01</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1651</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24">
        <f>SUMPRODUCT($H$1699:$H$1746,$Q$1699:$Q$1746,$O$1699:$O$1746)/SUMPRODUCT($H$1699:$H$1746,$Q$1699:$Q$1746)</f>
        <v>0.99399161196207142</v>
      </c>
      <c r="G1747" s="224">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24">
        <f>IF(N(INDEX(lr_mind,32))=0,1,INDEX(lr_mind,32))</f>
        <v>1</v>
      </c>
      <c r="G1750" s="224">
        <f>IF(N(INDEX(lr_m0,32))=0,1,INDEX(lr_m0,32))</f>
        <v>0.99</v>
      </c>
      <c r="H1750" s="74">
        <f>IF(N(INDEX(lr_m0asof,32))=0,DATE(nr_PlanYear-1,10,1),INDEX(lr_m0asof,32))</f>
        <v>46295</v>
      </c>
      <c r="I1750" s="224">
        <f>IF(N(INDEX(lr_m1,32))=0,1,INDEX(lr_m1,32))</f>
        <v>0.99</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94">EOMONTH($B1753,0)</f>
        <v>45688</v>
      </c>
      <c r="D1753" s="120">
        <f t="shared" ref="D1753:D1800" si="695">$C1753-$B1753+1</f>
        <v>31</v>
      </c>
      <c r="E1753" s="120">
        <f t="shared" ref="E1753:E1800" si="696">MONTH($B1753)</f>
        <v>1</v>
      </c>
      <c r="F1753" s="275">
        <f t="shared" ref="F1753:F1800" si="697">($B1753+$C1753+1)/2</f>
        <v>45673.5</v>
      </c>
      <c r="G1753" s="120">
        <f t="shared" ref="G1753:G1800" si="698">YEAR($B1753)*12+MONTH($B1753)-1</f>
        <v>24300</v>
      </c>
      <c r="H1753" s="245">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46">
        <f t="shared" ref="M1753:M1800" si="704">IF($K1753=0,0,MIN(1,$L1753/$D1753))</f>
        <v>0</v>
      </c>
      <c r="N1753" s="121">
        <f t="shared" ref="N1753:N1800" si="705">IF($K1753=0,$J1753,(1-$M1753)*$I1753+$M1753*$J1753)</f>
        <v>1</v>
      </c>
      <c r="O1753" s="246">
        <f t="shared" ref="O1753:O1800" si="706">IF($F1753&lt;$B$1751,$E$1751+$I$1751*($F1753-$A$1751),IF($F1753&lt;$C$1751,$F$1751+$J$1751*($F1753-$B$1751),$G$1751+$K$1751*($F1753-$C$1751)))</f>
        <v>0.99</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87">
        <v>2</v>
      </c>
      <c r="B1754" s="242">
        <f t="shared" ref="B1754:B1800" si="713">EDATE($B1753,1)</f>
        <v>45689</v>
      </c>
      <c r="C1754" s="243">
        <f t="shared" si="694"/>
        <v>45716</v>
      </c>
      <c r="D1754" s="120">
        <f t="shared" si="695"/>
        <v>28</v>
      </c>
      <c r="E1754" s="120">
        <f t="shared" si="696"/>
        <v>2</v>
      </c>
      <c r="F1754" s="275">
        <f t="shared" si="697"/>
        <v>45703</v>
      </c>
      <c r="G1754" s="120">
        <f t="shared" si="698"/>
        <v>24301</v>
      </c>
      <c r="H1754" s="245">
        <f t="shared" si="699"/>
        <v>1</v>
      </c>
      <c r="I1754" s="121">
        <f t="shared" si="700"/>
        <v>1</v>
      </c>
      <c r="J1754" s="121">
        <f t="shared" si="701"/>
        <v>1</v>
      </c>
      <c r="K1754" s="120">
        <f t="shared" si="702"/>
        <v>0</v>
      </c>
      <c r="L1754" s="120">
        <f t="shared" si="703"/>
        <v>0</v>
      </c>
      <c r="M1754" s="246">
        <f t="shared" si="704"/>
        <v>0</v>
      </c>
      <c r="N1754" s="121">
        <f t="shared" si="705"/>
        <v>1</v>
      </c>
      <c r="O1754" s="246">
        <f t="shared" si="706"/>
        <v>0.99</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87">
        <v>3</v>
      </c>
      <c r="B1755" s="242">
        <f t="shared" si="713"/>
        <v>45717</v>
      </c>
      <c r="C1755" s="243">
        <f t="shared" si="694"/>
        <v>45747</v>
      </c>
      <c r="D1755" s="120">
        <f t="shared" si="695"/>
        <v>31</v>
      </c>
      <c r="E1755" s="120">
        <f t="shared" si="696"/>
        <v>3</v>
      </c>
      <c r="F1755" s="275">
        <f t="shared" si="697"/>
        <v>45732.5</v>
      </c>
      <c r="G1755" s="120">
        <f t="shared" si="698"/>
        <v>24302</v>
      </c>
      <c r="H1755" s="245">
        <f t="shared" si="699"/>
        <v>1</v>
      </c>
      <c r="I1755" s="121">
        <f t="shared" si="700"/>
        <v>1</v>
      </c>
      <c r="J1755" s="121">
        <f t="shared" si="701"/>
        <v>1</v>
      </c>
      <c r="K1755" s="120">
        <f t="shared" si="702"/>
        <v>0</v>
      </c>
      <c r="L1755" s="120">
        <f t="shared" si="703"/>
        <v>0</v>
      </c>
      <c r="M1755" s="246">
        <f t="shared" si="704"/>
        <v>0</v>
      </c>
      <c r="N1755" s="121">
        <f t="shared" si="705"/>
        <v>1</v>
      </c>
      <c r="O1755" s="246">
        <f t="shared" si="706"/>
        <v>0.99</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87">
        <v>4</v>
      </c>
      <c r="B1756" s="242">
        <f t="shared" si="713"/>
        <v>45748</v>
      </c>
      <c r="C1756" s="243">
        <f t="shared" si="694"/>
        <v>45777</v>
      </c>
      <c r="D1756" s="120">
        <f t="shared" si="695"/>
        <v>30</v>
      </c>
      <c r="E1756" s="120">
        <f t="shared" si="696"/>
        <v>4</v>
      </c>
      <c r="F1756" s="275">
        <f t="shared" si="697"/>
        <v>45763</v>
      </c>
      <c r="G1756" s="120">
        <f t="shared" si="698"/>
        <v>24303</v>
      </c>
      <c r="H1756" s="245">
        <f t="shared" si="699"/>
        <v>1</v>
      </c>
      <c r="I1756" s="121">
        <f t="shared" si="700"/>
        <v>1</v>
      </c>
      <c r="J1756" s="121">
        <f t="shared" si="701"/>
        <v>1</v>
      </c>
      <c r="K1756" s="120">
        <f t="shared" si="702"/>
        <v>0</v>
      </c>
      <c r="L1756" s="120">
        <f t="shared" si="703"/>
        <v>0</v>
      </c>
      <c r="M1756" s="246">
        <f t="shared" si="704"/>
        <v>0</v>
      </c>
      <c r="N1756" s="121">
        <f t="shared" si="705"/>
        <v>1</v>
      </c>
      <c r="O1756" s="246">
        <f t="shared" si="706"/>
        <v>0.99</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87">
        <v>5</v>
      </c>
      <c r="B1757" s="242">
        <f t="shared" si="713"/>
        <v>45778</v>
      </c>
      <c r="C1757" s="243">
        <f t="shared" si="694"/>
        <v>45808</v>
      </c>
      <c r="D1757" s="120">
        <f t="shared" si="695"/>
        <v>31</v>
      </c>
      <c r="E1757" s="120">
        <f t="shared" si="696"/>
        <v>5</v>
      </c>
      <c r="F1757" s="275">
        <f t="shared" si="697"/>
        <v>45793.5</v>
      </c>
      <c r="G1757" s="120">
        <f t="shared" si="698"/>
        <v>24304</v>
      </c>
      <c r="H1757" s="245">
        <f t="shared" si="699"/>
        <v>1</v>
      </c>
      <c r="I1757" s="121">
        <f t="shared" si="700"/>
        <v>1</v>
      </c>
      <c r="J1757" s="121">
        <f t="shared" si="701"/>
        <v>1</v>
      </c>
      <c r="K1757" s="120">
        <f t="shared" si="702"/>
        <v>0</v>
      </c>
      <c r="L1757" s="120">
        <f t="shared" si="703"/>
        <v>0</v>
      </c>
      <c r="M1757" s="246">
        <f t="shared" si="704"/>
        <v>0</v>
      </c>
      <c r="N1757" s="121">
        <f t="shared" si="705"/>
        <v>1</v>
      </c>
      <c r="O1757" s="246">
        <f t="shared" si="706"/>
        <v>0.99</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87">
        <v>6</v>
      </c>
      <c r="B1758" s="242">
        <f t="shared" si="713"/>
        <v>45809</v>
      </c>
      <c r="C1758" s="243">
        <f t="shared" si="694"/>
        <v>45838</v>
      </c>
      <c r="D1758" s="120">
        <f t="shared" si="695"/>
        <v>30</v>
      </c>
      <c r="E1758" s="120">
        <f t="shared" si="696"/>
        <v>6</v>
      </c>
      <c r="F1758" s="275">
        <f t="shared" si="697"/>
        <v>45824</v>
      </c>
      <c r="G1758" s="120">
        <f t="shared" si="698"/>
        <v>24305</v>
      </c>
      <c r="H1758" s="245">
        <f t="shared" si="699"/>
        <v>1</v>
      </c>
      <c r="I1758" s="121">
        <f t="shared" si="700"/>
        <v>1</v>
      </c>
      <c r="J1758" s="121">
        <f t="shared" si="701"/>
        <v>1</v>
      </c>
      <c r="K1758" s="120">
        <f t="shared" si="702"/>
        <v>0</v>
      </c>
      <c r="L1758" s="120">
        <f t="shared" si="703"/>
        <v>0</v>
      </c>
      <c r="M1758" s="246">
        <f t="shared" si="704"/>
        <v>0</v>
      </c>
      <c r="N1758" s="121">
        <f t="shared" si="705"/>
        <v>1</v>
      </c>
      <c r="O1758" s="246">
        <f t="shared" si="706"/>
        <v>0.99</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87">
        <v>7</v>
      </c>
      <c r="B1759" s="242">
        <f t="shared" si="713"/>
        <v>45839</v>
      </c>
      <c r="C1759" s="243">
        <f t="shared" si="694"/>
        <v>45869</v>
      </c>
      <c r="D1759" s="120">
        <f t="shared" si="695"/>
        <v>31</v>
      </c>
      <c r="E1759" s="120">
        <f t="shared" si="696"/>
        <v>7</v>
      </c>
      <c r="F1759" s="275">
        <f t="shared" si="697"/>
        <v>45854.5</v>
      </c>
      <c r="G1759" s="120">
        <f t="shared" si="698"/>
        <v>24306</v>
      </c>
      <c r="H1759" s="245">
        <f t="shared" si="699"/>
        <v>1</v>
      </c>
      <c r="I1759" s="121">
        <f t="shared" si="700"/>
        <v>1</v>
      </c>
      <c r="J1759" s="121">
        <f t="shared" si="701"/>
        <v>1</v>
      </c>
      <c r="K1759" s="120">
        <f t="shared" si="702"/>
        <v>0</v>
      </c>
      <c r="L1759" s="120">
        <f t="shared" si="703"/>
        <v>0</v>
      </c>
      <c r="M1759" s="246">
        <f t="shared" si="704"/>
        <v>0</v>
      </c>
      <c r="N1759" s="121">
        <f t="shared" si="705"/>
        <v>1</v>
      </c>
      <c r="O1759" s="246">
        <f t="shared" si="706"/>
        <v>0.99</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87">
        <v>8</v>
      </c>
      <c r="B1760" s="242">
        <f t="shared" si="713"/>
        <v>45870</v>
      </c>
      <c r="C1760" s="243">
        <f t="shared" si="694"/>
        <v>45900</v>
      </c>
      <c r="D1760" s="120">
        <f t="shared" si="695"/>
        <v>31</v>
      </c>
      <c r="E1760" s="120">
        <f t="shared" si="696"/>
        <v>8</v>
      </c>
      <c r="F1760" s="275">
        <f t="shared" si="697"/>
        <v>45885.5</v>
      </c>
      <c r="G1760" s="120">
        <f t="shared" si="698"/>
        <v>24307</v>
      </c>
      <c r="H1760" s="245">
        <f t="shared" si="699"/>
        <v>1</v>
      </c>
      <c r="I1760" s="121">
        <f t="shared" si="700"/>
        <v>1</v>
      </c>
      <c r="J1760" s="121">
        <f t="shared" si="701"/>
        <v>1</v>
      </c>
      <c r="K1760" s="120">
        <f t="shared" si="702"/>
        <v>0</v>
      </c>
      <c r="L1760" s="120">
        <f t="shared" si="703"/>
        <v>0</v>
      </c>
      <c r="M1760" s="246">
        <f t="shared" si="704"/>
        <v>0</v>
      </c>
      <c r="N1760" s="121">
        <f t="shared" si="705"/>
        <v>1</v>
      </c>
      <c r="O1760" s="246">
        <f t="shared" si="706"/>
        <v>0.99</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87">
        <v>9</v>
      </c>
      <c r="B1761" s="242">
        <f t="shared" si="713"/>
        <v>45901</v>
      </c>
      <c r="C1761" s="243">
        <f t="shared" si="694"/>
        <v>45930</v>
      </c>
      <c r="D1761" s="120">
        <f t="shared" si="695"/>
        <v>30</v>
      </c>
      <c r="E1761" s="120">
        <f t="shared" si="696"/>
        <v>9</v>
      </c>
      <c r="F1761" s="275">
        <f t="shared" si="697"/>
        <v>45916</v>
      </c>
      <c r="G1761" s="120">
        <f t="shared" si="698"/>
        <v>24308</v>
      </c>
      <c r="H1761" s="245">
        <f t="shared" si="699"/>
        <v>1</v>
      </c>
      <c r="I1761" s="121">
        <f t="shared" si="700"/>
        <v>1</v>
      </c>
      <c r="J1761" s="121">
        <f t="shared" si="701"/>
        <v>1</v>
      </c>
      <c r="K1761" s="120">
        <f t="shared" si="702"/>
        <v>0</v>
      </c>
      <c r="L1761" s="120">
        <f t="shared" si="703"/>
        <v>0</v>
      </c>
      <c r="M1761" s="246">
        <f t="shared" si="704"/>
        <v>0</v>
      </c>
      <c r="N1761" s="121">
        <f t="shared" si="705"/>
        <v>1</v>
      </c>
      <c r="O1761" s="246">
        <f t="shared" si="706"/>
        <v>0.99</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87">
        <v>10</v>
      </c>
      <c r="B1762" s="242">
        <f t="shared" si="713"/>
        <v>45931</v>
      </c>
      <c r="C1762" s="243">
        <f t="shared" si="694"/>
        <v>45961</v>
      </c>
      <c r="D1762" s="120">
        <f t="shared" si="695"/>
        <v>31</v>
      </c>
      <c r="E1762" s="120">
        <f t="shared" si="696"/>
        <v>10</v>
      </c>
      <c r="F1762" s="275">
        <f t="shared" si="697"/>
        <v>45946.5</v>
      </c>
      <c r="G1762" s="120">
        <f t="shared" si="698"/>
        <v>24309</v>
      </c>
      <c r="H1762" s="245">
        <f t="shared" si="699"/>
        <v>1</v>
      </c>
      <c r="I1762" s="121">
        <f t="shared" si="700"/>
        <v>1</v>
      </c>
      <c r="J1762" s="121">
        <f t="shared" si="701"/>
        <v>1</v>
      </c>
      <c r="K1762" s="120">
        <f t="shared" si="702"/>
        <v>0</v>
      </c>
      <c r="L1762" s="120">
        <f t="shared" si="703"/>
        <v>0</v>
      </c>
      <c r="M1762" s="246">
        <f t="shared" si="704"/>
        <v>0</v>
      </c>
      <c r="N1762" s="121">
        <f t="shared" si="705"/>
        <v>1</v>
      </c>
      <c r="O1762" s="246">
        <f t="shared" si="706"/>
        <v>0.99</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87">
        <v>11</v>
      </c>
      <c r="B1763" s="242">
        <f t="shared" si="713"/>
        <v>45962</v>
      </c>
      <c r="C1763" s="243">
        <f t="shared" si="694"/>
        <v>45991</v>
      </c>
      <c r="D1763" s="120">
        <f t="shared" si="695"/>
        <v>30</v>
      </c>
      <c r="E1763" s="120">
        <f t="shared" si="696"/>
        <v>11</v>
      </c>
      <c r="F1763" s="275">
        <f t="shared" si="697"/>
        <v>45977</v>
      </c>
      <c r="G1763" s="120">
        <f t="shared" si="698"/>
        <v>24310</v>
      </c>
      <c r="H1763" s="245">
        <f t="shared" si="699"/>
        <v>1</v>
      </c>
      <c r="I1763" s="121">
        <f t="shared" si="700"/>
        <v>1</v>
      </c>
      <c r="J1763" s="121">
        <f t="shared" si="701"/>
        <v>1</v>
      </c>
      <c r="K1763" s="120">
        <f t="shared" si="702"/>
        <v>0</v>
      </c>
      <c r="L1763" s="120">
        <f t="shared" si="703"/>
        <v>0</v>
      </c>
      <c r="M1763" s="246">
        <f t="shared" si="704"/>
        <v>0</v>
      </c>
      <c r="N1763" s="121">
        <f t="shared" si="705"/>
        <v>1</v>
      </c>
      <c r="O1763" s="246">
        <f t="shared" si="706"/>
        <v>0.99</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87">
        <v>12</v>
      </c>
      <c r="B1764" s="242">
        <f t="shared" si="713"/>
        <v>45992</v>
      </c>
      <c r="C1764" s="243">
        <f t="shared" si="694"/>
        <v>46022</v>
      </c>
      <c r="D1764" s="120">
        <f t="shared" si="695"/>
        <v>31</v>
      </c>
      <c r="E1764" s="120">
        <f t="shared" si="696"/>
        <v>12</v>
      </c>
      <c r="F1764" s="275">
        <f t="shared" si="697"/>
        <v>46007.5</v>
      </c>
      <c r="G1764" s="120">
        <f t="shared" si="698"/>
        <v>24311</v>
      </c>
      <c r="H1764" s="245">
        <f t="shared" si="699"/>
        <v>1</v>
      </c>
      <c r="I1764" s="121">
        <f t="shared" si="700"/>
        <v>1</v>
      </c>
      <c r="J1764" s="121">
        <f t="shared" si="701"/>
        <v>1</v>
      </c>
      <c r="K1764" s="120">
        <f t="shared" si="702"/>
        <v>0</v>
      </c>
      <c r="L1764" s="120">
        <f t="shared" si="703"/>
        <v>0</v>
      </c>
      <c r="M1764" s="246">
        <f t="shared" si="704"/>
        <v>0</v>
      </c>
      <c r="N1764" s="121">
        <f t="shared" si="705"/>
        <v>1</v>
      </c>
      <c r="O1764" s="246">
        <f t="shared" si="706"/>
        <v>0.99</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87">
        <v>13</v>
      </c>
      <c r="B1765" s="242">
        <f t="shared" si="713"/>
        <v>46023</v>
      </c>
      <c r="C1765" s="243">
        <f t="shared" si="694"/>
        <v>46053</v>
      </c>
      <c r="D1765" s="120">
        <f t="shared" si="695"/>
        <v>31</v>
      </c>
      <c r="E1765" s="120">
        <f t="shared" si="696"/>
        <v>1</v>
      </c>
      <c r="F1765" s="275">
        <f t="shared" si="697"/>
        <v>46038.5</v>
      </c>
      <c r="G1765" s="120">
        <f t="shared" si="698"/>
        <v>24312</v>
      </c>
      <c r="H1765" s="245">
        <f t="shared" si="699"/>
        <v>1</v>
      </c>
      <c r="I1765" s="121">
        <f t="shared" si="700"/>
        <v>1</v>
      </c>
      <c r="J1765" s="121">
        <f t="shared" si="701"/>
        <v>1</v>
      </c>
      <c r="K1765" s="120">
        <f t="shared" si="702"/>
        <v>0</v>
      </c>
      <c r="L1765" s="120">
        <f t="shared" si="703"/>
        <v>0</v>
      </c>
      <c r="M1765" s="246">
        <f t="shared" si="704"/>
        <v>0</v>
      </c>
      <c r="N1765" s="121">
        <f t="shared" si="705"/>
        <v>1</v>
      </c>
      <c r="O1765" s="246">
        <f t="shared" si="706"/>
        <v>0.99</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87">
        <v>14</v>
      </c>
      <c r="B1766" s="242">
        <f t="shared" si="713"/>
        <v>46054</v>
      </c>
      <c r="C1766" s="243">
        <f t="shared" si="694"/>
        <v>46081</v>
      </c>
      <c r="D1766" s="120">
        <f t="shared" si="695"/>
        <v>28</v>
      </c>
      <c r="E1766" s="120">
        <f t="shared" si="696"/>
        <v>2</v>
      </c>
      <c r="F1766" s="275">
        <f t="shared" si="697"/>
        <v>46068</v>
      </c>
      <c r="G1766" s="120">
        <f t="shared" si="698"/>
        <v>24313</v>
      </c>
      <c r="H1766" s="245">
        <f t="shared" si="699"/>
        <v>1</v>
      </c>
      <c r="I1766" s="121">
        <f t="shared" si="700"/>
        <v>1</v>
      </c>
      <c r="J1766" s="121">
        <f t="shared" si="701"/>
        <v>1</v>
      </c>
      <c r="K1766" s="120">
        <f t="shared" si="702"/>
        <v>0</v>
      </c>
      <c r="L1766" s="120">
        <f t="shared" si="703"/>
        <v>0</v>
      </c>
      <c r="M1766" s="246">
        <f t="shared" si="704"/>
        <v>0</v>
      </c>
      <c r="N1766" s="121">
        <f t="shared" si="705"/>
        <v>1</v>
      </c>
      <c r="O1766" s="246">
        <f t="shared" si="706"/>
        <v>0.99</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87">
        <v>15</v>
      </c>
      <c r="B1767" s="242">
        <f t="shared" si="713"/>
        <v>46082</v>
      </c>
      <c r="C1767" s="243">
        <f t="shared" si="694"/>
        <v>46112</v>
      </c>
      <c r="D1767" s="120">
        <f t="shared" si="695"/>
        <v>31</v>
      </c>
      <c r="E1767" s="120">
        <f t="shared" si="696"/>
        <v>3</v>
      </c>
      <c r="F1767" s="275">
        <f t="shared" si="697"/>
        <v>46097.5</v>
      </c>
      <c r="G1767" s="120">
        <f t="shared" si="698"/>
        <v>24314</v>
      </c>
      <c r="H1767" s="245">
        <f t="shared" si="699"/>
        <v>1</v>
      </c>
      <c r="I1767" s="121">
        <f t="shared" si="700"/>
        <v>1</v>
      </c>
      <c r="J1767" s="121">
        <f t="shared" si="701"/>
        <v>1</v>
      </c>
      <c r="K1767" s="120">
        <f t="shared" si="702"/>
        <v>0</v>
      </c>
      <c r="L1767" s="120">
        <f t="shared" si="703"/>
        <v>0</v>
      </c>
      <c r="M1767" s="246">
        <f t="shared" si="704"/>
        <v>0</v>
      </c>
      <c r="N1767" s="121">
        <f t="shared" si="705"/>
        <v>1</v>
      </c>
      <c r="O1767" s="246">
        <f t="shared" si="706"/>
        <v>0.99</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87">
        <v>16</v>
      </c>
      <c r="B1768" s="242">
        <f t="shared" si="713"/>
        <v>46113</v>
      </c>
      <c r="C1768" s="243">
        <f t="shared" si="694"/>
        <v>46142</v>
      </c>
      <c r="D1768" s="120">
        <f t="shared" si="695"/>
        <v>30</v>
      </c>
      <c r="E1768" s="120">
        <f t="shared" si="696"/>
        <v>4</v>
      </c>
      <c r="F1768" s="275">
        <f t="shared" si="697"/>
        <v>46128</v>
      </c>
      <c r="G1768" s="120">
        <f t="shared" si="698"/>
        <v>24315</v>
      </c>
      <c r="H1768" s="245">
        <f t="shared" si="699"/>
        <v>1</v>
      </c>
      <c r="I1768" s="121">
        <f t="shared" si="700"/>
        <v>1</v>
      </c>
      <c r="J1768" s="121">
        <f t="shared" si="701"/>
        <v>1</v>
      </c>
      <c r="K1768" s="120">
        <f t="shared" si="702"/>
        <v>0</v>
      </c>
      <c r="L1768" s="120">
        <f t="shared" si="703"/>
        <v>0</v>
      </c>
      <c r="M1768" s="246">
        <f t="shared" si="704"/>
        <v>0</v>
      </c>
      <c r="N1768" s="121">
        <f t="shared" si="705"/>
        <v>1</v>
      </c>
      <c r="O1768" s="246">
        <f t="shared" si="706"/>
        <v>0.99</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87">
        <v>17</v>
      </c>
      <c r="B1769" s="242">
        <f t="shared" si="713"/>
        <v>46143</v>
      </c>
      <c r="C1769" s="243">
        <f t="shared" si="694"/>
        <v>46173</v>
      </c>
      <c r="D1769" s="120">
        <f t="shared" si="695"/>
        <v>31</v>
      </c>
      <c r="E1769" s="120">
        <f t="shared" si="696"/>
        <v>5</v>
      </c>
      <c r="F1769" s="275">
        <f t="shared" si="697"/>
        <v>46158.5</v>
      </c>
      <c r="G1769" s="120">
        <f t="shared" si="698"/>
        <v>24316</v>
      </c>
      <c r="H1769" s="245">
        <f t="shared" si="699"/>
        <v>1</v>
      </c>
      <c r="I1769" s="121">
        <f t="shared" si="700"/>
        <v>1</v>
      </c>
      <c r="J1769" s="121">
        <f t="shared" si="701"/>
        <v>1</v>
      </c>
      <c r="K1769" s="120">
        <f t="shared" si="702"/>
        <v>0</v>
      </c>
      <c r="L1769" s="120">
        <f t="shared" si="703"/>
        <v>0</v>
      </c>
      <c r="M1769" s="246">
        <f t="shared" si="704"/>
        <v>0</v>
      </c>
      <c r="N1769" s="121">
        <f t="shared" si="705"/>
        <v>1</v>
      </c>
      <c r="O1769" s="246">
        <f t="shared" si="706"/>
        <v>0.99</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87">
        <v>18</v>
      </c>
      <c r="B1770" s="242">
        <f t="shared" si="713"/>
        <v>46174</v>
      </c>
      <c r="C1770" s="243">
        <f t="shared" si="694"/>
        <v>46203</v>
      </c>
      <c r="D1770" s="120">
        <f t="shared" si="695"/>
        <v>30</v>
      </c>
      <c r="E1770" s="120">
        <f t="shared" si="696"/>
        <v>6</v>
      </c>
      <c r="F1770" s="275">
        <f t="shared" si="697"/>
        <v>46189</v>
      </c>
      <c r="G1770" s="120">
        <f t="shared" si="698"/>
        <v>24317</v>
      </c>
      <c r="H1770" s="245">
        <f t="shared" si="699"/>
        <v>1</v>
      </c>
      <c r="I1770" s="121">
        <f t="shared" si="700"/>
        <v>1</v>
      </c>
      <c r="J1770" s="121">
        <f t="shared" si="701"/>
        <v>1</v>
      </c>
      <c r="K1770" s="120">
        <f t="shared" si="702"/>
        <v>0</v>
      </c>
      <c r="L1770" s="120">
        <f t="shared" si="703"/>
        <v>0</v>
      </c>
      <c r="M1770" s="246">
        <f t="shared" si="704"/>
        <v>0</v>
      </c>
      <c r="N1770" s="121">
        <f t="shared" si="705"/>
        <v>1</v>
      </c>
      <c r="O1770" s="246">
        <f t="shared" si="706"/>
        <v>0.99</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87">
        <v>19</v>
      </c>
      <c r="B1771" s="242">
        <f t="shared" si="713"/>
        <v>46204</v>
      </c>
      <c r="C1771" s="243">
        <f t="shared" si="694"/>
        <v>46234</v>
      </c>
      <c r="D1771" s="120">
        <f t="shared" si="695"/>
        <v>31</v>
      </c>
      <c r="E1771" s="120">
        <f t="shared" si="696"/>
        <v>7</v>
      </c>
      <c r="F1771" s="275">
        <f t="shared" si="697"/>
        <v>46219.5</v>
      </c>
      <c r="G1771" s="120">
        <f t="shared" si="698"/>
        <v>24318</v>
      </c>
      <c r="H1771" s="245">
        <f t="shared" si="699"/>
        <v>1</v>
      </c>
      <c r="I1771" s="121">
        <f t="shared" si="700"/>
        <v>1</v>
      </c>
      <c r="J1771" s="121">
        <f t="shared" si="701"/>
        <v>1</v>
      </c>
      <c r="K1771" s="120">
        <f t="shared" si="702"/>
        <v>0</v>
      </c>
      <c r="L1771" s="120">
        <f t="shared" si="703"/>
        <v>0</v>
      </c>
      <c r="M1771" s="246">
        <f t="shared" si="704"/>
        <v>0</v>
      </c>
      <c r="N1771" s="121">
        <f t="shared" si="705"/>
        <v>1</v>
      </c>
      <c r="O1771" s="246">
        <f t="shared" si="706"/>
        <v>0.99</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87">
        <v>20</v>
      </c>
      <c r="B1772" s="242">
        <f t="shared" si="713"/>
        <v>46235</v>
      </c>
      <c r="C1772" s="243">
        <f t="shared" si="694"/>
        <v>46265</v>
      </c>
      <c r="D1772" s="120">
        <f t="shared" si="695"/>
        <v>31</v>
      </c>
      <c r="E1772" s="120">
        <f t="shared" si="696"/>
        <v>8</v>
      </c>
      <c r="F1772" s="275">
        <f t="shared" si="697"/>
        <v>46250.5</v>
      </c>
      <c r="G1772" s="120">
        <f t="shared" si="698"/>
        <v>24319</v>
      </c>
      <c r="H1772" s="245">
        <f t="shared" si="699"/>
        <v>1</v>
      </c>
      <c r="I1772" s="121">
        <f t="shared" si="700"/>
        <v>1</v>
      </c>
      <c r="J1772" s="121">
        <f t="shared" si="701"/>
        <v>1.03</v>
      </c>
      <c r="K1772" s="120">
        <f t="shared" si="702"/>
        <v>1</v>
      </c>
      <c r="L1772" s="120">
        <f t="shared" si="703"/>
        <v>31</v>
      </c>
      <c r="M1772" s="246">
        <f t="shared" si="704"/>
        <v>1</v>
      </c>
      <c r="N1772" s="121">
        <f t="shared" si="705"/>
        <v>1.03</v>
      </c>
      <c r="O1772" s="246">
        <f t="shared" si="706"/>
        <v>0.99</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87">
        <v>21</v>
      </c>
      <c r="B1773" s="242">
        <f t="shared" si="713"/>
        <v>46266</v>
      </c>
      <c r="C1773" s="243">
        <f t="shared" si="694"/>
        <v>46295</v>
      </c>
      <c r="D1773" s="120">
        <f t="shared" si="695"/>
        <v>30</v>
      </c>
      <c r="E1773" s="120">
        <f t="shared" si="696"/>
        <v>9</v>
      </c>
      <c r="F1773" s="275">
        <f t="shared" si="697"/>
        <v>46281</v>
      </c>
      <c r="G1773" s="120">
        <f t="shared" si="698"/>
        <v>24320</v>
      </c>
      <c r="H1773" s="245">
        <f t="shared" si="699"/>
        <v>1</v>
      </c>
      <c r="I1773" s="121">
        <f t="shared" si="700"/>
        <v>1.03</v>
      </c>
      <c r="J1773" s="121">
        <f t="shared" si="701"/>
        <v>1.03</v>
      </c>
      <c r="K1773" s="120">
        <f t="shared" si="702"/>
        <v>0</v>
      </c>
      <c r="L1773" s="120">
        <f t="shared" si="703"/>
        <v>0</v>
      </c>
      <c r="M1773" s="246">
        <f t="shared" si="704"/>
        <v>0</v>
      </c>
      <c r="N1773" s="121">
        <f t="shared" si="705"/>
        <v>1.03</v>
      </c>
      <c r="O1773" s="246">
        <f t="shared" si="706"/>
        <v>0.99</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87">
        <v>22</v>
      </c>
      <c r="B1774" s="242">
        <f t="shared" si="713"/>
        <v>46296</v>
      </c>
      <c r="C1774" s="243">
        <f t="shared" si="694"/>
        <v>46326</v>
      </c>
      <c r="D1774" s="120">
        <f t="shared" si="695"/>
        <v>31</v>
      </c>
      <c r="E1774" s="120">
        <f t="shared" si="696"/>
        <v>10</v>
      </c>
      <c r="F1774" s="275">
        <f t="shared" si="697"/>
        <v>46311.5</v>
      </c>
      <c r="G1774" s="120">
        <f t="shared" si="698"/>
        <v>24321</v>
      </c>
      <c r="H1774" s="245">
        <f t="shared" si="699"/>
        <v>1</v>
      </c>
      <c r="I1774" s="121">
        <f t="shared" si="700"/>
        <v>1.03</v>
      </c>
      <c r="J1774" s="121">
        <f t="shared" si="701"/>
        <v>1.03</v>
      </c>
      <c r="K1774" s="120">
        <f t="shared" si="702"/>
        <v>0</v>
      </c>
      <c r="L1774" s="120">
        <f t="shared" si="703"/>
        <v>0</v>
      </c>
      <c r="M1774" s="246">
        <f t="shared" si="704"/>
        <v>0</v>
      </c>
      <c r="N1774" s="121">
        <f t="shared" si="705"/>
        <v>1.03</v>
      </c>
      <c r="O1774" s="246">
        <f t="shared" si="706"/>
        <v>0.99</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87">
        <v>23</v>
      </c>
      <c r="B1775" s="242">
        <f t="shared" si="713"/>
        <v>46327</v>
      </c>
      <c r="C1775" s="243">
        <f t="shared" si="694"/>
        <v>46356</v>
      </c>
      <c r="D1775" s="120">
        <f t="shared" si="695"/>
        <v>30</v>
      </c>
      <c r="E1775" s="120">
        <f t="shared" si="696"/>
        <v>11</v>
      </c>
      <c r="F1775" s="275">
        <f t="shared" si="697"/>
        <v>46342</v>
      </c>
      <c r="G1775" s="120">
        <f t="shared" si="698"/>
        <v>24322</v>
      </c>
      <c r="H1775" s="245">
        <f t="shared" si="699"/>
        <v>1</v>
      </c>
      <c r="I1775" s="121">
        <f t="shared" si="700"/>
        <v>1.03</v>
      </c>
      <c r="J1775" s="121">
        <f t="shared" si="701"/>
        <v>1.03</v>
      </c>
      <c r="K1775" s="120">
        <f t="shared" si="702"/>
        <v>0</v>
      </c>
      <c r="L1775" s="120">
        <f t="shared" si="703"/>
        <v>0</v>
      </c>
      <c r="M1775" s="246">
        <f t="shared" si="704"/>
        <v>0</v>
      </c>
      <c r="N1775" s="121">
        <f t="shared" si="705"/>
        <v>1.03</v>
      </c>
      <c r="O1775" s="246">
        <f t="shared" si="706"/>
        <v>0.99</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87">
        <v>24</v>
      </c>
      <c r="B1776" s="242">
        <f t="shared" si="713"/>
        <v>46357</v>
      </c>
      <c r="C1776" s="243">
        <f t="shared" si="694"/>
        <v>46387</v>
      </c>
      <c r="D1776" s="120">
        <f t="shared" si="695"/>
        <v>31</v>
      </c>
      <c r="E1776" s="120">
        <f t="shared" si="696"/>
        <v>12</v>
      </c>
      <c r="F1776" s="275">
        <f t="shared" si="697"/>
        <v>46372.5</v>
      </c>
      <c r="G1776" s="120">
        <f t="shared" si="698"/>
        <v>24323</v>
      </c>
      <c r="H1776" s="245">
        <f t="shared" si="699"/>
        <v>1</v>
      </c>
      <c r="I1776" s="121">
        <f t="shared" si="700"/>
        <v>1.03</v>
      </c>
      <c r="J1776" s="121">
        <f t="shared" si="701"/>
        <v>1.03</v>
      </c>
      <c r="K1776" s="120">
        <f t="shared" si="702"/>
        <v>0</v>
      </c>
      <c r="L1776" s="120">
        <f t="shared" si="703"/>
        <v>0</v>
      </c>
      <c r="M1776" s="246">
        <f t="shared" si="704"/>
        <v>0</v>
      </c>
      <c r="N1776" s="121">
        <f t="shared" si="705"/>
        <v>1.03</v>
      </c>
      <c r="O1776" s="246">
        <f t="shared" si="706"/>
        <v>0.99</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87">
        <v>25</v>
      </c>
      <c r="B1777" s="242">
        <f t="shared" si="713"/>
        <v>46388</v>
      </c>
      <c r="C1777" s="243">
        <f t="shared" si="694"/>
        <v>46418</v>
      </c>
      <c r="D1777" s="120">
        <f t="shared" si="695"/>
        <v>31</v>
      </c>
      <c r="E1777" s="120">
        <f t="shared" si="696"/>
        <v>1</v>
      </c>
      <c r="F1777" s="275">
        <f t="shared" si="697"/>
        <v>46403.5</v>
      </c>
      <c r="G1777" s="120">
        <f t="shared" si="698"/>
        <v>24324</v>
      </c>
      <c r="H1777" s="245">
        <f t="shared" si="699"/>
        <v>1</v>
      </c>
      <c r="I1777" s="121">
        <f t="shared" si="700"/>
        <v>1.03</v>
      </c>
      <c r="J1777" s="121">
        <f t="shared" si="701"/>
        <v>1.03</v>
      </c>
      <c r="K1777" s="120">
        <f t="shared" si="702"/>
        <v>0</v>
      </c>
      <c r="L1777" s="120">
        <f t="shared" si="703"/>
        <v>0</v>
      </c>
      <c r="M1777" s="246">
        <f t="shared" si="704"/>
        <v>0</v>
      </c>
      <c r="N1777" s="121">
        <f t="shared" si="705"/>
        <v>1.03</v>
      </c>
      <c r="O1777" s="246">
        <f t="shared" si="706"/>
        <v>0.99</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87">
        <v>26</v>
      </c>
      <c r="B1778" s="242">
        <f t="shared" si="713"/>
        <v>46419</v>
      </c>
      <c r="C1778" s="243">
        <f t="shared" si="694"/>
        <v>46446</v>
      </c>
      <c r="D1778" s="120">
        <f t="shared" si="695"/>
        <v>28</v>
      </c>
      <c r="E1778" s="120">
        <f t="shared" si="696"/>
        <v>2</v>
      </c>
      <c r="F1778" s="275">
        <f t="shared" si="697"/>
        <v>46433</v>
      </c>
      <c r="G1778" s="120">
        <f t="shared" si="698"/>
        <v>24325</v>
      </c>
      <c r="H1778" s="245">
        <f t="shared" si="699"/>
        <v>1</v>
      </c>
      <c r="I1778" s="121">
        <f t="shared" si="700"/>
        <v>1.03</v>
      </c>
      <c r="J1778" s="121">
        <f t="shared" si="701"/>
        <v>1.03</v>
      </c>
      <c r="K1778" s="120">
        <f t="shared" si="702"/>
        <v>0</v>
      </c>
      <c r="L1778" s="120">
        <f t="shared" si="703"/>
        <v>0</v>
      </c>
      <c r="M1778" s="246">
        <f t="shared" si="704"/>
        <v>0</v>
      </c>
      <c r="N1778" s="121">
        <f t="shared" si="705"/>
        <v>1.03</v>
      </c>
      <c r="O1778" s="246">
        <f t="shared" si="706"/>
        <v>0.99</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87">
        <v>27</v>
      </c>
      <c r="B1779" s="242">
        <f t="shared" si="713"/>
        <v>46447</v>
      </c>
      <c r="C1779" s="243">
        <f t="shared" si="694"/>
        <v>46477</v>
      </c>
      <c r="D1779" s="120">
        <f t="shared" si="695"/>
        <v>31</v>
      </c>
      <c r="E1779" s="120">
        <f t="shared" si="696"/>
        <v>3</v>
      </c>
      <c r="F1779" s="275">
        <f t="shared" si="697"/>
        <v>46462.5</v>
      </c>
      <c r="G1779" s="120">
        <f t="shared" si="698"/>
        <v>24326</v>
      </c>
      <c r="H1779" s="245">
        <f t="shared" si="699"/>
        <v>1</v>
      </c>
      <c r="I1779" s="121">
        <f t="shared" si="700"/>
        <v>1.03</v>
      </c>
      <c r="J1779" s="121">
        <f t="shared" si="701"/>
        <v>1.03</v>
      </c>
      <c r="K1779" s="120">
        <f t="shared" si="702"/>
        <v>0</v>
      </c>
      <c r="L1779" s="120">
        <f t="shared" si="703"/>
        <v>0</v>
      </c>
      <c r="M1779" s="246">
        <f t="shared" si="704"/>
        <v>0</v>
      </c>
      <c r="N1779" s="121">
        <f t="shared" si="705"/>
        <v>1.03</v>
      </c>
      <c r="O1779" s="246">
        <f t="shared" si="706"/>
        <v>0.99</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87">
        <v>28</v>
      </c>
      <c r="B1780" s="242">
        <f t="shared" si="713"/>
        <v>46478</v>
      </c>
      <c r="C1780" s="243">
        <f t="shared" si="694"/>
        <v>46507</v>
      </c>
      <c r="D1780" s="120">
        <f t="shared" si="695"/>
        <v>30</v>
      </c>
      <c r="E1780" s="120">
        <f t="shared" si="696"/>
        <v>4</v>
      </c>
      <c r="F1780" s="275">
        <f t="shared" si="697"/>
        <v>46493</v>
      </c>
      <c r="G1780" s="120">
        <f t="shared" si="698"/>
        <v>24327</v>
      </c>
      <c r="H1780" s="245">
        <f t="shared" si="699"/>
        <v>1</v>
      </c>
      <c r="I1780" s="121">
        <f t="shared" si="700"/>
        <v>1.03</v>
      </c>
      <c r="J1780" s="121">
        <f t="shared" si="701"/>
        <v>1.03</v>
      </c>
      <c r="K1780" s="120">
        <f t="shared" si="702"/>
        <v>0</v>
      </c>
      <c r="L1780" s="120">
        <f t="shared" si="703"/>
        <v>0</v>
      </c>
      <c r="M1780" s="246">
        <f t="shared" si="704"/>
        <v>0</v>
      </c>
      <c r="N1780" s="121">
        <f t="shared" si="705"/>
        <v>1.03</v>
      </c>
      <c r="O1780" s="246">
        <f t="shared" si="706"/>
        <v>0.99</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87">
        <v>29</v>
      </c>
      <c r="B1781" s="242">
        <f t="shared" si="713"/>
        <v>46508</v>
      </c>
      <c r="C1781" s="243">
        <f t="shared" si="694"/>
        <v>46538</v>
      </c>
      <c r="D1781" s="120">
        <f t="shared" si="695"/>
        <v>31</v>
      </c>
      <c r="E1781" s="120">
        <f t="shared" si="696"/>
        <v>5</v>
      </c>
      <c r="F1781" s="275">
        <f t="shared" si="697"/>
        <v>46523.5</v>
      </c>
      <c r="G1781" s="120">
        <f t="shared" si="698"/>
        <v>24328</v>
      </c>
      <c r="H1781" s="245">
        <f t="shared" si="699"/>
        <v>1</v>
      </c>
      <c r="I1781" s="121">
        <f t="shared" si="700"/>
        <v>1.03</v>
      </c>
      <c r="J1781" s="121">
        <f t="shared" si="701"/>
        <v>1.03</v>
      </c>
      <c r="K1781" s="120">
        <f t="shared" si="702"/>
        <v>0</v>
      </c>
      <c r="L1781" s="120">
        <f t="shared" si="703"/>
        <v>0</v>
      </c>
      <c r="M1781" s="246">
        <f t="shared" si="704"/>
        <v>0</v>
      </c>
      <c r="N1781" s="121">
        <f t="shared" si="705"/>
        <v>1.03</v>
      </c>
      <c r="O1781" s="246">
        <f t="shared" si="706"/>
        <v>0.99</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87">
        <v>30</v>
      </c>
      <c r="B1782" s="242">
        <f t="shared" si="713"/>
        <v>46539</v>
      </c>
      <c r="C1782" s="243">
        <f t="shared" si="694"/>
        <v>46568</v>
      </c>
      <c r="D1782" s="120">
        <f t="shared" si="695"/>
        <v>30</v>
      </c>
      <c r="E1782" s="120">
        <f t="shared" si="696"/>
        <v>6</v>
      </c>
      <c r="F1782" s="275">
        <f t="shared" si="697"/>
        <v>46554</v>
      </c>
      <c r="G1782" s="120">
        <f t="shared" si="698"/>
        <v>24329</v>
      </c>
      <c r="H1782" s="245">
        <f t="shared" si="699"/>
        <v>1</v>
      </c>
      <c r="I1782" s="121">
        <f t="shared" si="700"/>
        <v>1.03</v>
      </c>
      <c r="J1782" s="121">
        <f t="shared" si="701"/>
        <v>1.03</v>
      </c>
      <c r="K1782" s="120">
        <f t="shared" si="702"/>
        <v>0</v>
      </c>
      <c r="L1782" s="120">
        <f t="shared" si="703"/>
        <v>0</v>
      </c>
      <c r="M1782" s="246">
        <f t="shared" si="704"/>
        <v>0</v>
      </c>
      <c r="N1782" s="121">
        <f t="shared" si="705"/>
        <v>1.03</v>
      </c>
      <c r="O1782" s="246">
        <f t="shared" si="706"/>
        <v>0.99</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87">
        <v>31</v>
      </c>
      <c r="B1783" s="242">
        <f t="shared" si="713"/>
        <v>46569</v>
      </c>
      <c r="C1783" s="243">
        <f t="shared" si="694"/>
        <v>46599</v>
      </c>
      <c r="D1783" s="120">
        <f t="shared" si="695"/>
        <v>31</v>
      </c>
      <c r="E1783" s="120">
        <f t="shared" si="696"/>
        <v>7</v>
      </c>
      <c r="F1783" s="275">
        <f t="shared" si="697"/>
        <v>46584.5</v>
      </c>
      <c r="G1783" s="120">
        <f t="shared" si="698"/>
        <v>24330</v>
      </c>
      <c r="H1783" s="245">
        <f t="shared" si="699"/>
        <v>1</v>
      </c>
      <c r="I1783" s="121">
        <f t="shared" si="700"/>
        <v>1.03</v>
      </c>
      <c r="J1783" s="121">
        <f t="shared" si="701"/>
        <v>1.03</v>
      </c>
      <c r="K1783" s="120">
        <f t="shared" si="702"/>
        <v>0</v>
      </c>
      <c r="L1783" s="120">
        <f t="shared" si="703"/>
        <v>0</v>
      </c>
      <c r="M1783" s="246">
        <f t="shared" si="704"/>
        <v>0</v>
      </c>
      <c r="N1783" s="121">
        <f t="shared" si="705"/>
        <v>1.03</v>
      </c>
      <c r="O1783" s="246">
        <f t="shared" si="706"/>
        <v>0.99</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87">
        <v>32</v>
      </c>
      <c r="B1784" s="242">
        <f t="shared" si="713"/>
        <v>46600</v>
      </c>
      <c r="C1784" s="243">
        <f t="shared" si="694"/>
        <v>46630</v>
      </c>
      <c r="D1784" s="120">
        <f t="shared" si="695"/>
        <v>31</v>
      </c>
      <c r="E1784" s="120">
        <f t="shared" si="696"/>
        <v>8</v>
      </c>
      <c r="F1784" s="275">
        <f t="shared" si="697"/>
        <v>46615.5</v>
      </c>
      <c r="G1784" s="120">
        <f t="shared" si="698"/>
        <v>24331</v>
      </c>
      <c r="H1784" s="245">
        <f t="shared" si="699"/>
        <v>1</v>
      </c>
      <c r="I1784" s="121">
        <f t="shared" si="700"/>
        <v>1.03</v>
      </c>
      <c r="J1784" s="121">
        <f t="shared" si="701"/>
        <v>1.03</v>
      </c>
      <c r="K1784" s="120">
        <f t="shared" si="702"/>
        <v>0</v>
      </c>
      <c r="L1784" s="120">
        <f t="shared" si="703"/>
        <v>0</v>
      </c>
      <c r="M1784" s="246">
        <f t="shared" si="704"/>
        <v>0</v>
      </c>
      <c r="N1784" s="121">
        <f t="shared" si="705"/>
        <v>1.03</v>
      </c>
      <c r="O1784" s="246">
        <f t="shared" si="706"/>
        <v>0.99</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87">
        <v>33</v>
      </c>
      <c r="B1785" s="242">
        <f t="shared" si="713"/>
        <v>46631</v>
      </c>
      <c r="C1785" s="243">
        <f t="shared" si="694"/>
        <v>46660</v>
      </c>
      <c r="D1785" s="120">
        <f t="shared" si="695"/>
        <v>30</v>
      </c>
      <c r="E1785" s="120">
        <f t="shared" si="696"/>
        <v>9</v>
      </c>
      <c r="F1785" s="275">
        <f t="shared" si="697"/>
        <v>46646</v>
      </c>
      <c r="G1785" s="120">
        <f t="shared" si="698"/>
        <v>24332</v>
      </c>
      <c r="H1785" s="245">
        <f t="shared" si="699"/>
        <v>1</v>
      </c>
      <c r="I1785" s="121">
        <f t="shared" si="700"/>
        <v>1.03</v>
      </c>
      <c r="J1785" s="121">
        <f t="shared" si="701"/>
        <v>1.03</v>
      </c>
      <c r="K1785" s="120">
        <f t="shared" si="702"/>
        <v>0</v>
      </c>
      <c r="L1785" s="120">
        <f t="shared" si="703"/>
        <v>0</v>
      </c>
      <c r="M1785" s="246">
        <f t="shared" si="704"/>
        <v>0</v>
      </c>
      <c r="N1785" s="121">
        <f t="shared" si="705"/>
        <v>1.03</v>
      </c>
      <c r="O1785" s="246">
        <f t="shared" si="706"/>
        <v>0.99</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87">
        <v>34</v>
      </c>
      <c r="B1786" s="242">
        <f t="shared" si="713"/>
        <v>46661</v>
      </c>
      <c r="C1786" s="243">
        <f t="shared" si="694"/>
        <v>46691</v>
      </c>
      <c r="D1786" s="120">
        <f t="shared" si="695"/>
        <v>31</v>
      </c>
      <c r="E1786" s="120">
        <f t="shared" si="696"/>
        <v>10</v>
      </c>
      <c r="F1786" s="275">
        <f t="shared" si="697"/>
        <v>46676.5</v>
      </c>
      <c r="G1786" s="120">
        <f t="shared" si="698"/>
        <v>24333</v>
      </c>
      <c r="H1786" s="245">
        <f t="shared" si="699"/>
        <v>1</v>
      </c>
      <c r="I1786" s="121">
        <f t="shared" si="700"/>
        <v>1.03</v>
      </c>
      <c r="J1786" s="121">
        <f t="shared" si="701"/>
        <v>1.03</v>
      </c>
      <c r="K1786" s="120">
        <f t="shared" si="702"/>
        <v>0</v>
      </c>
      <c r="L1786" s="120">
        <f t="shared" si="703"/>
        <v>0</v>
      </c>
      <c r="M1786" s="246">
        <f t="shared" si="704"/>
        <v>0</v>
      </c>
      <c r="N1786" s="121">
        <f t="shared" si="705"/>
        <v>1.03</v>
      </c>
      <c r="O1786" s="246">
        <f t="shared" si="706"/>
        <v>0.99</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87">
        <v>35</v>
      </c>
      <c r="B1787" s="242">
        <f t="shared" si="713"/>
        <v>46692</v>
      </c>
      <c r="C1787" s="243">
        <f t="shared" si="694"/>
        <v>46721</v>
      </c>
      <c r="D1787" s="120">
        <f t="shared" si="695"/>
        <v>30</v>
      </c>
      <c r="E1787" s="120">
        <f t="shared" si="696"/>
        <v>11</v>
      </c>
      <c r="F1787" s="275">
        <f t="shared" si="697"/>
        <v>46707</v>
      </c>
      <c r="G1787" s="120">
        <f t="shared" si="698"/>
        <v>24334</v>
      </c>
      <c r="H1787" s="245">
        <f t="shared" si="699"/>
        <v>1</v>
      </c>
      <c r="I1787" s="121">
        <f t="shared" si="700"/>
        <v>1.03</v>
      </c>
      <c r="J1787" s="121">
        <f t="shared" si="701"/>
        <v>1.03</v>
      </c>
      <c r="K1787" s="120">
        <f t="shared" si="702"/>
        <v>0</v>
      </c>
      <c r="L1787" s="120">
        <f t="shared" si="703"/>
        <v>0</v>
      </c>
      <c r="M1787" s="246">
        <f t="shared" si="704"/>
        <v>0</v>
      </c>
      <c r="N1787" s="121">
        <f t="shared" si="705"/>
        <v>1.03</v>
      </c>
      <c r="O1787" s="246">
        <f t="shared" si="706"/>
        <v>0.99</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87">
        <v>36</v>
      </c>
      <c r="B1788" s="242">
        <f t="shared" si="713"/>
        <v>46722</v>
      </c>
      <c r="C1788" s="243">
        <f t="shared" si="694"/>
        <v>46752</v>
      </c>
      <c r="D1788" s="120">
        <f t="shared" si="695"/>
        <v>31</v>
      </c>
      <c r="E1788" s="120">
        <f t="shared" si="696"/>
        <v>12</v>
      </c>
      <c r="F1788" s="275">
        <f t="shared" si="697"/>
        <v>46737.5</v>
      </c>
      <c r="G1788" s="120">
        <f t="shared" si="698"/>
        <v>24335</v>
      </c>
      <c r="H1788" s="245">
        <f t="shared" si="699"/>
        <v>1</v>
      </c>
      <c r="I1788" s="121">
        <f t="shared" si="700"/>
        <v>1.03</v>
      </c>
      <c r="J1788" s="121">
        <f t="shared" si="701"/>
        <v>1.03</v>
      </c>
      <c r="K1788" s="120">
        <f t="shared" si="702"/>
        <v>0</v>
      </c>
      <c r="L1788" s="120">
        <f t="shared" si="703"/>
        <v>0</v>
      </c>
      <c r="M1788" s="246">
        <f t="shared" si="704"/>
        <v>0</v>
      </c>
      <c r="N1788" s="121">
        <f t="shared" si="705"/>
        <v>1.03</v>
      </c>
      <c r="O1788" s="246">
        <f t="shared" si="706"/>
        <v>0.99</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87">
        <v>37</v>
      </c>
      <c r="B1789" s="242">
        <f t="shared" si="713"/>
        <v>46753</v>
      </c>
      <c r="C1789" s="243">
        <f t="shared" si="694"/>
        <v>46783</v>
      </c>
      <c r="D1789" s="120">
        <f t="shared" si="695"/>
        <v>31</v>
      </c>
      <c r="E1789" s="120">
        <f t="shared" si="696"/>
        <v>1</v>
      </c>
      <c r="F1789" s="275">
        <f t="shared" si="697"/>
        <v>46768.5</v>
      </c>
      <c r="G1789" s="120">
        <f t="shared" si="698"/>
        <v>24336</v>
      </c>
      <c r="H1789" s="245">
        <f t="shared" si="699"/>
        <v>1</v>
      </c>
      <c r="I1789" s="121">
        <f t="shared" si="700"/>
        <v>1.03</v>
      </c>
      <c r="J1789" s="121">
        <f t="shared" si="701"/>
        <v>1.03</v>
      </c>
      <c r="K1789" s="120">
        <f t="shared" si="702"/>
        <v>0</v>
      </c>
      <c r="L1789" s="120">
        <f t="shared" si="703"/>
        <v>0</v>
      </c>
      <c r="M1789" s="246">
        <f t="shared" si="704"/>
        <v>0</v>
      </c>
      <c r="N1789" s="121">
        <f t="shared" si="705"/>
        <v>1.03</v>
      </c>
      <c r="O1789" s="246">
        <f t="shared" si="706"/>
        <v>0.99</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87">
        <v>38</v>
      </c>
      <c r="B1790" s="242">
        <f t="shared" si="713"/>
        <v>46784</v>
      </c>
      <c r="C1790" s="243">
        <f t="shared" si="694"/>
        <v>46812</v>
      </c>
      <c r="D1790" s="120">
        <f t="shared" si="695"/>
        <v>29</v>
      </c>
      <c r="E1790" s="120">
        <f t="shared" si="696"/>
        <v>2</v>
      </c>
      <c r="F1790" s="275">
        <f t="shared" si="697"/>
        <v>46798.5</v>
      </c>
      <c r="G1790" s="120">
        <f t="shared" si="698"/>
        <v>24337</v>
      </c>
      <c r="H1790" s="245">
        <f t="shared" si="699"/>
        <v>1</v>
      </c>
      <c r="I1790" s="121">
        <f t="shared" si="700"/>
        <v>1.03</v>
      </c>
      <c r="J1790" s="121">
        <f t="shared" si="701"/>
        <v>1.03</v>
      </c>
      <c r="K1790" s="120">
        <f t="shared" si="702"/>
        <v>0</v>
      </c>
      <c r="L1790" s="120">
        <f t="shared" si="703"/>
        <v>0</v>
      </c>
      <c r="M1790" s="246">
        <f t="shared" si="704"/>
        <v>0</v>
      </c>
      <c r="N1790" s="121">
        <f t="shared" si="705"/>
        <v>1.03</v>
      </c>
      <c r="O1790" s="246">
        <f t="shared" si="706"/>
        <v>0.99</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87">
        <v>39</v>
      </c>
      <c r="B1791" s="242">
        <f t="shared" si="713"/>
        <v>46813</v>
      </c>
      <c r="C1791" s="243">
        <f t="shared" si="694"/>
        <v>46843</v>
      </c>
      <c r="D1791" s="120">
        <f t="shared" si="695"/>
        <v>31</v>
      </c>
      <c r="E1791" s="120">
        <f t="shared" si="696"/>
        <v>3</v>
      </c>
      <c r="F1791" s="275">
        <f t="shared" si="697"/>
        <v>46828.5</v>
      </c>
      <c r="G1791" s="120">
        <f t="shared" si="698"/>
        <v>24338</v>
      </c>
      <c r="H1791" s="245">
        <f t="shared" si="699"/>
        <v>1</v>
      </c>
      <c r="I1791" s="121">
        <f t="shared" si="700"/>
        <v>1.03</v>
      </c>
      <c r="J1791" s="121">
        <f t="shared" si="701"/>
        <v>1.03</v>
      </c>
      <c r="K1791" s="120">
        <f t="shared" si="702"/>
        <v>0</v>
      </c>
      <c r="L1791" s="120">
        <f t="shared" si="703"/>
        <v>0</v>
      </c>
      <c r="M1791" s="246">
        <f t="shared" si="704"/>
        <v>0</v>
      </c>
      <c r="N1791" s="121">
        <f t="shared" si="705"/>
        <v>1.03</v>
      </c>
      <c r="O1791" s="246">
        <f t="shared" si="706"/>
        <v>0.99</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87">
        <v>40</v>
      </c>
      <c r="B1792" s="242">
        <f t="shared" si="713"/>
        <v>46844</v>
      </c>
      <c r="C1792" s="243">
        <f t="shared" si="694"/>
        <v>46873</v>
      </c>
      <c r="D1792" s="120">
        <f t="shared" si="695"/>
        <v>30</v>
      </c>
      <c r="E1792" s="120">
        <f t="shared" si="696"/>
        <v>4</v>
      </c>
      <c r="F1792" s="275">
        <f t="shared" si="697"/>
        <v>46859</v>
      </c>
      <c r="G1792" s="120">
        <f t="shared" si="698"/>
        <v>24339</v>
      </c>
      <c r="H1792" s="245">
        <f t="shared" si="699"/>
        <v>1</v>
      </c>
      <c r="I1792" s="121">
        <f t="shared" si="700"/>
        <v>1.03</v>
      </c>
      <c r="J1792" s="121">
        <f t="shared" si="701"/>
        <v>1.03</v>
      </c>
      <c r="K1792" s="120">
        <f t="shared" si="702"/>
        <v>0</v>
      </c>
      <c r="L1792" s="120">
        <f t="shared" si="703"/>
        <v>0</v>
      </c>
      <c r="M1792" s="246">
        <f t="shared" si="704"/>
        <v>0</v>
      </c>
      <c r="N1792" s="121">
        <f t="shared" si="705"/>
        <v>1.03</v>
      </c>
      <c r="O1792" s="246">
        <f t="shared" si="706"/>
        <v>0.99</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87">
        <v>41</v>
      </c>
      <c r="B1793" s="242">
        <f t="shared" si="713"/>
        <v>46874</v>
      </c>
      <c r="C1793" s="243">
        <f t="shared" si="694"/>
        <v>46904</v>
      </c>
      <c r="D1793" s="120">
        <f t="shared" si="695"/>
        <v>31</v>
      </c>
      <c r="E1793" s="120">
        <f t="shared" si="696"/>
        <v>5</v>
      </c>
      <c r="F1793" s="275">
        <f t="shared" si="697"/>
        <v>46889.5</v>
      </c>
      <c r="G1793" s="120">
        <f t="shared" si="698"/>
        <v>24340</v>
      </c>
      <c r="H1793" s="245">
        <f t="shared" si="699"/>
        <v>1</v>
      </c>
      <c r="I1793" s="121">
        <f t="shared" si="700"/>
        <v>1.03</v>
      </c>
      <c r="J1793" s="121">
        <f t="shared" si="701"/>
        <v>1.03</v>
      </c>
      <c r="K1793" s="120">
        <f t="shared" si="702"/>
        <v>0</v>
      </c>
      <c r="L1793" s="120">
        <f t="shared" si="703"/>
        <v>0</v>
      </c>
      <c r="M1793" s="246">
        <f t="shared" si="704"/>
        <v>0</v>
      </c>
      <c r="N1793" s="121">
        <f t="shared" si="705"/>
        <v>1.03</v>
      </c>
      <c r="O1793" s="246">
        <f t="shared" si="706"/>
        <v>0.99</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87">
        <v>42</v>
      </c>
      <c r="B1794" s="242">
        <f t="shared" si="713"/>
        <v>46905</v>
      </c>
      <c r="C1794" s="243">
        <f t="shared" si="694"/>
        <v>46934</v>
      </c>
      <c r="D1794" s="120">
        <f t="shared" si="695"/>
        <v>30</v>
      </c>
      <c r="E1794" s="120">
        <f t="shared" si="696"/>
        <v>6</v>
      </c>
      <c r="F1794" s="275">
        <f t="shared" si="697"/>
        <v>46920</v>
      </c>
      <c r="G1794" s="120">
        <f t="shared" si="698"/>
        <v>24341</v>
      </c>
      <c r="H1794" s="245">
        <f t="shared" si="699"/>
        <v>1</v>
      </c>
      <c r="I1794" s="121">
        <f t="shared" si="700"/>
        <v>1.03</v>
      </c>
      <c r="J1794" s="121">
        <f t="shared" si="701"/>
        <v>1.03</v>
      </c>
      <c r="K1794" s="120">
        <f t="shared" si="702"/>
        <v>0</v>
      </c>
      <c r="L1794" s="120">
        <f t="shared" si="703"/>
        <v>0</v>
      </c>
      <c r="M1794" s="246">
        <f t="shared" si="704"/>
        <v>0</v>
      </c>
      <c r="N1794" s="121">
        <f t="shared" si="705"/>
        <v>1.03</v>
      </c>
      <c r="O1794" s="246">
        <f t="shared" si="706"/>
        <v>0.99</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87">
        <v>43</v>
      </c>
      <c r="B1795" s="242">
        <f t="shared" si="713"/>
        <v>46935</v>
      </c>
      <c r="C1795" s="243">
        <f t="shared" si="694"/>
        <v>46965</v>
      </c>
      <c r="D1795" s="120">
        <f t="shared" si="695"/>
        <v>31</v>
      </c>
      <c r="E1795" s="120">
        <f t="shared" si="696"/>
        <v>7</v>
      </c>
      <c r="F1795" s="275">
        <f t="shared" si="697"/>
        <v>46950.5</v>
      </c>
      <c r="G1795" s="120">
        <f t="shared" si="698"/>
        <v>24342</v>
      </c>
      <c r="H1795" s="245">
        <f t="shared" si="699"/>
        <v>1</v>
      </c>
      <c r="I1795" s="121">
        <f t="shared" si="700"/>
        <v>1.03</v>
      </c>
      <c r="J1795" s="121">
        <f t="shared" si="701"/>
        <v>1.03</v>
      </c>
      <c r="K1795" s="120">
        <f t="shared" si="702"/>
        <v>0</v>
      </c>
      <c r="L1795" s="120">
        <f t="shared" si="703"/>
        <v>0</v>
      </c>
      <c r="M1795" s="246">
        <f t="shared" si="704"/>
        <v>0</v>
      </c>
      <c r="N1795" s="121">
        <f t="shared" si="705"/>
        <v>1.03</v>
      </c>
      <c r="O1795" s="246">
        <f t="shared" si="706"/>
        <v>0.99</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87">
        <v>44</v>
      </c>
      <c r="B1796" s="242">
        <f t="shared" si="713"/>
        <v>46966</v>
      </c>
      <c r="C1796" s="243">
        <f t="shared" si="694"/>
        <v>46996</v>
      </c>
      <c r="D1796" s="120">
        <f t="shared" si="695"/>
        <v>31</v>
      </c>
      <c r="E1796" s="120">
        <f t="shared" si="696"/>
        <v>8</v>
      </c>
      <c r="F1796" s="275">
        <f t="shared" si="697"/>
        <v>46981.5</v>
      </c>
      <c r="G1796" s="120">
        <f t="shared" si="698"/>
        <v>24343</v>
      </c>
      <c r="H1796" s="245">
        <f t="shared" si="699"/>
        <v>1</v>
      </c>
      <c r="I1796" s="121">
        <f t="shared" si="700"/>
        <v>1.03</v>
      </c>
      <c r="J1796" s="121">
        <f t="shared" si="701"/>
        <v>1.03</v>
      </c>
      <c r="K1796" s="120">
        <f t="shared" si="702"/>
        <v>0</v>
      </c>
      <c r="L1796" s="120">
        <f t="shared" si="703"/>
        <v>0</v>
      </c>
      <c r="M1796" s="246">
        <f t="shared" si="704"/>
        <v>0</v>
      </c>
      <c r="N1796" s="121">
        <f t="shared" si="705"/>
        <v>1.03</v>
      </c>
      <c r="O1796" s="246">
        <f t="shared" si="706"/>
        <v>0.99</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87">
        <v>45</v>
      </c>
      <c r="B1797" s="242">
        <f t="shared" si="713"/>
        <v>46997</v>
      </c>
      <c r="C1797" s="243">
        <f t="shared" si="694"/>
        <v>47026</v>
      </c>
      <c r="D1797" s="120">
        <f t="shared" si="695"/>
        <v>30</v>
      </c>
      <c r="E1797" s="120">
        <f t="shared" si="696"/>
        <v>9</v>
      </c>
      <c r="F1797" s="275">
        <f t="shared" si="697"/>
        <v>47012</v>
      </c>
      <c r="G1797" s="120">
        <f t="shared" si="698"/>
        <v>24344</v>
      </c>
      <c r="H1797" s="245">
        <f t="shared" si="699"/>
        <v>1</v>
      </c>
      <c r="I1797" s="121">
        <f t="shared" si="700"/>
        <v>1.03</v>
      </c>
      <c r="J1797" s="121">
        <f t="shared" si="701"/>
        <v>1.03</v>
      </c>
      <c r="K1797" s="120">
        <f t="shared" si="702"/>
        <v>0</v>
      </c>
      <c r="L1797" s="120">
        <f t="shared" si="703"/>
        <v>0</v>
      </c>
      <c r="M1797" s="246">
        <f t="shared" si="704"/>
        <v>0</v>
      </c>
      <c r="N1797" s="121">
        <f t="shared" si="705"/>
        <v>1.03</v>
      </c>
      <c r="O1797" s="246">
        <f t="shared" si="706"/>
        <v>0.99</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87">
        <v>46</v>
      </c>
      <c r="B1798" s="242">
        <f t="shared" si="713"/>
        <v>47027</v>
      </c>
      <c r="C1798" s="243">
        <f t="shared" si="694"/>
        <v>47057</v>
      </c>
      <c r="D1798" s="120">
        <f t="shared" si="695"/>
        <v>31</v>
      </c>
      <c r="E1798" s="120">
        <f t="shared" si="696"/>
        <v>10</v>
      </c>
      <c r="F1798" s="275">
        <f t="shared" si="697"/>
        <v>47042.5</v>
      </c>
      <c r="G1798" s="120">
        <f t="shared" si="698"/>
        <v>24345</v>
      </c>
      <c r="H1798" s="245">
        <f t="shared" si="699"/>
        <v>1</v>
      </c>
      <c r="I1798" s="121">
        <f t="shared" si="700"/>
        <v>1.03</v>
      </c>
      <c r="J1798" s="121">
        <f t="shared" si="701"/>
        <v>1.03</v>
      </c>
      <c r="K1798" s="120">
        <f t="shared" si="702"/>
        <v>0</v>
      </c>
      <c r="L1798" s="120">
        <f t="shared" si="703"/>
        <v>0</v>
      </c>
      <c r="M1798" s="246">
        <f t="shared" si="704"/>
        <v>0</v>
      </c>
      <c r="N1798" s="121">
        <f t="shared" si="705"/>
        <v>1.03</v>
      </c>
      <c r="O1798" s="246">
        <f t="shared" si="706"/>
        <v>0.99</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87">
        <v>47</v>
      </c>
      <c r="B1799" s="242">
        <f t="shared" si="713"/>
        <v>47058</v>
      </c>
      <c r="C1799" s="243">
        <f t="shared" si="694"/>
        <v>47087</v>
      </c>
      <c r="D1799" s="120">
        <f t="shared" si="695"/>
        <v>30</v>
      </c>
      <c r="E1799" s="120">
        <f t="shared" si="696"/>
        <v>11</v>
      </c>
      <c r="F1799" s="275">
        <f t="shared" si="697"/>
        <v>47073</v>
      </c>
      <c r="G1799" s="120">
        <f t="shared" si="698"/>
        <v>24346</v>
      </c>
      <c r="H1799" s="245">
        <f t="shared" si="699"/>
        <v>1</v>
      </c>
      <c r="I1799" s="121">
        <f t="shared" si="700"/>
        <v>1.03</v>
      </c>
      <c r="J1799" s="121">
        <f t="shared" si="701"/>
        <v>1.03</v>
      </c>
      <c r="K1799" s="120">
        <f t="shared" si="702"/>
        <v>0</v>
      </c>
      <c r="L1799" s="120">
        <f t="shared" si="703"/>
        <v>0</v>
      </c>
      <c r="M1799" s="246">
        <f t="shared" si="704"/>
        <v>0</v>
      </c>
      <c r="N1799" s="121">
        <f t="shared" si="705"/>
        <v>1.03</v>
      </c>
      <c r="O1799" s="246">
        <f t="shared" si="706"/>
        <v>0.99</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87">
        <v>48</v>
      </c>
      <c r="B1800" s="242">
        <f t="shared" si="713"/>
        <v>47088</v>
      </c>
      <c r="C1800" s="243">
        <f t="shared" si="694"/>
        <v>47118</v>
      </c>
      <c r="D1800" s="120">
        <f t="shared" si="695"/>
        <v>31</v>
      </c>
      <c r="E1800" s="120">
        <f t="shared" si="696"/>
        <v>12</v>
      </c>
      <c r="F1800" s="275">
        <f t="shared" si="697"/>
        <v>47103.5</v>
      </c>
      <c r="G1800" s="120">
        <f t="shared" si="698"/>
        <v>24347</v>
      </c>
      <c r="H1800" s="245">
        <f t="shared" si="699"/>
        <v>1</v>
      </c>
      <c r="I1800" s="121">
        <f t="shared" si="700"/>
        <v>1.03</v>
      </c>
      <c r="J1800" s="121">
        <f t="shared" si="701"/>
        <v>1.03</v>
      </c>
      <c r="K1800" s="120">
        <f t="shared" si="702"/>
        <v>0</v>
      </c>
      <c r="L1800" s="120">
        <f t="shared" si="703"/>
        <v>0</v>
      </c>
      <c r="M1800" s="246">
        <f t="shared" si="704"/>
        <v>0</v>
      </c>
      <c r="N1800" s="121">
        <f t="shared" si="705"/>
        <v>1.03</v>
      </c>
      <c r="O1800" s="246">
        <f t="shared" si="706"/>
        <v>0.99</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1651</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24">
        <f>SUMPRODUCT($H$1753:$H$1800,$Q$1753:$Q$1800,$O$1753:$O$1800)/SUMPRODUCT($H$1753:$H$1800,$Q$1753:$Q$1800)</f>
        <v>0.9900000000000001</v>
      </c>
      <c r="G1801" s="224">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24">
        <f>IF(N(INDEX(lr_mind,33))=0,1,INDEX(lr_mind,33))</f>
        <v>1</v>
      </c>
      <c r="G1804" s="224">
        <f>IF(N(INDEX(lr_m0,33))=0,1,INDEX(lr_m0,33))</f>
        <v>0.99</v>
      </c>
      <c r="H1804" s="74">
        <f>IF(N(INDEX(lr_m0asof,33))=0,DATE(nr_PlanYear-1,10,1),INDEX(lr_m0asof,33))</f>
        <v>46295</v>
      </c>
      <c r="I1804" s="224">
        <f>IF(N(INDEX(lr_m1,33))=0,1,INDEX(lr_m1,33))</f>
        <v>1.0049999999999999</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714">EOMONTH($B1807,0)</f>
        <v>45688</v>
      </c>
      <c r="D1807" s="120">
        <f t="shared" ref="D1807:D1854" si="715">$C1807-$B1807+1</f>
        <v>31</v>
      </c>
      <c r="E1807" s="120">
        <f t="shared" ref="E1807:E1854" si="716">MONTH($B1807)</f>
        <v>1</v>
      </c>
      <c r="F1807" s="275">
        <f t="shared" ref="F1807:F1854" si="717">($B1807+$C1807+1)/2</f>
        <v>45673.5</v>
      </c>
      <c r="G1807" s="120">
        <f t="shared" ref="G1807:G1854" si="718">YEAR($B1807)*12+MONTH($B1807)-1</f>
        <v>24300</v>
      </c>
      <c r="H1807" s="245">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46">
        <f t="shared" ref="M1807:M1854" si="724">IF($K1807=0,0,MIN(1,$L1807/$D1807))</f>
        <v>0</v>
      </c>
      <c r="N1807" s="121">
        <f t="shared" ref="N1807:N1854" si="725">IF($K1807=0,$J1807,(1-$M1807)*$I1807+$M1807*$J1807)</f>
        <v>1</v>
      </c>
      <c r="O1807" s="246">
        <f t="shared" ref="O1807:O1854" si="726">IF($F1807&lt;$B$1805,$E$1805+$I$1805*($F1807-$A$1805),IF($F1807&lt;$C$1805,$F$1805+$J$1805*($F1807-$B$1805),$G$1805+$K$1805*($F1807-$C$1805)))</f>
        <v>0.96956783369803068</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87">
        <v>2</v>
      </c>
      <c r="B1808" s="242">
        <f t="shared" ref="B1808:B1854" si="733">EDATE($B1807,1)</f>
        <v>45689</v>
      </c>
      <c r="C1808" s="243">
        <f t="shared" si="714"/>
        <v>45716</v>
      </c>
      <c r="D1808" s="120">
        <f t="shared" si="715"/>
        <v>28</v>
      </c>
      <c r="E1808" s="120">
        <f t="shared" si="716"/>
        <v>2</v>
      </c>
      <c r="F1808" s="275">
        <f t="shared" si="717"/>
        <v>45703</v>
      </c>
      <c r="G1808" s="120">
        <f t="shared" si="718"/>
        <v>24301</v>
      </c>
      <c r="H1808" s="245">
        <f t="shared" si="719"/>
        <v>1</v>
      </c>
      <c r="I1808" s="121">
        <f t="shared" si="720"/>
        <v>1</v>
      </c>
      <c r="J1808" s="121">
        <f t="shared" si="721"/>
        <v>1</v>
      </c>
      <c r="K1808" s="120">
        <f t="shared" si="722"/>
        <v>0</v>
      </c>
      <c r="L1808" s="120">
        <f t="shared" si="723"/>
        <v>0</v>
      </c>
      <c r="M1808" s="246">
        <f t="shared" si="724"/>
        <v>0</v>
      </c>
      <c r="N1808" s="121">
        <f t="shared" si="725"/>
        <v>1</v>
      </c>
      <c r="O1808" s="246">
        <f t="shared" si="726"/>
        <v>0.97053610503282284</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87">
        <v>3</v>
      </c>
      <c r="B1809" s="242">
        <f t="shared" si="733"/>
        <v>45717</v>
      </c>
      <c r="C1809" s="243">
        <f t="shared" si="714"/>
        <v>45747</v>
      </c>
      <c r="D1809" s="120">
        <f t="shared" si="715"/>
        <v>31</v>
      </c>
      <c r="E1809" s="120">
        <f t="shared" si="716"/>
        <v>3</v>
      </c>
      <c r="F1809" s="275">
        <f t="shared" si="717"/>
        <v>45732.5</v>
      </c>
      <c r="G1809" s="120">
        <f t="shared" si="718"/>
        <v>24302</v>
      </c>
      <c r="H1809" s="245">
        <f t="shared" si="719"/>
        <v>1</v>
      </c>
      <c r="I1809" s="121">
        <f t="shared" si="720"/>
        <v>1</v>
      </c>
      <c r="J1809" s="121">
        <f t="shared" si="721"/>
        <v>1</v>
      </c>
      <c r="K1809" s="120">
        <f t="shared" si="722"/>
        <v>0</v>
      </c>
      <c r="L1809" s="120">
        <f t="shared" si="723"/>
        <v>0</v>
      </c>
      <c r="M1809" s="246">
        <f t="shared" si="724"/>
        <v>0</v>
      </c>
      <c r="N1809" s="121">
        <f t="shared" si="725"/>
        <v>1</v>
      </c>
      <c r="O1809" s="246">
        <f t="shared" si="726"/>
        <v>0.971504376367615</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87">
        <v>4</v>
      </c>
      <c r="B1810" s="242">
        <f t="shared" si="733"/>
        <v>45748</v>
      </c>
      <c r="C1810" s="243">
        <f t="shared" si="714"/>
        <v>45777</v>
      </c>
      <c r="D1810" s="120">
        <f t="shared" si="715"/>
        <v>30</v>
      </c>
      <c r="E1810" s="120">
        <f t="shared" si="716"/>
        <v>4</v>
      </c>
      <c r="F1810" s="275">
        <f t="shared" si="717"/>
        <v>45763</v>
      </c>
      <c r="G1810" s="120">
        <f t="shared" si="718"/>
        <v>24303</v>
      </c>
      <c r="H1810" s="245">
        <f t="shared" si="719"/>
        <v>1</v>
      </c>
      <c r="I1810" s="121">
        <f t="shared" si="720"/>
        <v>1</v>
      </c>
      <c r="J1810" s="121">
        <f t="shared" si="721"/>
        <v>1</v>
      </c>
      <c r="K1810" s="120">
        <f t="shared" si="722"/>
        <v>0</v>
      </c>
      <c r="L1810" s="120">
        <f t="shared" si="723"/>
        <v>0</v>
      </c>
      <c r="M1810" s="246">
        <f t="shared" si="724"/>
        <v>0</v>
      </c>
      <c r="N1810" s="121">
        <f t="shared" si="725"/>
        <v>1</v>
      </c>
      <c r="O1810" s="246">
        <f t="shared" si="726"/>
        <v>0.97250547045951863</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87">
        <v>5</v>
      </c>
      <c r="B1811" s="242">
        <f t="shared" si="733"/>
        <v>45778</v>
      </c>
      <c r="C1811" s="243">
        <f t="shared" si="714"/>
        <v>45808</v>
      </c>
      <c r="D1811" s="120">
        <f t="shared" si="715"/>
        <v>31</v>
      </c>
      <c r="E1811" s="120">
        <f t="shared" si="716"/>
        <v>5</v>
      </c>
      <c r="F1811" s="275">
        <f t="shared" si="717"/>
        <v>45793.5</v>
      </c>
      <c r="G1811" s="120">
        <f t="shared" si="718"/>
        <v>24304</v>
      </c>
      <c r="H1811" s="245">
        <f t="shared" si="719"/>
        <v>1</v>
      </c>
      <c r="I1811" s="121">
        <f t="shared" si="720"/>
        <v>1</v>
      </c>
      <c r="J1811" s="121">
        <f t="shared" si="721"/>
        <v>1</v>
      </c>
      <c r="K1811" s="120">
        <f t="shared" si="722"/>
        <v>0</v>
      </c>
      <c r="L1811" s="120">
        <f t="shared" si="723"/>
        <v>0</v>
      </c>
      <c r="M1811" s="246">
        <f t="shared" si="724"/>
        <v>0</v>
      </c>
      <c r="N1811" s="121">
        <f t="shared" si="725"/>
        <v>1</v>
      </c>
      <c r="O1811" s="246">
        <f t="shared" si="726"/>
        <v>0.97350656455142237</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87">
        <v>6</v>
      </c>
      <c r="B1812" s="242">
        <f t="shared" si="733"/>
        <v>45809</v>
      </c>
      <c r="C1812" s="243">
        <f t="shared" si="714"/>
        <v>45838</v>
      </c>
      <c r="D1812" s="120">
        <f t="shared" si="715"/>
        <v>30</v>
      </c>
      <c r="E1812" s="120">
        <f t="shared" si="716"/>
        <v>6</v>
      </c>
      <c r="F1812" s="275">
        <f t="shared" si="717"/>
        <v>45824</v>
      </c>
      <c r="G1812" s="120">
        <f t="shared" si="718"/>
        <v>24305</v>
      </c>
      <c r="H1812" s="245">
        <f t="shared" si="719"/>
        <v>1</v>
      </c>
      <c r="I1812" s="121">
        <f t="shared" si="720"/>
        <v>1</v>
      </c>
      <c r="J1812" s="121">
        <f t="shared" si="721"/>
        <v>1</v>
      </c>
      <c r="K1812" s="120">
        <f t="shared" si="722"/>
        <v>0</v>
      </c>
      <c r="L1812" s="120">
        <f t="shared" si="723"/>
        <v>0</v>
      </c>
      <c r="M1812" s="246">
        <f t="shared" si="724"/>
        <v>0</v>
      </c>
      <c r="N1812" s="121">
        <f t="shared" si="725"/>
        <v>1</v>
      </c>
      <c r="O1812" s="246">
        <f t="shared" si="726"/>
        <v>0.97450765864332611</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87">
        <v>7</v>
      </c>
      <c r="B1813" s="242">
        <f t="shared" si="733"/>
        <v>45839</v>
      </c>
      <c r="C1813" s="243">
        <f t="shared" si="714"/>
        <v>45869</v>
      </c>
      <c r="D1813" s="120">
        <f t="shared" si="715"/>
        <v>31</v>
      </c>
      <c r="E1813" s="120">
        <f t="shared" si="716"/>
        <v>7</v>
      </c>
      <c r="F1813" s="275">
        <f t="shared" si="717"/>
        <v>45854.5</v>
      </c>
      <c r="G1813" s="120">
        <f t="shared" si="718"/>
        <v>24306</v>
      </c>
      <c r="H1813" s="245">
        <f t="shared" si="719"/>
        <v>1</v>
      </c>
      <c r="I1813" s="121">
        <f t="shared" si="720"/>
        <v>1</v>
      </c>
      <c r="J1813" s="121">
        <f t="shared" si="721"/>
        <v>1</v>
      </c>
      <c r="K1813" s="120">
        <f t="shared" si="722"/>
        <v>0</v>
      </c>
      <c r="L1813" s="120">
        <f t="shared" si="723"/>
        <v>0</v>
      </c>
      <c r="M1813" s="246">
        <f t="shared" si="724"/>
        <v>0</v>
      </c>
      <c r="N1813" s="121">
        <f t="shared" si="725"/>
        <v>1</v>
      </c>
      <c r="O1813" s="246">
        <f t="shared" si="726"/>
        <v>0.97550875273522986</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87">
        <v>8</v>
      </c>
      <c r="B1814" s="242">
        <f t="shared" si="733"/>
        <v>45870</v>
      </c>
      <c r="C1814" s="243">
        <f t="shared" si="714"/>
        <v>45900</v>
      </c>
      <c r="D1814" s="120">
        <f t="shared" si="715"/>
        <v>31</v>
      </c>
      <c r="E1814" s="120">
        <f t="shared" si="716"/>
        <v>8</v>
      </c>
      <c r="F1814" s="275">
        <f t="shared" si="717"/>
        <v>45885.5</v>
      </c>
      <c r="G1814" s="120">
        <f t="shared" si="718"/>
        <v>24307</v>
      </c>
      <c r="H1814" s="245">
        <f t="shared" si="719"/>
        <v>1</v>
      </c>
      <c r="I1814" s="121">
        <f t="shared" si="720"/>
        <v>1</v>
      </c>
      <c r="J1814" s="121">
        <f t="shared" si="721"/>
        <v>1</v>
      </c>
      <c r="K1814" s="120">
        <f t="shared" si="722"/>
        <v>0</v>
      </c>
      <c r="L1814" s="120">
        <f t="shared" si="723"/>
        <v>0</v>
      </c>
      <c r="M1814" s="246">
        <f t="shared" si="724"/>
        <v>0</v>
      </c>
      <c r="N1814" s="121">
        <f t="shared" si="725"/>
        <v>1</v>
      </c>
      <c r="O1814" s="246">
        <f t="shared" si="726"/>
        <v>0.97652625820568928</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87">
        <v>9</v>
      </c>
      <c r="B1815" s="242">
        <f t="shared" si="733"/>
        <v>45901</v>
      </c>
      <c r="C1815" s="243">
        <f t="shared" si="714"/>
        <v>45930</v>
      </c>
      <c r="D1815" s="120">
        <f t="shared" si="715"/>
        <v>30</v>
      </c>
      <c r="E1815" s="120">
        <f t="shared" si="716"/>
        <v>9</v>
      </c>
      <c r="F1815" s="275">
        <f t="shared" si="717"/>
        <v>45916</v>
      </c>
      <c r="G1815" s="120">
        <f t="shared" si="718"/>
        <v>24308</v>
      </c>
      <c r="H1815" s="245">
        <f t="shared" si="719"/>
        <v>1</v>
      </c>
      <c r="I1815" s="121">
        <f t="shared" si="720"/>
        <v>1</v>
      </c>
      <c r="J1815" s="121">
        <f t="shared" si="721"/>
        <v>1</v>
      </c>
      <c r="K1815" s="120">
        <f t="shared" si="722"/>
        <v>0</v>
      </c>
      <c r="L1815" s="120">
        <f t="shared" si="723"/>
        <v>0</v>
      </c>
      <c r="M1815" s="246">
        <f t="shared" si="724"/>
        <v>0</v>
      </c>
      <c r="N1815" s="121">
        <f t="shared" si="725"/>
        <v>1</v>
      </c>
      <c r="O1815" s="246">
        <f t="shared" si="726"/>
        <v>0.97752735229759302</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87">
        <v>10</v>
      </c>
      <c r="B1816" s="242">
        <f t="shared" si="733"/>
        <v>45931</v>
      </c>
      <c r="C1816" s="243">
        <f t="shared" si="714"/>
        <v>45961</v>
      </c>
      <c r="D1816" s="120">
        <f t="shared" si="715"/>
        <v>31</v>
      </c>
      <c r="E1816" s="120">
        <f t="shared" si="716"/>
        <v>10</v>
      </c>
      <c r="F1816" s="275">
        <f t="shared" si="717"/>
        <v>45946.5</v>
      </c>
      <c r="G1816" s="120">
        <f t="shared" si="718"/>
        <v>24309</v>
      </c>
      <c r="H1816" s="245">
        <f t="shared" si="719"/>
        <v>1</v>
      </c>
      <c r="I1816" s="121">
        <f t="shared" si="720"/>
        <v>1</v>
      </c>
      <c r="J1816" s="121">
        <f t="shared" si="721"/>
        <v>1</v>
      </c>
      <c r="K1816" s="120">
        <f t="shared" si="722"/>
        <v>0</v>
      </c>
      <c r="L1816" s="120">
        <f t="shared" si="723"/>
        <v>0</v>
      </c>
      <c r="M1816" s="246">
        <f t="shared" si="724"/>
        <v>0</v>
      </c>
      <c r="N1816" s="121">
        <f t="shared" si="725"/>
        <v>1</v>
      </c>
      <c r="O1816" s="246">
        <f t="shared" si="726"/>
        <v>0.97852844638949676</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87">
        <v>11</v>
      </c>
      <c r="B1817" s="242">
        <f t="shared" si="733"/>
        <v>45962</v>
      </c>
      <c r="C1817" s="243">
        <f t="shared" si="714"/>
        <v>45991</v>
      </c>
      <c r="D1817" s="120">
        <f t="shared" si="715"/>
        <v>30</v>
      </c>
      <c r="E1817" s="120">
        <f t="shared" si="716"/>
        <v>11</v>
      </c>
      <c r="F1817" s="275">
        <f t="shared" si="717"/>
        <v>45977</v>
      </c>
      <c r="G1817" s="120">
        <f t="shared" si="718"/>
        <v>24310</v>
      </c>
      <c r="H1817" s="245">
        <f t="shared" si="719"/>
        <v>1</v>
      </c>
      <c r="I1817" s="121">
        <f t="shared" si="720"/>
        <v>1</v>
      </c>
      <c r="J1817" s="121">
        <f t="shared" si="721"/>
        <v>1</v>
      </c>
      <c r="K1817" s="120">
        <f t="shared" si="722"/>
        <v>0</v>
      </c>
      <c r="L1817" s="120">
        <f t="shared" si="723"/>
        <v>0</v>
      </c>
      <c r="M1817" s="246">
        <f t="shared" si="724"/>
        <v>0</v>
      </c>
      <c r="N1817" s="121">
        <f t="shared" si="725"/>
        <v>1</v>
      </c>
      <c r="O1817" s="246">
        <f t="shared" si="726"/>
        <v>0.97952954048140051</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87">
        <v>12</v>
      </c>
      <c r="B1818" s="242">
        <f t="shared" si="733"/>
        <v>45992</v>
      </c>
      <c r="C1818" s="243">
        <f t="shared" si="714"/>
        <v>46022</v>
      </c>
      <c r="D1818" s="120">
        <f t="shared" si="715"/>
        <v>31</v>
      </c>
      <c r="E1818" s="120">
        <f t="shared" si="716"/>
        <v>12</v>
      </c>
      <c r="F1818" s="275">
        <f t="shared" si="717"/>
        <v>46007.5</v>
      </c>
      <c r="G1818" s="120">
        <f t="shared" si="718"/>
        <v>24311</v>
      </c>
      <c r="H1818" s="245">
        <f t="shared" si="719"/>
        <v>1</v>
      </c>
      <c r="I1818" s="121">
        <f t="shared" si="720"/>
        <v>1</v>
      </c>
      <c r="J1818" s="121">
        <f t="shared" si="721"/>
        <v>1</v>
      </c>
      <c r="K1818" s="120">
        <f t="shared" si="722"/>
        <v>0</v>
      </c>
      <c r="L1818" s="120">
        <f t="shared" si="723"/>
        <v>0</v>
      </c>
      <c r="M1818" s="246">
        <f t="shared" si="724"/>
        <v>0</v>
      </c>
      <c r="N1818" s="121">
        <f t="shared" si="725"/>
        <v>1</v>
      </c>
      <c r="O1818" s="246">
        <f t="shared" si="726"/>
        <v>0.98053063457330414</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87">
        <v>13</v>
      </c>
      <c r="B1819" s="242">
        <f t="shared" si="733"/>
        <v>46023</v>
      </c>
      <c r="C1819" s="243">
        <f t="shared" si="714"/>
        <v>46053</v>
      </c>
      <c r="D1819" s="120">
        <f t="shared" si="715"/>
        <v>31</v>
      </c>
      <c r="E1819" s="120">
        <f t="shared" si="716"/>
        <v>1</v>
      </c>
      <c r="F1819" s="275">
        <f t="shared" si="717"/>
        <v>46038.5</v>
      </c>
      <c r="G1819" s="120">
        <f t="shared" si="718"/>
        <v>24312</v>
      </c>
      <c r="H1819" s="245">
        <f t="shared" si="719"/>
        <v>1</v>
      </c>
      <c r="I1819" s="121">
        <f t="shared" si="720"/>
        <v>1</v>
      </c>
      <c r="J1819" s="121">
        <f t="shared" si="721"/>
        <v>1</v>
      </c>
      <c r="K1819" s="120">
        <f t="shared" si="722"/>
        <v>0</v>
      </c>
      <c r="L1819" s="120">
        <f t="shared" si="723"/>
        <v>0</v>
      </c>
      <c r="M1819" s="246">
        <f t="shared" si="724"/>
        <v>0</v>
      </c>
      <c r="N1819" s="121">
        <f t="shared" si="725"/>
        <v>1</v>
      </c>
      <c r="O1819" s="246">
        <f t="shared" si="726"/>
        <v>0.98154814004376367</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87">
        <v>14</v>
      </c>
      <c r="B1820" s="242">
        <f t="shared" si="733"/>
        <v>46054</v>
      </c>
      <c r="C1820" s="243">
        <f t="shared" si="714"/>
        <v>46081</v>
      </c>
      <c r="D1820" s="120">
        <f t="shared" si="715"/>
        <v>28</v>
      </c>
      <c r="E1820" s="120">
        <f t="shared" si="716"/>
        <v>2</v>
      </c>
      <c r="F1820" s="275">
        <f t="shared" si="717"/>
        <v>46068</v>
      </c>
      <c r="G1820" s="120">
        <f t="shared" si="718"/>
        <v>24313</v>
      </c>
      <c r="H1820" s="245">
        <f t="shared" si="719"/>
        <v>1</v>
      </c>
      <c r="I1820" s="121">
        <f t="shared" si="720"/>
        <v>1</v>
      </c>
      <c r="J1820" s="121">
        <f t="shared" si="721"/>
        <v>1</v>
      </c>
      <c r="K1820" s="120">
        <f t="shared" si="722"/>
        <v>0</v>
      </c>
      <c r="L1820" s="120">
        <f t="shared" si="723"/>
        <v>0</v>
      </c>
      <c r="M1820" s="246">
        <f t="shared" si="724"/>
        <v>0</v>
      </c>
      <c r="N1820" s="121">
        <f t="shared" si="725"/>
        <v>1</v>
      </c>
      <c r="O1820" s="246">
        <f t="shared" si="726"/>
        <v>0.98251641137855583</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87">
        <v>15</v>
      </c>
      <c r="B1821" s="242">
        <f t="shared" si="733"/>
        <v>46082</v>
      </c>
      <c r="C1821" s="243">
        <f t="shared" si="714"/>
        <v>46112</v>
      </c>
      <c r="D1821" s="120">
        <f t="shared" si="715"/>
        <v>31</v>
      </c>
      <c r="E1821" s="120">
        <f t="shared" si="716"/>
        <v>3</v>
      </c>
      <c r="F1821" s="275">
        <f t="shared" si="717"/>
        <v>46097.5</v>
      </c>
      <c r="G1821" s="120">
        <f t="shared" si="718"/>
        <v>24314</v>
      </c>
      <c r="H1821" s="245">
        <f t="shared" si="719"/>
        <v>1</v>
      </c>
      <c r="I1821" s="121">
        <f t="shared" si="720"/>
        <v>1</v>
      </c>
      <c r="J1821" s="121">
        <f t="shared" si="721"/>
        <v>1</v>
      </c>
      <c r="K1821" s="120">
        <f t="shared" si="722"/>
        <v>0</v>
      </c>
      <c r="L1821" s="120">
        <f t="shared" si="723"/>
        <v>0</v>
      </c>
      <c r="M1821" s="246">
        <f t="shared" si="724"/>
        <v>0</v>
      </c>
      <c r="N1821" s="121">
        <f t="shared" si="725"/>
        <v>1</v>
      </c>
      <c r="O1821" s="246">
        <f t="shared" si="726"/>
        <v>0.98348468271334799</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87">
        <v>16</v>
      </c>
      <c r="B1822" s="242">
        <f t="shared" si="733"/>
        <v>46113</v>
      </c>
      <c r="C1822" s="243">
        <f t="shared" si="714"/>
        <v>46142</v>
      </c>
      <c r="D1822" s="120">
        <f t="shared" si="715"/>
        <v>30</v>
      </c>
      <c r="E1822" s="120">
        <f t="shared" si="716"/>
        <v>4</v>
      </c>
      <c r="F1822" s="275">
        <f t="shared" si="717"/>
        <v>46128</v>
      </c>
      <c r="G1822" s="120">
        <f t="shared" si="718"/>
        <v>24315</v>
      </c>
      <c r="H1822" s="245">
        <f t="shared" si="719"/>
        <v>1</v>
      </c>
      <c r="I1822" s="121">
        <f t="shared" si="720"/>
        <v>1</v>
      </c>
      <c r="J1822" s="121">
        <f t="shared" si="721"/>
        <v>1</v>
      </c>
      <c r="K1822" s="120">
        <f t="shared" si="722"/>
        <v>0</v>
      </c>
      <c r="L1822" s="120">
        <f t="shared" si="723"/>
        <v>0</v>
      </c>
      <c r="M1822" s="246">
        <f t="shared" si="724"/>
        <v>0</v>
      </c>
      <c r="N1822" s="121">
        <f t="shared" si="725"/>
        <v>1</v>
      </c>
      <c r="O1822" s="246">
        <f t="shared" si="726"/>
        <v>0.98448577680525162</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87">
        <v>17</v>
      </c>
      <c r="B1823" s="242">
        <f t="shared" si="733"/>
        <v>46143</v>
      </c>
      <c r="C1823" s="243">
        <f t="shared" si="714"/>
        <v>46173</v>
      </c>
      <c r="D1823" s="120">
        <f t="shared" si="715"/>
        <v>31</v>
      </c>
      <c r="E1823" s="120">
        <f t="shared" si="716"/>
        <v>5</v>
      </c>
      <c r="F1823" s="275">
        <f t="shared" si="717"/>
        <v>46158.5</v>
      </c>
      <c r="G1823" s="120">
        <f t="shared" si="718"/>
        <v>24316</v>
      </c>
      <c r="H1823" s="245">
        <f t="shared" si="719"/>
        <v>1</v>
      </c>
      <c r="I1823" s="121">
        <f t="shared" si="720"/>
        <v>1</v>
      </c>
      <c r="J1823" s="121">
        <f t="shared" si="721"/>
        <v>1</v>
      </c>
      <c r="K1823" s="120">
        <f t="shared" si="722"/>
        <v>0</v>
      </c>
      <c r="L1823" s="120">
        <f t="shared" si="723"/>
        <v>0</v>
      </c>
      <c r="M1823" s="246">
        <f t="shared" si="724"/>
        <v>0</v>
      </c>
      <c r="N1823" s="121">
        <f t="shared" si="725"/>
        <v>1</v>
      </c>
      <c r="O1823" s="246">
        <f t="shared" si="726"/>
        <v>0.98548687089715536</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87">
        <v>18</v>
      </c>
      <c r="B1824" s="242">
        <f t="shared" si="733"/>
        <v>46174</v>
      </c>
      <c r="C1824" s="243">
        <f t="shared" si="714"/>
        <v>46203</v>
      </c>
      <c r="D1824" s="120">
        <f t="shared" si="715"/>
        <v>30</v>
      </c>
      <c r="E1824" s="120">
        <f t="shared" si="716"/>
        <v>6</v>
      </c>
      <c r="F1824" s="275">
        <f t="shared" si="717"/>
        <v>46189</v>
      </c>
      <c r="G1824" s="120">
        <f t="shared" si="718"/>
        <v>24317</v>
      </c>
      <c r="H1824" s="245">
        <f t="shared" si="719"/>
        <v>1</v>
      </c>
      <c r="I1824" s="121">
        <f t="shared" si="720"/>
        <v>1</v>
      </c>
      <c r="J1824" s="121">
        <f t="shared" si="721"/>
        <v>1</v>
      </c>
      <c r="K1824" s="120">
        <f t="shared" si="722"/>
        <v>0</v>
      </c>
      <c r="L1824" s="120">
        <f t="shared" si="723"/>
        <v>0</v>
      </c>
      <c r="M1824" s="246">
        <f t="shared" si="724"/>
        <v>0</v>
      </c>
      <c r="N1824" s="121">
        <f t="shared" si="725"/>
        <v>1</v>
      </c>
      <c r="O1824" s="246">
        <f t="shared" si="726"/>
        <v>0.98648796498905911</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87">
        <v>19</v>
      </c>
      <c r="B1825" s="242">
        <f t="shared" si="733"/>
        <v>46204</v>
      </c>
      <c r="C1825" s="243">
        <f t="shared" si="714"/>
        <v>46234</v>
      </c>
      <c r="D1825" s="120">
        <f t="shared" si="715"/>
        <v>31</v>
      </c>
      <c r="E1825" s="120">
        <f t="shared" si="716"/>
        <v>7</v>
      </c>
      <c r="F1825" s="275">
        <f t="shared" si="717"/>
        <v>46219.5</v>
      </c>
      <c r="G1825" s="120">
        <f t="shared" si="718"/>
        <v>24318</v>
      </c>
      <c r="H1825" s="245">
        <f t="shared" si="719"/>
        <v>1</v>
      </c>
      <c r="I1825" s="121">
        <f t="shared" si="720"/>
        <v>1</v>
      </c>
      <c r="J1825" s="121">
        <f t="shared" si="721"/>
        <v>1</v>
      </c>
      <c r="K1825" s="120">
        <f t="shared" si="722"/>
        <v>0</v>
      </c>
      <c r="L1825" s="120">
        <f t="shared" si="723"/>
        <v>0</v>
      </c>
      <c r="M1825" s="246">
        <f t="shared" si="724"/>
        <v>0</v>
      </c>
      <c r="N1825" s="121">
        <f t="shared" si="725"/>
        <v>1</v>
      </c>
      <c r="O1825" s="246">
        <f t="shared" si="726"/>
        <v>0.98748905908096285</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87">
        <v>20</v>
      </c>
      <c r="B1826" s="242">
        <f t="shared" si="733"/>
        <v>46235</v>
      </c>
      <c r="C1826" s="243">
        <f t="shared" si="714"/>
        <v>46265</v>
      </c>
      <c r="D1826" s="120">
        <f t="shared" si="715"/>
        <v>31</v>
      </c>
      <c r="E1826" s="120">
        <f t="shared" si="716"/>
        <v>8</v>
      </c>
      <c r="F1826" s="275">
        <f t="shared" si="717"/>
        <v>46250.5</v>
      </c>
      <c r="G1826" s="120">
        <f t="shared" si="718"/>
        <v>24319</v>
      </c>
      <c r="H1826" s="245">
        <f t="shared" si="719"/>
        <v>1</v>
      </c>
      <c r="I1826" s="121">
        <f t="shared" si="720"/>
        <v>1</v>
      </c>
      <c r="J1826" s="121">
        <f t="shared" si="721"/>
        <v>1</v>
      </c>
      <c r="K1826" s="120">
        <f t="shared" si="722"/>
        <v>0</v>
      </c>
      <c r="L1826" s="120">
        <f t="shared" si="723"/>
        <v>0</v>
      </c>
      <c r="M1826" s="246">
        <f t="shared" si="724"/>
        <v>0</v>
      </c>
      <c r="N1826" s="121">
        <f t="shared" si="725"/>
        <v>1</v>
      </c>
      <c r="O1826" s="246">
        <f t="shared" si="726"/>
        <v>0.98850656455142227</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87">
        <v>21</v>
      </c>
      <c r="B1827" s="242">
        <f t="shared" si="733"/>
        <v>46266</v>
      </c>
      <c r="C1827" s="243">
        <f t="shared" si="714"/>
        <v>46295</v>
      </c>
      <c r="D1827" s="120">
        <f t="shared" si="715"/>
        <v>30</v>
      </c>
      <c r="E1827" s="120">
        <f t="shared" si="716"/>
        <v>9</v>
      </c>
      <c r="F1827" s="275">
        <f t="shared" si="717"/>
        <v>46281</v>
      </c>
      <c r="G1827" s="120">
        <f t="shared" si="718"/>
        <v>24320</v>
      </c>
      <c r="H1827" s="245">
        <f t="shared" si="719"/>
        <v>1</v>
      </c>
      <c r="I1827" s="121">
        <f t="shared" si="720"/>
        <v>1</v>
      </c>
      <c r="J1827" s="121">
        <f t="shared" si="721"/>
        <v>1</v>
      </c>
      <c r="K1827" s="120">
        <f t="shared" si="722"/>
        <v>0</v>
      </c>
      <c r="L1827" s="120">
        <f t="shared" si="723"/>
        <v>0</v>
      </c>
      <c r="M1827" s="246">
        <f t="shared" si="724"/>
        <v>0</v>
      </c>
      <c r="N1827" s="121">
        <f t="shared" si="725"/>
        <v>1</v>
      </c>
      <c r="O1827" s="246">
        <f t="shared" si="726"/>
        <v>0.98950765864332602</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87">
        <v>22</v>
      </c>
      <c r="B1828" s="242">
        <f t="shared" si="733"/>
        <v>46296</v>
      </c>
      <c r="C1828" s="243">
        <f t="shared" si="714"/>
        <v>46326</v>
      </c>
      <c r="D1828" s="120">
        <f t="shared" si="715"/>
        <v>31</v>
      </c>
      <c r="E1828" s="120">
        <f t="shared" si="716"/>
        <v>10</v>
      </c>
      <c r="F1828" s="275">
        <f t="shared" si="717"/>
        <v>46311.5</v>
      </c>
      <c r="G1828" s="120">
        <f t="shared" si="718"/>
        <v>24321</v>
      </c>
      <c r="H1828" s="245">
        <f t="shared" si="719"/>
        <v>1</v>
      </c>
      <c r="I1828" s="121">
        <f t="shared" si="720"/>
        <v>1</v>
      </c>
      <c r="J1828" s="121">
        <f t="shared" si="721"/>
        <v>1</v>
      </c>
      <c r="K1828" s="120">
        <f t="shared" si="722"/>
        <v>0</v>
      </c>
      <c r="L1828" s="120">
        <f t="shared" si="723"/>
        <v>0</v>
      </c>
      <c r="M1828" s="246">
        <f t="shared" si="724"/>
        <v>0</v>
      </c>
      <c r="N1828" s="121">
        <f t="shared" si="725"/>
        <v>1</v>
      </c>
      <c r="O1828" s="246">
        <f t="shared" si="726"/>
        <v>0.99050875273522976</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87">
        <v>23</v>
      </c>
      <c r="B1829" s="242">
        <f t="shared" si="733"/>
        <v>46327</v>
      </c>
      <c r="C1829" s="243">
        <f t="shared" si="714"/>
        <v>46356</v>
      </c>
      <c r="D1829" s="120">
        <f t="shared" si="715"/>
        <v>30</v>
      </c>
      <c r="E1829" s="120">
        <f t="shared" si="716"/>
        <v>11</v>
      </c>
      <c r="F1829" s="275">
        <f t="shared" si="717"/>
        <v>46342</v>
      </c>
      <c r="G1829" s="120">
        <f t="shared" si="718"/>
        <v>24322</v>
      </c>
      <c r="H1829" s="245">
        <f t="shared" si="719"/>
        <v>1</v>
      </c>
      <c r="I1829" s="121">
        <f t="shared" si="720"/>
        <v>1</v>
      </c>
      <c r="J1829" s="121">
        <f t="shared" si="721"/>
        <v>1</v>
      </c>
      <c r="K1829" s="120">
        <f t="shared" si="722"/>
        <v>0</v>
      </c>
      <c r="L1829" s="120">
        <f t="shared" si="723"/>
        <v>0</v>
      </c>
      <c r="M1829" s="246">
        <f t="shared" si="724"/>
        <v>0</v>
      </c>
      <c r="N1829" s="121">
        <f t="shared" si="725"/>
        <v>1</v>
      </c>
      <c r="O1829" s="246">
        <f t="shared" si="726"/>
        <v>0.9915098468271335</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87">
        <v>24</v>
      </c>
      <c r="B1830" s="242">
        <f t="shared" si="733"/>
        <v>46357</v>
      </c>
      <c r="C1830" s="243">
        <f t="shared" si="714"/>
        <v>46387</v>
      </c>
      <c r="D1830" s="120">
        <f t="shared" si="715"/>
        <v>31</v>
      </c>
      <c r="E1830" s="120">
        <f t="shared" si="716"/>
        <v>12</v>
      </c>
      <c r="F1830" s="275">
        <f t="shared" si="717"/>
        <v>46372.5</v>
      </c>
      <c r="G1830" s="120">
        <f t="shared" si="718"/>
        <v>24323</v>
      </c>
      <c r="H1830" s="245">
        <f t="shared" si="719"/>
        <v>1</v>
      </c>
      <c r="I1830" s="121">
        <f t="shared" si="720"/>
        <v>1</v>
      </c>
      <c r="J1830" s="121">
        <f t="shared" si="721"/>
        <v>1</v>
      </c>
      <c r="K1830" s="120">
        <f t="shared" si="722"/>
        <v>0</v>
      </c>
      <c r="L1830" s="120">
        <f t="shared" si="723"/>
        <v>0</v>
      </c>
      <c r="M1830" s="246">
        <f t="shared" si="724"/>
        <v>0</v>
      </c>
      <c r="N1830" s="121">
        <f t="shared" si="725"/>
        <v>1</v>
      </c>
      <c r="O1830" s="246">
        <f t="shared" si="726"/>
        <v>0.99251094091903713</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87">
        <v>25</v>
      </c>
      <c r="B1831" s="242">
        <f t="shared" si="733"/>
        <v>46388</v>
      </c>
      <c r="C1831" s="243">
        <f t="shared" si="714"/>
        <v>46418</v>
      </c>
      <c r="D1831" s="120">
        <f t="shared" si="715"/>
        <v>31</v>
      </c>
      <c r="E1831" s="120">
        <f t="shared" si="716"/>
        <v>1</v>
      </c>
      <c r="F1831" s="275">
        <f t="shared" si="717"/>
        <v>46403.5</v>
      </c>
      <c r="G1831" s="120">
        <f t="shared" si="718"/>
        <v>24324</v>
      </c>
      <c r="H1831" s="245">
        <f t="shared" si="719"/>
        <v>1</v>
      </c>
      <c r="I1831" s="121">
        <f t="shared" si="720"/>
        <v>1</v>
      </c>
      <c r="J1831" s="121">
        <f t="shared" si="721"/>
        <v>1</v>
      </c>
      <c r="K1831" s="120">
        <f t="shared" si="722"/>
        <v>0</v>
      </c>
      <c r="L1831" s="120">
        <f t="shared" si="723"/>
        <v>0</v>
      </c>
      <c r="M1831" s="246">
        <f t="shared" si="724"/>
        <v>0</v>
      </c>
      <c r="N1831" s="121">
        <f t="shared" si="725"/>
        <v>1</v>
      </c>
      <c r="O1831" s="246">
        <f t="shared" si="726"/>
        <v>0.99352844638949667</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87">
        <v>26</v>
      </c>
      <c r="B1832" s="242">
        <f t="shared" si="733"/>
        <v>46419</v>
      </c>
      <c r="C1832" s="243">
        <f t="shared" si="714"/>
        <v>46446</v>
      </c>
      <c r="D1832" s="120">
        <f t="shared" si="715"/>
        <v>28</v>
      </c>
      <c r="E1832" s="120">
        <f t="shared" si="716"/>
        <v>2</v>
      </c>
      <c r="F1832" s="275">
        <f t="shared" si="717"/>
        <v>46433</v>
      </c>
      <c r="G1832" s="120">
        <f t="shared" si="718"/>
        <v>24325</v>
      </c>
      <c r="H1832" s="245">
        <f t="shared" si="719"/>
        <v>1</v>
      </c>
      <c r="I1832" s="121">
        <f t="shared" si="720"/>
        <v>1</v>
      </c>
      <c r="J1832" s="121">
        <f t="shared" si="721"/>
        <v>1</v>
      </c>
      <c r="K1832" s="120">
        <f t="shared" si="722"/>
        <v>0</v>
      </c>
      <c r="L1832" s="120">
        <f t="shared" si="723"/>
        <v>0</v>
      </c>
      <c r="M1832" s="246">
        <f t="shared" si="724"/>
        <v>0</v>
      </c>
      <c r="N1832" s="121">
        <f t="shared" si="725"/>
        <v>1</v>
      </c>
      <c r="O1832" s="246">
        <f t="shared" si="726"/>
        <v>0.99449671772428883</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87">
        <v>27</v>
      </c>
      <c r="B1833" s="242">
        <f t="shared" si="733"/>
        <v>46447</v>
      </c>
      <c r="C1833" s="243">
        <f t="shared" si="714"/>
        <v>46477</v>
      </c>
      <c r="D1833" s="120">
        <f t="shared" si="715"/>
        <v>31</v>
      </c>
      <c r="E1833" s="120">
        <f t="shared" si="716"/>
        <v>3</v>
      </c>
      <c r="F1833" s="275">
        <f t="shared" si="717"/>
        <v>46462.5</v>
      </c>
      <c r="G1833" s="120">
        <f t="shared" si="718"/>
        <v>24326</v>
      </c>
      <c r="H1833" s="245">
        <f t="shared" si="719"/>
        <v>1</v>
      </c>
      <c r="I1833" s="121">
        <f t="shared" si="720"/>
        <v>1</v>
      </c>
      <c r="J1833" s="121">
        <f t="shared" si="721"/>
        <v>1</v>
      </c>
      <c r="K1833" s="120">
        <f t="shared" si="722"/>
        <v>0</v>
      </c>
      <c r="L1833" s="120">
        <f t="shared" si="723"/>
        <v>0</v>
      </c>
      <c r="M1833" s="246">
        <f t="shared" si="724"/>
        <v>0</v>
      </c>
      <c r="N1833" s="121">
        <f t="shared" si="725"/>
        <v>1</v>
      </c>
      <c r="O1833" s="246">
        <f t="shared" si="726"/>
        <v>0.99546498905908087</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87">
        <v>28</v>
      </c>
      <c r="B1834" s="242">
        <f t="shared" si="733"/>
        <v>46478</v>
      </c>
      <c r="C1834" s="243">
        <f t="shared" si="714"/>
        <v>46507</v>
      </c>
      <c r="D1834" s="120">
        <f t="shared" si="715"/>
        <v>30</v>
      </c>
      <c r="E1834" s="120">
        <f t="shared" si="716"/>
        <v>4</v>
      </c>
      <c r="F1834" s="275">
        <f t="shared" si="717"/>
        <v>46493</v>
      </c>
      <c r="G1834" s="120">
        <f t="shared" si="718"/>
        <v>24327</v>
      </c>
      <c r="H1834" s="245">
        <f t="shared" si="719"/>
        <v>1</v>
      </c>
      <c r="I1834" s="121">
        <f t="shared" si="720"/>
        <v>1</v>
      </c>
      <c r="J1834" s="121">
        <f t="shared" si="721"/>
        <v>1</v>
      </c>
      <c r="K1834" s="120">
        <f t="shared" si="722"/>
        <v>0</v>
      </c>
      <c r="L1834" s="120">
        <f t="shared" si="723"/>
        <v>0</v>
      </c>
      <c r="M1834" s="246">
        <f t="shared" si="724"/>
        <v>0</v>
      </c>
      <c r="N1834" s="121">
        <f t="shared" si="725"/>
        <v>1</v>
      </c>
      <c r="O1834" s="246">
        <f t="shared" si="726"/>
        <v>0.99646608315098462</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87">
        <v>29</v>
      </c>
      <c r="B1835" s="242">
        <f t="shared" si="733"/>
        <v>46508</v>
      </c>
      <c r="C1835" s="243">
        <f t="shared" si="714"/>
        <v>46538</v>
      </c>
      <c r="D1835" s="120">
        <f t="shared" si="715"/>
        <v>31</v>
      </c>
      <c r="E1835" s="120">
        <f t="shared" si="716"/>
        <v>5</v>
      </c>
      <c r="F1835" s="275">
        <f t="shared" si="717"/>
        <v>46523.5</v>
      </c>
      <c r="G1835" s="120">
        <f t="shared" si="718"/>
        <v>24328</v>
      </c>
      <c r="H1835" s="245">
        <f t="shared" si="719"/>
        <v>1</v>
      </c>
      <c r="I1835" s="121">
        <f t="shared" si="720"/>
        <v>1</v>
      </c>
      <c r="J1835" s="121">
        <f t="shared" si="721"/>
        <v>1</v>
      </c>
      <c r="K1835" s="120">
        <f t="shared" si="722"/>
        <v>0</v>
      </c>
      <c r="L1835" s="120">
        <f t="shared" si="723"/>
        <v>0</v>
      </c>
      <c r="M1835" s="246">
        <f t="shared" si="724"/>
        <v>0</v>
      </c>
      <c r="N1835" s="121">
        <f t="shared" si="725"/>
        <v>1</v>
      </c>
      <c r="O1835" s="246">
        <f t="shared" si="726"/>
        <v>0.99746717724288836</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87">
        <v>30</v>
      </c>
      <c r="B1836" s="242">
        <f t="shared" si="733"/>
        <v>46539</v>
      </c>
      <c r="C1836" s="243">
        <f t="shared" si="714"/>
        <v>46568</v>
      </c>
      <c r="D1836" s="120">
        <f t="shared" si="715"/>
        <v>30</v>
      </c>
      <c r="E1836" s="120">
        <f t="shared" si="716"/>
        <v>6</v>
      </c>
      <c r="F1836" s="275">
        <f t="shared" si="717"/>
        <v>46554</v>
      </c>
      <c r="G1836" s="120">
        <f t="shared" si="718"/>
        <v>24329</v>
      </c>
      <c r="H1836" s="245">
        <f t="shared" si="719"/>
        <v>1</v>
      </c>
      <c r="I1836" s="121">
        <f t="shared" si="720"/>
        <v>1</v>
      </c>
      <c r="J1836" s="121">
        <f t="shared" si="721"/>
        <v>1</v>
      </c>
      <c r="K1836" s="120">
        <f t="shared" si="722"/>
        <v>0</v>
      </c>
      <c r="L1836" s="120">
        <f t="shared" si="723"/>
        <v>0</v>
      </c>
      <c r="M1836" s="246">
        <f t="shared" si="724"/>
        <v>0</v>
      </c>
      <c r="N1836" s="121">
        <f t="shared" si="725"/>
        <v>1</v>
      </c>
      <c r="O1836" s="246">
        <f t="shared" si="726"/>
        <v>0.9984682713347921</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87">
        <v>31</v>
      </c>
      <c r="B1837" s="242">
        <f t="shared" si="733"/>
        <v>46569</v>
      </c>
      <c r="C1837" s="243">
        <f t="shared" si="714"/>
        <v>46599</v>
      </c>
      <c r="D1837" s="120">
        <f t="shared" si="715"/>
        <v>31</v>
      </c>
      <c r="E1837" s="120">
        <f t="shared" si="716"/>
        <v>7</v>
      </c>
      <c r="F1837" s="275">
        <f t="shared" si="717"/>
        <v>46584.5</v>
      </c>
      <c r="G1837" s="120">
        <f t="shared" si="718"/>
        <v>24330</v>
      </c>
      <c r="H1837" s="245">
        <f t="shared" si="719"/>
        <v>1</v>
      </c>
      <c r="I1837" s="121">
        <f t="shared" si="720"/>
        <v>1</v>
      </c>
      <c r="J1837" s="121">
        <f t="shared" si="721"/>
        <v>1</v>
      </c>
      <c r="K1837" s="120">
        <f t="shared" si="722"/>
        <v>0</v>
      </c>
      <c r="L1837" s="120">
        <f t="shared" si="723"/>
        <v>0</v>
      </c>
      <c r="M1837" s="246">
        <f t="shared" si="724"/>
        <v>0</v>
      </c>
      <c r="N1837" s="121">
        <f t="shared" si="725"/>
        <v>1</v>
      </c>
      <c r="O1837" s="246">
        <f t="shared" si="726"/>
        <v>0.99946936542669573</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87">
        <v>32</v>
      </c>
      <c r="B1838" s="242">
        <f t="shared" si="733"/>
        <v>46600</v>
      </c>
      <c r="C1838" s="243">
        <f t="shared" si="714"/>
        <v>46630</v>
      </c>
      <c r="D1838" s="120">
        <f t="shared" si="715"/>
        <v>31</v>
      </c>
      <c r="E1838" s="120">
        <f t="shared" si="716"/>
        <v>8</v>
      </c>
      <c r="F1838" s="275">
        <f t="shared" si="717"/>
        <v>46615.5</v>
      </c>
      <c r="G1838" s="120">
        <f t="shared" si="718"/>
        <v>24331</v>
      </c>
      <c r="H1838" s="245">
        <f t="shared" si="719"/>
        <v>1</v>
      </c>
      <c r="I1838" s="121">
        <f t="shared" si="720"/>
        <v>1</v>
      </c>
      <c r="J1838" s="121">
        <f t="shared" si="721"/>
        <v>1</v>
      </c>
      <c r="K1838" s="120">
        <f t="shared" si="722"/>
        <v>0</v>
      </c>
      <c r="L1838" s="120">
        <f t="shared" si="723"/>
        <v>0</v>
      </c>
      <c r="M1838" s="246">
        <f t="shared" si="724"/>
        <v>0</v>
      </c>
      <c r="N1838" s="121">
        <f t="shared" si="725"/>
        <v>1</v>
      </c>
      <c r="O1838" s="246">
        <f t="shared" si="726"/>
        <v>1.0004868708971553</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87">
        <v>33</v>
      </c>
      <c r="B1839" s="242">
        <f t="shared" si="733"/>
        <v>46631</v>
      </c>
      <c r="C1839" s="243">
        <f t="shared" si="714"/>
        <v>46660</v>
      </c>
      <c r="D1839" s="120">
        <f t="shared" si="715"/>
        <v>30</v>
      </c>
      <c r="E1839" s="120">
        <f t="shared" si="716"/>
        <v>9</v>
      </c>
      <c r="F1839" s="275">
        <f t="shared" si="717"/>
        <v>46646</v>
      </c>
      <c r="G1839" s="120">
        <f t="shared" si="718"/>
        <v>24332</v>
      </c>
      <c r="H1839" s="245">
        <f t="shared" si="719"/>
        <v>1</v>
      </c>
      <c r="I1839" s="121">
        <f t="shared" si="720"/>
        <v>1</v>
      </c>
      <c r="J1839" s="121">
        <f t="shared" si="721"/>
        <v>1</v>
      </c>
      <c r="K1839" s="120">
        <f t="shared" si="722"/>
        <v>0</v>
      </c>
      <c r="L1839" s="120">
        <f t="shared" si="723"/>
        <v>0</v>
      </c>
      <c r="M1839" s="246">
        <f t="shared" si="724"/>
        <v>0</v>
      </c>
      <c r="N1839" s="121">
        <f t="shared" si="725"/>
        <v>1</v>
      </c>
      <c r="O1839" s="246">
        <f t="shared" si="726"/>
        <v>1.0014879649890589</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87">
        <v>34</v>
      </c>
      <c r="B1840" s="242">
        <f t="shared" si="733"/>
        <v>46661</v>
      </c>
      <c r="C1840" s="243">
        <f t="shared" si="714"/>
        <v>46691</v>
      </c>
      <c r="D1840" s="120">
        <f t="shared" si="715"/>
        <v>31</v>
      </c>
      <c r="E1840" s="120">
        <f t="shared" si="716"/>
        <v>10</v>
      </c>
      <c r="F1840" s="275">
        <f t="shared" si="717"/>
        <v>46676.5</v>
      </c>
      <c r="G1840" s="120">
        <f t="shared" si="718"/>
        <v>24333</v>
      </c>
      <c r="H1840" s="245">
        <f t="shared" si="719"/>
        <v>1</v>
      </c>
      <c r="I1840" s="121">
        <f t="shared" si="720"/>
        <v>1</v>
      </c>
      <c r="J1840" s="121">
        <f t="shared" si="721"/>
        <v>1</v>
      </c>
      <c r="K1840" s="120">
        <f t="shared" si="722"/>
        <v>0</v>
      </c>
      <c r="L1840" s="120">
        <f t="shared" si="723"/>
        <v>0</v>
      </c>
      <c r="M1840" s="246">
        <f t="shared" si="724"/>
        <v>0</v>
      </c>
      <c r="N1840" s="121">
        <f t="shared" si="725"/>
        <v>1</v>
      </c>
      <c r="O1840" s="246">
        <f t="shared" si="726"/>
        <v>1.0024890590809628</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87">
        <v>35</v>
      </c>
      <c r="B1841" s="242">
        <f t="shared" si="733"/>
        <v>46692</v>
      </c>
      <c r="C1841" s="243">
        <f t="shared" si="714"/>
        <v>46721</v>
      </c>
      <c r="D1841" s="120">
        <f t="shared" si="715"/>
        <v>30</v>
      </c>
      <c r="E1841" s="120">
        <f t="shared" si="716"/>
        <v>11</v>
      </c>
      <c r="F1841" s="275">
        <f t="shared" si="717"/>
        <v>46707</v>
      </c>
      <c r="G1841" s="120">
        <f t="shared" si="718"/>
        <v>24334</v>
      </c>
      <c r="H1841" s="245">
        <f t="shared" si="719"/>
        <v>1</v>
      </c>
      <c r="I1841" s="121">
        <f t="shared" si="720"/>
        <v>1</v>
      </c>
      <c r="J1841" s="121">
        <f t="shared" si="721"/>
        <v>1</v>
      </c>
      <c r="K1841" s="120">
        <f t="shared" si="722"/>
        <v>0</v>
      </c>
      <c r="L1841" s="120">
        <f t="shared" si="723"/>
        <v>0</v>
      </c>
      <c r="M1841" s="246">
        <f t="shared" si="724"/>
        <v>0</v>
      </c>
      <c r="N1841" s="121">
        <f t="shared" si="725"/>
        <v>1</v>
      </c>
      <c r="O1841" s="246">
        <f t="shared" si="726"/>
        <v>1.0034901531728664</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87">
        <v>36</v>
      </c>
      <c r="B1842" s="242">
        <f t="shared" si="733"/>
        <v>46722</v>
      </c>
      <c r="C1842" s="243">
        <f t="shared" si="714"/>
        <v>46752</v>
      </c>
      <c r="D1842" s="120">
        <f t="shared" si="715"/>
        <v>31</v>
      </c>
      <c r="E1842" s="120">
        <f t="shared" si="716"/>
        <v>12</v>
      </c>
      <c r="F1842" s="275">
        <f t="shared" si="717"/>
        <v>46737.5</v>
      </c>
      <c r="G1842" s="120">
        <f t="shared" si="718"/>
        <v>24335</v>
      </c>
      <c r="H1842" s="245">
        <f t="shared" si="719"/>
        <v>1</v>
      </c>
      <c r="I1842" s="121">
        <f t="shared" si="720"/>
        <v>1</v>
      </c>
      <c r="J1842" s="121">
        <f t="shared" si="721"/>
        <v>1</v>
      </c>
      <c r="K1842" s="120">
        <f t="shared" si="722"/>
        <v>0</v>
      </c>
      <c r="L1842" s="120">
        <f t="shared" si="723"/>
        <v>0</v>
      </c>
      <c r="M1842" s="246">
        <f t="shared" si="724"/>
        <v>0</v>
      </c>
      <c r="N1842" s="121">
        <f t="shared" si="725"/>
        <v>1</v>
      </c>
      <c r="O1842" s="246">
        <f t="shared" si="726"/>
        <v>1.0044912472647702</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87">
        <v>37</v>
      </c>
      <c r="B1843" s="242">
        <f t="shared" si="733"/>
        <v>46753</v>
      </c>
      <c r="C1843" s="243">
        <f t="shared" si="714"/>
        <v>46783</v>
      </c>
      <c r="D1843" s="120">
        <f t="shared" si="715"/>
        <v>31</v>
      </c>
      <c r="E1843" s="120">
        <f t="shared" si="716"/>
        <v>1</v>
      </c>
      <c r="F1843" s="275">
        <f t="shared" si="717"/>
        <v>46768.5</v>
      </c>
      <c r="G1843" s="120">
        <f t="shared" si="718"/>
        <v>24336</v>
      </c>
      <c r="H1843" s="245">
        <f t="shared" si="719"/>
        <v>1</v>
      </c>
      <c r="I1843" s="121">
        <f t="shared" si="720"/>
        <v>1</v>
      </c>
      <c r="J1843" s="121">
        <f t="shared" si="721"/>
        <v>1</v>
      </c>
      <c r="K1843" s="120">
        <f t="shared" si="722"/>
        <v>0</v>
      </c>
      <c r="L1843" s="120">
        <f t="shared" si="723"/>
        <v>0</v>
      </c>
      <c r="M1843" s="246">
        <f t="shared" si="724"/>
        <v>0</v>
      </c>
      <c r="N1843" s="121">
        <f t="shared" si="725"/>
        <v>1</v>
      </c>
      <c r="O1843" s="246">
        <f t="shared" si="726"/>
        <v>1.0049999999999999</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87">
        <v>38</v>
      </c>
      <c r="B1844" s="242">
        <f t="shared" si="733"/>
        <v>46784</v>
      </c>
      <c r="C1844" s="243">
        <f t="shared" si="714"/>
        <v>46812</v>
      </c>
      <c r="D1844" s="120">
        <f t="shared" si="715"/>
        <v>29</v>
      </c>
      <c r="E1844" s="120">
        <f t="shared" si="716"/>
        <v>2</v>
      </c>
      <c r="F1844" s="275">
        <f t="shared" si="717"/>
        <v>46798.5</v>
      </c>
      <c r="G1844" s="120">
        <f t="shared" si="718"/>
        <v>24337</v>
      </c>
      <c r="H1844" s="245">
        <f t="shared" si="719"/>
        <v>1</v>
      </c>
      <c r="I1844" s="121">
        <f t="shared" si="720"/>
        <v>1</v>
      </c>
      <c r="J1844" s="121">
        <f t="shared" si="721"/>
        <v>1</v>
      </c>
      <c r="K1844" s="120">
        <f t="shared" si="722"/>
        <v>0</v>
      </c>
      <c r="L1844" s="120">
        <f t="shared" si="723"/>
        <v>0</v>
      </c>
      <c r="M1844" s="246">
        <f t="shared" si="724"/>
        <v>0</v>
      </c>
      <c r="N1844" s="121">
        <f t="shared" si="725"/>
        <v>1</v>
      </c>
      <c r="O1844" s="246">
        <f t="shared" si="726"/>
        <v>1.0049999999999999</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87">
        <v>39</v>
      </c>
      <c r="B1845" s="242">
        <f t="shared" si="733"/>
        <v>46813</v>
      </c>
      <c r="C1845" s="243">
        <f t="shared" si="714"/>
        <v>46843</v>
      </c>
      <c r="D1845" s="120">
        <f t="shared" si="715"/>
        <v>31</v>
      </c>
      <c r="E1845" s="120">
        <f t="shared" si="716"/>
        <v>3</v>
      </c>
      <c r="F1845" s="275">
        <f t="shared" si="717"/>
        <v>46828.5</v>
      </c>
      <c r="G1845" s="120">
        <f t="shared" si="718"/>
        <v>24338</v>
      </c>
      <c r="H1845" s="245">
        <f t="shared" si="719"/>
        <v>1</v>
      </c>
      <c r="I1845" s="121">
        <f t="shared" si="720"/>
        <v>1</v>
      </c>
      <c r="J1845" s="121">
        <f t="shared" si="721"/>
        <v>1</v>
      </c>
      <c r="K1845" s="120">
        <f t="shared" si="722"/>
        <v>0</v>
      </c>
      <c r="L1845" s="120">
        <f t="shared" si="723"/>
        <v>0</v>
      </c>
      <c r="M1845" s="246">
        <f t="shared" si="724"/>
        <v>0</v>
      </c>
      <c r="N1845" s="121">
        <f t="shared" si="725"/>
        <v>1</v>
      </c>
      <c r="O1845" s="246">
        <f t="shared" si="726"/>
        <v>1.0049999999999999</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87">
        <v>40</v>
      </c>
      <c r="B1846" s="242">
        <f t="shared" si="733"/>
        <v>46844</v>
      </c>
      <c r="C1846" s="243">
        <f t="shared" si="714"/>
        <v>46873</v>
      </c>
      <c r="D1846" s="120">
        <f t="shared" si="715"/>
        <v>30</v>
      </c>
      <c r="E1846" s="120">
        <f t="shared" si="716"/>
        <v>4</v>
      </c>
      <c r="F1846" s="275">
        <f t="shared" si="717"/>
        <v>46859</v>
      </c>
      <c r="G1846" s="120">
        <f t="shared" si="718"/>
        <v>24339</v>
      </c>
      <c r="H1846" s="245">
        <f t="shared" si="719"/>
        <v>1</v>
      </c>
      <c r="I1846" s="121">
        <f t="shared" si="720"/>
        <v>1</v>
      </c>
      <c r="J1846" s="121">
        <f t="shared" si="721"/>
        <v>1</v>
      </c>
      <c r="K1846" s="120">
        <f t="shared" si="722"/>
        <v>0</v>
      </c>
      <c r="L1846" s="120">
        <f t="shared" si="723"/>
        <v>0</v>
      </c>
      <c r="M1846" s="246">
        <f t="shared" si="724"/>
        <v>0</v>
      </c>
      <c r="N1846" s="121">
        <f t="shared" si="725"/>
        <v>1</v>
      </c>
      <c r="O1846" s="246">
        <f t="shared" si="726"/>
        <v>1.0049999999999999</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87">
        <v>41</v>
      </c>
      <c r="B1847" s="242">
        <f t="shared" si="733"/>
        <v>46874</v>
      </c>
      <c r="C1847" s="243">
        <f t="shared" si="714"/>
        <v>46904</v>
      </c>
      <c r="D1847" s="120">
        <f t="shared" si="715"/>
        <v>31</v>
      </c>
      <c r="E1847" s="120">
        <f t="shared" si="716"/>
        <v>5</v>
      </c>
      <c r="F1847" s="275">
        <f t="shared" si="717"/>
        <v>46889.5</v>
      </c>
      <c r="G1847" s="120">
        <f t="shared" si="718"/>
        <v>24340</v>
      </c>
      <c r="H1847" s="245">
        <f t="shared" si="719"/>
        <v>1</v>
      </c>
      <c r="I1847" s="121">
        <f t="shared" si="720"/>
        <v>1</v>
      </c>
      <c r="J1847" s="121">
        <f t="shared" si="721"/>
        <v>1</v>
      </c>
      <c r="K1847" s="120">
        <f t="shared" si="722"/>
        <v>0</v>
      </c>
      <c r="L1847" s="120">
        <f t="shared" si="723"/>
        <v>0</v>
      </c>
      <c r="M1847" s="246">
        <f t="shared" si="724"/>
        <v>0</v>
      </c>
      <c r="N1847" s="121">
        <f t="shared" si="725"/>
        <v>1</v>
      </c>
      <c r="O1847" s="246">
        <f t="shared" si="726"/>
        <v>1.0049999999999999</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87">
        <v>42</v>
      </c>
      <c r="B1848" s="242">
        <f t="shared" si="733"/>
        <v>46905</v>
      </c>
      <c r="C1848" s="243">
        <f t="shared" si="714"/>
        <v>46934</v>
      </c>
      <c r="D1848" s="120">
        <f t="shared" si="715"/>
        <v>30</v>
      </c>
      <c r="E1848" s="120">
        <f t="shared" si="716"/>
        <v>6</v>
      </c>
      <c r="F1848" s="275">
        <f t="shared" si="717"/>
        <v>46920</v>
      </c>
      <c r="G1848" s="120">
        <f t="shared" si="718"/>
        <v>24341</v>
      </c>
      <c r="H1848" s="245">
        <f t="shared" si="719"/>
        <v>1</v>
      </c>
      <c r="I1848" s="121">
        <f t="shared" si="720"/>
        <v>1</v>
      </c>
      <c r="J1848" s="121">
        <f t="shared" si="721"/>
        <v>1</v>
      </c>
      <c r="K1848" s="120">
        <f t="shared" si="722"/>
        <v>0</v>
      </c>
      <c r="L1848" s="120">
        <f t="shared" si="723"/>
        <v>0</v>
      </c>
      <c r="M1848" s="246">
        <f t="shared" si="724"/>
        <v>0</v>
      </c>
      <c r="N1848" s="121">
        <f t="shared" si="725"/>
        <v>1</v>
      </c>
      <c r="O1848" s="246">
        <f t="shared" si="726"/>
        <v>1.0049999999999999</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87">
        <v>43</v>
      </c>
      <c r="B1849" s="242">
        <f t="shared" si="733"/>
        <v>46935</v>
      </c>
      <c r="C1849" s="243">
        <f t="shared" si="714"/>
        <v>46965</v>
      </c>
      <c r="D1849" s="120">
        <f t="shared" si="715"/>
        <v>31</v>
      </c>
      <c r="E1849" s="120">
        <f t="shared" si="716"/>
        <v>7</v>
      </c>
      <c r="F1849" s="275">
        <f t="shared" si="717"/>
        <v>46950.5</v>
      </c>
      <c r="G1849" s="120">
        <f t="shared" si="718"/>
        <v>24342</v>
      </c>
      <c r="H1849" s="245">
        <f t="shared" si="719"/>
        <v>1</v>
      </c>
      <c r="I1849" s="121">
        <f t="shared" si="720"/>
        <v>1</v>
      </c>
      <c r="J1849" s="121">
        <f t="shared" si="721"/>
        <v>1</v>
      </c>
      <c r="K1849" s="120">
        <f t="shared" si="722"/>
        <v>0</v>
      </c>
      <c r="L1849" s="120">
        <f t="shared" si="723"/>
        <v>0</v>
      </c>
      <c r="M1849" s="246">
        <f t="shared" si="724"/>
        <v>0</v>
      </c>
      <c r="N1849" s="121">
        <f t="shared" si="725"/>
        <v>1</v>
      </c>
      <c r="O1849" s="246">
        <f t="shared" si="726"/>
        <v>1.0049999999999999</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87">
        <v>44</v>
      </c>
      <c r="B1850" s="242">
        <f t="shared" si="733"/>
        <v>46966</v>
      </c>
      <c r="C1850" s="243">
        <f t="shared" si="714"/>
        <v>46996</v>
      </c>
      <c r="D1850" s="120">
        <f t="shared" si="715"/>
        <v>31</v>
      </c>
      <c r="E1850" s="120">
        <f t="shared" si="716"/>
        <v>8</v>
      </c>
      <c r="F1850" s="275">
        <f t="shared" si="717"/>
        <v>46981.5</v>
      </c>
      <c r="G1850" s="120">
        <f t="shared" si="718"/>
        <v>24343</v>
      </c>
      <c r="H1850" s="245">
        <f t="shared" si="719"/>
        <v>1</v>
      </c>
      <c r="I1850" s="121">
        <f t="shared" si="720"/>
        <v>1</v>
      </c>
      <c r="J1850" s="121">
        <f t="shared" si="721"/>
        <v>1</v>
      </c>
      <c r="K1850" s="120">
        <f t="shared" si="722"/>
        <v>0</v>
      </c>
      <c r="L1850" s="120">
        <f t="shared" si="723"/>
        <v>0</v>
      </c>
      <c r="M1850" s="246">
        <f t="shared" si="724"/>
        <v>0</v>
      </c>
      <c r="N1850" s="121">
        <f t="shared" si="725"/>
        <v>1</v>
      </c>
      <c r="O1850" s="246">
        <f t="shared" si="726"/>
        <v>1.0049999999999999</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87">
        <v>45</v>
      </c>
      <c r="B1851" s="242">
        <f t="shared" si="733"/>
        <v>46997</v>
      </c>
      <c r="C1851" s="243">
        <f t="shared" si="714"/>
        <v>47026</v>
      </c>
      <c r="D1851" s="120">
        <f t="shared" si="715"/>
        <v>30</v>
      </c>
      <c r="E1851" s="120">
        <f t="shared" si="716"/>
        <v>9</v>
      </c>
      <c r="F1851" s="275">
        <f t="shared" si="717"/>
        <v>47012</v>
      </c>
      <c r="G1851" s="120">
        <f t="shared" si="718"/>
        <v>24344</v>
      </c>
      <c r="H1851" s="245">
        <f t="shared" si="719"/>
        <v>1</v>
      </c>
      <c r="I1851" s="121">
        <f t="shared" si="720"/>
        <v>1</v>
      </c>
      <c r="J1851" s="121">
        <f t="shared" si="721"/>
        <v>1</v>
      </c>
      <c r="K1851" s="120">
        <f t="shared" si="722"/>
        <v>0</v>
      </c>
      <c r="L1851" s="120">
        <f t="shared" si="723"/>
        <v>0</v>
      </c>
      <c r="M1851" s="246">
        <f t="shared" si="724"/>
        <v>0</v>
      </c>
      <c r="N1851" s="121">
        <f t="shared" si="725"/>
        <v>1</v>
      </c>
      <c r="O1851" s="246">
        <f t="shared" si="726"/>
        <v>1.0049999999999999</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87">
        <v>46</v>
      </c>
      <c r="B1852" s="242">
        <f t="shared" si="733"/>
        <v>47027</v>
      </c>
      <c r="C1852" s="243">
        <f t="shared" si="714"/>
        <v>47057</v>
      </c>
      <c r="D1852" s="120">
        <f t="shared" si="715"/>
        <v>31</v>
      </c>
      <c r="E1852" s="120">
        <f t="shared" si="716"/>
        <v>10</v>
      </c>
      <c r="F1852" s="275">
        <f t="shared" si="717"/>
        <v>47042.5</v>
      </c>
      <c r="G1852" s="120">
        <f t="shared" si="718"/>
        <v>24345</v>
      </c>
      <c r="H1852" s="245">
        <f t="shared" si="719"/>
        <v>1</v>
      </c>
      <c r="I1852" s="121">
        <f t="shared" si="720"/>
        <v>1</v>
      </c>
      <c r="J1852" s="121">
        <f t="shared" si="721"/>
        <v>1</v>
      </c>
      <c r="K1852" s="120">
        <f t="shared" si="722"/>
        <v>0</v>
      </c>
      <c r="L1852" s="120">
        <f t="shared" si="723"/>
        <v>0</v>
      </c>
      <c r="M1852" s="246">
        <f t="shared" si="724"/>
        <v>0</v>
      </c>
      <c r="N1852" s="121">
        <f t="shared" si="725"/>
        <v>1</v>
      </c>
      <c r="O1852" s="246">
        <f t="shared" si="726"/>
        <v>1.0049999999999999</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87">
        <v>47</v>
      </c>
      <c r="B1853" s="242">
        <f t="shared" si="733"/>
        <v>47058</v>
      </c>
      <c r="C1853" s="243">
        <f t="shared" si="714"/>
        <v>47087</v>
      </c>
      <c r="D1853" s="120">
        <f t="shared" si="715"/>
        <v>30</v>
      </c>
      <c r="E1853" s="120">
        <f t="shared" si="716"/>
        <v>11</v>
      </c>
      <c r="F1853" s="275">
        <f t="shared" si="717"/>
        <v>47073</v>
      </c>
      <c r="G1853" s="120">
        <f t="shared" si="718"/>
        <v>24346</v>
      </c>
      <c r="H1853" s="245">
        <f t="shared" si="719"/>
        <v>1</v>
      </c>
      <c r="I1853" s="121">
        <f t="shared" si="720"/>
        <v>1</v>
      </c>
      <c r="J1853" s="121">
        <f t="shared" si="721"/>
        <v>1</v>
      </c>
      <c r="K1853" s="120">
        <f t="shared" si="722"/>
        <v>0</v>
      </c>
      <c r="L1853" s="120">
        <f t="shared" si="723"/>
        <v>0</v>
      </c>
      <c r="M1853" s="246">
        <f t="shared" si="724"/>
        <v>0</v>
      </c>
      <c r="N1853" s="121">
        <f t="shared" si="725"/>
        <v>1</v>
      </c>
      <c r="O1853" s="246">
        <f t="shared" si="726"/>
        <v>1.0049999999999999</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87">
        <v>48</v>
      </c>
      <c r="B1854" s="242">
        <f t="shared" si="733"/>
        <v>47088</v>
      </c>
      <c r="C1854" s="243">
        <f t="shared" si="714"/>
        <v>47118</v>
      </c>
      <c r="D1854" s="120">
        <f t="shared" si="715"/>
        <v>31</v>
      </c>
      <c r="E1854" s="120">
        <f t="shared" si="716"/>
        <v>12</v>
      </c>
      <c r="F1854" s="275">
        <f t="shared" si="717"/>
        <v>47103.5</v>
      </c>
      <c r="G1854" s="120">
        <f t="shared" si="718"/>
        <v>24347</v>
      </c>
      <c r="H1854" s="245">
        <f t="shared" si="719"/>
        <v>1</v>
      </c>
      <c r="I1854" s="121">
        <f t="shared" si="720"/>
        <v>1</v>
      </c>
      <c r="J1854" s="121">
        <f t="shared" si="721"/>
        <v>1</v>
      </c>
      <c r="K1854" s="120">
        <f t="shared" si="722"/>
        <v>0</v>
      </c>
      <c r="L1854" s="120">
        <f t="shared" si="723"/>
        <v>0</v>
      </c>
      <c r="M1854" s="246">
        <f t="shared" si="724"/>
        <v>0</v>
      </c>
      <c r="N1854" s="121">
        <f t="shared" si="725"/>
        <v>1</v>
      </c>
      <c r="O1854" s="246">
        <f t="shared" si="726"/>
        <v>1.0049999999999999</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1651</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0.99299370897155337</v>
      </c>
      <c r="G1855" s="224">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24">
        <f>IF(N(INDEX(lr_mind,34))=0,1,INDEX(lr_mind,34))</f>
        <v>1</v>
      </c>
      <c r="G1858" s="224">
        <f>IF(N(INDEX(lr_m0,34))=0,1,INDEX(lr_m0,34))</f>
        <v>0.99</v>
      </c>
      <c r="H1858" s="74">
        <f>IF(N(INDEX(lr_m0asof,34))=0,DATE(nr_PlanYear-1,10,1),INDEX(lr_m0asof,34))</f>
        <v>46295</v>
      </c>
      <c r="I1858" s="224">
        <f>IF(N(INDEX(lr_m1,34))=0,1,INDEX(lr_m1,34))</f>
        <v>0.98499999999999999</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34">EOMONTH($B1861,0)</f>
        <v>45688</v>
      </c>
      <c r="D1861" s="120">
        <f t="shared" ref="D1861:D1908" si="735">$C1861-$B1861+1</f>
        <v>31</v>
      </c>
      <c r="E1861" s="120">
        <f t="shared" ref="E1861:E1908" si="736">MONTH($B1861)</f>
        <v>1</v>
      </c>
      <c r="F1861" s="275">
        <f t="shared" ref="F1861:F1908" si="737">($B1861+$C1861+1)/2</f>
        <v>45673.5</v>
      </c>
      <c r="G1861" s="120">
        <f t="shared" ref="G1861:G1908" si="738">YEAR($B1861)*12+MONTH($B1861)-1</f>
        <v>24300</v>
      </c>
      <c r="H1861" s="245">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46">
        <f t="shared" ref="M1861:M1908" si="744">IF($K1861=0,0,MIN(1,$L1861/$D1861))</f>
        <v>0</v>
      </c>
      <c r="N1861" s="121">
        <f t="shared" ref="N1861:N1908" si="745">IF($K1861=0,$J1861,(1-$M1861)*$I1861+$M1861*$J1861)</f>
        <v>1</v>
      </c>
      <c r="O1861" s="246">
        <f t="shared" ref="O1861:O1908" si="746">IF($F1861&lt;$B$1859,$E$1859+$I$1859*($F1861-$A$1859),IF($F1861&lt;$C$1859,$F$1859+$J$1859*($F1861-$B$1859),$G$1859+$K$1859*($F1861-$C$1859)))</f>
        <v>0.99681072210065647</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87">
        <v>2</v>
      </c>
      <c r="B1862" s="242">
        <f t="shared" ref="B1862:B1908" si="753">EDATE($B1861,1)</f>
        <v>45689</v>
      </c>
      <c r="C1862" s="243">
        <f t="shared" si="734"/>
        <v>45716</v>
      </c>
      <c r="D1862" s="120">
        <f t="shared" si="735"/>
        <v>28</v>
      </c>
      <c r="E1862" s="120">
        <f t="shared" si="736"/>
        <v>2</v>
      </c>
      <c r="F1862" s="275">
        <f t="shared" si="737"/>
        <v>45703</v>
      </c>
      <c r="G1862" s="120">
        <f t="shared" si="738"/>
        <v>24301</v>
      </c>
      <c r="H1862" s="245">
        <f t="shared" si="739"/>
        <v>1</v>
      </c>
      <c r="I1862" s="121">
        <f t="shared" si="740"/>
        <v>1</v>
      </c>
      <c r="J1862" s="121">
        <f t="shared" si="741"/>
        <v>1</v>
      </c>
      <c r="K1862" s="120">
        <f t="shared" si="742"/>
        <v>0</v>
      </c>
      <c r="L1862" s="120">
        <f t="shared" si="743"/>
        <v>0</v>
      </c>
      <c r="M1862" s="246">
        <f t="shared" si="744"/>
        <v>0</v>
      </c>
      <c r="N1862" s="121">
        <f t="shared" si="745"/>
        <v>1</v>
      </c>
      <c r="O1862" s="246">
        <f t="shared" si="746"/>
        <v>0.99648796498905901</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87">
        <v>3</v>
      </c>
      <c r="B1863" s="242">
        <f t="shared" si="753"/>
        <v>45717</v>
      </c>
      <c r="C1863" s="243">
        <f t="shared" si="734"/>
        <v>45747</v>
      </c>
      <c r="D1863" s="120">
        <f t="shared" si="735"/>
        <v>31</v>
      </c>
      <c r="E1863" s="120">
        <f t="shared" si="736"/>
        <v>3</v>
      </c>
      <c r="F1863" s="275">
        <f t="shared" si="737"/>
        <v>45732.5</v>
      </c>
      <c r="G1863" s="120">
        <f t="shared" si="738"/>
        <v>24302</v>
      </c>
      <c r="H1863" s="245">
        <f t="shared" si="739"/>
        <v>1</v>
      </c>
      <c r="I1863" s="121">
        <f t="shared" si="740"/>
        <v>1</v>
      </c>
      <c r="J1863" s="121">
        <f t="shared" si="741"/>
        <v>1</v>
      </c>
      <c r="K1863" s="120">
        <f t="shared" si="742"/>
        <v>0</v>
      </c>
      <c r="L1863" s="120">
        <f t="shared" si="743"/>
        <v>0</v>
      </c>
      <c r="M1863" s="246">
        <f t="shared" si="744"/>
        <v>0</v>
      </c>
      <c r="N1863" s="121">
        <f t="shared" si="745"/>
        <v>1</v>
      </c>
      <c r="O1863" s="246">
        <f t="shared" si="746"/>
        <v>0.99616520787746166</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87">
        <v>4</v>
      </c>
      <c r="B1864" s="242">
        <f t="shared" si="753"/>
        <v>45748</v>
      </c>
      <c r="C1864" s="243">
        <f t="shared" si="734"/>
        <v>45777</v>
      </c>
      <c r="D1864" s="120">
        <f t="shared" si="735"/>
        <v>30</v>
      </c>
      <c r="E1864" s="120">
        <f t="shared" si="736"/>
        <v>4</v>
      </c>
      <c r="F1864" s="275">
        <f t="shared" si="737"/>
        <v>45763</v>
      </c>
      <c r="G1864" s="120">
        <f t="shared" si="738"/>
        <v>24303</v>
      </c>
      <c r="H1864" s="245">
        <f t="shared" si="739"/>
        <v>1</v>
      </c>
      <c r="I1864" s="121">
        <f t="shared" si="740"/>
        <v>1</v>
      </c>
      <c r="J1864" s="121">
        <f t="shared" si="741"/>
        <v>1</v>
      </c>
      <c r="K1864" s="120">
        <f t="shared" si="742"/>
        <v>0</v>
      </c>
      <c r="L1864" s="120">
        <f t="shared" si="743"/>
        <v>0</v>
      </c>
      <c r="M1864" s="246">
        <f t="shared" si="744"/>
        <v>0</v>
      </c>
      <c r="N1864" s="121">
        <f t="shared" si="745"/>
        <v>1</v>
      </c>
      <c r="O1864" s="246">
        <f t="shared" si="746"/>
        <v>0.99583150984682711</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87">
        <v>5</v>
      </c>
      <c r="B1865" s="242">
        <f t="shared" si="753"/>
        <v>45778</v>
      </c>
      <c r="C1865" s="243">
        <f t="shared" si="734"/>
        <v>45808</v>
      </c>
      <c r="D1865" s="120">
        <f t="shared" si="735"/>
        <v>31</v>
      </c>
      <c r="E1865" s="120">
        <f t="shared" si="736"/>
        <v>5</v>
      </c>
      <c r="F1865" s="275">
        <f t="shared" si="737"/>
        <v>45793.5</v>
      </c>
      <c r="G1865" s="120">
        <f t="shared" si="738"/>
        <v>24304</v>
      </c>
      <c r="H1865" s="245">
        <f t="shared" si="739"/>
        <v>1</v>
      </c>
      <c r="I1865" s="121">
        <f t="shared" si="740"/>
        <v>1</v>
      </c>
      <c r="J1865" s="121">
        <f t="shared" si="741"/>
        <v>1</v>
      </c>
      <c r="K1865" s="120">
        <f t="shared" si="742"/>
        <v>0</v>
      </c>
      <c r="L1865" s="120">
        <f t="shared" si="743"/>
        <v>0</v>
      </c>
      <c r="M1865" s="246">
        <f t="shared" si="744"/>
        <v>0</v>
      </c>
      <c r="N1865" s="121">
        <f t="shared" si="745"/>
        <v>1</v>
      </c>
      <c r="O1865" s="246">
        <f t="shared" si="746"/>
        <v>0.99549781181619257</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87">
        <v>6</v>
      </c>
      <c r="B1866" s="242">
        <f t="shared" si="753"/>
        <v>45809</v>
      </c>
      <c r="C1866" s="243">
        <f t="shared" si="734"/>
        <v>45838</v>
      </c>
      <c r="D1866" s="120">
        <f t="shared" si="735"/>
        <v>30</v>
      </c>
      <c r="E1866" s="120">
        <f t="shared" si="736"/>
        <v>6</v>
      </c>
      <c r="F1866" s="275">
        <f t="shared" si="737"/>
        <v>45824</v>
      </c>
      <c r="G1866" s="120">
        <f t="shared" si="738"/>
        <v>24305</v>
      </c>
      <c r="H1866" s="245">
        <f t="shared" si="739"/>
        <v>1</v>
      </c>
      <c r="I1866" s="121">
        <f t="shared" si="740"/>
        <v>1</v>
      </c>
      <c r="J1866" s="121">
        <f t="shared" si="741"/>
        <v>1</v>
      </c>
      <c r="K1866" s="120">
        <f t="shared" si="742"/>
        <v>0</v>
      </c>
      <c r="L1866" s="120">
        <f t="shared" si="743"/>
        <v>0</v>
      </c>
      <c r="M1866" s="246">
        <f t="shared" si="744"/>
        <v>0</v>
      </c>
      <c r="N1866" s="121">
        <f t="shared" si="745"/>
        <v>1</v>
      </c>
      <c r="O1866" s="246">
        <f t="shared" si="746"/>
        <v>0.99516411378555791</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87">
        <v>7</v>
      </c>
      <c r="B1867" s="242">
        <f t="shared" si="753"/>
        <v>45839</v>
      </c>
      <c r="C1867" s="243">
        <f t="shared" si="734"/>
        <v>45869</v>
      </c>
      <c r="D1867" s="120">
        <f t="shared" si="735"/>
        <v>31</v>
      </c>
      <c r="E1867" s="120">
        <f t="shared" si="736"/>
        <v>7</v>
      </c>
      <c r="F1867" s="275">
        <f t="shared" si="737"/>
        <v>45854.5</v>
      </c>
      <c r="G1867" s="120">
        <f t="shared" si="738"/>
        <v>24306</v>
      </c>
      <c r="H1867" s="245">
        <f t="shared" si="739"/>
        <v>1</v>
      </c>
      <c r="I1867" s="121">
        <f t="shared" si="740"/>
        <v>1</v>
      </c>
      <c r="J1867" s="121">
        <f t="shared" si="741"/>
        <v>1</v>
      </c>
      <c r="K1867" s="120">
        <f t="shared" si="742"/>
        <v>0</v>
      </c>
      <c r="L1867" s="120">
        <f t="shared" si="743"/>
        <v>0</v>
      </c>
      <c r="M1867" s="246">
        <f t="shared" si="744"/>
        <v>0</v>
      </c>
      <c r="N1867" s="121">
        <f t="shared" si="745"/>
        <v>1</v>
      </c>
      <c r="O1867" s="246">
        <f t="shared" si="746"/>
        <v>0.99483041575492337</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87">
        <v>8</v>
      </c>
      <c r="B1868" s="242">
        <f t="shared" si="753"/>
        <v>45870</v>
      </c>
      <c r="C1868" s="243">
        <f t="shared" si="734"/>
        <v>45900</v>
      </c>
      <c r="D1868" s="120">
        <f t="shared" si="735"/>
        <v>31</v>
      </c>
      <c r="E1868" s="120">
        <f t="shared" si="736"/>
        <v>8</v>
      </c>
      <c r="F1868" s="275">
        <f t="shared" si="737"/>
        <v>45885.5</v>
      </c>
      <c r="G1868" s="120">
        <f t="shared" si="738"/>
        <v>24307</v>
      </c>
      <c r="H1868" s="245">
        <f t="shared" si="739"/>
        <v>1</v>
      </c>
      <c r="I1868" s="121">
        <f t="shared" si="740"/>
        <v>1</v>
      </c>
      <c r="J1868" s="121">
        <f t="shared" si="741"/>
        <v>1</v>
      </c>
      <c r="K1868" s="120">
        <f t="shared" si="742"/>
        <v>0</v>
      </c>
      <c r="L1868" s="120">
        <f t="shared" si="743"/>
        <v>0</v>
      </c>
      <c r="M1868" s="246">
        <f t="shared" si="744"/>
        <v>0</v>
      </c>
      <c r="N1868" s="121">
        <f t="shared" si="745"/>
        <v>1</v>
      </c>
      <c r="O1868" s="246">
        <f t="shared" si="746"/>
        <v>0.99449124726477023</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87">
        <v>9</v>
      </c>
      <c r="B1869" s="242">
        <f t="shared" si="753"/>
        <v>45901</v>
      </c>
      <c r="C1869" s="243">
        <f t="shared" si="734"/>
        <v>45930</v>
      </c>
      <c r="D1869" s="120">
        <f t="shared" si="735"/>
        <v>30</v>
      </c>
      <c r="E1869" s="120">
        <f t="shared" si="736"/>
        <v>9</v>
      </c>
      <c r="F1869" s="275">
        <f t="shared" si="737"/>
        <v>45916</v>
      </c>
      <c r="G1869" s="120">
        <f t="shared" si="738"/>
        <v>24308</v>
      </c>
      <c r="H1869" s="245">
        <f t="shared" si="739"/>
        <v>1</v>
      </c>
      <c r="I1869" s="121">
        <f t="shared" si="740"/>
        <v>1</v>
      </c>
      <c r="J1869" s="121">
        <f t="shared" si="741"/>
        <v>1</v>
      </c>
      <c r="K1869" s="120">
        <f t="shared" si="742"/>
        <v>0</v>
      </c>
      <c r="L1869" s="120">
        <f t="shared" si="743"/>
        <v>0</v>
      </c>
      <c r="M1869" s="246">
        <f t="shared" si="744"/>
        <v>0</v>
      </c>
      <c r="N1869" s="121">
        <f t="shared" si="745"/>
        <v>1</v>
      </c>
      <c r="O1869" s="246">
        <f t="shared" si="746"/>
        <v>0.99415754923413568</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87">
        <v>10</v>
      </c>
      <c r="B1870" s="242">
        <f t="shared" si="753"/>
        <v>45931</v>
      </c>
      <c r="C1870" s="243">
        <f t="shared" si="734"/>
        <v>45961</v>
      </c>
      <c r="D1870" s="120">
        <f t="shared" si="735"/>
        <v>31</v>
      </c>
      <c r="E1870" s="120">
        <f t="shared" si="736"/>
        <v>10</v>
      </c>
      <c r="F1870" s="275">
        <f t="shared" si="737"/>
        <v>45946.5</v>
      </c>
      <c r="G1870" s="120">
        <f t="shared" si="738"/>
        <v>24309</v>
      </c>
      <c r="H1870" s="245">
        <f t="shared" si="739"/>
        <v>1</v>
      </c>
      <c r="I1870" s="121">
        <f t="shared" si="740"/>
        <v>1</v>
      </c>
      <c r="J1870" s="121">
        <f t="shared" si="741"/>
        <v>1</v>
      </c>
      <c r="K1870" s="120">
        <f t="shared" si="742"/>
        <v>0</v>
      </c>
      <c r="L1870" s="120">
        <f t="shared" si="743"/>
        <v>0</v>
      </c>
      <c r="M1870" s="246">
        <f t="shared" si="744"/>
        <v>0</v>
      </c>
      <c r="N1870" s="121">
        <f t="shared" si="745"/>
        <v>1</v>
      </c>
      <c r="O1870" s="246">
        <f t="shared" si="746"/>
        <v>0.99382385120350103</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87">
        <v>11</v>
      </c>
      <c r="B1871" s="242">
        <f t="shared" si="753"/>
        <v>45962</v>
      </c>
      <c r="C1871" s="243">
        <f t="shared" si="734"/>
        <v>45991</v>
      </c>
      <c r="D1871" s="120">
        <f t="shared" si="735"/>
        <v>30</v>
      </c>
      <c r="E1871" s="120">
        <f t="shared" si="736"/>
        <v>11</v>
      </c>
      <c r="F1871" s="275">
        <f t="shared" si="737"/>
        <v>45977</v>
      </c>
      <c r="G1871" s="120">
        <f t="shared" si="738"/>
        <v>24310</v>
      </c>
      <c r="H1871" s="245">
        <f t="shared" si="739"/>
        <v>1</v>
      </c>
      <c r="I1871" s="121">
        <f t="shared" si="740"/>
        <v>1</v>
      </c>
      <c r="J1871" s="121">
        <f t="shared" si="741"/>
        <v>1</v>
      </c>
      <c r="K1871" s="120">
        <f t="shared" si="742"/>
        <v>0</v>
      </c>
      <c r="L1871" s="120">
        <f t="shared" si="743"/>
        <v>0</v>
      </c>
      <c r="M1871" s="246">
        <f t="shared" si="744"/>
        <v>0</v>
      </c>
      <c r="N1871" s="121">
        <f t="shared" si="745"/>
        <v>1</v>
      </c>
      <c r="O1871" s="246">
        <f t="shared" si="746"/>
        <v>0.99349015317286649</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87">
        <v>12</v>
      </c>
      <c r="B1872" s="242">
        <f t="shared" si="753"/>
        <v>45992</v>
      </c>
      <c r="C1872" s="243">
        <f t="shared" si="734"/>
        <v>46022</v>
      </c>
      <c r="D1872" s="120">
        <f t="shared" si="735"/>
        <v>31</v>
      </c>
      <c r="E1872" s="120">
        <f t="shared" si="736"/>
        <v>12</v>
      </c>
      <c r="F1872" s="275">
        <f t="shared" si="737"/>
        <v>46007.5</v>
      </c>
      <c r="G1872" s="120">
        <f t="shared" si="738"/>
        <v>24311</v>
      </c>
      <c r="H1872" s="245">
        <f t="shared" si="739"/>
        <v>1</v>
      </c>
      <c r="I1872" s="121">
        <f t="shared" si="740"/>
        <v>1</v>
      </c>
      <c r="J1872" s="121">
        <f t="shared" si="741"/>
        <v>1</v>
      </c>
      <c r="K1872" s="120">
        <f t="shared" si="742"/>
        <v>0</v>
      </c>
      <c r="L1872" s="120">
        <f t="shared" si="743"/>
        <v>0</v>
      </c>
      <c r="M1872" s="246">
        <f t="shared" si="744"/>
        <v>0</v>
      </c>
      <c r="N1872" s="121">
        <f t="shared" si="745"/>
        <v>1</v>
      </c>
      <c r="O1872" s="246">
        <f t="shared" si="746"/>
        <v>0.99315645514223194</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87">
        <v>13</v>
      </c>
      <c r="B1873" s="242">
        <f t="shared" si="753"/>
        <v>46023</v>
      </c>
      <c r="C1873" s="243">
        <f t="shared" si="734"/>
        <v>46053</v>
      </c>
      <c r="D1873" s="120">
        <f t="shared" si="735"/>
        <v>31</v>
      </c>
      <c r="E1873" s="120">
        <f t="shared" si="736"/>
        <v>1</v>
      </c>
      <c r="F1873" s="275">
        <f t="shared" si="737"/>
        <v>46038.5</v>
      </c>
      <c r="G1873" s="120">
        <f t="shared" si="738"/>
        <v>24312</v>
      </c>
      <c r="H1873" s="245">
        <f t="shared" si="739"/>
        <v>1</v>
      </c>
      <c r="I1873" s="121">
        <f t="shared" si="740"/>
        <v>1</v>
      </c>
      <c r="J1873" s="121">
        <f t="shared" si="741"/>
        <v>1</v>
      </c>
      <c r="K1873" s="120">
        <f t="shared" si="742"/>
        <v>0</v>
      </c>
      <c r="L1873" s="120">
        <f t="shared" si="743"/>
        <v>0</v>
      </c>
      <c r="M1873" s="246">
        <f t="shared" si="744"/>
        <v>0</v>
      </c>
      <c r="N1873" s="121">
        <f t="shared" si="745"/>
        <v>1</v>
      </c>
      <c r="O1873" s="246">
        <f t="shared" si="746"/>
        <v>0.9928172866520788</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87">
        <v>14</v>
      </c>
      <c r="B1874" s="242">
        <f t="shared" si="753"/>
        <v>46054</v>
      </c>
      <c r="C1874" s="243">
        <f t="shared" si="734"/>
        <v>46081</v>
      </c>
      <c r="D1874" s="120">
        <f t="shared" si="735"/>
        <v>28</v>
      </c>
      <c r="E1874" s="120">
        <f t="shared" si="736"/>
        <v>2</v>
      </c>
      <c r="F1874" s="275">
        <f t="shared" si="737"/>
        <v>46068</v>
      </c>
      <c r="G1874" s="120">
        <f t="shared" si="738"/>
        <v>24313</v>
      </c>
      <c r="H1874" s="245">
        <f t="shared" si="739"/>
        <v>1</v>
      </c>
      <c r="I1874" s="121">
        <f t="shared" si="740"/>
        <v>1</v>
      </c>
      <c r="J1874" s="121">
        <f t="shared" si="741"/>
        <v>1</v>
      </c>
      <c r="K1874" s="120">
        <f t="shared" si="742"/>
        <v>0</v>
      </c>
      <c r="L1874" s="120">
        <f t="shared" si="743"/>
        <v>0</v>
      </c>
      <c r="M1874" s="246">
        <f t="shared" si="744"/>
        <v>0</v>
      </c>
      <c r="N1874" s="121">
        <f t="shared" si="745"/>
        <v>1</v>
      </c>
      <c r="O1874" s="246">
        <f t="shared" si="746"/>
        <v>0.99249452954048134</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87">
        <v>15</v>
      </c>
      <c r="B1875" s="242">
        <f t="shared" si="753"/>
        <v>46082</v>
      </c>
      <c r="C1875" s="243">
        <f t="shared" si="734"/>
        <v>46112</v>
      </c>
      <c r="D1875" s="120">
        <f t="shared" si="735"/>
        <v>31</v>
      </c>
      <c r="E1875" s="120">
        <f t="shared" si="736"/>
        <v>3</v>
      </c>
      <c r="F1875" s="275">
        <f t="shared" si="737"/>
        <v>46097.5</v>
      </c>
      <c r="G1875" s="120">
        <f t="shared" si="738"/>
        <v>24314</v>
      </c>
      <c r="H1875" s="245">
        <f t="shared" si="739"/>
        <v>1</v>
      </c>
      <c r="I1875" s="121">
        <f t="shared" si="740"/>
        <v>1</v>
      </c>
      <c r="J1875" s="121">
        <f t="shared" si="741"/>
        <v>1</v>
      </c>
      <c r="K1875" s="120">
        <f t="shared" si="742"/>
        <v>0</v>
      </c>
      <c r="L1875" s="120">
        <f t="shared" si="743"/>
        <v>0</v>
      </c>
      <c r="M1875" s="246">
        <f t="shared" si="744"/>
        <v>0</v>
      </c>
      <c r="N1875" s="121">
        <f t="shared" si="745"/>
        <v>1</v>
      </c>
      <c r="O1875" s="246">
        <f t="shared" si="746"/>
        <v>0.99217177242888399</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87">
        <v>16</v>
      </c>
      <c r="B1876" s="242">
        <f t="shared" si="753"/>
        <v>46113</v>
      </c>
      <c r="C1876" s="243">
        <f t="shared" si="734"/>
        <v>46142</v>
      </c>
      <c r="D1876" s="120">
        <f t="shared" si="735"/>
        <v>30</v>
      </c>
      <c r="E1876" s="120">
        <f t="shared" si="736"/>
        <v>4</v>
      </c>
      <c r="F1876" s="275">
        <f t="shared" si="737"/>
        <v>46128</v>
      </c>
      <c r="G1876" s="120">
        <f t="shared" si="738"/>
        <v>24315</v>
      </c>
      <c r="H1876" s="245">
        <f t="shared" si="739"/>
        <v>1</v>
      </c>
      <c r="I1876" s="121">
        <f t="shared" si="740"/>
        <v>1</v>
      </c>
      <c r="J1876" s="121">
        <f t="shared" si="741"/>
        <v>1</v>
      </c>
      <c r="K1876" s="120">
        <f t="shared" si="742"/>
        <v>0</v>
      </c>
      <c r="L1876" s="120">
        <f t="shared" si="743"/>
        <v>0</v>
      </c>
      <c r="M1876" s="246">
        <f t="shared" si="744"/>
        <v>0</v>
      </c>
      <c r="N1876" s="121">
        <f t="shared" si="745"/>
        <v>1</v>
      </c>
      <c r="O1876" s="246">
        <f t="shared" si="746"/>
        <v>0.99183807439824945</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87">
        <v>17</v>
      </c>
      <c r="B1877" s="242">
        <f t="shared" si="753"/>
        <v>46143</v>
      </c>
      <c r="C1877" s="243">
        <f t="shared" si="734"/>
        <v>46173</v>
      </c>
      <c r="D1877" s="120">
        <f t="shared" si="735"/>
        <v>31</v>
      </c>
      <c r="E1877" s="120">
        <f t="shared" si="736"/>
        <v>5</v>
      </c>
      <c r="F1877" s="275">
        <f t="shared" si="737"/>
        <v>46158.5</v>
      </c>
      <c r="G1877" s="120">
        <f t="shared" si="738"/>
        <v>24316</v>
      </c>
      <c r="H1877" s="245">
        <f t="shared" si="739"/>
        <v>1</v>
      </c>
      <c r="I1877" s="121">
        <f t="shared" si="740"/>
        <v>1</v>
      </c>
      <c r="J1877" s="121">
        <f t="shared" si="741"/>
        <v>1</v>
      </c>
      <c r="K1877" s="120">
        <f t="shared" si="742"/>
        <v>0</v>
      </c>
      <c r="L1877" s="120">
        <f t="shared" si="743"/>
        <v>0</v>
      </c>
      <c r="M1877" s="246">
        <f t="shared" si="744"/>
        <v>0</v>
      </c>
      <c r="N1877" s="121">
        <f t="shared" si="745"/>
        <v>1</v>
      </c>
      <c r="O1877" s="246">
        <f t="shared" si="746"/>
        <v>0.9915043763676149</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87">
        <v>18</v>
      </c>
      <c r="B1878" s="242">
        <f t="shared" si="753"/>
        <v>46174</v>
      </c>
      <c r="C1878" s="243">
        <f t="shared" si="734"/>
        <v>46203</v>
      </c>
      <c r="D1878" s="120">
        <f t="shared" si="735"/>
        <v>30</v>
      </c>
      <c r="E1878" s="120">
        <f t="shared" si="736"/>
        <v>6</v>
      </c>
      <c r="F1878" s="275">
        <f t="shared" si="737"/>
        <v>46189</v>
      </c>
      <c r="G1878" s="120">
        <f t="shared" si="738"/>
        <v>24317</v>
      </c>
      <c r="H1878" s="245">
        <f t="shared" si="739"/>
        <v>1</v>
      </c>
      <c r="I1878" s="121">
        <f t="shared" si="740"/>
        <v>1</v>
      </c>
      <c r="J1878" s="121">
        <f t="shared" si="741"/>
        <v>1</v>
      </c>
      <c r="K1878" s="120">
        <f t="shared" si="742"/>
        <v>0</v>
      </c>
      <c r="L1878" s="120">
        <f t="shared" si="743"/>
        <v>0</v>
      </c>
      <c r="M1878" s="246">
        <f t="shared" si="744"/>
        <v>0</v>
      </c>
      <c r="N1878" s="121">
        <f t="shared" si="745"/>
        <v>1</v>
      </c>
      <c r="O1878" s="246">
        <f t="shared" si="746"/>
        <v>0.99117067833698025</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87">
        <v>19</v>
      </c>
      <c r="B1879" s="242">
        <f t="shared" si="753"/>
        <v>46204</v>
      </c>
      <c r="C1879" s="243">
        <f t="shared" si="734"/>
        <v>46234</v>
      </c>
      <c r="D1879" s="120">
        <f t="shared" si="735"/>
        <v>31</v>
      </c>
      <c r="E1879" s="120">
        <f t="shared" si="736"/>
        <v>7</v>
      </c>
      <c r="F1879" s="275">
        <f t="shared" si="737"/>
        <v>46219.5</v>
      </c>
      <c r="G1879" s="120">
        <f t="shared" si="738"/>
        <v>24318</v>
      </c>
      <c r="H1879" s="245">
        <f t="shared" si="739"/>
        <v>1</v>
      </c>
      <c r="I1879" s="121">
        <f t="shared" si="740"/>
        <v>1</v>
      </c>
      <c r="J1879" s="121">
        <f t="shared" si="741"/>
        <v>1</v>
      </c>
      <c r="K1879" s="120">
        <f t="shared" si="742"/>
        <v>0</v>
      </c>
      <c r="L1879" s="120">
        <f t="shared" si="743"/>
        <v>0</v>
      </c>
      <c r="M1879" s="246">
        <f t="shared" si="744"/>
        <v>0</v>
      </c>
      <c r="N1879" s="121">
        <f t="shared" si="745"/>
        <v>1</v>
      </c>
      <c r="O1879" s="246">
        <f t="shared" si="746"/>
        <v>0.9908369803063457</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87">
        <v>20</v>
      </c>
      <c r="B1880" s="242">
        <f t="shared" si="753"/>
        <v>46235</v>
      </c>
      <c r="C1880" s="243">
        <f t="shared" si="734"/>
        <v>46265</v>
      </c>
      <c r="D1880" s="120">
        <f t="shared" si="735"/>
        <v>31</v>
      </c>
      <c r="E1880" s="120">
        <f t="shared" si="736"/>
        <v>8</v>
      </c>
      <c r="F1880" s="275">
        <f t="shared" si="737"/>
        <v>46250.5</v>
      </c>
      <c r="G1880" s="120">
        <f t="shared" si="738"/>
        <v>24319</v>
      </c>
      <c r="H1880" s="245">
        <f t="shared" si="739"/>
        <v>1</v>
      </c>
      <c r="I1880" s="121">
        <f t="shared" si="740"/>
        <v>1</v>
      </c>
      <c r="J1880" s="121">
        <f t="shared" si="741"/>
        <v>1</v>
      </c>
      <c r="K1880" s="120">
        <f t="shared" si="742"/>
        <v>0</v>
      </c>
      <c r="L1880" s="120">
        <f t="shared" si="743"/>
        <v>0</v>
      </c>
      <c r="M1880" s="246">
        <f t="shared" si="744"/>
        <v>0</v>
      </c>
      <c r="N1880" s="121">
        <f t="shared" si="745"/>
        <v>1</v>
      </c>
      <c r="O1880" s="246">
        <f t="shared" si="746"/>
        <v>0.99049781181619256</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87">
        <v>21</v>
      </c>
      <c r="B1881" s="242">
        <f t="shared" si="753"/>
        <v>46266</v>
      </c>
      <c r="C1881" s="243">
        <f t="shared" si="734"/>
        <v>46295</v>
      </c>
      <c r="D1881" s="120">
        <f t="shared" si="735"/>
        <v>30</v>
      </c>
      <c r="E1881" s="120">
        <f t="shared" si="736"/>
        <v>9</v>
      </c>
      <c r="F1881" s="275">
        <f t="shared" si="737"/>
        <v>46281</v>
      </c>
      <c r="G1881" s="120">
        <f t="shared" si="738"/>
        <v>24320</v>
      </c>
      <c r="H1881" s="245">
        <f t="shared" si="739"/>
        <v>1</v>
      </c>
      <c r="I1881" s="121">
        <f t="shared" si="740"/>
        <v>1</v>
      </c>
      <c r="J1881" s="121">
        <f t="shared" si="741"/>
        <v>1</v>
      </c>
      <c r="K1881" s="120">
        <f t="shared" si="742"/>
        <v>0</v>
      </c>
      <c r="L1881" s="120">
        <f t="shared" si="743"/>
        <v>0</v>
      </c>
      <c r="M1881" s="246">
        <f t="shared" si="744"/>
        <v>0</v>
      </c>
      <c r="N1881" s="121">
        <f t="shared" si="745"/>
        <v>1</v>
      </c>
      <c r="O1881" s="246">
        <f t="shared" si="746"/>
        <v>0.99016411378555802</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87">
        <v>22</v>
      </c>
      <c r="B1882" s="242">
        <f t="shared" si="753"/>
        <v>46296</v>
      </c>
      <c r="C1882" s="243">
        <f t="shared" si="734"/>
        <v>46326</v>
      </c>
      <c r="D1882" s="120">
        <f t="shared" si="735"/>
        <v>31</v>
      </c>
      <c r="E1882" s="120">
        <f t="shared" si="736"/>
        <v>10</v>
      </c>
      <c r="F1882" s="275">
        <f t="shared" si="737"/>
        <v>46311.5</v>
      </c>
      <c r="G1882" s="120">
        <f t="shared" si="738"/>
        <v>24321</v>
      </c>
      <c r="H1882" s="245">
        <f t="shared" si="739"/>
        <v>1</v>
      </c>
      <c r="I1882" s="121">
        <f t="shared" si="740"/>
        <v>1</v>
      </c>
      <c r="J1882" s="121">
        <f t="shared" si="741"/>
        <v>1.05</v>
      </c>
      <c r="K1882" s="120">
        <f t="shared" si="742"/>
        <v>1</v>
      </c>
      <c r="L1882" s="120">
        <f t="shared" si="743"/>
        <v>31</v>
      </c>
      <c r="M1882" s="246">
        <f t="shared" si="744"/>
        <v>1</v>
      </c>
      <c r="N1882" s="121">
        <f t="shared" si="745"/>
        <v>1.05</v>
      </c>
      <c r="O1882" s="246">
        <f t="shared" si="746"/>
        <v>0.98983041575492337</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87">
        <v>23</v>
      </c>
      <c r="B1883" s="242">
        <f t="shared" si="753"/>
        <v>46327</v>
      </c>
      <c r="C1883" s="243">
        <f t="shared" si="734"/>
        <v>46356</v>
      </c>
      <c r="D1883" s="120">
        <f t="shared" si="735"/>
        <v>30</v>
      </c>
      <c r="E1883" s="120">
        <f t="shared" si="736"/>
        <v>11</v>
      </c>
      <c r="F1883" s="275">
        <f t="shared" si="737"/>
        <v>46342</v>
      </c>
      <c r="G1883" s="120">
        <f t="shared" si="738"/>
        <v>24322</v>
      </c>
      <c r="H1883" s="245">
        <f t="shared" si="739"/>
        <v>1</v>
      </c>
      <c r="I1883" s="121">
        <f t="shared" si="740"/>
        <v>1.05</v>
      </c>
      <c r="J1883" s="121">
        <f t="shared" si="741"/>
        <v>1.05</v>
      </c>
      <c r="K1883" s="120">
        <f t="shared" si="742"/>
        <v>0</v>
      </c>
      <c r="L1883" s="120">
        <f t="shared" si="743"/>
        <v>0</v>
      </c>
      <c r="M1883" s="246">
        <f t="shared" si="744"/>
        <v>0</v>
      </c>
      <c r="N1883" s="121">
        <f t="shared" si="745"/>
        <v>1.05</v>
      </c>
      <c r="O1883" s="246">
        <f t="shared" si="746"/>
        <v>0.98949671772428882</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87">
        <v>24</v>
      </c>
      <c r="B1884" s="242">
        <f t="shared" si="753"/>
        <v>46357</v>
      </c>
      <c r="C1884" s="243">
        <f t="shared" si="734"/>
        <v>46387</v>
      </c>
      <c r="D1884" s="120">
        <f t="shared" si="735"/>
        <v>31</v>
      </c>
      <c r="E1884" s="120">
        <f t="shared" si="736"/>
        <v>12</v>
      </c>
      <c r="F1884" s="275">
        <f t="shared" si="737"/>
        <v>46372.5</v>
      </c>
      <c r="G1884" s="120">
        <f t="shared" si="738"/>
        <v>24323</v>
      </c>
      <c r="H1884" s="245">
        <f t="shared" si="739"/>
        <v>1</v>
      </c>
      <c r="I1884" s="121">
        <f t="shared" si="740"/>
        <v>1.05</v>
      </c>
      <c r="J1884" s="121">
        <f t="shared" si="741"/>
        <v>1.05</v>
      </c>
      <c r="K1884" s="120">
        <f t="shared" si="742"/>
        <v>0</v>
      </c>
      <c r="L1884" s="120">
        <f t="shared" si="743"/>
        <v>0</v>
      </c>
      <c r="M1884" s="246">
        <f t="shared" si="744"/>
        <v>0</v>
      </c>
      <c r="N1884" s="121">
        <f t="shared" si="745"/>
        <v>1.05</v>
      </c>
      <c r="O1884" s="246">
        <f t="shared" si="746"/>
        <v>0.98916301969365428</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87">
        <v>25</v>
      </c>
      <c r="B1885" s="242">
        <f t="shared" si="753"/>
        <v>46388</v>
      </c>
      <c r="C1885" s="243">
        <f t="shared" si="734"/>
        <v>46418</v>
      </c>
      <c r="D1885" s="120">
        <f t="shared" si="735"/>
        <v>31</v>
      </c>
      <c r="E1885" s="120">
        <f t="shared" si="736"/>
        <v>1</v>
      </c>
      <c r="F1885" s="275">
        <f t="shared" si="737"/>
        <v>46403.5</v>
      </c>
      <c r="G1885" s="120">
        <f t="shared" si="738"/>
        <v>24324</v>
      </c>
      <c r="H1885" s="245">
        <f t="shared" si="739"/>
        <v>1</v>
      </c>
      <c r="I1885" s="121">
        <f t="shared" si="740"/>
        <v>1.05</v>
      </c>
      <c r="J1885" s="121">
        <f t="shared" si="741"/>
        <v>1.05</v>
      </c>
      <c r="K1885" s="120">
        <f t="shared" si="742"/>
        <v>0</v>
      </c>
      <c r="L1885" s="120">
        <f t="shared" si="743"/>
        <v>0</v>
      </c>
      <c r="M1885" s="246">
        <f t="shared" si="744"/>
        <v>0</v>
      </c>
      <c r="N1885" s="121">
        <f t="shared" si="745"/>
        <v>1.05</v>
      </c>
      <c r="O1885" s="246">
        <f t="shared" si="746"/>
        <v>0.98882385120350114</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87">
        <v>26</v>
      </c>
      <c r="B1886" s="242">
        <f t="shared" si="753"/>
        <v>46419</v>
      </c>
      <c r="C1886" s="243">
        <f t="shared" si="734"/>
        <v>46446</v>
      </c>
      <c r="D1886" s="120">
        <f t="shared" si="735"/>
        <v>28</v>
      </c>
      <c r="E1886" s="120">
        <f t="shared" si="736"/>
        <v>2</v>
      </c>
      <c r="F1886" s="275">
        <f t="shared" si="737"/>
        <v>46433</v>
      </c>
      <c r="G1886" s="120">
        <f t="shared" si="738"/>
        <v>24325</v>
      </c>
      <c r="H1886" s="245">
        <f t="shared" si="739"/>
        <v>1</v>
      </c>
      <c r="I1886" s="121">
        <f t="shared" si="740"/>
        <v>1.05</v>
      </c>
      <c r="J1886" s="121">
        <f t="shared" si="741"/>
        <v>1.05</v>
      </c>
      <c r="K1886" s="120">
        <f t="shared" si="742"/>
        <v>0</v>
      </c>
      <c r="L1886" s="120">
        <f t="shared" si="743"/>
        <v>0</v>
      </c>
      <c r="M1886" s="246">
        <f t="shared" si="744"/>
        <v>0</v>
      </c>
      <c r="N1886" s="121">
        <f t="shared" si="745"/>
        <v>1.05</v>
      </c>
      <c r="O1886" s="246">
        <f t="shared" si="746"/>
        <v>0.98850109409190368</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87">
        <v>27</v>
      </c>
      <c r="B1887" s="242">
        <f t="shared" si="753"/>
        <v>46447</v>
      </c>
      <c r="C1887" s="243">
        <f t="shared" si="734"/>
        <v>46477</v>
      </c>
      <c r="D1887" s="120">
        <f t="shared" si="735"/>
        <v>31</v>
      </c>
      <c r="E1887" s="120">
        <f t="shared" si="736"/>
        <v>3</v>
      </c>
      <c r="F1887" s="275">
        <f t="shared" si="737"/>
        <v>46462.5</v>
      </c>
      <c r="G1887" s="120">
        <f t="shared" si="738"/>
        <v>24326</v>
      </c>
      <c r="H1887" s="245">
        <f t="shared" si="739"/>
        <v>1</v>
      </c>
      <c r="I1887" s="121">
        <f t="shared" si="740"/>
        <v>1.05</v>
      </c>
      <c r="J1887" s="121">
        <f t="shared" si="741"/>
        <v>1.05</v>
      </c>
      <c r="K1887" s="120">
        <f t="shared" si="742"/>
        <v>0</v>
      </c>
      <c r="L1887" s="120">
        <f t="shared" si="743"/>
        <v>0</v>
      </c>
      <c r="M1887" s="246">
        <f t="shared" si="744"/>
        <v>0</v>
      </c>
      <c r="N1887" s="121">
        <f t="shared" si="745"/>
        <v>1.05</v>
      </c>
      <c r="O1887" s="246">
        <f t="shared" si="746"/>
        <v>0.98817833698030633</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87">
        <v>28</v>
      </c>
      <c r="B1888" s="242">
        <f t="shared" si="753"/>
        <v>46478</v>
      </c>
      <c r="C1888" s="243">
        <f t="shared" si="734"/>
        <v>46507</v>
      </c>
      <c r="D1888" s="120">
        <f t="shared" si="735"/>
        <v>30</v>
      </c>
      <c r="E1888" s="120">
        <f t="shared" si="736"/>
        <v>4</v>
      </c>
      <c r="F1888" s="275">
        <f t="shared" si="737"/>
        <v>46493</v>
      </c>
      <c r="G1888" s="120">
        <f t="shared" si="738"/>
        <v>24327</v>
      </c>
      <c r="H1888" s="245">
        <f t="shared" si="739"/>
        <v>1</v>
      </c>
      <c r="I1888" s="121">
        <f t="shared" si="740"/>
        <v>1.05</v>
      </c>
      <c r="J1888" s="121">
        <f t="shared" si="741"/>
        <v>1.0920000000000001</v>
      </c>
      <c r="K1888" s="120">
        <f t="shared" si="742"/>
        <v>1</v>
      </c>
      <c r="L1888" s="120">
        <f t="shared" si="743"/>
        <v>30</v>
      </c>
      <c r="M1888" s="246">
        <f t="shared" si="744"/>
        <v>1</v>
      </c>
      <c r="N1888" s="121">
        <f t="shared" si="745"/>
        <v>1.0920000000000001</v>
      </c>
      <c r="O1888" s="246">
        <f t="shared" si="746"/>
        <v>0.98784463894967178</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87">
        <v>29</v>
      </c>
      <c r="B1889" s="242">
        <f t="shared" si="753"/>
        <v>46508</v>
      </c>
      <c r="C1889" s="243">
        <f t="shared" si="734"/>
        <v>46538</v>
      </c>
      <c r="D1889" s="120">
        <f t="shared" si="735"/>
        <v>31</v>
      </c>
      <c r="E1889" s="120">
        <f t="shared" si="736"/>
        <v>5</v>
      </c>
      <c r="F1889" s="275">
        <f t="shared" si="737"/>
        <v>46523.5</v>
      </c>
      <c r="G1889" s="120">
        <f t="shared" si="738"/>
        <v>24328</v>
      </c>
      <c r="H1889" s="245">
        <f t="shared" si="739"/>
        <v>1</v>
      </c>
      <c r="I1889" s="121">
        <f t="shared" si="740"/>
        <v>1.0920000000000001</v>
      </c>
      <c r="J1889" s="121">
        <f t="shared" si="741"/>
        <v>1.0920000000000001</v>
      </c>
      <c r="K1889" s="120">
        <f t="shared" si="742"/>
        <v>0</v>
      </c>
      <c r="L1889" s="120">
        <f t="shared" si="743"/>
        <v>0</v>
      </c>
      <c r="M1889" s="246">
        <f t="shared" si="744"/>
        <v>0</v>
      </c>
      <c r="N1889" s="121">
        <f t="shared" si="745"/>
        <v>1.0920000000000001</v>
      </c>
      <c r="O1889" s="246">
        <f t="shared" si="746"/>
        <v>0.98751094091903724</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87">
        <v>30</v>
      </c>
      <c r="B1890" s="242">
        <f t="shared" si="753"/>
        <v>46539</v>
      </c>
      <c r="C1890" s="243">
        <f t="shared" si="734"/>
        <v>46568</v>
      </c>
      <c r="D1890" s="120">
        <f t="shared" si="735"/>
        <v>30</v>
      </c>
      <c r="E1890" s="120">
        <f t="shared" si="736"/>
        <v>6</v>
      </c>
      <c r="F1890" s="275">
        <f t="shared" si="737"/>
        <v>46554</v>
      </c>
      <c r="G1890" s="120">
        <f t="shared" si="738"/>
        <v>24329</v>
      </c>
      <c r="H1890" s="245">
        <f t="shared" si="739"/>
        <v>1</v>
      </c>
      <c r="I1890" s="121">
        <f t="shared" si="740"/>
        <v>1.0920000000000001</v>
      </c>
      <c r="J1890" s="121">
        <f t="shared" si="741"/>
        <v>1.0920000000000001</v>
      </c>
      <c r="K1890" s="120">
        <f t="shared" si="742"/>
        <v>0</v>
      </c>
      <c r="L1890" s="120">
        <f t="shared" si="743"/>
        <v>0</v>
      </c>
      <c r="M1890" s="246">
        <f t="shared" si="744"/>
        <v>0</v>
      </c>
      <c r="N1890" s="121">
        <f t="shared" si="745"/>
        <v>1.0920000000000001</v>
      </c>
      <c r="O1890" s="246">
        <f t="shared" si="746"/>
        <v>0.98717724288840258</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87">
        <v>31</v>
      </c>
      <c r="B1891" s="242">
        <f t="shared" si="753"/>
        <v>46569</v>
      </c>
      <c r="C1891" s="243">
        <f t="shared" si="734"/>
        <v>46599</v>
      </c>
      <c r="D1891" s="120">
        <f t="shared" si="735"/>
        <v>31</v>
      </c>
      <c r="E1891" s="120">
        <f t="shared" si="736"/>
        <v>7</v>
      </c>
      <c r="F1891" s="275">
        <f t="shared" si="737"/>
        <v>46584.5</v>
      </c>
      <c r="G1891" s="120">
        <f t="shared" si="738"/>
        <v>24330</v>
      </c>
      <c r="H1891" s="245">
        <f t="shared" si="739"/>
        <v>1</v>
      </c>
      <c r="I1891" s="121">
        <f t="shared" si="740"/>
        <v>1.0920000000000001</v>
      </c>
      <c r="J1891" s="121">
        <f t="shared" si="741"/>
        <v>1.0920000000000001</v>
      </c>
      <c r="K1891" s="120">
        <f t="shared" si="742"/>
        <v>0</v>
      </c>
      <c r="L1891" s="120">
        <f t="shared" si="743"/>
        <v>0</v>
      </c>
      <c r="M1891" s="246">
        <f t="shared" si="744"/>
        <v>0</v>
      </c>
      <c r="N1891" s="121">
        <f t="shared" si="745"/>
        <v>1.0920000000000001</v>
      </c>
      <c r="O1891" s="246">
        <f t="shared" si="746"/>
        <v>0.98684354485776804</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87">
        <v>32</v>
      </c>
      <c r="B1892" s="242">
        <f t="shared" si="753"/>
        <v>46600</v>
      </c>
      <c r="C1892" s="243">
        <f t="shared" si="734"/>
        <v>46630</v>
      </c>
      <c r="D1892" s="120">
        <f t="shared" si="735"/>
        <v>31</v>
      </c>
      <c r="E1892" s="120">
        <f t="shared" si="736"/>
        <v>8</v>
      </c>
      <c r="F1892" s="275">
        <f t="shared" si="737"/>
        <v>46615.5</v>
      </c>
      <c r="G1892" s="120">
        <f t="shared" si="738"/>
        <v>24331</v>
      </c>
      <c r="H1892" s="245">
        <f t="shared" si="739"/>
        <v>1</v>
      </c>
      <c r="I1892" s="121">
        <f t="shared" si="740"/>
        <v>1.0920000000000001</v>
      </c>
      <c r="J1892" s="121">
        <f t="shared" si="741"/>
        <v>1.0920000000000001</v>
      </c>
      <c r="K1892" s="120">
        <f t="shared" si="742"/>
        <v>0</v>
      </c>
      <c r="L1892" s="120">
        <f t="shared" si="743"/>
        <v>0</v>
      </c>
      <c r="M1892" s="246">
        <f t="shared" si="744"/>
        <v>0</v>
      </c>
      <c r="N1892" s="121">
        <f t="shared" si="745"/>
        <v>1.0920000000000001</v>
      </c>
      <c r="O1892" s="246">
        <f t="shared" si="746"/>
        <v>0.9865043763676149</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87">
        <v>33</v>
      </c>
      <c r="B1893" s="242">
        <f t="shared" si="753"/>
        <v>46631</v>
      </c>
      <c r="C1893" s="243">
        <f t="shared" si="734"/>
        <v>46660</v>
      </c>
      <c r="D1893" s="120">
        <f t="shared" si="735"/>
        <v>30</v>
      </c>
      <c r="E1893" s="120">
        <f t="shared" si="736"/>
        <v>9</v>
      </c>
      <c r="F1893" s="275">
        <f t="shared" si="737"/>
        <v>46646</v>
      </c>
      <c r="G1893" s="120">
        <f t="shared" si="738"/>
        <v>24332</v>
      </c>
      <c r="H1893" s="245">
        <f t="shared" si="739"/>
        <v>1</v>
      </c>
      <c r="I1893" s="121">
        <f t="shared" si="740"/>
        <v>1.0920000000000001</v>
      </c>
      <c r="J1893" s="121">
        <f t="shared" si="741"/>
        <v>1.0920000000000001</v>
      </c>
      <c r="K1893" s="120">
        <f t="shared" si="742"/>
        <v>0</v>
      </c>
      <c r="L1893" s="120">
        <f t="shared" si="743"/>
        <v>0</v>
      </c>
      <c r="M1893" s="246">
        <f t="shared" si="744"/>
        <v>0</v>
      </c>
      <c r="N1893" s="121">
        <f t="shared" si="745"/>
        <v>1.0920000000000001</v>
      </c>
      <c r="O1893" s="246">
        <f t="shared" si="746"/>
        <v>0.98617067833698024</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87">
        <v>34</v>
      </c>
      <c r="B1894" s="242">
        <f t="shared" si="753"/>
        <v>46661</v>
      </c>
      <c r="C1894" s="243">
        <f t="shared" si="734"/>
        <v>46691</v>
      </c>
      <c r="D1894" s="120">
        <f t="shared" si="735"/>
        <v>31</v>
      </c>
      <c r="E1894" s="120">
        <f t="shared" si="736"/>
        <v>10</v>
      </c>
      <c r="F1894" s="275">
        <f t="shared" si="737"/>
        <v>46676.5</v>
      </c>
      <c r="G1894" s="120">
        <f t="shared" si="738"/>
        <v>24333</v>
      </c>
      <c r="H1894" s="245">
        <f t="shared" si="739"/>
        <v>1</v>
      </c>
      <c r="I1894" s="121">
        <f t="shared" si="740"/>
        <v>1.0920000000000001</v>
      </c>
      <c r="J1894" s="121">
        <f t="shared" si="741"/>
        <v>1.0920000000000001</v>
      </c>
      <c r="K1894" s="120">
        <f t="shared" si="742"/>
        <v>0</v>
      </c>
      <c r="L1894" s="120">
        <f t="shared" si="743"/>
        <v>0</v>
      </c>
      <c r="M1894" s="246">
        <f t="shared" si="744"/>
        <v>0</v>
      </c>
      <c r="N1894" s="121">
        <f t="shared" si="745"/>
        <v>1.0920000000000001</v>
      </c>
      <c r="O1894" s="246">
        <f t="shared" si="746"/>
        <v>0.9858369803063457</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87">
        <v>35</v>
      </c>
      <c r="B1895" s="242">
        <f t="shared" si="753"/>
        <v>46692</v>
      </c>
      <c r="C1895" s="243">
        <f t="shared" si="734"/>
        <v>46721</v>
      </c>
      <c r="D1895" s="120">
        <f t="shared" si="735"/>
        <v>30</v>
      </c>
      <c r="E1895" s="120">
        <f t="shared" si="736"/>
        <v>11</v>
      </c>
      <c r="F1895" s="275">
        <f t="shared" si="737"/>
        <v>46707</v>
      </c>
      <c r="G1895" s="120">
        <f t="shared" si="738"/>
        <v>24334</v>
      </c>
      <c r="H1895" s="245">
        <f t="shared" si="739"/>
        <v>1</v>
      </c>
      <c r="I1895" s="121">
        <f t="shared" si="740"/>
        <v>1.0920000000000001</v>
      </c>
      <c r="J1895" s="121">
        <f t="shared" si="741"/>
        <v>1.0920000000000001</v>
      </c>
      <c r="K1895" s="120">
        <f t="shared" si="742"/>
        <v>0</v>
      </c>
      <c r="L1895" s="120">
        <f t="shared" si="743"/>
        <v>0</v>
      </c>
      <c r="M1895" s="246">
        <f t="shared" si="744"/>
        <v>0</v>
      </c>
      <c r="N1895" s="121">
        <f t="shared" si="745"/>
        <v>1.0920000000000001</v>
      </c>
      <c r="O1895" s="246">
        <f t="shared" si="746"/>
        <v>0.98550328227571116</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87">
        <v>36</v>
      </c>
      <c r="B1896" s="242">
        <f t="shared" si="753"/>
        <v>46722</v>
      </c>
      <c r="C1896" s="243">
        <f t="shared" si="734"/>
        <v>46752</v>
      </c>
      <c r="D1896" s="120">
        <f t="shared" si="735"/>
        <v>31</v>
      </c>
      <c r="E1896" s="120">
        <f t="shared" si="736"/>
        <v>12</v>
      </c>
      <c r="F1896" s="275">
        <f t="shared" si="737"/>
        <v>46737.5</v>
      </c>
      <c r="G1896" s="120">
        <f t="shared" si="738"/>
        <v>24335</v>
      </c>
      <c r="H1896" s="245">
        <f t="shared" si="739"/>
        <v>1</v>
      </c>
      <c r="I1896" s="121">
        <f t="shared" si="740"/>
        <v>1.0920000000000001</v>
      </c>
      <c r="J1896" s="121">
        <f t="shared" si="741"/>
        <v>1.0920000000000001</v>
      </c>
      <c r="K1896" s="120">
        <f t="shared" si="742"/>
        <v>0</v>
      </c>
      <c r="L1896" s="120">
        <f t="shared" si="743"/>
        <v>0</v>
      </c>
      <c r="M1896" s="246">
        <f t="shared" si="744"/>
        <v>0</v>
      </c>
      <c r="N1896" s="121">
        <f t="shared" si="745"/>
        <v>1.0920000000000001</v>
      </c>
      <c r="O1896" s="246">
        <f t="shared" si="746"/>
        <v>0.98516958424507661</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87">
        <v>37</v>
      </c>
      <c r="B1897" s="242">
        <f t="shared" si="753"/>
        <v>46753</v>
      </c>
      <c r="C1897" s="243">
        <f t="shared" si="734"/>
        <v>46783</v>
      </c>
      <c r="D1897" s="120">
        <f t="shared" si="735"/>
        <v>31</v>
      </c>
      <c r="E1897" s="120">
        <f t="shared" si="736"/>
        <v>1</v>
      </c>
      <c r="F1897" s="275">
        <f t="shared" si="737"/>
        <v>46768.5</v>
      </c>
      <c r="G1897" s="120">
        <f t="shared" si="738"/>
        <v>24336</v>
      </c>
      <c r="H1897" s="245">
        <f t="shared" si="739"/>
        <v>1</v>
      </c>
      <c r="I1897" s="121">
        <f t="shared" si="740"/>
        <v>1.0920000000000001</v>
      </c>
      <c r="J1897" s="121">
        <f t="shared" si="741"/>
        <v>1.0920000000000001</v>
      </c>
      <c r="K1897" s="120">
        <f t="shared" si="742"/>
        <v>0</v>
      </c>
      <c r="L1897" s="120">
        <f t="shared" si="743"/>
        <v>0</v>
      </c>
      <c r="M1897" s="246">
        <f t="shared" si="744"/>
        <v>0</v>
      </c>
      <c r="N1897" s="121">
        <f t="shared" si="745"/>
        <v>1.0920000000000001</v>
      </c>
      <c r="O1897" s="246">
        <f t="shared" si="746"/>
        <v>0.98499999999999999</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87">
        <v>38</v>
      </c>
      <c r="B1898" s="242">
        <f t="shared" si="753"/>
        <v>46784</v>
      </c>
      <c r="C1898" s="243">
        <f t="shared" si="734"/>
        <v>46812</v>
      </c>
      <c r="D1898" s="120">
        <f t="shared" si="735"/>
        <v>29</v>
      </c>
      <c r="E1898" s="120">
        <f t="shared" si="736"/>
        <v>2</v>
      </c>
      <c r="F1898" s="275">
        <f t="shared" si="737"/>
        <v>46798.5</v>
      </c>
      <c r="G1898" s="120">
        <f t="shared" si="738"/>
        <v>24337</v>
      </c>
      <c r="H1898" s="245">
        <f t="shared" si="739"/>
        <v>1</v>
      </c>
      <c r="I1898" s="121">
        <f t="shared" si="740"/>
        <v>1.0920000000000001</v>
      </c>
      <c r="J1898" s="121">
        <f t="shared" si="741"/>
        <v>1.0920000000000001</v>
      </c>
      <c r="K1898" s="120">
        <f t="shared" si="742"/>
        <v>0</v>
      </c>
      <c r="L1898" s="120">
        <f t="shared" si="743"/>
        <v>0</v>
      </c>
      <c r="M1898" s="246">
        <f t="shared" si="744"/>
        <v>0</v>
      </c>
      <c r="N1898" s="121">
        <f t="shared" si="745"/>
        <v>1.0920000000000001</v>
      </c>
      <c r="O1898" s="246">
        <f t="shared" si="746"/>
        <v>0.98499999999999999</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87">
        <v>39</v>
      </c>
      <c r="B1899" s="242">
        <f t="shared" si="753"/>
        <v>46813</v>
      </c>
      <c r="C1899" s="243">
        <f t="shared" si="734"/>
        <v>46843</v>
      </c>
      <c r="D1899" s="120">
        <f t="shared" si="735"/>
        <v>31</v>
      </c>
      <c r="E1899" s="120">
        <f t="shared" si="736"/>
        <v>3</v>
      </c>
      <c r="F1899" s="275">
        <f t="shared" si="737"/>
        <v>46828.5</v>
      </c>
      <c r="G1899" s="120">
        <f t="shared" si="738"/>
        <v>24338</v>
      </c>
      <c r="H1899" s="245">
        <f t="shared" si="739"/>
        <v>1</v>
      </c>
      <c r="I1899" s="121">
        <f t="shared" si="740"/>
        <v>1.0920000000000001</v>
      </c>
      <c r="J1899" s="121">
        <f t="shared" si="741"/>
        <v>1.0920000000000001</v>
      </c>
      <c r="K1899" s="120">
        <f t="shared" si="742"/>
        <v>0</v>
      </c>
      <c r="L1899" s="120">
        <f t="shared" si="743"/>
        <v>0</v>
      </c>
      <c r="M1899" s="246">
        <f t="shared" si="744"/>
        <v>0</v>
      </c>
      <c r="N1899" s="121">
        <f t="shared" si="745"/>
        <v>1.0920000000000001</v>
      </c>
      <c r="O1899" s="246">
        <f t="shared" si="746"/>
        <v>0.98499999999999999</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87">
        <v>40</v>
      </c>
      <c r="B1900" s="242">
        <f t="shared" si="753"/>
        <v>46844</v>
      </c>
      <c r="C1900" s="243">
        <f t="shared" si="734"/>
        <v>46873</v>
      </c>
      <c r="D1900" s="120">
        <f t="shared" si="735"/>
        <v>30</v>
      </c>
      <c r="E1900" s="120">
        <f t="shared" si="736"/>
        <v>4</v>
      </c>
      <c r="F1900" s="275">
        <f t="shared" si="737"/>
        <v>46859</v>
      </c>
      <c r="G1900" s="120">
        <f t="shared" si="738"/>
        <v>24339</v>
      </c>
      <c r="H1900" s="245">
        <f t="shared" si="739"/>
        <v>1</v>
      </c>
      <c r="I1900" s="121">
        <f t="shared" si="740"/>
        <v>1.0920000000000001</v>
      </c>
      <c r="J1900" s="121">
        <f t="shared" si="741"/>
        <v>1.0920000000000001</v>
      </c>
      <c r="K1900" s="120">
        <f t="shared" si="742"/>
        <v>0</v>
      </c>
      <c r="L1900" s="120">
        <f t="shared" si="743"/>
        <v>0</v>
      </c>
      <c r="M1900" s="246">
        <f t="shared" si="744"/>
        <v>0</v>
      </c>
      <c r="N1900" s="121">
        <f t="shared" si="745"/>
        <v>1.0920000000000001</v>
      </c>
      <c r="O1900" s="246">
        <f t="shared" si="746"/>
        <v>0.98499999999999999</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87">
        <v>41</v>
      </c>
      <c r="B1901" s="242">
        <f t="shared" si="753"/>
        <v>46874</v>
      </c>
      <c r="C1901" s="243">
        <f t="shared" si="734"/>
        <v>46904</v>
      </c>
      <c r="D1901" s="120">
        <f t="shared" si="735"/>
        <v>31</v>
      </c>
      <c r="E1901" s="120">
        <f t="shared" si="736"/>
        <v>5</v>
      </c>
      <c r="F1901" s="275">
        <f t="shared" si="737"/>
        <v>46889.5</v>
      </c>
      <c r="G1901" s="120">
        <f t="shared" si="738"/>
        <v>24340</v>
      </c>
      <c r="H1901" s="245">
        <f t="shared" si="739"/>
        <v>1</v>
      </c>
      <c r="I1901" s="121">
        <f t="shared" si="740"/>
        <v>1.0920000000000001</v>
      </c>
      <c r="J1901" s="121">
        <f t="shared" si="741"/>
        <v>1.0920000000000001</v>
      </c>
      <c r="K1901" s="120">
        <f t="shared" si="742"/>
        <v>0</v>
      </c>
      <c r="L1901" s="120">
        <f t="shared" si="743"/>
        <v>0</v>
      </c>
      <c r="M1901" s="246">
        <f t="shared" si="744"/>
        <v>0</v>
      </c>
      <c r="N1901" s="121">
        <f t="shared" si="745"/>
        <v>1.0920000000000001</v>
      </c>
      <c r="O1901" s="246">
        <f t="shared" si="746"/>
        <v>0.98499999999999999</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87">
        <v>42</v>
      </c>
      <c r="B1902" s="242">
        <f t="shared" si="753"/>
        <v>46905</v>
      </c>
      <c r="C1902" s="243">
        <f t="shared" si="734"/>
        <v>46934</v>
      </c>
      <c r="D1902" s="120">
        <f t="shared" si="735"/>
        <v>30</v>
      </c>
      <c r="E1902" s="120">
        <f t="shared" si="736"/>
        <v>6</v>
      </c>
      <c r="F1902" s="275">
        <f t="shared" si="737"/>
        <v>46920</v>
      </c>
      <c r="G1902" s="120">
        <f t="shared" si="738"/>
        <v>24341</v>
      </c>
      <c r="H1902" s="245">
        <f t="shared" si="739"/>
        <v>1</v>
      </c>
      <c r="I1902" s="121">
        <f t="shared" si="740"/>
        <v>1.0920000000000001</v>
      </c>
      <c r="J1902" s="121">
        <f t="shared" si="741"/>
        <v>1.0920000000000001</v>
      </c>
      <c r="K1902" s="120">
        <f t="shared" si="742"/>
        <v>0</v>
      </c>
      <c r="L1902" s="120">
        <f t="shared" si="743"/>
        <v>0</v>
      </c>
      <c r="M1902" s="246">
        <f t="shared" si="744"/>
        <v>0</v>
      </c>
      <c r="N1902" s="121">
        <f t="shared" si="745"/>
        <v>1.0920000000000001</v>
      </c>
      <c r="O1902" s="246">
        <f t="shared" si="746"/>
        <v>0.98499999999999999</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87">
        <v>43</v>
      </c>
      <c r="B1903" s="242">
        <f t="shared" si="753"/>
        <v>46935</v>
      </c>
      <c r="C1903" s="243">
        <f t="shared" si="734"/>
        <v>46965</v>
      </c>
      <c r="D1903" s="120">
        <f t="shared" si="735"/>
        <v>31</v>
      </c>
      <c r="E1903" s="120">
        <f t="shared" si="736"/>
        <v>7</v>
      </c>
      <c r="F1903" s="275">
        <f t="shared" si="737"/>
        <v>46950.5</v>
      </c>
      <c r="G1903" s="120">
        <f t="shared" si="738"/>
        <v>24342</v>
      </c>
      <c r="H1903" s="245">
        <f t="shared" si="739"/>
        <v>1</v>
      </c>
      <c r="I1903" s="121">
        <f t="shared" si="740"/>
        <v>1.0920000000000001</v>
      </c>
      <c r="J1903" s="121">
        <f t="shared" si="741"/>
        <v>1.0920000000000001</v>
      </c>
      <c r="K1903" s="120">
        <f t="shared" si="742"/>
        <v>0</v>
      </c>
      <c r="L1903" s="120">
        <f t="shared" si="743"/>
        <v>0</v>
      </c>
      <c r="M1903" s="246">
        <f t="shared" si="744"/>
        <v>0</v>
      </c>
      <c r="N1903" s="121">
        <f t="shared" si="745"/>
        <v>1.0920000000000001</v>
      </c>
      <c r="O1903" s="246">
        <f t="shared" si="746"/>
        <v>0.98499999999999999</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87">
        <v>44</v>
      </c>
      <c r="B1904" s="242">
        <f t="shared" si="753"/>
        <v>46966</v>
      </c>
      <c r="C1904" s="243">
        <f t="shared" si="734"/>
        <v>46996</v>
      </c>
      <c r="D1904" s="120">
        <f t="shared" si="735"/>
        <v>31</v>
      </c>
      <c r="E1904" s="120">
        <f t="shared" si="736"/>
        <v>8</v>
      </c>
      <c r="F1904" s="275">
        <f t="shared" si="737"/>
        <v>46981.5</v>
      </c>
      <c r="G1904" s="120">
        <f t="shared" si="738"/>
        <v>24343</v>
      </c>
      <c r="H1904" s="245">
        <f t="shared" si="739"/>
        <v>1</v>
      </c>
      <c r="I1904" s="121">
        <f t="shared" si="740"/>
        <v>1.0920000000000001</v>
      </c>
      <c r="J1904" s="121">
        <f t="shared" si="741"/>
        <v>1.0920000000000001</v>
      </c>
      <c r="K1904" s="120">
        <f t="shared" si="742"/>
        <v>0</v>
      </c>
      <c r="L1904" s="120">
        <f t="shared" si="743"/>
        <v>0</v>
      </c>
      <c r="M1904" s="246">
        <f t="shared" si="744"/>
        <v>0</v>
      </c>
      <c r="N1904" s="121">
        <f t="shared" si="745"/>
        <v>1.0920000000000001</v>
      </c>
      <c r="O1904" s="246">
        <f t="shared" si="746"/>
        <v>0.98499999999999999</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87">
        <v>45</v>
      </c>
      <c r="B1905" s="242">
        <f t="shared" si="753"/>
        <v>46997</v>
      </c>
      <c r="C1905" s="243">
        <f t="shared" si="734"/>
        <v>47026</v>
      </c>
      <c r="D1905" s="120">
        <f t="shared" si="735"/>
        <v>30</v>
      </c>
      <c r="E1905" s="120">
        <f t="shared" si="736"/>
        <v>9</v>
      </c>
      <c r="F1905" s="275">
        <f t="shared" si="737"/>
        <v>47012</v>
      </c>
      <c r="G1905" s="120">
        <f t="shared" si="738"/>
        <v>24344</v>
      </c>
      <c r="H1905" s="245">
        <f t="shared" si="739"/>
        <v>1</v>
      </c>
      <c r="I1905" s="121">
        <f t="shared" si="740"/>
        <v>1.0920000000000001</v>
      </c>
      <c r="J1905" s="121">
        <f t="shared" si="741"/>
        <v>1.0920000000000001</v>
      </c>
      <c r="K1905" s="120">
        <f t="shared" si="742"/>
        <v>0</v>
      </c>
      <c r="L1905" s="120">
        <f t="shared" si="743"/>
        <v>0</v>
      </c>
      <c r="M1905" s="246">
        <f t="shared" si="744"/>
        <v>0</v>
      </c>
      <c r="N1905" s="121">
        <f t="shared" si="745"/>
        <v>1.0920000000000001</v>
      </c>
      <c r="O1905" s="246">
        <f t="shared" si="746"/>
        <v>0.98499999999999999</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87">
        <v>46</v>
      </c>
      <c r="B1906" s="242">
        <f t="shared" si="753"/>
        <v>47027</v>
      </c>
      <c r="C1906" s="243">
        <f t="shared" si="734"/>
        <v>47057</v>
      </c>
      <c r="D1906" s="120">
        <f t="shared" si="735"/>
        <v>31</v>
      </c>
      <c r="E1906" s="120">
        <f t="shared" si="736"/>
        <v>10</v>
      </c>
      <c r="F1906" s="275">
        <f t="shared" si="737"/>
        <v>47042.5</v>
      </c>
      <c r="G1906" s="120">
        <f t="shared" si="738"/>
        <v>24345</v>
      </c>
      <c r="H1906" s="245">
        <f t="shared" si="739"/>
        <v>1</v>
      </c>
      <c r="I1906" s="121">
        <f t="shared" si="740"/>
        <v>1.0920000000000001</v>
      </c>
      <c r="J1906" s="121">
        <f t="shared" si="741"/>
        <v>1.0920000000000001</v>
      </c>
      <c r="K1906" s="120">
        <f t="shared" si="742"/>
        <v>0</v>
      </c>
      <c r="L1906" s="120">
        <f t="shared" si="743"/>
        <v>0</v>
      </c>
      <c r="M1906" s="246">
        <f t="shared" si="744"/>
        <v>0</v>
      </c>
      <c r="N1906" s="121">
        <f t="shared" si="745"/>
        <v>1.0920000000000001</v>
      </c>
      <c r="O1906" s="246">
        <f t="shared" si="746"/>
        <v>0.98499999999999999</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87">
        <v>47</v>
      </c>
      <c r="B1907" s="242">
        <f t="shared" si="753"/>
        <v>47058</v>
      </c>
      <c r="C1907" s="243">
        <f t="shared" si="734"/>
        <v>47087</v>
      </c>
      <c r="D1907" s="120">
        <f t="shared" si="735"/>
        <v>30</v>
      </c>
      <c r="E1907" s="120">
        <f t="shared" si="736"/>
        <v>11</v>
      </c>
      <c r="F1907" s="275">
        <f t="shared" si="737"/>
        <v>47073</v>
      </c>
      <c r="G1907" s="120">
        <f t="shared" si="738"/>
        <v>24346</v>
      </c>
      <c r="H1907" s="245">
        <f t="shared" si="739"/>
        <v>1</v>
      </c>
      <c r="I1907" s="121">
        <f t="shared" si="740"/>
        <v>1.0920000000000001</v>
      </c>
      <c r="J1907" s="121">
        <f t="shared" si="741"/>
        <v>1.0920000000000001</v>
      </c>
      <c r="K1907" s="120">
        <f t="shared" si="742"/>
        <v>0</v>
      </c>
      <c r="L1907" s="120">
        <f t="shared" si="743"/>
        <v>0</v>
      </c>
      <c r="M1907" s="246">
        <f t="shared" si="744"/>
        <v>0</v>
      </c>
      <c r="N1907" s="121">
        <f t="shared" si="745"/>
        <v>1.0920000000000001</v>
      </c>
      <c r="O1907" s="246">
        <f t="shared" si="746"/>
        <v>0.98499999999999999</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87">
        <v>48</v>
      </c>
      <c r="B1908" s="242">
        <f t="shared" si="753"/>
        <v>47088</v>
      </c>
      <c r="C1908" s="243">
        <f t="shared" si="734"/>
        <v>47118</v>
      </c>
      <c r="D1908" s="120">
        <f t="shared" si="735"/>
        <v>31</v>
      </c>
      <c r="E1908" s="120">
        <f t="shared" si="736"/>
        <v>12</v>
      </c>
      <c r="F1908" s="275">
        <f t="shared" si="737"/>
        <v>47103.5</v>
      </c>
      <c r="G1908" s="120">
        <f t="shared" si="738"/>
        <v>24347</v>
      </c>
      <c r="H1908" s="245">
        <f t="shared" si="739"/>
        <v>1</v>
      </c>
      <c r="I1908" s="121">
        <f t="shared" si="740"/>
        <v>1.0920000000000001</v>
      </c>
      <c r="J1908" s="121">
        <f t="shared" si="741"/>
        <v>1.0920000000000001</v>
      </c>
      <c r="K1908" s="120">
        <f t="shared" si="742"/>
        <v>0</v>
      </c>
      <c r="L1908" s="120">
        <f t="shared" si="743"/>
        <v>0</v>
      </c>
      <c r="M1908" s="246">
        <f t="shared" si="744"/>
        <v>0</v>
      </c>
      <c r="N1908" s="121">
        <f t="shared" si="745"/>
        <v>1.0920000000000001</v>
      </c>
      <c r="O1908" s="246">
        <f t="shared" si="746"/>
        <v>0.98499999999999999</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1651</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24">
        <f>SUMPRODUCT($H$1861:$H$1908,$Q$1861:$Q$1908,$O$1861:$O$1908)/SUMPRODUCT($H$1861:$H$1908,$Q$1861:$Q$1908)</f>
        <v>0.98900209700948194</v>
      </c>
      <c r="G1909" s="224">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24">
        <f>IF(N(INDEX(lr_mind,35))=0,1,INDEX(lr_mind,35))</f>
        <v>1</v>
      </c>
      <c r="G1912" s="224">
        <f>IF(N(INDEX(lr_m0,35))=0,1,INDEX(lr_m0,35))</f>
        <v>0.99</v>
      </c>
      <c r="H1912" s="74">
        <f>IF(N(INDEX(lr_m0asof,35))=0,DATE(nr_PlanYear-1,10,1),INDEX(lr_m0asof,35))</f>
        <v>46295</v>
      </c>
      <c r="I1912" s="224">
        <f>IF(N(INDEX(lr_m1,35))=0,1,INDEX(lr_m1,35))</f>
        <v>1</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54">EOMONTH($B1915,0)</f>
        <v>45688</v>
      </c>
      <c r="D1915" s="120">
        <f t="shared" ref="D1915:D1962" si="755">$C1915-$B1915+1</f>
        <v>31</v>
      </c>
      <c r="E1915" s="120">
        <f t="shared" ref="E1915:E1962" si="756">MONTH($B1915)</f>
        <v>1</v>
      </c>
      <c r="F1915" s="275">
        <f t="shared" ref="F1915:F1962" si="757">($B1915+$C1915+1)/2</f>
        <v>45673.5</v>
      </c>
      <c r="G1915" s="120">
        <f t="shared" ref="G1915:G1962" si="758">YEAR($B1915)*12+MONTH($B1915)-1</f>
        <v>24300</v>
      </c>
      <c r="H1915" s="245">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46">
        <f t="shared" ref="M1915:M1962" si="764">IF($K1915=0,0,MIN(1,$L1915/$D1915))</f>
        <v>0</v>
      </c>
      <c r="N1915" s="121">
        <f t="shared" ref="N1915:N1962" si="765">IF($K1915=0,$J1915,(1-$M1915)*$I1915+$M1915*$J1915)</f>
        <v>1</v>
      </c>
      <c r="O1915" s="246">
        <f t="shared" ref="O1915:O1962" si="766">IF($F1915&lt;$B$1913,$E$1913+$I$1913*($F1915-$A$1913),IF($F1915&lt;$C$1913,$F$1913+$J$1913*($F1915-$B$1913),$G$1913+$K$1913*($F1915-$C$1913)))</f>
        <v>0.97637855579868715</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87">
        <v>2</v>
      </c>
      <c r="B1916" s="242">
        <f t="shared" ref="B1916:B1962" si="773">EDATE($B1915,1)</f>
        <v>45689</v>
      </c>
      <c r="C1916" s="243">
        <f t="shared" si="754"/>
        <v>45716</v>
      </c>
      <c r="D1916" s="120">
        <f t="shared" si="755"/>
        <v>28</v>
      </c>
      <c r="E1916" s="120">
        <f t="shared" si="756"/>
        <v>2</v>
      </c>
      <c r="F1916" s="275">
        <f t="shared" si="757"/>
        <v>45703</v>
      </c>
      <c r="G1916" s="120">
        <f t="shared" si="758"/>
        <v>24301</v>
      </c>
      <c r="H1916" s="245">
        <f t="shared" si="759"/>
        <v>1</v>
      </c>
      <c r="I1916" s="121">
        <f t="shared" si="760"/>
        <v>1</v>
      </c>
      <c r="J1916" s="121">
        <f t="shared" si="761"/>
        <v>1</v>
      </c>
      <c r="K1916" s="120">
        <f t="shared" si="762"/>
        <v>0</v>
      </c>
      <c r="L1916" s="120">
        <f t="shared" si="763"/>
        <v>0</v>
      </c>
      <c r="M1916" s="246">
        <f t="shared" si="764"/>
        <v>0</v>
      </c>
      <c r="N1916" s="121">
        <f t="shared" si="765"/>
        <v>1</v>
      </c>
      <c r="O1916" s="246">
        <f t="shared" si="766"/>
        <v>0.97702407002188185</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87">
        <v>3</v>
      </c>
      <c r="B1917" s="242">
        <f t="shared" si="773"/>
        <v>45717</v>
      </c>
      <c r="C1917" s="243">
        <f t="shared" si="754"/>
        <v>45747</v>
      </c>
      <c r="D1917" s="120">
        <f t="shared" si="755"/>
        <v>31</v>
      </c>
      <c r="E1917" s="120">
        <f t="shared" si="756"/>
        <v>3</v>
      </c>
      <c r="F1917" s="275">
        <f t="shared" si="757"/>
        <v>45732.5</v>
      </c>
      <c r="G1917" s="120">
        <f t="shared" si="758"/>
        <v>24302</v>
      </c>
      <c r="H1917" s="245">
        <f t="shared" si="759"/>
        <v>1</v>
      </c>
      <c r="I1917" s="121">
        <f t="shared" si="760"/>
        <v>1</v>
      </c>
      <c r="J1917" s="121">
        <f t="shared" si="761"/>
        <v>1</v>
      </c>
      <c r="K1917" s="120">
        <f t="shared" si="762"/>
        <v>0</v>
      </c>
      <c r="L1917" s="120">
        <f t="shared" si="763"/>
        <v>0</v>
      </c>
      <c r="M1917" s="246">
        <f t="shared" si="764"/>
        <v>0</v>
      </c>
      <c r="N1917" s="121">
        <f t="shared" si="765"/>
        <v>1</v>
      </c>
      <c r="O1917" s="246">
        <f t="shared" si="766"/>
        <v>0.97766958424507666</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87">
        <v>4</v>
      </c>
      <c r="B1918" s="242">
        <f t="shared" si="773"/>
        <v>45748</v>
      </c>
      <c r="C1918" s="243">
        <f t="shared" si="754"/>
        <v>45777</v>
      </c>
      <c r="D1918" s="120">
        <f t="shared" si="755"/>
        <v>30</v>
      </c>
      <c r="E1918" s="120">
        <f t="shared" si="756"/>
        <v>4</v>
      </c>
      <c r="F1918" s="275">
        <f t="shared" si="757"/>
        <v>45763</v>
      </c>
      <c r="G1918" s="120">
        <f t="shared" si="758"/>
        <v>24303</v>
      </c>
      <c r="H1918" s="245">
        <f t="shared" si="759"/>
        <v>1</v>
      </c>
      <c r="I1918" s="121">
        <f t="shared" si="760"/>
        <v>1</v>
      </c>
      <c r="J1918" s="121">
        <f t="shared" si="761"/>
        <v>1</v>
      </c>
      <c r="K1918" s="120">
        <f t="shared" si="762"/>
        <v>0</v>
      </c>
      <c r="L1918" s="120">
        <f t="shared" si="763"/>
        <v>0</v>
      </c>
      <c r="M1918" s="246">
        <f t="shared" si="764"/>
        <v>0</v>
      </c>
      <c r="N1918" s="121">
        <f t="shared" si="765"/>
        <v>1</v>
      </c>
      <c r="O1918" s="246">
        <f t="shared" si="766"/>
        <v>0.97833698030634575</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87">
        <v>5</v>
      </c>
      <c r="B1919" s="242">
        <f t="shared" si="773"/>
        <v>45778</v>
      </c>
      <c r="C1919" s="243">
        <f t="shared" si="754"/>
        <v>45808</v>
      </c>
      <c r="D1919" s="120">
        <f t="shared" si="755"/>
        <v>31</v>
      </c>
      <c r="E1919" s="120">
        <f t="shared" si="756"/>
        <v>5</v>
      </c>
      <c r="F1919" s="275">
        <f t="shared" si="757"/>
        <v>45793.5</v>
      </c>
      <c r="G1919" s="120">
        <f t="shared" si="758"/>
        <v>24304</v>
      </c>
      <c r="H1919" s="245">
        <f t="shared" si="759"/>
        <v>1</v>
      </c>
      <c r="I1919" s="121">
        <f t="shared" si="760"/>
        <v>1</v>
      </c>
      <c r="J1919" s="121">
        <f t="shared" si="761"/>
        <v>1</v>
      </c>
      <c r="K1919" s="120">
        <f t="shared" si="762"/>
        <v>0</v>
      </c>
      <c r="L1919" s="120">
        <f t="shared" si="763"/>
        <v>0</v>
      </c>
      <c r="M1919" s="246">
        <f t="shared" si="764"/>
        <v>0</v>
      </c>
      <c r="N1919" s="121">
        <f t="shared" si="765"/>
        <v>1</v>
      </c>
      <c r="O1919" s="246">
        <f t="shared" si="766"/>
        <v>0.97900437636761495</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87">
        <v>6</v>
      </c>
      <c r="B1920" s="242">
        <f t="shared" si="773"/>
        <v>45809</v>
      </c>
      <c r="C1920" s="243">
        <f t="shared" si="754"/>
        <v>45838</v>
      </c>
      <c r="D1920" s="120">
        <f t="shared" si="755"/>
        <v>30</v>
      </c>
      <c r="E1920" s="120">
        <f t="shared" si="756"/>
        <v>6</v>
      </c>
      <c r="F1920" s="275">
        <f t="shared" si="757"/>
        <v>45824</v>
      </c>
      <c r="G1920" s="120">
        <f t="shared" si="758"/>
        <v>24305</v>
      </c>
      <c r="H1920" s="245">
        <f t="shared" si="759"/>
        <v>1</v>
      </c>
      <c r="I1920" s="121">
        <f t="shared" si="760"/>
        <v>1</v>
      </c>
      <c r="J1920" s="121">
        <f t="shared" si="761"/>
        <v>1</v>
      </c>
      <c r="K1920" s="120">
        <f t="shared" si="762"/>
        <v>0</v>
      </c>
      <c r="L1920" s="120">
        <f t="shared" si="763"/>
        <v>0</v>
      </c>
      <c r="M1920" s="246">
        <f t="shared" si="764"/>
        <v>0</v>
      </c>
      <c r="N1920" s="121">
        <f t="shared" si="765"/>
        <v>1</v>
      </c>
      <c r="O1920" s="246">
        <f t="shared" si="766"/>
        <v>0.97967177242888404</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87">
        <v>7</v>
      </c>
      <c r="B1921" s="242">
        <f t="shared" si="773"/>
        <v>45839</v>
      </c>
      <c r="C1921" s="243">
        <f t="shared" si="754"/>
        <v>45869</v>
      </c>
      <c r="D1921" s="120">
        <f t="shared" si="755"/>
        <v>31</v>
      </c>
      <c r="E1921" s="120">
        <f t="shared" si="756"/>
        <v>7</v>
      </c>
      <c r="F1921" s="275">
        <f t="shared" si="757"/>
        <v>45854.5</v>
      </c>
      <c r="G1921" s="120">
        <f t="shared" si="758"/>
        <v>24306</v>
      </c>
      <c r="H1921" s="245">
        <f t="shared" si="759"/>
        <v>1</v>
      </c>
      <c r="I1921" s="121">
        <f t="shared" si="760"/>
        <v>1</v>
      </c>
      <c r="J1921" s="121">
        <f t="shared" si="761"/>
        <v>1</v>
      </c>
      <c r="K1921" s="120">
        <f t="shared" si="762"/>
        <v>0</v>
      </c>
      <c r="L1921" s="120">
        <f t="shared" si="763"/>
        <v>0</v>
      </c>
      <c r="M1921" s="246">
        <f t="shared" si="764"/>
        <v>0</v>
      </c>
      <c r="N1921" s="121">
        <f t="shared" si="765"/>
        <v>1</v>
      </c>
      <c r="O1921" s="246">
        <f t="shared" si="766"/>
        <v>0.98033916849015323</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87">
        <v>8</v>
      </c>
      <c r="B1922" s="242">
        <f t="shared" si="773"/>
        <v>45870</v>
      </c>
      <c r="C1922" s="243">
        <f t="shared" si="754"/>
        <v>45900</v>
      </c>
      <c r="D1922" s="120">
        <f t="shared" si="755"/>
        <v>31</v>
      </c>
      <c r="E1922" s="120">
        <f t="shared" si="756"/>
        <v>8</v>
      </c>
      <c r="F1922" s="275">
        <f t="shared" si="757"/>
        <v>45885.5</v>
      </c>
      <c r="G1922" s="120">
        <f t="shared" si="758"/>
        <v>24307</v>
      </c>
      <c r="H1922" s="245">
        <f t="shared" si="759"/>
        <v>1</v>
      </c>
      <c r="I1922" s="121">
        <f t="shared" si="760"/>
        <v>1</v>
      </c>
      <c r="J1922" s="121">
        <f t="shared" si="761"/>
        <v>1</v>
      </c>
      <c r="K1922" s="120">
        <f t="shared" si="762"/>
        <v>0</v>
      </c>
      <c r="L1922" s="120">
        <f t="shared" si="763"/>
        <v>0</v>
      </c>
      <c r="M1922" s="246">
        <f t="shared" si="764"/>
        <v>0</v>
      </c>
      <c r="N1922" s="121">
        <f t="shared" si="765"/>
        <v>1</v>
      </c>
      <c r="O1922" s="246">
        <f t="shared" si="766"/>
        <v>0.98101750547045952</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87">
        <v>9</v>
      </c>
      <c r="B1923" s="242">
        <f t="shared" si="773"/>
        <v>45901</v>
      </c>
      <c r="C1923" s="243">
        <f t="shared" si="754"/>
        <v>45930</v>
      </c>
      <c r="D1923" s="120">
        <f t="shared" si="755"/>
        <v>30</v>
      </c>
      <c r="E1923" s="120">
        <f t="shared" si="756"/>
        <v>9</v>
      </c>
      <c r="F1923" s="275">
        <f t="shared" si="757"/>
        <v>45916</v>
      </c>
      <c r="G1923" s="120">
        <f t="shared" si="758"/>
        <v>24308</v>
      </c>
      <c r="H1923" s="245">
        <f t="shared" si="759"/>
        <v>1</v>
      </c>
      <c r="I1923" s="121">
        <f t="shared" si="760"/>
        <v>1</v>
      </c>
      <c r="J1923" s="121">
        <f t="shared" si="761"/>
        <v>1</v>
      </c>
      <c r="K1923" s="120">
        <f t="shared" si="762"/>
        <v>0</v>
      </c>
      <c r="L1923" s="120">
        <f t="shared" si="763"/>
        <v>0</v>
      </c>
      <c r="M1923" s="246">
        <f t="shared" si="764"/>
        <v>0</v>
      </c>
      <c r="N1923" s="121">
        <f t="shared" si="765"/>
        <v>1</v>
      </c>
      <c r="O1923" s="246">
        <f t="shared" si="766"/>
        <v>0.98168490153172872</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87">
        <v>10</v>
      </c>
      <c r="B1924" s="242">
        <f t="shared" si="773"/>
        <v>45931</v>
      </c>
      <c r="C1924" s="243">
        <f t="shared" si="754"/>
        <v>45961</v>
      </c>
      <c r="D1924" s="120">
        <f t="shared" si="755"/>
        <v>31</v>
      </c>
      <c r="E1924" s="120">
        <f t="shared" si="756"/>
        <v>10</v>
      </c>
      <c r="F1924" s="275">
        <f t="shared" si="757"/>
        <v>45946.5</v>
      </c>
      <c r="G1924" s="120">
        <f t="shared" si="758"/>
        <v>24309</v>
      </c>
      <c r="H1924" s="245">
        <f t="shared" si="759"/>
        <v>1</v>
      </c>
      <c r="I1924" s="121">
        <f t="shared" si="760"/>
        <v>1</v>
      </c>
      <c r="J1924" s="121">
        <f t="shared" si="761"/>
        <v>1</v>
      </c>
      <c r="K1924" s="120">
        <f t="shared" si="762"/>
        <v>0</v>
      </c>
      <c r="L1924" s="120">
        <f t="shared" si="763"/>
        <v>0</v>
      </c>
      <c r="M1924" s="246">
        <f t="shared" si="764"/>
        <v>0</v>
      </c>
      <c r="N1924" s="121">
        <f t="shared" si="765"/>
        <v>1</v>
      </c>
      <c r="O1924" s="246">
        <f t="shared" si="766"/>
        <v>0.9823522975929978</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87">
        <v>11</v>
      </c>
      <c r="B1925" s="242">
        <f t="shared" si="773"/>
        <v>45962</v>
      </c>
      <c r="C1925" s="243">
        <f t="shared" si="754"/>
        <v>45991</v>
      </c>
      <c r="D1925" s="120">
        <f t="shared" si="755"/>
        <v>30</v>
      </c>
      <c r="E1925" s="120">
        <f t="shared" si="756"/>
        <v>11</v>
      </c>
      <c r="F1925" s="275">
        <f t="shared" si="757"/>
        <v>45977</v>
      </c>
      <c r="G1925" s="120">
        <f t="shared" si="758"/>
        <v>24310</v>
      </c>
      <c r="H1925" s="245">
        <f t="shared" si="759"/>
        <v>1</v>
      </c>
      <c r="I1925" s="121">
        <f t="shared" si="760"/>
        <v>1</v>
      </c>
      <c r="J1925" s="121">
        <f t="shared" si="761"/>
        <v>1</v>
      </c>
      <c r="K1925" s="120">
        <f t="shared" si="762"/>
        <v>0</v>
      </c>
      <c r="L1925" s="120">
        <f t="shared" si="763"/>
        <v>0</v>
      </c>
      <c r="M1925" s="246">
        <f t="shared" si="764"/>
        <v>0</v>
      </c>
      <c r="N1925" s="121">
        <f t="shared" si="765"/>
        <v>1</v>
      </c>
      <c r="O1925" s="246">
        <f t="shared" si="766"/>
        <v>0.983019693654267</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87">
        <v>12</v>
      </c>
      <c r="B1926" s="242">
        <f t="shared" si="773"/>
        <v>45992</v>
      </c>
      <c r="C1926" s="243">
        <f t="shared" si="754"/>
        <v>46022</v>
      </c>
      <c r="D1926" s="120">
        <f t="shared" si="755"/>
        <v>31</v>
      </c>
      <c r="E1926" s="120">
        <f t="shared" si="756"/>
        <v>12</v>
      </c>
      <c r="F1926" s="275">
        <f t="shared" si="757"/>
        <v>46007.5</v>
      </c>
      <c r="G1926" s="120">
        <f t="shared" si="758"/>
        <v>24311</v>
      </c>
      <c r="H1926" s="245">
        <f t="shared" si="759"/>
        <v>1</v>
      </c>
      <c r="I1926" s="121">
        <f t="shared" si="760"/>
        <v>1</v>
      </c>
      <c r="J1926" s="121">
        <f t="shared" si="761"/>
        <v>1</v>
      </c>
      <c r="K1926" s="120">
        <f t="shared" si="762"/>
        <v>0</v>
      </c>
      <c r="L1926" s="120">
        <f t="shared" si="763"/>
        <v>0</v>
      </c>
      <c r="M1926" s="246">
        <f t="shared" si="764"/>
        <v>0</v>
      </c>
      <c r="N1926" s="121">
        <f t="shared" si="765"/>
        <v>1</v>
      </c>
      <c r="O1926" s="246">
        <f t="shared" si="766"/>
        <v>0.98368708971553609</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87">
        <v>13</v>
      </c>
      <c r="B1927" s="242">
        <f t="shared" si="773"/>
        <v>46023</v>
      </c>
      <c r="C1927" s="243">
        <f t="shared" si="754"/>
        <v>46053</v>
      </c>
      <c r="D1927" s="120">
        <f t="shared" si="755"/>
        <v>31</v>
      </c>
      <c r="E1927" s="120">
        <f t="shared" si="756"/>
        <v>1</v>
      </c>
      <c r="F1927" s="275">
        <f t="shared" si="757"/>
        <v>46038.5</v>
      </c>
      <c r="G1927" s="120">
        <f t="shared" si="758"/>
        <v>24312</v>
      </c>
      <c r="H1927" s="245">
        <f t="shared" si="759"/>
        <v>1</v>
      </c>
      <c r="I1927" s="121">
        <f t="shared" si="760"/>
        <v>1</v>
      </c>
      <c r="J1927" s="121">
        <f t="shared" si="761"/>
        <v>1</v>
      </c>
      <c r="K1927" s="120">
        <f t="shared" si="762"/>
        <v>0</v>
      </c>
      <c r="L1927" s="120">
        <f t="shared" si="763"/>
        <v>0</v>
      </c>
      <c r="M1927" s="246">
        <f t="shared" si="764"/>
        <v>0</v>
      </c>
      <c r="N1927" s="121">
        <f t="shared" si="765"/>
        <v>1</v>
      </c>
      <c r="O1927" s="246">
        <f t="shared" si="766"/>
        <v>0.98436542669584248</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87">
        <v>14</v>
      </c>
      <c r="B1928" s="242">
        <f t="shared" si="773"/>
        <v>46054</v>
      </c>
      <c r="C1928" s="243">
        <f t="shared" si="754"/>
        <v>46081</v>
      </c>
      <c r="D1928" s="120">
        <f t="shared" si="755"/>
        <v>28</v>
      </c>
      <c r="E1928" s="120">
        <f t="shared" si="756"/>
        <v>2</v>
      </c>
      <c r="F1928" s="275">
        <f t="shared" si="757"/>
        <v>46068</v>
      </c>
      <c r="G1928" s="120">
        <f t="shared" si="758"/>
        <v>24313</v>
      </c>
      <c r="H1928" s="245">
        <f t="shared" si="759"/>
        <v>1</v>
      </c>
      <c r="I1928" s="121">
        <f t="shared" si="760"/>
        <v>1</v>
      </c>
      <c r="J1928" s="121">
        <f t="shared" si="761"/>
        <v>1</v>
      </c>
      <c r="K1928" s="120">
        <f t="shared" si="762"/>
        <v>0</v>
      </c>
      <c r="L1928" s="120">
        <f t="shared" si="763"/>
        <v>0</v>
      </c>
      <c r="M1928" s="246">
        <f t="shared" si="764"/>
        <v>0</v>
      </c>
      <c r="N1928" s="121">
        <f t="shared" si="765"/>
        <v>1</v>
      </c>
      <c r="O1928" s="246">
        <f t="shared" si="766"/>
        <v>0.98501094091903718</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87">
        <v>15</v>
      </c>
      <c r="B1929" s="242">
        <f t="shared" si="773"/>
        <v>46082</v>
      </c>
      <c r="C1929" s="243">
        <f t="shared" si="754"/>
        <v>46112</v>
      </c>
      <c r="D1929" s="120">
        <f t="shared" si="755"/>
        <v>31</v>
      </c>
      <c r="E1929" s="120">
        <f t="shared" si="756"/>
        <v>3</v>
      </c>
      <c r="F1929" s="275">
        <f t="shared" si="757"/>
        <v>46097.5</v>
      </c>
      <c r="G1929" s="120">
        <f t="shared" si="758"/>
        <v>24314</v>
      </c>
      <c r="H1929" s="245">
        <f t="shared" si="759"/>
        <v>1</v>
      </c>
      <c r="I1929" s="121">
        <f t="shared" si="760"/>
        <v>1</v>
      </c>
      <c r="J1929" s="121">
        <f t="shared" si="761"/>
        <v>1</v>
      </c>
      <c r="K1929" s="120">
        <f t="shared" si="762"/>
        <v>0</v>
      </c>
      <c r="L1929" s="120">
        <f t="shared" si="763"/>
        <v>0</v>
      </c>
      <c r="M1929" s="246">
        <f t="shared" si="764"/>
        <v>0</v>
      </c>
      <c r="N1929" s="121">
        <f t="shared" si="765"/>
        <v>1</v>
      </c>
      <c r="O1929" s="246">
        <f t="shared" si="766"/>
        <v>0.98565645514223199</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87">
        <v>16</v>
      </c>
      <c r="B1930" s="242">
        <f t="shared" si="773"/>
        <v>46113</v>
      </c>
      <c r="C1930" s="243">
        <f t="shared" si="754"/>
        <v>46142</v>
      </c>
      <c r="D1930" s="120">
        <f t="shared" si="755"/>
        <v>30</v>
      </c>
      <c r="E1930" s="120">
        <f t="shared" si="756"/>
        <v>4</v>
      </c>
      <c r="F1930" s="275">
        <f t="shared" si="757"/>
        <v>46128</v>
      </c>
      <c r="G1930" s="120">
        <f t="shared" si="758"/>
        <v>24315</v>
      </c>
      <c r="H1930" s="245">
        <f t="shared" si="759"/>
        <v>1</v>
      </c>
      <c r="I1930" s="121">
        <f t="shared" si="760"/>
        <v>1</v>
      </c>
      <c r="J1930" s="121">
        <f t="shared" si="761"/>
        <v>1</v>
      </c>
      <c r="K1930" s="120">
        <f t="shared" si="762"/>
        <v>0</v>
      </c>
      <c r="L1930" s="120">
        <f t="shared" si="763"/>
        <v>0</v>
      </c>
      <c r="M1930" s="246">
        <f t="shared" si="764"/>
        <v>0</v>
      </c>
      <c r="N1930" s="121">
        <f t="shared" si="765"/>
        <v>1</v>
      </c>
      <c r="O1930" s="246">
        <f t="shared" si="766"/>
        <v>0.98632385120350108</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87">
        <v>17</v>
      </c>
      <c r="B1931" s="242">
        <f t="shared" si="773"/>
        <v>46143</v>
      </c>
      <c r="C1931" s="243">
        <f t="shared" si="754"/>
        <v>46173</v>
      </c>
      <c r="D1931" s="120">
        <f t="shared" si="755"/>
        <v>31</v>
      </c>
      <c r="E1931" s="120">
        <f t="shared" si="756"/>
        <v>5</v>
      </c>
      <c r="F1931" s="275">
        <f t="shared" si="757"/>
        <v>46158.5</v>
      </c>
      <c r="G1931" s="120">
        <f t="shared" si="758"/>
        <v>24316</v>
      </c>
      <c r="H1931" s="245">
        <f t="shared" si="759"/>
        <v>1</v>
      </c>
      <c r="I1931" s="121">
        <f t="shared" si="760"/>
        <v>1</v>
      </c>
      <c r="J1931" s="121">
        <f t="shared" si="761"/>
        <v>1</v>
      </c>
      <c r="K1931" s="120">
        <f t="shared" si="762"/>
        <v>0</v>
      </c>
      <c r="L1931" s="120">
        <f t="shared" si="763"/>
        <v>0</v>
      </c>
      <c r="M1931" s="246">
        <f t="shared" si="764"/>
        <v>0</v>
      </c>
      <c r="N1931" s="121">
        <f t="shared" si="765"/>
        <v>1</v>
      </c>
      <c r="O1931" s="246">
        <f t="shared" si="766"/>
        <v>0.98699124726477028</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87">
        <v>18</v>
      </c>
      <c r="B1932" s="242">
        <f t="shared" si="773"/>
        <v>46174</v>
      </c>
      <c r="C1932" s="243">
        <f t="shared" si="754"/>
        <v>46203</v>
      </c>
      <c r="D1932" s="120">
        <f t="shared" si="755"/>
        <v>30</v>
      </c>
      <c r="E1932" s="120">
        <f t="shared" si="756"/>
        <v>6</v>
      </c>
      <c r="F1932" s="275">
        <f t="shared" si="757"/>
        <v>46189</v>
      </c>
      <c r="G1932" s="120">
        <f t="shared" si="758"/>
        <v>24317</v>
      </c>
      <c r="H1932" s="245">
        <f t="shared" si="759"/>
        <v>1</v>
      </c>
      <c r="I1932" s="121">
        <f t="shared" si="760"/>
        <v>1</v>
      </c>
      <c r="J1932" s="121">
        <f t="shared" si="761"/>
        <v>1</v>
      </c>
      <c r="K1932" s="120">
        <f t="shared" si="762"/>
        <v>0</v>
      </c>
      <c r="L1932" s="120">
        <f t="shared" si="763"/>
        <v>0</v>
      </c>
      <c r="M1932" s="246">
        <f t="shared" si="764"/>
        <v>0</v>
      </c>
      <c r="N1932" s="121">
        <f t="shared" si="765"/>
        <v>1</v>
      </c>
      <c r="O1932" s="246">
        <f t="shared" si="766"/>
        <v>0.98765864332603936</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87">
        <v>19</v>
      </c>
      <c r="B1933" s="242">
        <f t="shared" si="773"/>
        <v>46204</v>
      </c>
      <c r="C1933" s="243">
        <f t="shared" si="754"/>
        <v>46234</v>
      </c>
      <c r="D1933" s="120">
        <f t="shared" si="755"/>
        <v>31</v>
      </c>
      <c r="E1933" s="120">
        <f t="shared" si="756"/>
        <v>7</v>
      </c>
      <c r="F1933" s="275">
        <f t="shared" si="757"/>
        <v>46219.5</v>
      </c>
      <c r="G1933" s="120">
        <f t="shared" si="758"/>
        <v>24318</v>
      </c>
      <c r="H1933" s="245">
        <f t="shared" si="759"/>
        <v>1</v>
      </c>
      <c r="I1933" s="121">
        <f t="shared" si="760"/>
        <v>1</v>
      </c>
      <c r="J1933" s="121">
        <f t="shared" si="761"/>
        <v>1</v>
      </c>
      <c r="K1933" s="120">
        <f t="shared" si="762"/>
        <v>0</v>
      </c>
      <c r="L1933" s="120">
        <f t="shared" si="763"/>
        <v>0</v>
      </c>
      <c r="M1933" s="246">
        <f t="shared" si="764"/>
        <v>0</v>
      </c>
      <c r="N1933" s="121">
        <f t="shared" si="765"/>
        <v>1</v>
      </c>
      <c r="O1933" s="246">
        <f t="shared" si="766"/>
        <v>0.98832603938730856</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87">
        <v>20</v>
      </c>
      <c r="B1934" s="242">
        <f t="shared" si="773"/>
        <v>46235</v>
      </c>
      <c r="C1934" s="243">
        <f t="shared" si="754"/>
        <v>46265</v>
      </c>
      <c r="D1934" s="120">
        <f t="shared" si="755"/>
        <v>31</v>
      </c>
      <c r="E1934" s="120">
        <f t="shared" si="756"/>
        <v>8</v>
      </c>
      <c r="F1934" s="275">
        <f t="shared" si="757"/>
        <v>46250.5</v>
      </c>
      <c r="G1934" s="120">
        <f t="shared" si="758"/>
        <v>24319</v>
      </c>
      <c r="H1934" s="245">
        <f t="shared" si="759"/>
        <v>1</v>
      </c>
      <c r="I1934" s="121">
        <f t="shared" si="760"/>
        <v>1</v>
      </c>
      <c r="J1934" s="121">
        <f t="shared" si="761"/>
        <v>1</v>
      </c>
      <c r="K1934" s="120">
        <f t="shared" si="762"/>
        <v>0</v>
      </c>
      <c r="L1934" s="120">
        <f t="shared" si="763"/>
        <v>0</v>
      </c>
      <c r="M1934" s="246">
        <f t="shared" si="764"/>
        <v>0</v>
      </c>
      <c r="N1934" s="121">
        <f t="shared" si="765"/>
        <v>1</v>
      </c>
      <c r="O1934" s="246">
        <f t="shared" si="766"/>
        <v>0.98900437636761485</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87">
        <v>21</v>
      </c>
      <c r="B1935" s="242">
        <f t="shared" si="773"/>
        <v>46266</v>
      </c>
      <c r="C1935" s="243">
        <f t="shared" si="754"/>
        <v>46295</v>
      </c>
      <c r="D1935" s="120">
        <f t="shared" si="755"/>
        <v>30</v>
      </c>
      <c r="E1935" s="120">
        <f t="shared" si="756"/>
        <v>9</v>
      </c>
      <c r="F1935" s="275">
        <f t="shared" si="757"/>
        <v>46281</v>
      </c>
      <c r="G1935" s="120">
        <f t="shared" si="758"/>
        <v>24320</v>
      </c>
      <c r="H1935" s="245">
        <f t="shared" si="759"/>
        <v>1</v>
      </c>
      <c r="I1935" s="121">
        <f t="shared" si="760"/>
        <v>1</v>
      </c>
      <c r="J1935" s="121">
        <f t="shared" si="761"/>
        <v>1</v>
      </c>
      <c r="K1935" s="120">
        <f t="shared" si="762"/>
        <v>0</v>
      </c>
      <c r="L1935" s="120">
        <f t="shared" si="763"/>
        <v>0</v>
      </c>
      <c r="M1935" s="246">
        <f t="shared" si="764"/>
        <v>0</v>
      </c>
      <c r="N1935" s="121">
        <f t="shared" si="765"/>
        <v>1</v>
      </c>
      <c r="O1935" s="246">
        <f t="shared" si="766"/>
        <v>0.98967177242888404</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87">
        <v>22</v>
      </c>
      <c r="B1936" s="242">
        <f t="shared" si="773"/>
        <v>46296</v>
      </c>
      <c r="C1936" s="243">
        <f t="shared" si="754"/>
        <v>46326</v>
      </c>
      <c r="D1936" s="120">
        <f t="shared" si="755"/>
        <v>31</v>
      </c>
      <c r="E1936" s="120">
        <f t="shared" si="756"/>
        <v>10</v>
      </c>
      <c r="F1936" s="275">
        <f t="shared" si="757"/>
        <v>46311.5</v>
      </c>
      <c r="G1936" s="120">
        <f t="shared" si="758"/>
        <v>24321</v>
      </c>
      <c r="H1936" s="245">
        <f t="shared" si="759"/>
        <v>1</v>
      </c>
      <c r="I1936" s="121">
        <f t="shared" si="760"/>
        <v>1</v>
      </c>
      <c r="J1936" s="121">
        <f t="shared" si="761"/>
        <v>1</v>
      </c>
      <c r="K1936" s="120">
        <f t="shared" si="762"/>
        <v>0</v>
      </c>
      <c r="L1936" s="120">
        <f t="shared" si="763"/>
        <v>0</v>
      </c>
      <c r="M1936" s="246">
        <f t="shared" si="764"/>
        <v>0</v>
      </c>
      <c r="N1936" s="121">
        <f t="shared" si="765"/>
        <v>1</v>
      </c>
      <c r="O1936" s="246">
        <f t="shared" si="766"/>
        <v>0.99033916849015313</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87">
        <v>23</v>
      </c>
      <c r="B1937" s="242">
        <f t="shared" si="773"/>
        <v>46327</v>
      </c>
      <c r="C1937" s="243">
        <f t="shared" si="754"/>
        <v>46356</v>
      </c>
      <c r="D1937" s="120">
        <f t="shared" si="755"/>
        <v>30</v>
      </c>
      <c r="E1937" s="120">
        <f t="shared" si="756"/>
        <v>11</v>
      </c>
      <c r="F1937" s="275">
        <f t="shared" si="757"/>
        <v>46342</v>
      </c>
      <c r="G1937" s="120">
        <f t="shared" si="758"/>
        <v>24322</v>
      </c>
      <c r="H1937" s="245">
        <f t="shared" si="759"/>
        <v>1</v>
      </c>
      <c r="I1937" s="121">
        <f t="shared" si="760"/>
        <v>1</v>
      </c>
      <c r="J1937" s="121">
        <f t="shared" si="761"/>
        <v>1.06</v>
      </c>
      <c r="K1937" s="120">
        <f t="shared" si="762"/>
        <v>1</v>
      </c>
      <c r="L1937" s="120">
        <f t="shared" si="763"/>
        <v>30</v>
      </c>
      <c r="M1937" s="246">
        <f t="shared" si="764"/>
        <v>1</v>
      </c>
      <c r="N1937" s="121">
        <f t="shared" si="765"/>
        <v>1.06</v>
      </c>
      <c r="O1937" s="246">
        <f t="shared" si="766"/>
        <v>0.99100656455142233</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87">
        <v>24</v>
      </c>
      <c r="B1938" s="242">
        <f t="shared" si="773"/>
        <v>46357</v>
      </c>
      <c r="C1938" s="243">
        <f t="shared" si="754"/>
        <v>46387</v>
      </c>
      <c r="D1938" s="120">
        <f t="shared" si="755"/>
        <v>31</v>
      </c>
      <c r="E1938" s="120">
        <f t="shared" si="756"/>
        <v>12</v>
      </c>
      <c r="F1938" s="275">
        <f t="shared" si="757"/>
        <v>46372.5</v>
      </c>
      <c r="G1938" s="120">
        <f t="shared" si="758"/>
        <v>24323</v>
      </c>
      <c r="H1938" s="245">
        <f t="shared" si="759"/>
        <v>1</v>
      </c>
      <c r="I1938" s="121">
        <f t="shared" si="760"/>
        <v>1.06</v>
      </c>
      <c r="J1938" s="121">
        <f t="shared" si="761"/>
        <v>1.06</v>
      </c>
      <c r="K1938" s="120">
        <f t="shared" si="762"/>
        <v>0</v>
      </c>
      <c r="L1938" s="120">
        <f t="shared" si="763"/>
        <v>0</v>
      </c>
      <c r="M1938" s="246">
        <f t="shared" si="764"/>
        <v>0</v>
      </c>
      <c r="N1938" s="121">
        <f t="shared" si="765"/>
        <v>1.06</v>
      </c>
      <c r="O1938" s="246">
        <f t="shared" si="766"/>
        <v>0.99167396061269142</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87">
        <v>25</v>
      </c>
      <c r="B1939" s="242">
        <f t="shared" si="773"/>
        <v>46388</v>
      </c>
      <c r="C1939" s="243">
        <f t="shared" si="754"/>
        <v>46418</v>
      </c>
      <c r="D1939" s="120">
        <f t="shared" si="755"/>
        <v>31</v>
      </c>
      <c r="E1939" s="120">
        <f t="shared" si="756"/>
        <v>1</v>
      </c>
      <c r="F1939" s="275">
        <f t="shared" si="757"/>
        <v>46403.5</v>
      </c>
      <c r="G1939" s="120">
        <f t="shared" si="758"/>
        <v>24324</v>
      </c>
      <c r="H1939" s="245">
        <f t="shared" si="759"/>
        <v>1</v>
      </c>
      <c r="I1939" s="121">
        <f t="shared" si="760"/>
        <v>1.06</v>
      </c>
      <c r="J1939" s="121">
        <f t="shared" si="761"/>
        <v>1.06</v>
      </c>
      <c r="K1939" s="120">
        <f t="shared" si="762"/>
        <v>0</v>
      </c>
      <c r="L1939" s="120">
        <f t="shared" si="763"/>
        <v>0</v>
      </c>
      <c r="M1939" s="246">
        <f t="shared" si="764"/>
        <v>0</v>
      </c>
      <c r="N1939" s="121">
        <f t="shared" si="765"/>
        <v>1.06</v>
      </c>
      <c r="O1939" s="246">
        <f t="shared" si="766"/>
        <v>0.99235229759299781</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87">
        <v>26</v>
      </c>
      <c r="B1940" s="242">
        <f t="shared" si="773"/>
        <v>46419</v>
      </c>
      <c r="C1940" s="243">
        <f t="shared" si="754"/>
        <v>46446</v>
      </c>
      <c r="D1940" s="120">
        <f t="shared" si="755"/>
        <v>28</v>
      </c>
      <c r="E1940" s="120">
        <f t="shared" si="756"/>
        <v>2</v>
      </c>
      <c r="F1940" s="275">
        <f t="shared" si="757"/>
        <v>46433</v>
      </c>
      <c r="G1940" s="120">
        <f t="shared" si="758"/>
        <v>24325</v>
      </c>
      <c r="H1940" s="245">
        <f t="shared" si="759"/>
        <v>1</v>
      </c>
      <c r="I1940" s="121">
        <f t="shared" si="760"/>
        <v>1.06</v>
      </c>
      <c r="J1940" s="121">
        <f t="shared" si="761"/>
        <v>1.06</v>
      </c>
      <c r="K1940" s="120">
        <f t="shared" si="762"/>
        <v>0</v>
      </c>
      <c r="L1940" s="120">
        <f t="shared" si="763"/>
        <v>0</v>
      </c>
      <c r="M1940" s="246">
        <f t="shared" si="764"/>
        <v>0</v>
      </c>
      <c r="N1940" s="121">
        <f t="shared" si="765"/>
        <v>1.06</v>
      </c>
      <c r="O1940" s="246">
        <f t="shared" si="766"/>
        <v>0.99299781181619251</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87">
        <v>27</v>
      </c>
      <c r="B1941" s="242">
        <f t="shared" si="773"/>
        <v>46447</v>
      </c>
      <c r="C1941" s="243">
        <f t="shared" si="754"/>
        <v>46477</v>
      </c>
      <c r="D1941" s="120">
        <f t="shared" si="755"/>
        <v>31</v>
      </c>
      <c r="E1941" s="120">
        <f t="shared" si="756"/>
        <v>3</v>
      </c>
      <c r="F1941" s="275">
        <f t="shared" si="757"/>
        <v>46462.5</v>
      </c>
      <c r="G1941" s="120">
        <f t="shared" si="758"/>
        <v>24326</v>
      </c>
      <c r="H1941" s="245">
        <f t="shared" si="759"/>
        <v>1</v>
      </c>
      <c r="I1941" s="121">
        <f t="shared" si="760"/>
        <v>1.06</v>
      </c>
      <c r="J1941" s="121">
        <f t="shared" si="761"/>
        <v>1.06</v>
      </c>
      <c r="K1941" s="120">
        <f t="shared" si="762"/>
        <v>0</v>
      </c>
      <c r="L1941" s="120">
        <f t="shared" si="763"/>
        <v>0</v>
      </c>
      <c r="M1941" s="246">
        <f t="shared" si="764"/>
        <v>0</v>
      </c>
      <c r="N1941" s="121">
        <f t="shared" si="765"/>
        <v>1.06</v>
      </c>
      <c r="O1941" s="246">
        <f t="shared" si="766"/>
        <v>0.99364332603938732</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87">
        <v>28</v>
      </c>
      <c r="B1942" s="242">
        <f t="shared" si="773"/>
        <v>46478</v>
      </c>
      <c r="C1942" s="243">
        <f t="shared" si="754"/>
        <v>46507</v>
      </c>
      <c r="D1942" s="120">
        <f t="shared" si="755"/>
        <v>30</v>
      </c>
      <c r="E1942" s="120">
        <f t="shared" si="756"/>
        <v>4</v>
      </c>
      <c r="F1942" s="275">
        <f t="shared" si="757"/>
        <v>46493</v>
      </c>
      <c r="G1942" s="120">
        <f t="shared" si="758"/>
        <v>24327</v>
      </c>
      <c r="H1942" s="245">
        <f t="shared" si="759"/>
        <v>1</v>
      </c>
      <c r="I1942" s="121">
        <f t="shared" si="760"/>
        <v>1.06</v>
      </c>
      <c r="J1942" s="121">
        <f t="shared" si="761"/>
        <v>1.06</v>
      </c>
      <c r="K1942" s="120">
        <f t="shared" si="762"/>
        <v>0</v>
      </c>
      <c r="L1942" s="120">
        <f t="shared" si="763"/>
        <v>0</v>
      </c>
      <c r="M1942" s="246">
        <f t="shared" si="764"/>
        <v>0</v>
      </c>
      <c r="N1942" s="121">
        <f t="shared" si="765"/>
        <v>1.06</v>
      </c>
      <c r="O1942" s="246">
        <f t="shared" si="766"/>
        <v>0.99431072210065641</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87">
        <v>29</v>
      </c>
      <c r="B1943" s="242">
        <f t="shared" si="773"/>
        <v>46508</v>
      </c>
      <c r="C1943" s="243">
        <f t="shared" si="754"/>
        <v>46538</v>
      </c>
      <c r="D1943" s="120">
        <f t="shared" si="755"/>
        <v>31</v>
      </c>
      <c r="E1943" s="120">
        <f t="shared" si="756"/>
        <v>5</v>
      </c>
      <c r="F1943" s="275">
        <f t="shared" si="757"/>
        <v>46523.5</v>
      </c>
      <c r="G1943" s="120">
        <f t="shared" si="758"/>
        <v>24328</v>
      </c>
      <c r="H1943" s="245">
        <f t="shared" si="759"/>
        <v>1</v>
      </c>
      <c r="I1943" s="121">
        <f t="shared" si="760"/>
        <v>1.06</v>
      </c>
      <c r="J1943" s="121">
        <f t="shared" si="761"/>
        <v>1.06</v>
      </c>
      <c r="K1943" s="120">
        <f t="shared" si="762"/>
        <v>0</v>
      </c>
      <c r="L1943" s="120">
        <f t="shared" si="763"/>
        <v>0</v>
      </c>
      <c r="M1943" s="246">
        <f t="shared" si="764"/>
        <v>0</v>
      </c>
      <c r="N1943" s="121">
        <f t="shared" si="765"/>
        <v>1.06</v>
      </c>
      <c r="O1943" s="246">
        <f t="shared" si="766"/>
        <v>0.99497811816192561</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87">
        <v>30</v>
      </c>
      <c r="B1944" s="242">
        <f t="shared" si="773"/>
        <v>46539</v>
      </c>
      <c r="C1944" s="243">
        <f t="shared" si="754"/>
        <v>46568</v>
      </c>
      <c r="D1944" s="120">
        <f t="shared" si="755"/>
        <v>30</v>
      </c>
      <c r="E1944" s="120">
        <f t="shared" si="756"/>
        <v>6</v>
      </c>
      <c r="F1944" s="275">
        <f t="shared" si="757"/>
        <v>46554</v>
      </c>
      <c r="G1944" s="120">
        <f t="shared" si="758"/>
        <v>24329</v>
      </c>
      <c r="H1944" s="245">
        <f t="shared" si="759"/>
        <v>1</v>
      </c>
      <c r="I1944" s="121">
        <f t="shared" si="760"/>
        <v>1.06</v>
      </c>
      <c r="J1944" s="121">
        <f t="shared" si="761"/>
        <v>1.06</v>
      </c>
      <c r="K1944" s="120">
        <f t="shared" si="762"/>
        <v>0</v>
      </c>
      <c r="L1944" s="120">
        <f t="shared" si="763"/>
        <v>0</v>
      </c>
      <c r="M1944" s="246">
        <f t="shared" si="764"/>
        <v>0</v>
      </c>
      <c r="N1944" s="121">
        <f t="shared" si="765"/>
        <v>1.06</v>
      </c>
      <c r="O1944" s="246">
        <f t="shared" si="766"/>
        <v>0.99564551422319469</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87">
        <v>31</v>
      </c>
      <c r="B1945" s="242">
        <f t="shared" si="773"/>
        <v>46569</v>
      </c>
      <c r="C1945" s="243">
        <f t="shared" si="754"/>
        <v>46599</v>
      </c>
      <c r="D1945" s="120">
        <f t="shared" si="755"/>
        <v>31</v>
      </c>
      <c r="E1945" s="120">
        <f t="shared" si="756"/>
        <v>7</v>
      </c>
      <c r="F1945" s="275">
        <f t="shared" si="757"/>
        <v>46584.5</v>
      </c>
      <c r="G1945" s="120">
        <f t="shared" si="758"/>
        <v>24330</v>
      </c>
      <c r="H1945" s="245">
        <f t="shared" si="759"/>
        <v>1</v>
      </c>
      <c r="I1945" s="121">
        <f t="shared" si="760"/>
        <v>1.06</v>
      </c>
      <c r="J1945" s="121">
        <f t="shared" si="761"/>
        <v>1.06</v>
      </c>
      <c r="K1945" s="120">
        <f t="shared" si="762"/>
        <v>0</v>
      </c>
      <c r="L1945" s="120">
        <f t="shared" si="763"/>
        <v>0</v>
      </c>
      <c r="M1945" s="246">
        <f t="shared" si="764"/>
        <v>0</v>
      </c>
      <c r="N1945" s="121">
        <f t="shared" si="765"/>
        <v>1.06</v>
      </c>
      <c r="O1945" s="246">
        <f t="shared" si="766"/>
        <v>0.99631291028446389</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87">
        <v>32</v>
      </c>
      <c r="B1946" s="242">
        <f t="shared" si="773"/>
        <v>46600</v>
      </c>
      <c r="C1946" s="243">
        <f t="shared" si="754"/>
        <v>46630</v>
      </c>
      <c r="D1946" s="120">
        <f t="shared" si="755"/>
        <v>31</v>
      </c>
      <c r="E1946" s="120">
        <f t="shared" si="756"/>
        <v>8</v>
      </c>
      <c r="F1946" s="275">
        <f t="shared" si="757"/>
        <v>46615.5</v>
      </c>
      <c r="G1946" s="120">
        <f t="shared" si="758"/>
        <v>24331</v>
      </c>
      <c r="H1946" s="245">
        <f t="shared" si="759"/>
        <v>1</v>
      </c>
      <c r="I1946" s="121">
        <f t="shared" si="760"/>
        <v>1.06</v>
      </c>
      <c r="J1946" s="121">
        <f t="shared" si="761"/>
        <v>1.06</v>
      </c>
      <c r="K1946" s="120">
        <f t="shared" si="762"/>
        <v>0</v>
      </c>
      <c r="L1946" s="120">
        <f t="shared" si="763"/>
        <v>0</v>
      </c>
      <c r="M1946" s="246">
        <f t="shared" si="764"/>
        <v>0</v>
      </c>
      <c r="N1946" s="121">
        <f t="shared" si="765"/>
        <v>1.06</v>
      </c>
      <c r="O1946" s="246">
        <f t="shared" si="766"/>
        <v>0.99699124726477029</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87">
        <v>33</v>
      </c>
      <c r="B1947" s="242">
        <f t="shared" si="773"/>
        <v>46631</v>
      </c>
      <c r="C1947" s="243">
        <f t="shared" si="754"/>
        <v>46660</v>
      </c>
      <c r="D1947" s="120">
        <f t="shared" si="755"/>
        <v>30</v>
      </c>
      <c r="E1947" s="120">
        <f t="shared" si="756"/>
        <v>9</v>
      </c>
      <c r="F1947" s="275">
        <f t="shared" si="757"/>
        <v>46646</v>
      </c>
      <c r="G1947" s="120">
        <f t="shared" si="758"/>
        <v>24332</v>
      </c>
      <c r="H1947" s="245">
        <f t="shared" si="759"/>
        <v>1</v>
      </c>
      <c r="I1947" s="121">
        <f t="shared" si="760"/>
        <v>1.06</v>
      </c>
      <c r="J1947" s="121">
        <f t="shared" si="761"/>
        <v>1.06</v>
      </c>
      <c r="K1947" s="120">
        <f t="shared" si="762"/>
        <v>0</v>
      </c>
      <c r="L1947" s="120">
        <f t="shared" si="763"/>
        <v>0</v>
      </c>
      <c r="M1947" s="246">
        <f t="shared" si="764"/>
        <v>0</v>
      </c>
      <c r="N1947" s="121">
        <f t="shared" si="765"/>
        <v>1.06</v>
      </c>
      <c r="O1947" s="246">
        <f t="shared" si="766"/>
        <v>0.99765864332603937</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87">
        <v>34</v>
      </c>
      <c r="B1948" s="242">
        <f t="shared" si="773"/>
        <v>46661</v>
      </c>
      <c r="C1948" s="243">
        <f t="shared" si="754"/>
        <v>46691</v>
      </c>
      <c r="D1948" s="120">
        <f t="shared" si="755"/>
        <v>31</v>
      </c>
      <c r="E1948" s="120">
        <f t="shared" si="756"/>
        <v>10</v>
      </c>
      <c r="F1948" s="275">
        <f t="shared" si="757"/>
        <v>46676.5</v>
      </c>
      <c r="G1948" s="120">
        <f t="shared" si="758"/>
        <v>24333</v>
      </c>
      <c r="H1948" s="245">
        <f t="shared" si="759"/>
        <v>1</v>
      </c>
      <c r="I1948" s="121">
        <f t="shared" si="760"/>
        <v>1.06</v>
      </c>
      <c r="J1948" s="121">
        <f t="shared" si="761"/>
        <v>1.06</v>
      </c>
      <c r="K1948" s="120">
        <f t="shared" si="762"/>
        <v>0</v>
      </c>
      <c r="L1948" s="120">
        <f t="shared" si="763"/>
        <v>0</v>
      </c>
      <c r="M1948" s="246">
        <f t="shared" si="764"/>
        <v>0</v>
      </c>
      <c r="N1948" s="121">
        <f t="shared" si="765"/>
        <v>1.06</v>
      </c>
      <c r="O1948" s="246">
        <f t="shared" si="766"/>
        <v>0.99832603938730857</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87">
        <v>35</v>
      </c>
      <c r="B1949" s="242">
        <f t="shared" si="773"/>
        <v>46692</v>
      </c>
      <c r="C1949" s="243">
        <f t="shared" si="754"/>
        <v>46721</v>
      </c>
      <c r="D1949" s="120">
        <f t="shared" si="755"/>
        <v>30</v>
      </c>
      <c r="E1949" s="120">
        <f t="shared" si="756"/>
        <v>11</v>
      </c>
      <c r="F1949" s="275">
        <f t="shared" si="757"/>
        <v>46707</v>
      </c>
      <c r="G1949" s="120">
        <f t="shared" si="758"/>
        <v>24334</v>
      </c>
      <c r="H1949" s="245">
        <f t="shared" si="759"/>
        <v>1</v>
      </c>
      <c r="I1949" s="121">
        <f t="shared" si="760"/>
        <v>1.06</v>
      </c>
      <c r="J1949" s="121">
        <f t="shared" si="761"/>
        <v>1.06</v>
      </c>
      <c r="K1949" s="120">
        <f t="shared" si="762"/>
        <v>0</v>
      </c>
      <c r="L1949" s="120">
        <f t="shared" si="763"/>
        <v>0</v>
      </c>
      <c r="M1949" s="246">
        <f t="shared" si="764"/>
        <v>0</v>
      </c>
      <c r="N1949" s="121">
        <f t="shared" si="765"/>
        <v>1.06</v>
      </c>
      <c r="O1949" s="246">
        <f t="shared" si="766"/>
        <v>0.99899343544857766</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87">
        <v>36</v>
      </c>
      <c r="B1950" s="242">
        <f t="shared" si="773"/>
        <v>46722</v>
      </c>
      <c r="C1950" s="243">
        <f t="shared" si="754"/>
        <v>46752</v>
      </c>
      <c r="D1950" s="120">
        <f t="shared" si="755"/>
        <v>31</v>
      </c>
      <c r="E1950" s="120">
        <f t="shared" si="756"/>
        <v>12</v>
      </c>
      <c r="F1950" s="275">
        <f t="shared" si="757"/>
        <v>46737.5</v>
      </c>
      <c r="G1950" s="120">
        <f t="shared" si="758"/>
        <v>24335</v>
      </c>
      <c r="H1950" s="245">
        <f t="shared" si="759"/>
        <v>1</v>
      </c>
      <c r="I1950" s="121">
        <f t="shared" si="760"/>
        <v>1.06</v>
      </c>
      <c r="J1950" s="121">
        <f t="shared" si="761"/>
        <v>1.06</v>
      </c>
      <c r="K1950" s="120">
        <f t="shared" si="762"/>
        <v>0</v>
      </c>
      <c r="L1950" s="120">
        <f t="shared" si="763"/>
        <v>0</v>
      </c>
      <c r="M1950" s="246">
        <f t="shared" si="764"/>
        <v>0</v>
      </c>
      <c r="N1950" s="121">
        <f t="shared" si="765"/>
        <v>1.06</v>
      </c>
      <c r="O1950" s="246">
        <f t="shared" si="766"/>
        <v>0.99966083150984686</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87">
        <v>37</v>
      </c>
      <c r="B1951" s="242">
        <f t="shared" si="773"/>
        <v>46753</v>
      </c>
      <c r="C1951" s="243">
        <f t="shared" si="754"/>
        <v>46783</v>
      </c>
      <c r="D1951" s="120">
        <f t="shared" si="755"/>
        <v>31</v>
      </c>
      <c r="E1951" s="120">
        <f t="shared" si="756"/>
        <v>1</v>
      </c>
      <c r="F1951" s="275">
        <f t="shared" si="757"/>
        <v>46768.5</v>
      </c>
      <c r="G1951" s="120">
        <f t="shared" si="758"/>
        <v>24336</v>
      </c>
      <c r="H1951" s="245">
        <f t="shared" si="759"/>
        <v>1</v>
      </c>
      <c r="I1951" s="121">
        <f t="shared" si="760"/>
        <v>1.06</v>
      </c>
      <c r="J1951" s="121">
        <f t="shared" si="761"/>
        <v>1.06</v>
      </c>
      <c r="K1951" s="120">
        <f t="shared" si="762"/>
        <v>0</v>
      </c>
      <c r="L1951" s="120">
        <f t="shared" si="763"/>
        <v>0</v>
      </c>
      <c r="M1951" s="246">
        <f t="shared" si="764"/>
        <v>0</v>
      </c>
      <c r="N1951" s="121">
        <f t="shared" si="765"/>
        <v>1.06</v>
      </c>
      <c r="O1951" s="246">
        <f t="shared" si="766"/>
        <v>1</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87">
        <v>38</v>
      </c>
      <c r="B1952" s="242">
        <f t="shared" si="773"/>
        <v>46784</v>
      </c>
      <c r="C1952" s="243">
        <f t="shared" si="754"/>
        <v>46812</v>
      </c>
      <c r="D1952" s="120">
        <f t="shared" si="755"/>
        <v>29</v>
      </c>
      <c r="E1952" s="120">
        <f t="shared" si="756"/>
        <v>2</v>
      </c>
      <c r="F1952" s="275">
        <f t="shared" si="757"/>
        <v>46798.5</v>
      </c>
      <c r="G1952" s="120">
        <f t="shared" si="758"/>
        <v>24337</v>
      </c>
      <c r="H1952" s="245">
        <f t="shared" si="759"/>
        <v>1</v>
      </c>
      <c r="I1952" s="121">
        <f t="shared" si="760"/>
        <v>1.06</v>
      </c>
      <c r="J1952" s="121">
        <f t="shared" si="761"/>
        <v>1.06</v>
      </c>
      <c r="K1952" s="120">
        <f t="shared" si="762"/>
        <v>0</v>
      </c>
      <c r="L1952" s="120">
        <f t="shared" si="763"/>
        <v>0</v>
      </c>
      <c r="M1952" s="246">
        <f t="shared" si="764"/>
        <v>0</v>
      </c>
      <c r="N1952" s="121">
        <f t="shared" si="765"/>
        <v>1.06</v>
      </c>
      <c r="O1952" s="246">
        <f t="shared" si="766"/>
        <v>1</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87">
        <v>39</v>
      </c>
      <c r="B1953" s="242">
        <f t="shared" si="773"/>
        <v>46813</v>
      </c>
      <c r="C1953" s="243">
        <f t="shared" si="754"/>
        <v>46843</v>
      </c>
      <c r="D1953" s="120">
        <f t="shared" si="755"/>
        <v>31</v>
      </c>
      <c r="E1953" s="120">
        <f t="shared" si="756"/>
        <v>3</v>
      </c>
      <c r="F1953" s="275">
        <f t="shared" si="757"/>
        <v>46828.5</v>
      </c>
      <c r="G1953" s="120">
        <f t="shared" si="758"/>
        <v>24338</v>
      </c>
      <c r="H1953" s="245">
        <f t="shared" si="759"/>
        <v>1</v>
      </c>
      <c r="I1953" s="121">
        <f t="shared" si="760"/>
        <v>1.06</v>
      </c>
      <c r="J1953" s="121">
        <f t="shared" si="761"/>
        <v>1.06</v>
      </c>
      <c r="K1953" s="120">
        <f t="shared" si="762"/>
        <v>0</v>
      </c>
      <c r="L1953" s="120">
        <f t="shared" si="763"/>
        <v>0</v>
      </c>
      <c r="M1953" s="246">
        <f t="shared" si="764"/>
        <v>0</v>
      </c>
      <c r="N1953" s="121">
        <f t="shared" si="765"/>
        <v>1.06</v>
      </c>
      <c r="O1953" s="246">
        <f t="shared" si="766"/>
        <v>1</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87">
        <v>40</v>
      </c>
      <c r="B1954" s="242">
        <f t="shared" si="773"/>
        <v>46844</v>
      </c>
      <c r="C1954" s="243">
        <f t="shared" si="754"/>
        <v>46873</v>
      </c>
      <c r="D1954" s="120">
        <f t="shared" si="755"/>
        <v>30</v>
      </c>
      <c r="E1954" s="120">
        <f t="shared" si="756"/>
        <v>4</v>
      </c>
      <c r="F1954" s="275">
        <f t="shared" si="757"/>
        <v>46859</v>
      </c>
      <c r="G1954" s="120">
        <f t="shared" si="758"/>
        <v>24339</v>
      </c>
      <c r="H1954" s="245">
        <f t="shared" si="759"/>
        <v>1</v>
      </c>
      <c r="I1954" s="121">
        <f t="shared" si="760"/>
        <v>1.06</v>
      </c>
      <c r="J1954" s="121">
        <f t="shared" si="761"/>
        <v>1.06</v>
      </c>
      <c r="K1954" s="120">
        <f t="shared" si="762"/>
        <v>0</v>
      </c>
      <c r="L1954" s="120">
        <f t="shared" si="763"/>
        <v>0</v>
      </c>
      <c r="M1954" s="246">
        <f t="shared" si="764"/>
        <v>0</v>
      </c>
      <c r="N1954" s="121">
        <f t="shared" si="765"/>
        <v>1.06</v>
      </c>
      <c r="O1954" s="246">
        <f t="shared" si="766"/>
        <v>1</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87">
        <v>41</v>
      </c>
      <c r="B1955" s="242">
        <f t="shared" si="773"/>
        <v>46874</v>
      </c>
      <c r="C1955" s="243">
        <f t="shared" si="754"/>
        <v>46904</v>
      </c>
      <c r="D1955" s="120">
        <f t="shared" si="755"/>
        <v>31</v>
      </c>
      <c r="E1955" s="120">
        <f t="shared" si="756"/>
        <v>5</v>
      </c>
      <c r="F1955" s="275">
        <f t="shared" si="757"/>
        <v>46889.5</v>
      </c>
      <c r="G1955" s="120">
        <f t="shared" si="758"/>
        <v>24340</v>
      </c>
      <c r="H1955" s="245">
        <f t="shared" si="759"/>
        <v>1</v>
      </c>
      <c r="I1955" s="121">
        <f t="shared" si="760"/>
        <v>1.06</v>
      </c>
      <c r="J1955" s="121">
        <f t="shared" si="761"/>
        <v>1.06</v>
      </c>
      <c r="K1955" s="120">
        <f t="shared" si="762"/>
        <v>0</v>
      </c>
      <c r="L1955" s="120">
        <f t="shared" si="763"/>
        <v>0</v>
      </c>
      <c r="M1955" s="246">
        <f t="shared" si="764"/>
        <v>0</v>
      </c>
      <c r="N1955" s="121">
        <f t="shared" si="765"/>
        <v>1.06</v>
      </c>
      <c r="O1955" s="246">
        <f t="shared" si="766"/>
        <v>1</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87">
        <v>42</v>
      </c>
      <c r="B1956" s="242">
        <f t="shared" si="773"/>
        <v>46905</v>
      </c>
      <c r="C1956" s="243">
        <f t="shared" si="754"/>
        <v>46934</v>
      </c>
      <c r="D1956" s="120">
        <f t="shared" si="755"/>
        <v>30</v>
      </c>
      <c r="E1956" s="120">
        <f t="shared" si="756"/>
        <v>6</v>
      </c>
      <c r="F1956" s="275">
        <f t="shared" si="757"/>
        <v>46920</v>
      </c>
      <c r="G1956" s="120">
        <f t="shared" si="758"/>
        <v>24341</v>
      </c>
      <c r="H1956" s="245">
        <f t="shared" si="759"/>
        <v>1</v>
      </c>
      <c r="I1956" s="121">
        <f t="shared" si="760"/>
        <v>1.06</v>
      </c>
      <c r="J1956" s="121">
        <f t="shared" si="761"/>
        <v>1.06</v>
      </c>
      <c r="K1956" s="120">
        <f t="shared" si="762"/>
        <v>0</v>
      </c>
      <c r="L1956" s="120">
        <f t="shared" si="763"/>
        <v>0</v>
      </c>
      <c r="M1956" s="246">
        <f t="shared" si="764"/>
        <v>0</v>
      </c>
      <c r="N1956" s="121">
        <f t="shared" si="765"/>
        <v>1.06</v>
      </c>
      <c r="O1956" s="246">
        <f t="shared" si="766"/>
        <v>1</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87">
        <v>43</v>
      </c>
      <c r="B1957" s="242">
        <f t="shared" si="773"/>
        <v>46935</v>
      </c>
      <c r="C1957" s="243">
        <f t="shared" si="754"/>
        <v>46965</v>
      </c>
      <c r="D1957" s="120">
        <f t="shared" si="755"/>
        <v>31</v>
      </c>
      <c r="E1957" s="120">
        <f t="shared" si="756"/>
        <v>7</v>
      </c>
      <c r="F1957" s="275">
        <f t="shared" si="757"/>
        <v>46950.5</v>
      </c>
      <c r="G1957" s="120">
        <f t="shared" si="758"/>
        <v>24342</v>
      </c>
      <c r="H1957" s="245">
        <f t="shared" si="759"/>
        <v>1</v>
      </c>
      <c r="I1957" s="121">
        <f t="shared" si="760"/>
        <v>1.06</v>
      </c>
      <c r="J1957" s="121">
        <f t="shared" si="761"/>
        <v>1.06</v>
      </c>
      <c r="K1957" s="120">
        <f t="shared" si="762"/>
        <v>0</v>
      </c>
      <c r="L1957" s="120">
        <f t="shared" si="763"/>
        <v>0</v>
      </c>
      <c r="M1957" s="246">
        <f t="shared" si="764"/>
        <v>0</v>
      </c>
      <c r="N1957" s="121">
        <f t="shared" si="765"/>
        <v>1.06</v>
      </c>
      <c r="O1957" s="246">
        <f t="shared" si="766"/>
        <v>1</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87">
        <v>44</v>
      </c>
      <c r="B1958" s="242">
        <f t="shared" si="773"/>
        <v>46966</v>
      </c>
      <c r="C1958" s="243">
        <f t="shared" si="754"/>
        <v>46996</v>
      </c>
      <c r="D1958" s="120">
        <f t="shared" si="755"/>
        <v>31</v>
      </c>
      <c r="E1958" s="120">
        <f t="shared" si="756"/>
        <v>8</v>
      </c>
      <c r="F1958" s="275">
        <f t="shared" si="757"/>
        <v>46981.5</v>
      </c>
      <c r="G1958" s="120">
        <f t="shared" si="758"/>
        <v>24343</v>
      </c>
      <c r="H1958" s="245">
        <f t="shared" si="759"/>
        <v>1</v>
      </c>
      <c r="I1958" s="121">
        <f t="shared" si="760"/>
        <v>1.06</v>
      </c>
      <c r="J1958" s="121">
        <f t="shared" si="761"/>
        <v>1.06</v>
      </c>
      <c r="K1958" s="120">
        <f t="shared" si="762"/>
        <v>0</v>
      </c>
      <c r="L1958" s="120">
        <f t="shared" si="763"/>
        <v>0</v>
      </c>
      <c r="M1958" s="246">
        <f t="shared" si="764"/>
        <v>0</v>
      </c>
      <c r="N1958" s="121">
        <f t="shared" si="765"/>
        <v>1.06</v>
      </c>
      <c r="O1958" s="246">
        <f t="shared" si="766"/>
        <v>1</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87">
        <v>45</v>
      </c>
      <c r="B1959" s="242">
        <f t="shared" si="773"/>
        <v>46997</v>
      </c>
      <c r="C1959" s="243">
        <f t="shared" si="754"/>
        <v>47026</v>
      </c>
      <c r="D1959" s="120">
        <f t="shared" si="755"/>
        <v>30</v>
      </c>
      <c r="E1959" s="120">
        <f t="shared" si="756"/>
        <v>9</v>
      </c>
      <c r="F1959" s="275">
        <f t="shared" si="757"/>
        <v>47012</v>
      </c>
      <c r="G1959" s="120">
        <f t="shared" si="758"/>
        <v>24344</v>
      </c>
      <c r="H1959" s="245">
        <f t="shared" si="759"/>
        <v>1</v>
      </c>
      <c r="I1959" s="121">
        <f t="shared" si="760"/>
        <v>1.06</v>
      </c>
      <c r="J1959" s="121">
        <f t="shared" si="761"/>
        <v>1.06</v>
      </c>
      <c r="K1959" s="120">
        <f t="shared" si="762"/>
        <v>0</v>
      </c>
      <c r="L1959" s="120">
        <f t="shared" si="763"/>
        <v>0</v>
      </c>
      <c r="M1959" s="246">
        <f t="shared" si="764"/>
        <v>0</v>
      </c>
      <c r="N1959" s="121">
        <f t="shared" si="765"/>
        <v>1.06</v>
      </c>
      <c r="O1959" s="246">
        <f t="shared" si="766"/>
        <v>1</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87">
        <v>46</v>
      </c>
      <c r="B1960" s="242">
        <f t="shared" si="773"/>
        <v>47027</v>
      </c>
      <c r="C1960" s="243">
        <f t="shared" si="754"/>
        <v>47057</v>
      </c>
      <c r="D1960" s="120">
        <f t="shared" si="755"/>
        <v>31</v>
      </c>
      <c r="E1960" s="120">
        <f t="shared" si="756"/>
        <v>10</v>
      </c>
      <c r="F1960" s="275">
        <f t="shared" si="757"/>
        <v>47042.5</v>
      </c>
      <c r="G1960" s="120">
        <f t="shared" si="758"/>
        <v>24345</v>
      </c>
      <c r="H1960" s="245">
        <f t="shared" si="759"/>
        <v>1</v>
      </c>
      <c r="I1960" s="121">
        <f t="shared" si="760"/>
        <v>1.06</v>
      </c>
      <c r="J1960" s="121">
        <f t="shared" si="761"/>
        <v>1.06</v>
      </c>
      <c r="K1960" s="120">
        <f t="shared" si="762"/>
        <v>0</v>
      </c>
      <c r="L1960" s="120">
        <f t="shared" si="763"/>
        <v>0</v>
      </c>
      <c r="M1960" s="246">
        <f t="shared" si="764"/>
        <v>0</v>
      </c>
      <c r="N1960" s="121">
        <f t="shared" si="765"/>
        <v>1.06</v>
      </c>
      <c r="O1960" s="246">
        <f t="shared" si="766"/>
        <v>1</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87">
        <v>47</v>
      </c>
      <c r="B1961" s="242">
        <f t="shared" si="773"/>
        <v>47058</v>
      </c>
      <c r="C1961" s="243">
        <f t="shared" si="754"/>
        <v>47087</v>
      </c>
      <c r="D1961" s="120">
        <f t="shared" si="755"/>
        <v>30</v>
      </c>
      <c r="E1961" s="120">
        <f t="shared" si="756"/>
        <v>11</v>
      </c>
      <c r="F1961" s="275">
        <f t="shared" si="757"/>
        <v>47073</v>
      </c>
      <c r="G1961" s="120">
        <f t="shared" si="758"/>
        <v>24346</v>
      </c>
      <c r="H1961" s="245">
        <f t="shared" si="759"/>
        <v>1</v>
      </c>
      <c r="I1961" s="121">
        <f t="shared" si="760"/>
        <v>1.06</v>
      </c>
      <c r="J1961" s="121">
        <f t="shared" si="761"/>
        <v>1.06</v>
      </c>
      <c r="K1961" s="120">
        <f t="shared" si="762"/>
        <v>0</v>
      </c>
      <c r="L1961" s="120">
        <f t="shared" si="763"/>
        <v>0</v>
      </c>
      <c r="M1961" s="246">
        <f t="shared" si="764"/>
        <v>0</v>
      </c>
      <c r="N1961" s="121">
        <f t="shared" si="765"/>
        <v>1.06</v>
      </c>
      <c r="O1961" s="246">
        <f t="shared" si="766"/>
        <v>1</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87">
        <v>48</v>
      </c>
      <c r="B1962" s="242">
        <f t="shared" si="773"/>
        <v>47088</v>
      </c>
      <c r="C1962" s="243">
        <f t="shared" si="754"/>
        <v>47118</v>
      </c>
      <c r="D1962" s="120">
        <f t="shared" si="755"/>
        <v>31</v>
      </c>
      <c r="E1962" s="120">
        <f t="shared" si="756"/>
        <v>12</v>
      </c>
      <c r="F1962" s="275">
        <f t="shared" si="757"/>
        <v>47103.5</v>
      </c>
      <c r="G1962" s="120">
        <f t="shared" si="758"/>
        <v>24347</v>
      </c>
      <c r="H1962" s="245">
        <f t="shared" si="759"/>
        <v>1</v>
      </c>
      <c r="I1962" s="121">
        <f t="shared" si="760"/>
        <v>1.06</v>
      </c>
      <c r="J1962" s="121">
        <f t="shared" si="761"/>
        <v>1.06</v>
      </c>
      <c r="K1962" s="120">
        <f t="shared" si="762"/>
        <v>0</v>
      </c>
      <c r="L1962" s="120">
        <f t="shared" si="763"/>
        <v>0</v>
      </c>
      <c r="M1962" s="246">
        <f t="shared" si="764"/>
        <v>0</v>
      </c>
      <c r="N1962" s="121">
        <f t="shared" si="765"/>
        <v>1.06</v>
      </c>
      <c r="O1962" s="246">
        <f t="shared" si="766"/>
        <v>1</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1651</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24">
        <f>SUMPRODUCT($H$1915:$H$1962,$Q$1915:$Q$1962,$O$1915:$O$1962)/SUMPRODUCT($H$1915:$H$1962,$Q$1915:$Q$1962)</f>
        <v>0.99199580598103554</v>
      </c>
      <c r="G1963" s="224">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24">
        <f>IF(N(INDEX(lr_mind,36))=0,1,INDEX(lr_mind,36))</f>
        <v>1</v>
      </c>
      <c r="G1966" s="224">
        <f>IF(N(INDEX(lr_m0,36))=0,1,INDEX(lr_m0,36))</f>
        <v>0.99</v>
      </c>
      <c r="H1966" s="74">
        <f>IF(N(INDEX(lr_m0asof,36))=0,DATE(nr_PlanYear-1,10,1),INDEX(lr_m0asof,36))</f>
        <v>46295</v>
      </c>
      <c r="I1966" s="224">
        <f>IF(N(INDEX(lr_m1,36))=0,1,INDEX(lr_m1,36))</f>
        <v>0.98</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74">EOMONTH($B1969,0)</f>
        <v>45688</v>
      </c>
      <c r="D1969" s="120">
        <f t="shared" ref="D1969:D2016" si="775">$C1969-$B1969+1</f>
        <v>31</v>
      </c>
      <c r="E1969" s="120">
        <f t="shared" ref="E1969:E2016" si="776">MONTH($B1969)</f>
        <v>1</v>
      </c>
      <c r="F1969" s="275">
        <f t="shared" ref="F1969:F2016" si="777">($B1969+$C1969+1)/2</f>
        <v>45673.5</v>
      </c>
      <c r="G1969" s="120">
        <f t="shared" ref="G1969:G2016" si="778">YEAR($B1969)*12+MONTH($B1969)-1</f>
        <v>24300</v>
      </c>
      <c r="H1969" s="245">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46">
        <f t="shared" ref="M1969:M2016" si="784">IF($K1969=0,0,MIN(1,$L1969/$D1969))</f>
        <v>0</v>
      </c>
      <c r="N1969" s="121">
        <f t="shared" ref="N1969:N2016" si="785">IF($K1969=0,$J1969,(1-$M1969)*$I1969+$M1969*$J1969)</f>
        <v>1</v>
      </c>
      <c r="O1969" s="246">
        <f t="shared" ref="O1969:O2016" si="786">IF($F1969&lt;$B$1967,$E$1967+$I$1967*($F1969-$A$1967),IF($F1969&lt;$C$1967,$F$1967+$J$1967*($F1969-$B$1967),$G$1967+$K$1967*($F1969-$C$1967)))</f>
        <v>1.0036214442013129</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87">
        <v>2</v>
      </c>
      <c r="B1970" s="242">
        <f t="shared" ref="B1970:B2016" si="793">EDATE($B1969,1)</f>
        <v>45689</v>
      </c>
      <c r="C1970" s="243">
        <f t="shared" si="774"/>
        <v>45716</v>
      </c>
      <c r="D1970" s="120">
        <f t="shared" si="775"/>
        <v>28</v>
      </c>
      <c r="E1970" s="120">
        <f t="shared" si="776"/>
        <v>2</v>
      </c>
      <c r="F1970" s="275">
        <f t="shared" si="777"/>
        <v>45703</v>
      </c>
      <c r="G1970" s="120">
        <f t="shared" si="778"/>
        <v>24301</v>
      </c>
      <c r="H1970" s="245">
        <f t="shared" si="779"/>
        <v>1</v>
      </c>
      <c r="I1970" s="121">
        <f t="shared" si="780"/>
        <v>1</v>
      </c>
      <c r="J1970" s="121">
        <f t="shared" si="781"/>
        <v>1</v>
      </c>
      <c r="K1970" s="120">
        <f t="shared" si="782"/>
        <v>0</v>
      </c>
      <c r="L1970" s="120">
        <f t="shared" si="783"/>
        <v>0</v>
      </c>
      <c r="M1970" s="246">
        <f t="shared" si="784"/>
        <v>0</v>
      </c>
      <c r="N1970" s="121">
        <f t="shared" si="785"/>
        <v>1</v>
      </c>
      <c r="O1970" s="246">
        <f t="shared" si="786"/>
        <v>1.002975929978118</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87">
        <v>3</v>
      </c>
      <c r="B1971" s="242">
        <f t="shared" si="793"/>
        <v>45717</v>
      </c>
      <c r="C1971" s="243">
        <f t="shared" si="774"/>
        <v>45747</v>
      </c>
      <c r="D1971" s="120">
        <f t="shared" si="775"/>
        <v>31</v>
      </c>
      <c r="E1971" s="120">
        <f t="shared" si="776"/>
        <v>3</v>
      </c>
      <c r="F1971" s="275">
        <f t="shared" si="777"/>
        <v>45732.5</v>
      </c>
      <c r="G1971" s="120">
        <f t="shared" si="778"/>
        <v>24302</v>
      </c>
      <c r="H1971" s="245">
        <f t="shared" si="779"/>
        <v>1</v>
      </c>
      <c r="I1971" s="121">
        <f t="shared" si="780"/>
        <v>1</v>
      </c>
      <c r="J1971" s="121">
        <f t="shared" si="781"/>
        <v>1</v>
      </c>
      <c r="K1971" s="120">
        <f t="shared" si="782"/>
        <v>0</v>
      </c>
      <c r="L1971" s="120">
        <f t="shared" si="783"/>
        <v>0</v>
      </c>
      <c r="M1971" s="246">
        <f t="shared" si="784"/>
        <v>0</v>
      </c>
      <c r="N1971" s="121">
        <f t="shared" si="785"/>
        <v>1</v>
      </c>
      <c r="O1971" s="246">
        <f t="shared" si="786"/>
        <v>1.0023304157549233</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87">
        <v>4</v>
      </c>
      <c r="B1972" s="242">
        <f t="shared" si="793"/>
        <v>45748</v>
      </c>
      <c r="C1972" s="243">
        <f t="shared" si="774"/>
        <v>45777</v>
      </c>
      <c r="D1972" s="120">
        <f t="shared" si="775"/>
        <v>30</v>
      </c>
      <c r="E1972" s="120">
        <f t="shared" si="776"/>
        <v>4</v>
      </c>
      <c r="F1972" s="275">
        <f t="shared" si="777"/>
        <v>45763</v>
      </c>
      <c r="G1972" s="120">
        <f t="shared" si="778"/>
        <v>24303</v>
      </c>
      <c r="H1972" s="245">
        <f t="shared" si="779"/>
        <v>1</v>
      </c>
      <c r="I1972" s="121">
        <f t="shared" si="780"/>
        <v>1</v>
      </c>
      <c r="J1972" s="121">
        <f t="shared" si="781"/>
        <v>1</v>
      </c>
      <c r="K1972" s="120">
        <f t="shared" si="782"/>
        <v>0</v>
      </c>
      <c r="L1972" s="120">
        <f t="shared" si="783"/>
        <v>0</v>
      </c>
      <c r="M1972" s="246">
        <f t="shared" si="784"/>
        <v>0</v>
      </c>
      <c r="N1972" s="121">
        <f t="shared" si="785"/>
        <v>1</v>
      </c>
      <c r="O1972" s="246">
        <f t="shared" si="786"/>
        <v>1.0016630196936542</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87">
        <v>5</v>
      </c>
      <c r="B1973" s="242">
        <f t="shared" si="793"/>
        <v>45778</v>
      </c>
      <c r="C1973" s="243">
        <f t="shared" si="774"/>
        <v>45808</v>
      </c>
      <c r="D1973" s="120">
        <f t="shared" si="775"/>
        <v>31</v>
      </c>
      <c r="E1973" s="120">
        <f t="shared" si="776"/>
        <v>5</v>
      </c>
      <c r="F1973" s="275">
        <f t="shared" si="777"/>
        <v>45793.5</v>
      </c>
      <c r="G1973" s="120">
        <f t="shared" si="778"/>
        <v>24304</v>
      </c>
      <c r="H1973" s="245">
        <f t="shared" si="779"/>
        <v>1</v>
      </c>
      <c r="I1973" s="121">
        <f t="shared" si="780"/>
        <v>1</v>
      </c>
      <c r="J1973" s="121">
        <f t="shared" si="781"/>
        <v>1</v>
      </c>
      <c r="K1973" s="120">
        <f t="shared" si="782"/>
        <v>0</v>
      </c>
      <c r="L1973" s="120">
        <f t="shared" si="783"/>
        <v>0</v>
      </c>
      <c r="M1973" s="246">
        <f t="shared" si="784"/>
        <v>0</v>
      </c>
      <c r="N1973" s="121">
        <f t="shared" si="785"/>
        <v>1</v>
      </c>
      <c r="O1973" s="246">
        <f t="shared" si="786"/>
        <v>1.0009956236323851</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87">
        <v>6</v>
      </c>
      <c r="B1974" s="242">
        <f t="shared" si="793"/>
        <v>45809</v>
      </c>
      <c r="C1974" s="243">
        <f t="shared" si="774"/>
        <v>45838</v>
      </c>
      <c r="D1974" s="120">
        <f t="shared" si="775"/>
        <v>30</v>
      </c>
      <c r="E1974" s="120">
        <f t="shared" si="776"/>
        <v>6</v>
      </c>
      <c r="F1974" s="275">
        <f t="shared" si="777"/>
        <v>45824</v>
      </c>
      <c r="G1974" s="120">
        <f t="shared" si="778"/>
        <v>24305</v>
      </c>
      <c r="H1974" s="245">
        <f t="shared" si="779"/>
        <v>1</v>
      </c>
      <c r="I1974" s="121">
        <f t="shared" si="780"/>
        <v>1</v>
      </c>
      <c r="J1974" s="121">
        <f t="shared" si="781"/>
        <v>1</v>
      </c>
      <c r="K1974" s="120">
        <f t="shared" si="782"/>
        <v>0</v>
      </c>
      <c r="L1974" s="120">
        <f t="shared" si="783"/>
        <v>0</v>
      </c>
      <c r="M1974" s="246">
        <f t="shared" si="784"/>
        <v>0</v>
      </c>
      <c r="N1974" s="121">
        <f t="shared" si="785"/>
        <v>1</v>
      </c>
      <c r="O1974" s="246">
        <f t="shared" si="786"/>
        <v>1.0003282275711158</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87">
        <v>7</v>
      </c>
      <c r="B1975" s="242">
        <f t="shared" si="793"/>
        <v>45839</v>
      </c>
      <c r="C1975" s="243">
        <f t="shared" si="774"/>
        <v>45869</v>
      </c>
      <c r="D1975" s="120">
        <f t="shared" si="775"/>
        <v>31</v>
      </c>
      <c r="E1975" s="120">
        <f t="shared" si="776"/>
        <v>7</v>
      </c>
      <c r="F1975" s="275">
        <f t="shared" si="777"/>
        <v>45854.5</v>
      </c>
      <c r="G1975" s="120">
        <f t="shared" si="778"/>
        <v>24306</v>
      </c>
      <c r="H1975" s="245">
        <f t="shared" si="779"/>
        <v>1</v>
      </c>
      <c r="I1975" s="121">
        <f t="shared" si="780"/>
        <v>1</v>
      </c>
      <c r="J1975" s="121">
        <f t="shared" si="781"/>
        <v>1</v>
      </c>
      <c r="K1975" s="120">
        <f t="shared" si="782"/>
        <v>0</v>
      </c>
      <c r="L1975" s="120">
        <f t="shared" si="783"/>
        <v>0</v>
      </c>
      <c r="M1975" s="246">
        <f t="shared" si="784"/>
        <v>0</v>
      </c>
      <c r="N1975" s="121">
        <f t="shared" si="785"/>
        <v>1</v>
      </c>
      <c r="O1975" s="246">
        <f t="shared" si="786"/>
        <v>0.99966083150984675</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87">
        <v>8</v>
      </c>
      <c r="B1976" s="242">
        <f t="shared" si="793"/>
        <v>45870</v>
      </c>
      <c r="C1976" s="243">
        <f t="shared" si="774"/>
        <v>45900</v>
      </c>
      <c r="D1976" s="120">
        <f t="shared" si="775"/>
        <v>31</v>
      </c>
      <c r="E1976" s="120">
        <f t="shared" si="776"/>
        <v>8</v>
      </c>
      <c r="F1976" s="275">
        <f t="shared" si="777"/>
        <v>45885.5</v>
      </c>
      <c r="G1976" s="120">
        <f t="shared" si="778"/>
        <v>24307</v>
      </c>
      <c r="H1976" s="245">
        <f t="shared" si="779"/>
        <v>1</v>
      </c>
      <c r="I1976" s="121">
        <f t="shared" si="780"/>
        <v>1</v>
      </c>
      <c r="J1976" s="121">
        <f t="shared" si="781"/>
        <v>1</v>
      </c>
      <c r="K1976" s="120">
        <f t="shared" si="782"/>
        <v>0</v>
      </c>
      <c r="L1976" s="120">
        <f t="shared" si="783"/>
        <v>0</v>
      </c>
      <c r="M1976" s="246">
        <f t="shared" si="784"/>
        <v>0</v>
      </c>
      <c r="N1976" s="121">
        <f t="shared" si="785"/>
        <v>1</v>
      </c>
      <c r="O1976" s="246">
        <f t="shared" si="786"/>
        <v>0.99898249452954047</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87">
        <v>9</v>
      </c>
      <c r="B1977" s="242">
        <f t="shared" si="793"/>
        <v>45901</v>
      </c>
      <c r="C1977" s="243">
        <f t="shared" si="774"/>
        <v>45930</v>
      </c>
      <c r="D1977" s="120">
        <f t="shared" si="775"/>
        <v>30</v>
      </c>
      <c r="E1977" s="120">
        <f t="shared" si="776"/>
        <v>9</v>
      </c>
      <c r="F1977" s="275">
        <f t="shared" si="777"/>
        <v>45916</v>
      </c>
      <c r="G1977" s="120">
        <f t="shared" si="778"/>
        <v>24308</v>
      </c>
      <c r="H1977" s="245">
        <f t="shared" si="779"/>
        <v>1</v>
      </c>
      <c r="I1977" s="121">
        <f t="shared" si="780"/>
        <v>1</v>
      </c>
      <c r="J1977" s="121">
        <f t="shared" si="781"/>
        <v>1</v>
      </c>
      <c r="K1977" s="120">
        <f t="shared" si="782"/>
        <v>0</v>
      </c>
      <c r="L1977" s="120">
        <f t="shared" si="783"/>
        <v>0</v>
      </c>
      <c r="M1977" s="246">
        <f t="shared" si="784"/>
        <v>0</v>
      </c>
      <c r="N1977" s="121">
        <f t="shared" si="785"/>
        <v>1</v>
      </c>
      <c r="O1977" s="246">
        <f t="shared" si="786"/>
        <v>0.99831509846827127</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87">
        <v>10</v>
      </c>
      <c r="B1978" s="242">
        <f t="shared" si="793"/>
        <v>45931</v>
      </c>
      <c r="C1978" s="243">
        <f t="shared" si="774"/>
        <v>45961</v>
      </c>
      <c r="D1978" s="120">
        <f t="shared" si="775"/>
        <v>31</v>
      </c>
      <c r="E1978" s="120">
        <f t="shared" si="776"/>
        <v>10</v>
      </c>
      <c r="F1978" s="275">
        <f t="shared" si="777"/>
        <v>45946.5</v>
      </c>
      <c r="G1978" s="120">
        <f t="shared" si="778"/>
        <v>24309</v>
      </c>
      <c r="H1978" s="245">
        <f t="shared" si="779"/>
        <v>1</v>
      </c>
      <c r="I1978" s="121">
        <f t="shared" si="780"/>
        <v>1</v>
      </c>
      <c r="J1978" s="121">
        <f t="shared" si="781"/>
        <v>1</v>
      </c>
      <c r="K1978" s="120">
        <f t="shared" si="782"/>
        <v>0</v>
      </c>
      <c r="L1978" s="120">
        <f t="shared" si="783"/>
        <v>0</v>
      </c>
      <c r="M1978" s="246">
        <f t="shared" si="784"/>
        <v>0</v>
      </c>
      <c r="N1978" s="121">
        <f t="shared" si="785"/>
        <v>1</v>
      </c>
      <c r="O1978" s="246">
        <f t="shared" si="786"/>
        <v>0.99764770240700218</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87">
        <v>11</v>
      </c>
      <c r="B1979" s="242">
        <f t="shared" si="793"/>
        <v>45962</v>
      </c>
      <c r="C1979" s="243">
        <f t="shared" si="774"/>
        <v>45991</v>
      </c>
      <c r="D1979" s="120">
        <f t="shared" si="775"/>
        <v>30</v>
      </c>
      <c r="E1979" s="120">
        <f t="shared" si="776"/>
        <v>11</v>
      </c>
      <c r="F1979" s="275">
        <f t="shared" si="777"/>
        <v>45977</v>
      </c>
      <c r="G1979" s="120">
        <f t="shared" si="778"/>
        <v>24310</v>
      </c>
      <c r="H1979" s="245">
        <f t="shared" si="779"/>
        <v>1</v>
      </c>
      <c r="I1979" s="121">
        <f t="shared" si="780"/>
        <v>1</v>
      </c>
      <c r="J1979" s="121">
        <f t="shared" si="781"/>
        <v>1</v>
      </c>
      <c r="K1979" s="120">
        <f t="shared" si="782"/>
        <v>0</v>
      </c>
      <c r="L1979" s="120">
        <f t="shared" si="783"/>
        <v>0</v>
      </c>
      <c r="M1979" s="246">
        <f t="shared" si="784"/>
        <v>0</v>
      </c>
      <c r="N1979" s="121">
        <f t="shared" si="785"/>
        <v>1</v>
      </c>
      <c r="O1979" s="246">
        <f t="shared" si="786"/>
        <v>0.99698030634573298</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87">
        <v>12</v>
      </c>
      <c r="B1980" s="242">
        <f t="shared" si="793"/>
        <v>45992</v>
      </c>
      <c r="C1980" s="243">
        <f t="shared" si="774"/>
        <v>46022</v>
      </c>
      <c r="D1980" s="120">
        <f t="shared" si="775"/>
        <v>31</v>
      </c>
      <c r="E1980" s="120">
        <f t="shared" si="776"/>
        <v>12</v>
      </c>
      <c r="F1980" s="275">
        <f t="shared" si="777"/>
        <v>46007.5</v>
      </c>
      <c r="G1980" s="120">
        <f t="shared" si="778"/>
        <v>24311</v>
      </c>
      <c r="H1980" s="245">
        <f t="shared" si="779"/>
        <v>1</v>
      </c>
      <c r="I1980" s="121">
        <f t="shared" si="780"/>
        <v>1</v>
      </c>
      <c r="J1980" s="121">
        <f t="shared" si="781"/>
        <v>1</v>
      </c>
      <c r="K1980" s="120">
        <f t="shared" si="782"/>
        <v>0</v>
      </c>
      <c r="L1980" s="120">
        <f t="shared" si="783"/>
        <v>0</v>
      </c>
      <c r="M1980" s="246">
        <f t="shared" si="784"/>
        <v>0</v>
      </c>
      <c r="N1980" s="121">
        <f t="shared" si="785"/>
        <v>1</v>
      </c>
      <c r="O1980" s="246">
        <f t="shared" si="786"/>
        <v>0.99631291028446389</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87">
        <v>13</v>
      </c>
      <c r="B1981" s="242">
        <f t="shared" si="793"/>
        <v>46023</v>
      </c>
      <c r="C1981" s="243">
        <f t="shared" si="774"/>
        <v>46053</v>
      </c>
      <c r="D1981" s="120">
        <f t="shared" si="775"/>
        <v>31</v>
      </c>
      <c r="E1981" s="120">
        <f t="shared" si="776"/>
        <v>1</v>
      </c>
      <c r="F1981" s="275">
        <f t="shared" si="777"/>
        <v>46038.5</v>
      </c>
      <c r="G1981" s="120">
        <f t="shared" si="778"/>
        <v>24312</v>
      </c>
      <c r="H1981" s="245">
        <f t="shared" si="779"/>
        <v>1</v>
      </c>
      <c r="I1981" s="121">
        <f t="shared" si="780"/>
        <v>1</v>
      </c>
      <c r="J1981" s="121">
        <f t="shared" si="781"/>
        <v>1</v>
      </c>
      <c r="K1981" s="120">
        <f t="shared" si="782"/>
        <v>0</v>
      </c>
      <c r="L1981" s="120">
        <f t="shared" si="783"/>
        <v>0</v>
      </c>
      <c r="M1981" s="246">
        <f t="shared" si="784"/>
        <v>0</v>
      </c>
      <c r="N1981" s="121">
        <f t="shared" si="785"/>
        <v>1</v>
      </c>
      <c r="O1981" s="246">
        <f t="shared" si="786"/>
        <v>0.9956345733041575</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87">
        <v>14</v>
      </c>
      <c r="B1982" s="242">
        <f t="shared" si="793"/>
        <v>46054</v>
      </c>
      <c r="C1982" s="243">
        <f t="shared" si="774"/>
        <v>46081</v>
      </c>
      <c r="D1982" s="120">
        <f t="shared" si="775"/>
        <v>28</v>
      </c>
      <c r="E1982" s="120">
        <f t="shared" si="776"/>
        <v>2</v>
      </c>
      <c r="F1982" s="275">
        <f t="shared" si="777"/>
        <v>46068</v>
      </c>
      <c r="G1982" s="120">
        <f t="shared" si="778"/>
        <v>24313</v>
      </c>
      <c r="H1982" s="245">
        <f t="shared" si="779"/>
        <v>1</v>
      </c>
      <c r="I1982" s="121">
        <f t="shared" si="780"/>
        <v>1</v>
      </c>
      <c r="J1982" s="121">
        <f t="shared" si="781"/>
        <v>1</v>
      </c>
      <c r="K1982" s="120">
        <f t="shared" si="782"/>
        <v>0</v>
      </c>
      <c r="L1982" s="120">
        <f t="shared" si="783"/>
        <v>0</v>
      </c>
      <c r="M1982" s="246">
        <f t="shared" si="784"/>
        <v>0</v>
      </c>
      <c r="N1982" s="121">
        <f t="shared" si="785"/>
        <v>1</v>
      </c>
      <c r="O1982" s="246">
        <f t="shared" si="786"/>
        <v>0.9949890590809628</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87">
        <v>15</v>
      </c>
      <c r="B1983" s="242">
        <f t="shared" si="793"/>
        <v>46082</v>
      </c>
      <c r="C1983" s="243">
        <f t="shared" si="774"/>
        <v>46112</v>
      </c>
      <c r="D1983" s="120">
        <f t="shared" si="775"/>
        <v>31</v>
      </c>
      <c r="E1983" s="120">
        <f t="shared" si="776"/>
        <v>3</v>
      </c>
      <c r="F1983" s="275">
        <f t="shared" si="777"/>
        <v>46097.5</v>
      </c>
      <c r="G1983" s="120">
        <f t="shared" si="778"/>
        <v>24314</v>
      </c>
      <c r="H1983" s="245">
        <f t="shared" si="779"/>
        <v>1</v>
      </c>
      <c r="I1983" s="121">
        <f t="shared" si="780"/>
        <v>1</v>
      </c>
      <c r="J1983" s="121">
        <f t="shared" si="781"/>
        <v>1</v>
      </c>
      <c r="K1983" s="120">
        <f t="shared" si="782"/>
        <v>0</v>
      </c>
      <c r="L1983" s="120">
        <f t="shared" si="783"/>
        <v>0</v>
      </c>
      <c r="M1983" s="246">
        <f t="shared" si="784"/>
        <v>0</v>
      </c>
      <c r="N1983" s="121">
        <f t="shared" si="785"/>
        <v>1</v>
      </c>
      <c r="O1983" s="246">
        <f t="shared" si="786"/>
        <v>0.99434354485776799</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87">
        <v>16</v>
      </c>
      <c r="B1984" s="242">
        <f t="shared" si="793"/>
        <v>46113</v>
      </c>
      <c r="C1984" s="243">
        <f t="shared" si="774"/>
        <v>46142</v>
      </c>
      <c r="D1984" s="120">
        <f t="shared" si="775"/>
        <v>30</v>
      </c>
      <c r="E1984" s="120">
        <f t="shared" si="776"/>
        <v>4</v>
      </c>
      <c r="F1984" s="275">
        <f t="shared" si="777"/>
        <v>46128</v>
      </c>
      <c r="G1984" s="120">
        <f t="shared" si="778"/>
        <v>24315</v>
      </c>
      <c r="H1984" s="245">
        <f t="shared" si="779"/>
        <v>1</v>
      </c>
      <c r="I1984" s="121">
        <f t="shared" si="780"/>
        <v>1</v>
      </c>
      <c r="J1984" s="121">
        <f t="shared" si="781"/>
        <v>1</v>
      </c>
      <c r="K1984" s="120">
        <f t="shared" si="782"/>
        <v>0</v>
      </c>
      <c r="L1984" s="120">
        <f t="shared" si="783"/>
        <v>0</v>
      </c>
      <c r="M1984" s="246">
        <f t="shared" si="784"/>
        <v>0</v>
      </c>
      <c r="N1984" s="121">
        <f t="shared" si="785"/>
        <v>1</v>
      </c>
      <c r="O1984" s="246">
        <f t="shared" si="786"/>
        <v>0.9936761487964989</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87">
        <v>17</v>
      </c>
      <c r="B1985" s="242">
        <f t="shared" si="793"/>
        <v>46143</v>
      </c>
      <c r="C1985" s="243">
        <f t="shared" si="774"/>
        <v>46173</v>
      </c>
      <c r="D1985" s="120">
        <f t="shared" si="775"/>
        <v>31</v>
      </c>
      <c r="E1985" s="120">
        <f t="shared" si="776"/>
        <v>5</v>
      </c>
      <c r="F1985" s="275">
        <f t="shared" si="777"/>
        <v>46158.5</v>
      </c>
      <c r="G1985" s="120">
        <f t="shared" si="778"/>
        <v>24316</v>
      </c>
      <c r="H1985" s="245">
        <f t="shared" si="779"/>
        <v>1</v>
      </c>
      <c r="I1985" s="121">
        <f t="shared" si="780"/>
        <v>1</v>
      </c>
      <c r="J1985" s="121">
        <f t="shared" si="781"/>
        <v>1</v>
      </c>
      <c r="K1985" s="120">
        <f t="shared" si="782"/>
        <v>0</v>
      </c>
      <c r="L1985" s="120">
        <f t="shared" si="783"/>
        <v>0</v>
      </c>
      <c r="M1985" s="246">
        <f t="shared" si="784"/>
        <v>0</v>
      </c>
      <c r="N1985" s="121">
        <f t="shared" si="785"/>
        <v>1</v>
      </c>
      <c r="O1985" s="246">
        <f t="shared" si="786"/>
        <v>0.9930087527352297</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87">
        <v>18</v>
      </c>
      <c r="B1986" s="242">
        <f t="shared" si="793"/>
        <v>46174</v>
      </c>
      <c r="C1986" s="243">
        <f t="shared" si="774"/>
        <v>46203</v>
      </c>
      <c r="D1986" s="120">
        <f t="shared" si="775"/>
        <v>30</v>
      </c>
      <c r="E1986" s="120">
        <f t="shared" si="776"/>
        <v>6</v>
      </c>
      <c r="F1986" s="275">
        <f t="shared" si="777"/>
        <v>46189</v>
      </c>
      <c r="G1986" s="120">
        <f t="shared" si="778"/>
        <v>24317</v>
      </c>
      <c r="H1986" s="245">
        <f t="shared" si="779"/>
        <v>1</v>
      </c>
      <c r="I1986" s="121">
        <f t="shared" si="780"/>
        <v>1</v>
      </c>
      <c r="J1986" s="121">
        <f t="shared" si="781"/>
        <v>1</v>
      </c>
      <c r="K1986" s="120">
        <f t="shared" si="782"/>
        <v>0</v>
      </c>
      <c r="L1986" s="120">
        <f t="shared" si="783"/>
        <v>0</v>
      </c>
      <c r="M1986" s="246">
        <f t="shared" si="784"/>
        <v>0</v>
      </c>
      <c r="N1986" s="121">
        <f t="shared" si="785"/>
        <v>1</v>
      </c>
      <c r="O1986" s="246">
        <f t="shared" si="786"/>
        <v>0.99234135667396062</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87">
        <v>19</v>
      </c>
      <c r="B1987" s="242">
        <f t="shared" si="793"/>
        <v>46204</v>
      </c>
      <c r="C1987" s="243">
        <f t="shared" si="774"/>
        <v>46234</v>
      </c>
      <c r="D1987" s="120">
        <f t="shared" si="775"/>
        <v>31</v>
      </c>
      <c r="E1987" s="120">
        <f t="shared" si="776"/>
        <v>7</v>
      </c>
      <c r="F1987" s="275">
        <f t="shared" si="777"/>
        <v>46219.5</v>
      </c>
      <c r="G1987" s="120">
        <f t="shared" si="778"/>
        <v>24318</v>
      </c>
      <c r="H1987" s="245">
        <f t="shared" si="779"/>
        <v>1</v>
      </c>
      <c r="I1987" s="121">
        <f t="shared" si="780"/>
        <v>1</v>
      </c>
      <c r="J1987" s="121">
        <f t="shared" si="781"/>
        <v>1</v>
      </c>
      <c r="K1987" s="120">
        <f t="shared" si="782"/>
        <v>0</v>
      </c>
      <c r="L1987" s="120">
        <f t="shared" si="783"/>
        <v>0</v>
      </c>
      <c r="M1987" s="246">
        <f t="shared" si="784"/>
        <v>0</v>
      </c>
      <c r="N1987" s="121">
        <f t="shared" si="785"/>
        <v>1</v>
      </c>
      <c r="O1987" s="246">
        <f t="shared" si="786"/>
        <v>0.99167396061269142</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87">
        <v>20</v>
      </c>
      <c r="B1988" s="242">
        <f t="shared" si="793"/>
        <v>46235</v>
      </c>
      <c r="C1988" s="243">
        <f t="shared" si="774"/>
        <v>46265</v>
      </c>
      <c r="D1988" s="120">
        <f t="shared" si="775"/>
        <v>31</v>
      </c>
      <c r="E1988" s="120">
        <f t="shared" si="776"/>
        <v>8</v>
      </c>
      <c r="F1988" s="275">
        <f t="shared" si="777"/>
        <v>46250.5</v>
      </c>
      <c r="G1988" s="120">
        <f t="shared" si="778"/>
        <v>24319</v>
      </c>
      <c r="H1988" s="245">
        <f t="shared" si="779"/>
        <v>1</v>
      </c>
      <c r="I1988" s="121">
        <f t="shared" si="780"/>
        <v>1</v>
      </c>
      <c r="J1988" s="121">
        <f t="shared" si="781"/>
        <v>1</v>
      </c>
      <c r="K1988" s="120">
        <f t="shared" si="782"/>
        <v>0</v>
      </c>
      <c r="L1988" s="120">
        <f t="shared" si="783"/>
        <v>0</v>
      </c>
      <c r="M1988" s="246">
        <f t="shared" si="784"/>
        <v>0</v>
      </c>
      <c r="N1988" s="121">
        <f t="shared" si="785"/>
        <v>1</v>
      </c>
      <c r="O1988" s="246">
        <f t="shared" si="786"/>
        <v>0.99099562363238514</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87">
        <v>21</v>
      </c>
      <c r="B1989" s="242">
        <f t="shared" si="793"/>
        <v>46266</v>
      </c>
      <c r="C1989" s="243">
        <f t="shared" si="774"/>
        <v>46295</v>
      </c>
      <c r="D1989" s="120">
        <f t="shared" si="775"/>
        <v>30</v>
      </c>
      <c r="E1989" s="120">
        <f t="shared" si="776"/>
        <v>9</v>
      </c>
      <c r="F1989" s="275">
        <f t="shared" si="777"/>
        <v>46281</v>
      </c>
      <c r="G1989" s="120">
        <f t="shared" si="778"/>
        <v>24320</v>
      </c>
      <c r="H1989" s="245">
        <f t="shared" si="779"/>
        <v>1</v>
      </c>
      <c r="I1989" s="121">
        <f t="shared" si="780"/>
        <v>1</v>
      </c>
      <c r="J1989" s="121">
        <f t="shared" si="781"/>
        <v>1</v>
      </c>
      <c r="K1989" s="120">
        <f t="shared" si="782"/>
        <v>0</v>
      </c>
      <c r="L1989" s="120">
        <f t="shared" si="783"/>
        <v>0</v>
      </c>
      <c r="M1989" s="246">
        <f t="shared" si="784"/>
        <v>0</v>
      </c>
      <c r="N1989" s="121">
        <f t="shared" si="785"/>
        <v>1</v>
      </c>
      <c r="O1989" s="246">
        <f t="shared" si="786"/>
        <v>0.99032822757111594</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87">
        <v>22</v>
      </c>
      <c r="B1990" s="242">
        <f t="shared" si="793"/>
        <v>46296</v>
      </c>
      <c r="C1990" s="243">
        <f t="shared" si="774"/>
        <v>46326</v>
      </c>
      <c r="D1990" s="120">
        <f t="shared" si="775"/>
        <v>31</v>
      </c>
      <c r="E1990" s="120">
        <f t="shared" si="776"/>
        <v>10</v>
      </c>
      <c r="F1990" s="275">
        <f t="shared" si="777"/>
        <v>46311.5</v>
      </c>
      <c r="G1990" s="120">
        <f t="shared" si="778"/>
        <v>24321</v>
      </c>
      <c r="H1990" s="245">
        <f t="shared" si="779"/>
        <v>1</v>
      </c>
      <c r="I1990" s="121">
        <f t="shared" si="780"/>
        <v>1</v>
      </c>
      <c r="J1990" s="121">
        <f t="shared" si="781"/>
        <v>1</v>
      </c>
      <c r="K1990" s="120">
        <f t="shared" si="782"/>
        <v>0</v>
      </c>
      <c r="L1990" s="120">
        <f t="shared" si="783"/>
        <v>0</v>
      </c>
      <c r="M1990" s="246">
        <f t="shared" si="784"/>
        <v>0</v>
      </c>
      <c r="N1990" s="121">
        <f t="shared" si="785"/>
        <v>1</v>
      </c>
      <c r="O1990" s="246">
        <f t="shared" si="786"/>
        <v>0.98966083150984685</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87">
        <v>23</v>
      </c>
      <c r="B1991" s="242">
        <f t="shared" si="793"/>
        <v>46327</v>
      </c>
      <c r="C1991" s="243">
        <f t="shared" si="774"/>
        <v>46356</v>
      </c>
      <c r="D1991" s="120">
        <f t="shared" si="775"/>
        <v>30</v>
      </c>
      <c r="E1991" s="120">
        <f t="shared" si="776"/>
        <v>11</v>
      </c>
      <c r="F1991" s="275">
        <f t="shared" si="777"/>
        <v>46342</v>
      </c>
      <c r="G1991" s="120">
        <f t="shared" si="778"/>
        <v>24322</v>
      </c>
      <c r="H1991" s="245">
        <f t="shared" si="779"/>
        <v>1</v>
      </c>
      <c r="I1991" s="121">
        <f t="shared" si="780"/>
        <v>1</v>
      </c>
      <c r="J1991" s="121">
        <f t="shared" si="781"/>
        <v>1</v>
      </c>
      <c r="K1991" s="120">
        <f t="shared" si="782"/>
        <v>0</v>
      </c>
      <c r="L1991" s="120">
        <f t="shared" si="783"/>
        <v>0</v>
      </c>
      <c r="M1991" s="246">
        <f t="shared" si="784"/>
        <v>0</v>
      </c>
      <c r="N1991" s="121">
        <f t="shared" si="785"/>
        <v>1</v>
      </c>
      <c r="O1991" s="246">
        <f t="shared" si="786"/>
        <v>0.98899343544857765</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87">
        <v>24</v>
      </c>
      <c r="B1992" s="242">
        <f t="shared" si="793"/>
        <v>46357</v>
      </c>
      <c r="C1992" s="243">
        <f t="shared" si="774"/>
        <v>46387</v>
      </c>
      <c r="D1992" s="120">
        <f t="shared" si="775"/>
        <v>31</v>
      </c>
      <c r="E1992" s="120">
        <f t="shared" si="776"/>
        <v>12</v>
      </c>
      <c r="F1992" s="275">
        <f t="shared" si="777"/>
        <v>46372.5</v>
      </c>
      <c r="G1992" s="120">
        <f t="shared" si="778"/>
        <v>24323</v>
      </c>
      <c r="H1992" s="245">
        <f t="shared" si="779"/>
        <v>1</v>
      </c>
      <c r="I1992" s="121">
        <f t="shared" si="780"/>
        <v>1</v>
      </c>
      <c r="J1992" s="121">
        <f t="shared" si="781"/>
        <v>1</v>
      </c>
      <c r="K1992" s="120">
        <f t="shared" si="782"/>
        <v>0</v>
      </c>
      <c r="L1992" s="120">
        <f t="shared" si="783"/>
        <v>0</v>
      </c>
      <c r="M1992" s="246">
        <f t="shared" si="784"/>
        <v>0</v>
      </c>
      <c r="N1992" s="121">
        <f t="shared" si="785"/>
        <v>1</v>
      </c>
      <c r="O1992" s="246">
        <f t="shared" si="786"/>
        <v>0.98832603938730856</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87">
        <v>25</v>
      </c>
      <c r="B1993" s="242">
        <f t="shared" si="793"/>
        <v>46388</v>
      </c>
      <c r="C1993" s="243">
        <f t="shared" si="774"/>
        <v>46418</v>
      </c>
      <c r="D1993" s="120">
        <f t="shared" si="775"/>
        <v>31</v>
      </c>
      <c r="E1993" s="120">
        <f t="shared" si="776"/>
        <v>1</v>
      </c>
      <c r="F1993" s="275">
        <f t="shared" si="777"/>
        <v>46403.5</v>
      </c>
      <c r="G1993" s="120">
        <f t="shared" si="778"/>
        <v>24324</v>
      </c>
      <c r="H1993" s="245">
        <f t="shared" si="779"/>
        <v>1</v>
      </c>
      <c r="I1993" s="121">
        <f t="shared" si="780"/>
        <v>1</v>
      </c>
      <c r="J1993" s="121">
        <f t="shared" si="781"/>
        <v>1</v>
      </c>
      <c r="K1993" s="120">
        <f t="shared" si="782"/>
        <v>0</v>
      </c>
      <c r="L1993" s="120">
        <f t="shared" si="783"/>
        <v>0</v>
      </c>
      <c r="M1993" s="246">
        <f t="shared" si="784"/>
        <v>0</v>
      </c>
      <c r="N1993" s="121">
        <f t="shared" si="785"/>
        <v>1</v>
      </c>
      <c r="O1993" s="246">
        <f t="shared" si="786"/>
        <v>0.98764770240700217</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87">
        <v>26</v>
      </c>
      <c r="B1994" s="242">
        <f t="shared" si="793"/>
        <v>46419</v>
      </c>
      <c r="C1994" s="243">
        <f t="shared" si="774"/>
        <v>46446</v>
      </c>
      <c r="D1994" s="120">
        <f t="shared" si="775"/>
        <v>28</v>
      </c>
      <c r="E1994" s="120">
        <f t="shared" si="776"/>
        <v>2</v>
      </c>
      <c r="F1994" s="275">
        <f t="shared" si="777"/>
        <v>46433</v>
      </c>
      <c r="G1994" s="120">
        <f t="shared" si="778"/>
        <v>24325</v>
      </c>
      <c r="H1994" s="245">
        <f t="shared" si="779"/>
        <v>1</v>
      </c>
      <c r="I1994" s="121">
        <f t="shared" si="780"/>
        <v>1</v>
      </c>
      <c r="J1994" s="121">
        <f t="shared" si="781"/>
        <v>1</v>
      </c>
      <c r="K1994" s="120">
        <f t="shared" si="782"/>
        <v>0</v>
      </c>
      <c r="L1994" s="120">
        <f t="shared" si="783"/>
        <v>0</v>
      </c>
      <c r="M1994" s="246">
        <f t="shared" si="784"/>
        <v>0</v>
      </c>
      <c r="N1994" s="121">
        <f t="shared" si="785"/>
        <v>1</v>
      </c>
      <c r="O1994" s="246">
        <f t="shared" si="786"/>
        <v>0.98700218818380747</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87">
        <v>27</v>
      </c>
      <c r="B1995" s="242">
        <f t="shared" si="793"/>
        <v>46447</v>
      </c>
      <c r="C1995" s="243">
        <f t="shared" si="774"/>
        <v>46477</v>
      </c>
      <c r="D1995" s="120">
        <f t="shared" si="775"/>
        <v>31</v>
      </c>
      <c r="E1995" s="120">
        <f t="shared" si="776"/>
        <v>3</v>
      </c>
      <c r="F1995" s="275">
        <f t="shared" si="777"/>
        <v>46462.5</v>
      </c>
      <c r="G1995" s="120">
        <f t="shared" si="778"/>
        <v>24326</v>
      </c>
      <c r="H1995" s="245">
        <f t="shared" si="779"/>
        <v>1</v>
      </c>
      <c r="I1995" s="121">
        <f t="shared" si="780"/>
        <v>1</v>
      </c>
      <c r="J1995" s="121">
        <f t="shared" si="781"/>
        <v>1</v>
      </c>
      <c r="K1995" s="120">
        <f t="shared" si="782"/>
        <v>0</v>
      </c>
      <c r="L1995" s="120">
        <f t="shared" si="783"/>
        <v>0</v>
      </c>
      <c r="M1995" s="246">
        <f t="shared" si="784"/>
        <v>0</v>
      </c>
      <c r="N1995" s="121">
        <f t="shared" si="785"/>
        <v>1</v>
      </c>
      <c r="O1995" s="246">
        <f t="shared" si="786"/>
        <v>0.98635667396061266</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87">
        <v>28</v>
      </c>
      <c r="B1996" s="242">
        <f t="shared" si="793"/>
        <v>46478</v>
      </c>
      <c r="C1996" s="243">
        <f t="shared" si="774"/>
        <v>46507</v>
      </c>
      <c r="D1996" s="120">
        <f t="shared" si="775"/>
        <v>30</v>
      </c>
      <c r="E1996" s="120">
        <f t="shared" si="776"/>
        <v>4</v>
      </c>
      <c r="F1996" s="275">
        <f t="shared" si="777"/>
        <v>46493</v>
      </c>
      <c r="G1996" s="120">
        <f t="shared" si="778"/>
        <v>24327</v>
      </c>
      <c r="H1996" s="245">
        <f t="shared" si="779"/>
        <v>1</v>
      </c>
      <c r="I1996" s="121">
        <f t="shared" si="780"/>
        <v>1</v>
      </c>
      <c r="J1996" s="121">
        <f t="shared" si="781"/>
        <v>1</v>
      </c>
      <c r="K1996" s="120">
        <f t="shared" si="782"/>
        <v>0</v>
      </c>
      <c r="L1996" s="120">
        <f t="shared" si="783"/>
        <v>0</v>
      </c>
      <c r="M1996" s="246">
        <f t="shared" si="784"/>
        <v>0</v>
      </c>
      <c r="N1996" s="121">
        <f t="shared" si="785"/>
        <v>1</v>
      </c>
      <c r="O1996" s="246">
        <f t="shared" si="786"/>
        <v>0.98568927789934357</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87">
        <v>29</v>
      </c>
      <c r="B1997" s="242">
        <f t="shared" si="793"/>
        <v>46508</v>
      </c>
      <c r="C1997" s="243">
        <f t="shared" si="774"/>
        <v>46538</v>
      </c>
      <c r="D1997" s="120">
        <f t="shared" si="775"/>
        <v>31</v>
      </c>
      <c r="E1997" s="120">
        <f t="shared" si="776"/>
        <v>5</v>
      </c>
      <c r="F1997" s="275">
        <f t="shared" si="777"/>
        <v>46523.5</v>
      </c>
      <c r="G1997" s="120">
        <f t="shared" si="778"/>
        <v>24328</v>
      </c>
      <c r="H1997" s="245">
        <f t="shared" si="779"/>
        <v>1</v>
      </c>
      <c r="I1997" s="121">
        <f t="shared" si="780"/>
        <v>1</v>
      </c>
      <c r="J1997" s="121">
        <f t="shared" si="781"/>
        <v>1</v>
      </c>
      <c r="K1997" s="120">
        <f t="shared" si="782"/>
        <v>0</v>
      </c>
      <c r="L1997" s="120">
        <f t="shared" si="783"/>
        <v>0</v>
      </c>
      <c r="M1997" s="246">
        <f t="shared" si="784"/>
        <v>0</v>
      </c>
      <c r="N1997" s="121">
        <f t="shared" si="785"/>
        <v>1</v>
      </c>
      <c r="O1997" s="246">
        <f t="shared" si="786"/>
        <v>0.98502188183807438</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87">
        <v>30</v>
      </c>
      <c r="B1998" s="242">
        <f t="shared" si="793"/>
        <v>46539</v>
      </c>
      <c r="C1998" s="243">
        <f t="shared" si="774"/>
        <v>46568</v>
      </c>
      <c r="D1998" s="120">
        <f t="shared" si="775"/>
        <v>30</v>
      </c>
      <c r="E1998" s="120">
        <f t="shared" si="776"/>
        <v>6</v>
      </c>
      <c r="F1998" s="275">
        <f t="shared" si="777"/>
        <v>46554</v>
      </c>
      <c r="G1998" s="120">
        <f t="shared" si="778"/>
        <v>24329</v>
      </c>
      <c r="H1998" s="245">
        <f t="shared" si="779"/>
        <v>1</v>
      </c>
      <c r="I1998" s="121">
        <f t="shared" si="780"/>
        <v>1</v>
      </c>
      <c r="J1998" s="121">
        <f t="shared" si="781"/>
        <v>1</v>
      </c>
      <c r="K1998" s="120">
        <f t="shared" si="782"/>
        <v>0</v>
      </c>
      <c r="L1998" s="120">
        <f t="shared" si="783"/>
        <v>0</v>
      </c>
      <c r="M1998" s="246">
        <f t="shared" si="784"/>
        <v>0</v>
      </c>
      <c r="N1998" s="121">
        <f t="shared" si="785"/>
        <v>1</v>
      </c>
      <c r="O1998" s="246">
        <f t="shared" si="786"/>
        <v>0.98435448577680529</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87">
        <v>31</v>
      </c>
      <c r="B1999" s="242">
        <f t="shared" si="793"/>
        <v>46569</v>
      </c>
      <c r="C1999" s="243">
        <f t="shared" si="774"/>
        <v>46599</v>
      </c>
      <c r="D1999" s="120">
        <f t="shared" si="775"/>
        <v>31</v>
      </c>
      <c r="E1999" s="120">
        <f t="shared" si="776"/>
        <v>7</v>
      </c>
      <c r="F1999" s="275">
        <f t="shared" si="777"/>
        <v>46584.5</v>
      </c>
      <c r="G1999" s="120">
        <f t="shared" si="778"/>
        <v>24330</v>
      </c>
      <c r="H1999" s="245">
        <f t="shared" si="779"/>
        <v>1</v>
      </c>
      <c r="I1999" s="121">
        <f t="shared" si="780"/>
        <v>1</v>
      </c>
      <c r="J1999" s="121">
        <f t="shared" si="781"/>
        <v>1</v>
      </c>
      <c r="K1999" s="120">
        <f t="shared" si="782"/>
        <v>0</v>
      </c>
      <c r="L1999" s="120">
        <f t="shared" si="783"/>
        <v>0</v>
      </c>
      <c r="M1999" s="246">
        <f t="shared" si="784"/>
        <v>0</v>
      </c>
      <c r="N1999" s="121">
        <f t="shared" si="785"/>
        <v>1</v>
      </c>
      <c r="O1999" s="246">
        <f t="shared" si="786"/>
        <v>0.98368708971553609</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87">
        <v>32</v>
      </c>
      <c r="B2000" s="242">
        <f t="shared" si="793"/>
        <v>46600</v>
      </c>
      <c r="C2000" s="243">
        <f t="shared" si="774"/>
        <v>46630</v>
      </c>
      <c r="D2000" s="120">
        <f t="shared" si="775"/>
        <v>31</v>
      </c>
      <c r="E2000" s="120">
        <f t="shared" si="776"/>
        <v>8</v>
      </c>
      <c r="F2000" s="275">
        <f t="shared" si="777"/>
        <v>46615.5</v>
      </c>
      <c r="G2000" s="120">
        <f t="shared" si="778"/>
        <v>24331</v>
      </c>
      <c r="H2000" s="245">
        <f t="shared" si="779"/>
        <v>1</v>
      </c>
      <c r="I2000" s="121">
        <f t="shared" si="780"/>
        <v>1</v>
      </c>
      <c r="J2000" s="121">
        <f t="shared" si="781"/>
        <v>1</v>
      </c>
      <c r="K2000" s="120">
        <f t="shared" si="782"/>
        <v>0</v>
      </c>
      <c r="L2000" s="120">
        <f t="shared" si="783"/>
        <v>0</v>
      </c>
      <c r="M2000" s="246">
        <f t="shared" si="784"/>
        <v>0</v>
      </c>
      <c r="N2000" s="121">
        <f t="shared" si="785"/>
        <v>1</v>
      </c>
      <c r="O2000" s="246">
        <f t="shared" si="786"/>
        <v>0.9830087527352297</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87">
        <v>33</v>
      </c>
      <c r="B2001" s="242">
        <f t="shared" si="793"/>
        <v>46631</v>
      </c>
      <c r="C2001" s="243">
        <f t="shared" si="774"/>
        <v>46660</v>
      </c>
      <c r="D2001" s="120">
        <f t="shared" si="775"/>
        <v>30</v>
      </c>
      <c r="E2001" s="120">
        <f t="shared" si="776"/>
        <v>9</v>
      </c>
      <c r="F2001" s="275">
        <f t="shared" si="777"/>
        <v>46646</v>
      </c>
      <c r="G2001" s="120">
        <f t="shared" si="778"/>
        <v>24332</v>
      </c>
      <c r="H2001" s="245">
        <f t="shared" si="779"/>
        <v>1</v>
      </c>
      <c r="I2001" s="121">
        <f t="shared" si="780"/>
        <v>1</v>
      </c>
      <c r="J2001" s="121">
        <f t="shared" si="781"/>
        <v>1</v>
      </c>
      <c r="K2001" s="120">
        <f t="shared" si="782"/>
        <v>0</v>
      </c>
      <c r="L2001" s="120">
        <f t="shared" si="783"/>
        <v>0</v>
      </c>
      <c r="M2001" s="246">
        <f t="shared" si="784"/>
        <v>0</v>
      </c>
      <c r="N2001" s="121">
        <f t="shared" si="785"/>
        <v>1</v>
      </c>
      <c r="O2001" s="246">
        <f t="shared" si="786"/>
        <v>0.98234135667396061</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87">
        <v>34</v>
      </c>
      <c r="B2002" s="242">
        <f t="shared" si="793"/>
        <v>46661</v>
      </c>
      <c r="C2002" s="243">
        <f t="shared" si="774"/>
        <v>46691</v>
      </c>
      <c r="D2002" s="120">
        <f t="shared" si="775"/>
        <v>31</v>
      </c>
      <c r="E2002" s="120">
        <f t="shared" si="776"/>
        <v>10</v>
      </c>
      <c r="F2002" s="275">
        <f t="shared" si="777"/>
        <v>46676.5</v>
      </c>
      <c r="G2002" s="120">
        <f t="shared" si="778"/>
        <v>24333</v>
      </c>
      <c r="H2002" s="245">
        <f t="shared" si="779"/>
        <v>1</v>
      </c>
      <c r="I2002" s="121">
        <f t="shared" si="780"/>
        <v>1</v>
      </c>
      <c r="J2002" s="121">
        <f t="shared" si="781"/>
        <v>1</v>
      </c>
      <c r="K2002" s="120">
        <f t="shared" si="782"/>
        <v>0</v>
      </c>
      <c r="L2002" s="120">
        <f t="shared" si="783"/>
        <v>0</v>
      </c>
      <c r="M2002" s="246">
        <f t="shared" si="784"/>
        <v>0</v>
      </c>
      <c r="N2002" s="121">
        <f t="shared" si="785"/>
        <v>1</v>
      </c>
      <c r="O2002" s="246">
        <f t="shared" si="786"/>
        <v>0.98167396061269141</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87">
        <v>35</v>
      </c>
      <c r="B2003" s="242">
        <f t="shared" si="793"/>
        <v>46692</v>
      </c>
      <c r="C2003" s="243">
        <f t="shared" si="774"/>
        <v>46721</v>
      </c>
      <c r="D2003" s="120">
        <f t="shared" si="775"/>
        <v>30</v>
      </c>
      <c r="E2003" s="120">
        <f t="shared" si="776"/>
        <v>11</v>
      </c>
      <c r="F2003" s="275">
        <f t="shared" si="777"/>
        <v>46707</v>
      </c>
      <c r="G2003" s="120">
        <f t="shared" si="778"/>
        <v>24334</v>
      </c>
      <c r="H2003" s="245">
        <f t="shared" si="779"/>
        <v>1</v>
      </c>
      <c r="I2003" s="121">
        <f t="shared" si="780"/>
        <v>1</v>
      </c>
      <c r="J2003" s="121">
        <f t="shared" si="781"/>
        <v>1</v>
      </c>
      <c r="K2003" s="120">
        <f t="shared" si="782"/>
        <v>0</v>
      </c>
      <c r="L2003" s="120">
        <f t="shared" si="783"/>
        <v>0</v>
      </c>
      <c r="M2003" s="246">
        <f t="shared" si="784"/>
        <v>0</v>
      </c>
      <c r="N2003" s="121">
        <f t="shared" si="785"/>
        <v>1</v>
      </c>
      <c r="O2003" s="246">
        <f t="shared" si="786"/>
        <v>0.98100656455142232</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87">
        <v>36</v>
      </c>
      <c r="B2004" s="242">
        <f t="shared" si="793"/>
        <v>46722</v>
      </c>
      <c r="C2004" s="243">
        <f t="shared" si="774"/>
        <v>46752</v>
      </c>
      <c r="D2004" s="120">
        <f t="shared" si="775"/>
        <v>31</v>
      </c>
      <c r="E2004" s="120">
        <f t="shared" si="776"/>
        <v>12</v>
      </c>
      <c r="F2004" s="275">
        <f t="shared" si="777"/>
        <v>46737.5</v>
      </c>
      <c r="G2004" s="120">
        <f t="shared" si="778"/>
        <v>24335</v>
      </c>
      <c r="H2004" s="245">
        <f t="shared" si="779"/>
        <v>1</v>
      </c>
      <c r="I2004" s="121">
        <f t="shared" si="780"/>
        <v>1</v>
      </c>
      <c r="J2004" s="121">
        <f t="shared" si="781"/>
        <v>1</v>
      </c>
      <c r="K2004" s="120">
        <f t="shared" si="782"/>
        <v>0</v>
      </c>
      <c r="L2004" s="120">
        <f t="shared" si="783"/>
        <v>0</v>
      </c>
      <c r="M2004" s="246">
        <f t="shared" si="784"/>
        <v>0</v>
      </c>
      <c r="N2004" s="121">
        <f t="shared" si="785"/>
        <v>1</v>
      </c>
      <c r="O2004" s="246">
        <f t="shared" si="786"/>
        <v>0.98033916849015312</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87">
        <v>37</v>
      </c>
      <c r="B2005" s="242">
        <f t="shared" si="793"/>
        <v>46753</v>
      </c>
      <c r="C2005" s="243">
        <f t="shared" si="774"/>
        <v>46783</v>
      </c>
      <c r="D2005" s="120">
        <f t="shared" si="775"/>
        <v>31</v>
      </c>
      <c r="E2005" s="120">
        <f t="shared" si="776"/>
        <v>1</v>
      </c>
      <c r="F2005" s="275">
        <f t="shared" si="777"/>
        <v>46768.5</v>
      </c>
      <c r="G2005" s="120">
        <f t="shared" si="778"/>
        <v>24336</v>
      </c>
      <c r="H2005" s="245">
        <f t="shared" si="779"/>
        <v>1</v>
      </c>
      <c r="I2005" s="121">
        <f t="shared" si="780"/>
        <v>1</v>
      </c>
      <c r="J2005" s="121">
        <f t="shared" si="781"/>
        <v>1</v>
      </c>
      <c r="K2005" s="120">
        <f t="shared" si="782"/>
        <v>0</v>
      </c>
      <c r="L2005" s="120">
        <f t="shared" si="783"/>
        <v>0</v>
      </c>
      <c r="M2005" s="246">
        <f t="shared" si="784"/>
        <v>0</v>
      </c>
      <c r="N2005" s="121">
        <f t="shared" si="785"/>
        <v>1</v>
      </c>
      <c r="O2005" s="246">
        <f t="shared" si="786"/>
        <v>0.98</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87">
        <v>38</v>
      </c>
      <c r="B2006" s="242">
        <f t="shared" si="793"/>
        <v>46784</v>
      </c>
      <c r="C2006" s="243">
        <f t="shared" si="774"/>
        <v>46812</v>
      </c>
      <c r="D2006" s="120">
        <f t="shared" si="775"/>
        <v>29</v>
      </c>
      <c r="E2006" s="120">
        <f t="shared" si="776"/>
        <v>2</v>
      </c>
      <c r="F2006" s="275">
        <f t="shared" si="777"/>
        <v>46798.5</v>
      </c>
      <c r="G2006" s="120">
        <f t="shared" si="778"/>
        <v>24337</v>
      </c>
      <c r="H2006" s="245">
        <f t="shared" si="779"/>
        <v>1</v>
      </c>
      <c r="I2006" s="121">
        <f t="shared" si="780"/>
        <v>1</v>
      </c>
      <c r="J2006" s="121">
        <f t="shared" si="781"/>
        <v>1</v>
      </c>
      <c r="K2006" s="120">
        <f t="shared" si="782"/>
        <v>0</v>
      </c>
      <c r="L2006" s="120">
        <f t="shared" si="783"/>
        <v>0</v>
      </c>
      <c r="M2006" s="246">
        <f t="shared" si="784"/>
        <v>0</v>
      </c>
      <c r="N2006" s="121">
        <f t="shared" si="785"/>
        <v>1</v>
      </c>
      <c r="O2006" s="246">
        <f t="shared" si="786"/>
        <v>0.98</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87">
        <v>39</v>
      </c>
      <c r="B2007" s="242">
        <f t="shared" si="793"/>
        <v>46813</v>
      </c>
      <c r="C2007" s="243">
        <f t="shared" si="774"/>
        <v>46843</v>
      </c>
      <c r="D2007" s="120">
        <f t="shared" si="775"/>
        <v>31</v>
      </c>
      <c r="E2007" s="120">
        <f t="shared" si="776"/>
        <v>3</v>
      </c>
      <c r="F2007" s="275">
        <f t="shared" si="777"/>
        <v>46828.5</v>
      </c>
      <c r="G2007" s="120">
        <f t="shared" si="778"/>
        <v>24338</v>
      </c>
      <c r="H2007" s="245">
        <f t="shared" si="779"/>
        <v>1</v>
      </c>
      <c r="I2007" s="121">
        <f t="shared" si="780"/>
        <v>1</v>
      </c>
      <c r="J2007" s="121">
        <f t="shared" si="781"/>
        <v>1</v>
      </c>
      <c r="K2007" s="120">
        <f t="shared" si="782"/>
        <v>0</v>
      </c>
      <c r="L2007" s="120">
        <f t="shared" si="783"/>
        <v>0</v>
      </c>
      <c r="M2007" s="246">
        <f t="shared" si="784"/>
        <v>0</v>
      </c>
      <c r="N2007" s="121">
        <f t="shared" si="785"/>
        <v>1</v>
      </c>
      <c r="O2007" s="246">
        <f t="shared" si="786"/>
        <v>0.98</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87">
        <v>40</v>
      </c>
      <c r="B2008" s="242">
        <f t="shared" si="793"/>
        <v>46844</v>
      </c>
      <c r="C2008" s="243">
        <f t="shared" si="774"/>
        <v>46873</v>
      </c>
      <c r="D2008" s="120">
        <f t="shared" si="775"/>
        <v>30</v>
      </c>
      <c r="E2008" s="120">
        <f t="shared" si="776"/>
        <v>4</v>
      </c>
      <c r="F2008" s="275">
        <f t="shared" si="777"/>
        <v>46859</v>
      </c>
      <c r="G2008" s="120">
        <f t="shared" si="778"/>
        <v>24339</v>
      </c>
      <c r="H2008" s="245">
        <f t="shared" si="779"/>
        <v>1</v>
      </c>
      <c r="I2008" s="121">
        <f t="shared" si="780"/>
        <v>1</v>
      </c>
      <c r="J2008" s="121">
        <f t="shared" si="781"/>
        <v>1</v>
      </c>
      <c r="K2008" s="120">
        <f t="shared" si="782"/>
        <v>0</v>
      </c>
      <c r="L2008" s="120">
        <f t="shared" si="783"/>
        <v>0</v>
      </c>
      <c r="M2008" s="246">
        <f t="shared" si="784"/>
        <v>0</v>
      </c>
      <c r="N2008" s="121">
        <f t="shared" si="785"/>
        <v>1</v>
      </c>
      <c r="O2008" s="246">
        <f t="shared" si="786"/>
        <v>0.98</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87">
        <v>41</v>
      </c>
      <c r="B2009" s="242">
        <f t="shared" si="793"/>
        <v>46874</v>
      </c>
      <c r="C2009" s="243">
        <f t="shared" si="774"/>
        <v>46904</v>
      </c>
      <c r="D2009" s="120">
        <f t="shared" si="775"/>
        <v>31</v>
      </c>
      <c r="E2009" s="120">
        <f t="shared" si="776"/>
        <v>5</v>
      </c>
      <c r="F2009" s="275">
        <f t="shared" si="777"/>
        <v>46889.5</v>
      </c>
      <c r="G2009" s="120">
        <f t="shared" si="778"/>
        <v>24340</v>
      </c>
      <c r="H2009" s="245">
        <f t="shared" si="779"/>
        <v>1</v>
      </c>
      <c r="I2009" s="121">
        <f t="shared" si="780"/>
        <v>1</v>
      </c>
      <c r="J2009" s="121">
        <f t="shared" si="781"/>
        <v>1</v>
      </c>
      <c r="K2009" s="120">
        <f t="shared" si="782"/>
        <v>0</v>
      </c>
      <c r="L2009" s="120">
        <f t="shared" si="783"/>
        <v>0</v>
      </c>
      <c r="M2009" s="246">
        <f t="shared" si="784"/>
        <v>0</v>
      </c>
      <c r="N2009" s="121">
        <f t="shared" si="785"/>
        <v>1</v>
      </c>
      <c r="O2009" s="246">
        <f t="shared" si="786"/>
        <v>0.98</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87">
        <v>42</v>
      </c>
      <c r="B2010" s="242">
        <f t="shared" si="793"/>
        <v>46905</v>
      </c>
      <c r="C2010" s="243">
        <f t="shared" si="774"/>
        <v>46934</v>
      </c>
      <c r="D2010" s="120">
        <f t="shared" si="775"/>
        <v>30</v>
      </c>
      <c r="E2010" s="120">
        <f t="shared" si="776"/>
        <v>6</v>
      </c>
      <c r="F2010" s="275">
        <f t="shared" si="777"/>
        <v>46920</v>
      </c>
      <c r="G2010" s="120">
        <f t="shared" si="778"/>
        <v>24341</v>
      </c>
      <c r="H2010" s="245">
        <f t="shared" si="779"/>
        <v>1</v>
      </c>
      <c r="I2010" s="121">
        <f t="shared" si="780"/>
        <v>1</v>
      </c>
      <c r="J2010" s="121">
        <f t="shared" si="781"/>
        <v>1</v>
      </c>
      <c r="K2010" s="120">
        <f t="shared" si="782"/>
        <v>0</v>
      </c>
      <c r="L2010" s="120">
        <f t="shared" si="783"/>
        <v>0</v>
      </c>
      <c r="M2010" s="246">
        <f t="shared" si="784"/>
        <v>0</v>
      </c>
      <c r="N2010" s="121">
        <f t="shared" si="785"/>
        <v>1</v>
      </c>
      <c r="O2010" s="246">
        <f t="shared" si="786"/>
        <v>0.98</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87">
        <v>43</v>
      </c>
      <c r="B2011" s="242">
        <f t="shared" si="793"/>
        <v>46935</v>
      </c>
      <c r="C2011" s="243">
        <f t="shared" si="774"/>
        <v>46965</v>
      </c>
      <c r="D2011" s="120">
        <f t="shared" si="775"/>
        <v>31</v>
      </c>
      <c r="E2011" s="120">
        <f t="shared" si="776"/>
        <v>7</v>
      </c>
      <c r="F2011" s="275">
        <f t="shared" si="777"/>
        <v>46950.5</v>
      </c>
      <c r="G2011" s="120">
        <f t="shared" si="778"/>
        <v>24342</v>
      </c>
      <c r="H2011" s="245">
        <f t="shared" si="779"/>
        <v>1</v>
      </c>
      <c r="I2011" s="121">
        <f t="shared" si="780"/>
        <v>1</v>
      </c>
      <c r="J2011" s="121">
        <f t="shared" si="781"/>
        <v>1</v>
      </c>
      <c r="K2011" s="120">
        <f t="shared" si="782"/>
        <v>0</v>
      </c>
      <c r="L2011" s="120">
        <f t="shared" si="783"/>
        <v>0</v>
      </c>
      <c r="M2011" s="246">
        <f t="shared" si="784"/>
        <v>0</v>
      </c>
      <c r="N2011" s="121">
        <f t="shared" si="785"/>
        <v>1</v>
      </c>
      <c r="O2011" s="246">
        <f t="shared" si="786"/>
        <v>0.98</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87">
        <v>44</v>
      </c>
      <c r="B2012" s="242">
        <f t="shared" si="793"/>
        <v>46966</v>
      </c>
      <c r="C2012" s="243">
        <f t="shared" si="774"/>
        <v>46996</v>
      </c>
      <c r="D2012" s="120">
        <f t="shared" si="775"/>
        <v>31</v>
      </c>
      <c r="E2012" s="120">
        <f t="shared" si="776"/>
        <v>8</v>
      </c>
      <c r="F2012" s="275">
        <f t="shared" si="777"/>
        <v>46981.5</v>
      </c>
      <c r="G2012" s="120">
        <f t="shared" si="778"/>
        <v>24343</v>
      </c>
      <c r="H2012" s="245">
        <f t="shared" si="779"/>
        <v>1</v>
      </c>
      <c r="I2012" s="121">
        <f t="shared" si="780"/>
        <v>1</v>
      </c>
      <c r="J2012" s="121">
        <f t="shared" si="781"/>
        <v>1</v>
      </c>
      <c r="K2012" s="120">
        <f t="shared" si="782"/>
        <v>0</v>
      </c>
      <c r="L2012" s="120">
        <f t="shared" si="783"/>
        <v>0</v>
      </c>
      <c r="M2012" s="246">
        <f t="shared" si="784"/>
        <v>0</v>
      </c>
      <c r="N2012" s="121">
        <f t="shared" si="785"/>
        <v>1</v>
      </c>
      <c r="O2012" s="246">
        <f t="shared" si="786"/>
        <v>0.98</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87">
        <v>45</v>
      </c>
      <c r="B2013" s="242">
        <f t="shared" si="793"/>
        <v>46997</v>
      </c>
      <c r="C2013" s="243">
        <f t="shared" si="774"/>
        <v>47026</v>
      </c>
      <c r="D2013" s="120">
        <f t="shared" si="775"/>
        <v>30</v>
      </c>
      <c r="E2013" s="120">
        <f t="shared" si="776"/>
        <v>9</v>
      </c>
      <c r="F2013" s="275">
        <f t="shared" si="777"/>
        <v>47012</v>
      </c>
      <c r="G2013" s="120">
        <f t="shared" si="778"/>
        <v>24344</v>
      </c>
      <c r="H2013" s="245">
        <f t="shared" si="779"/>
        <v>1</v>
      </c>
      <c r="I2013" s="121">
        <f t="shared" si="780"/>
        <v>1</v>
      </c>
      <c r="J2013" s="121">
        <f t="shared" si="781"/>
        <v>1</v>
      </c>
      <c r="K2013" s="120">
        <f t="shared" si="782"/>
        <v>0</v>
      </c>
      <c r="L2013" s="120">
        <f t="shared" si="783"/>
        <v>0</v>
      </c>
      <c r="M2013" s="246">
        <f t="shared" si="784"/>
        <v>0</v>
      </c>
      <c r="N2013" s="121">
        <f t="shared" si="785"/>
        <v>1</v>
      </c>
      <c r="O2013" s="246">
        <f t="shared" si="786"/>
        <v>0.98</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87">
        <v>46</v>
      </c>
      <c r="B2014" s="242">
        <f t="shared" si="793"/>
        <v>47027</v>
      </c>
      <c r="C2014" s="243">
        <f t="shared" si="774"/>
        <v>47057</v>
      </c>
      <c r="D2014" s="120">
        <f t="shared" si="775"/>
        <v>31</v>
      </c>
      <c r="E2014" s="120">
        <f t="shared" si="776"/>
        <v>10</v>
      </c>
      <c r="F2014" s="275">
        <f t="shared" si="777"/>
        <v>47042.5</v>
      </c>
      <c r="G2014" s="120">
        <f t="shared" si="778"/>
        <v>24345</v>
      </c>
      <c r="H2014" s="245">
        <f t="shared" si="779"/>
        <v>1</v>
      </c>
      <c r="I2014" s="121">
        <f t="shared" si="780"/>
        <v>1</v>
      </c>
      <c r="J2014" s="121">
        <f t="shared" si="781"/>
        <v>1</v>
      </c>
      <c r="K2014" s="120">
        <f t="shared" si="782"/>
        <v>0</v>
      </c>
      <c r="L2014" s="120">
        <f t="shared" si="783"/>
        <v>0</v>
      </c>
      <c r="M2014" s="246">
        <f t="shared" si="784"/>
        <v>0</v>
      </c>
      <c r="N2014" s="121">
        <f t="shared" si="785"/>
        <v>1</v>
      </c>
      <c r="O2014" s="246">
        <f t="shared" si="786"/>
        <v>0.98</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87">
        <v>47</v>
      </c>
      <c r="B2015" s="242">
        <f t="shared" si="793"/>
        <v>47058</v>
      </c>
      <c r="C2015" s="243">
        <f t="shared" si="774"/>
        <v>47087</v>
      </c>
      <c r="D2015" s="120">
        <f t="shared" si="775"/>
        <v>30</v>
      </c>
      <c r="E2015" s="120">
        <f t="shared" si="776"/>
        <v>11</v>
      </c>
      <c r="F2015" s="275">
        <f t="shared" si="777"/>
        <v>47073</v>
      </c>
      <c r="G2015" s="120">
        <f t="shared" si="778"/>
        <v>24346</v>
      </c>
      <c r="H2015" s="245">
        <f t="shared" si="779"/>
        <v>1</v>
      </c>
      <c r="I2015" s="121">
        <f t="shared" si="780"/>
        <v>1</v>
      </c>
      <c r="J2015" s="121">
        <f t="shared" si="781"/>
        <v>1</v>
      </c>
      <c r="K2015" s="120">
        <f t="shared" si="782"/>
        <v>0</v>
      </c>
      <c r="L2015" s="120">
        <f t="shared" si="783"/>
        <v>0</v>
      </c>
      <c r="M2015" s="246">
        <f t="shared" si="784"/>
        <v>0</v>
      </c>
      <c r="N2015" s="121">
        <f t="shared" si="785"/>
        <v>1</v>
      </c>
      <c r="O2015" s="246">
        <f t="shared" si="786"/>
        <v>0.98</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87">
        <v>48</v>
      </c>
      <c r="B2016" s="242">
        <f t="shared" si="793"/>
        <v>47088</v>
      </c>
      <c r="C2016" s="243">
        <f t="shared" si="774"/>
        <v>47118</v>
      </c>
      <c r="D2016" s="120">
        <f t="shared" si="775"/>
        <v>31</v>
      </c>
      <c r="E2016" s="120">
        <f t="shared" si="776"/>
        <v>12</v>
      </c>
      <c r="F2016" s="275">
        <f t="shared" si="777"/>
        <v>47103.5</v>
      </c>
      <c r="G2016" s="120">
        <f t="shared" si="778"/>
        <v>24347</v>
      </c>
      <c r="H2016" s="245">
        <f t="shared" si="779"/>
        <v>1</v>
      </c>
      <c r="I2016" s="121">
        <f t="shared" si="780"/>
        <v>1</v>
      </c>
      <c r="J2016" s="121">
        <f t="shared" si="781"/>
        <v>1</v>
      </c>
      <c r="K2016" s="120">
        <f t="shared" si="782"/>
        <v>0</v>
      </c>
      <c r="L2016" s="120">
        <f t="shared" si="783"/>
        <v>0</v>
      </c>
      <c r="M2016" s="246">
        <f t="shared" si="784"/>
        <v>0</v>
      </c>
      <c r="N2016" s="121">
        <f t="shared" si="785"/>
        <v>1</v>
      </c>
      <c r="O2016" s="246">
        <f t="shared" si="786"/>
        <v>0.98</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1651</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0.98800419401896411</v>
      </c>
      <c r="G2017" s="224">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24">
        <f>IF(N(INDEX(lr_mind,37))=0,1,INDEX(lr_mind,37))</f>
        <v>1</v>
      </c>
      <c r="G2020" s="224">
        <f>IF(N(INDEX(lr_m0,37))=0,1,INDEX(lr_m0,37))</f>
        <v>0.99</v>
      </c>
      <c r="H2020" s="74">
        <f>IF(N(INDEX(lr_m0asof,37))=0,DATE(nr_PlanYear-1,10,1),INDEX(lr_m0asof,37))</f>
        <v>46295</v>
      </c>
      <c r="I2020" s="224">
        <f>IF(N(INDEX(lr_m1,37))=0,1,INDEX(lr_m1,37))</f>
        <v>0.995</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94">EOMONTH($B2023,0)</f>
        <v>45688</v>
      </c>
      <c r="D2023" s="120">
        <f t="shared" ref="D2023:D2070" si="795">$C2023-$B2023+1</f>
        <v>31</v>
      </c>
      <c r="E2023" s="120">
        <f t="shared" ref="E2023:E2070" si="796">MONTH($B2023)</f>
        <v>1</v>
      </c>
      <c r="F2023" s="275">
        <f t="shared" ref="F2023:F2070" si="797">($B2023+$C2023+1)/2</f>
        <v>45673.5</v>
      </c>
      <c r="G2023" s="120">
        <f t="shared" ref="G2023:G2070" si="798">YEAR($B2023)*12+MONTH($B2023)-1</f>
        <v>24300</v>
      </c>
      <c r="H2023" s="245">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46">
        <f t="shared" ref="M2023:M2070" si="804">IF($K2023=0,0,MIN(1,$L2023/$D2023))</f>
        <v>0</v>
      </c>
      <c r="N2023" s="121">
        <f t="shared" ref="N2023:N2070" si="805">IF($K2023=0,$J2023,(1-$M2023)*$I2023+$M2023*$J2023)</f>
        <v>1</v>
      </c>
      <c r="O2023" s="246">
        <f t="shared" ref="O2023:O2070" si="806">IF($F2023&lt;$B$2021,$E$2021+$I$2021*($F2023-$A$2021),IF($F2023&lt;$C$2021,$F$2021+$J$2021*($F2023-$B$2021),$G$2021+$K$2021*($F2023-$C$2021)))</f>
        <v>0.98318927789934352</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87">
        <v>2</v>
      </c>
      <c r="B2024" s="242">
        <f t="shared" ref="B2024:B2070" si="813">EDATE($B2023,1)</f>
        <v>45689</v>
      </c>
      <c r="C2024" s="243">
        <f t="shared" si="794"/>
        <v>45716</v>
      </c>
      <c r="D2024" s="120">
        <f t="shared" si="795"/>
        <v>28</v>
      </c>
      <c r="E2024" s="120">
        <f t="shared" si="796"/>
        <v>2</v>
      </c>
      <c r="F2024" s="275">
        <f t="shared" si="797"/>
        <v>45703</v>
      </c>
      <c r="G2024" s="120">
        <f t="shared" si="798"/>
        <v>24301</v>
      </c>
      <c r="H2024" s="245">
        <f t="shared" si="799"/>
        <v>1</v>
      </c>
      <c r="I2024" s="121">
        <f t="shared" si="800"/>
        <v>1</v>
      </c>
      <c r="J2024" s="121">
        <f t="shared" si="801"/>
        <v>1</v>
      </c>
      <c r="K2024" s="120">
        <f t="shared" si="802"/>
        <v>0</v>
      </c>
      <c r="L2024" s="120">
        <f t="shared" si="803"/>
        <v>0</v>
      </c>
      <c r="M2024" s="246">
        <f t="shared" si="804"/>
        <v>0</v>
      </c>
      <c r="N2024" s="121">
        <f t="shared" si="805"/>
        <v>1</v>
      </c>
      <c r="O2024" s="246">
        <f t="shared" si="806"/>
        <v>0.98351203501094098</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87">
        <v>3</v>
      </c>
      <c r="B2025" s="242">
        <f t="shared" si="813"/>
        <v>45717</v>
      </c>
      <c r="C2025" s="243">
        <f t="shared" si="794"/>
        <v>45747</v>
      </c>
      <c r="D2025" s="120">
        <f t="shared" si="795"/>
        <v>31</v>
      </c>
      <c r="E2025" s="120">
        <f t="shared" si="796"/>
        <v>3</v>
      </c>
      <c r="F2025" s="275">
        <f t="shared" si="797"/>
        <v>45732.5</v>
      </c>
      <c r="G2025" s="120">
        <f t="shared" si="798"/>
        <v>24302</v>
      </c>
      <c r="H2025" s="245">
        <f t="shared" si="799"/>
        <v>1</v>
      </c>
      <c r="I2025" s="121">
        <f t="shared" si="800"/>
        <v>1</v>
      </c>
      <c r="J2025" s="121">
        <f t="shared" si="801"/>
        <v>1</v>
      </c>
      <c r="K2025" s="120">
        <f t="shared" si="802"/>
        <v>0</v>
      </c>
      <c r="L2025" s="120">
        <f t="shared" si="803"/>
        <v>0</v>
      </c>
      <c r="M2025" s="246">
        <f t="shared" si="804"/>
        <v>0</v>
      </c>
      <c r="N2025" s="121">
        <f t="shared" si="805"/>
        <v>1</v>
      </c>
      <c r="O2025" s="246">
        <f t="shared" si="806"/>
        <v>0.98383479212253833</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87">
        <v>4</v>
      </c>
      <c r="B2026" s="242">
        <f t="shared" si="813"/>
        <v>45748</v>
      </c>
      <c r="C2026" s="243">
        <f t="shared" si="794"/>
        <v>45777</v>
      </c>
      <c r="D2026" s="120">
        <f t="shared" si="795"/>
        <v>30</v>
      </c>
      <c r="E2026" s="120">
        <f t="shared" si="796"/>
        <v>4</v>
      </c>
      <c r="F2026" s="275">
        <f t="shared" si="797"/>
        <v>45763</v>
      </c>
      <c r="G2026" s="120">
        <f t="shared" si="798"/>
        <v>24303</v>
      </c>
      <c r="H2026" s="245">
        <f t="shared" si="799"/>
        <v>1</v>
      </c>
      <c r="I2026" s="121">
        <f t="shared" si="800"/>
        <v>1</v>
      </c>
      <c r="J2026" s="121">
        <f t="shared" si="801"/>
        <v>1</v>
      </c>
      <c r="K2026" s="120">
        <f t="shared" si="802"/>
        <v>0</v>
      </c>
      <c r="L2026" s="120">
        <f t="shared" si="803"/>
        <v>0</v>
      </c>
      <c r="M2026" s="246">
        <f t="shared" si="804"/>
        <v>0</v>
      </c>
      <c r="N2026" s="121">
        <f t="shared" si="805"/>
        <v>1</v>
      </c>
      <c r="O2026" s="246">
        <f t="shared" si="806"/>
        <v>0.98416849015317287</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87">
        <v>5</v>
      </c>
      <c r="B2027" s="242">
        <f t="shared" si="813"/>
        <v>45778</v>
      </c>
      <c r="C2027" s="243">
        <f t="shared" si="794"/>
        <v>45808</v>
      </c>
      <c r="D2027" s="120">
        <f t="shared" si="795"/>
        <v>31</v>
      </c>
      <c r="E2027" s="120">
        <f t="shared" si="796"/>
        <v>5</v>
      </c>
      <c r="F2027" s="275">
        <f t="shared" si="797"/>
        <v>45793.5</v>
      </c>
      <c r="G2027" s="120">
        <f t="shared" si="798"/>
        <v>24304</v>
      </c>
      <c r="H2027" s="245">
        <f t="shared" si="799"/>
        <v>1</v>
      </c>
      <c r="I2027" s="121">
        <f t="shared" si="800"/>
        <v>1</v>
      </c>
      <c r="J2027" s="121">
        <f t="shared" si="801"/>
        <v>1</v>
      </c>
      <c r="K2027" s="120">
        <f t="shared" si="802"/>
        <v>0</v>
      </c>
      <c r="L2027" s="120">
        <f t="shared" si="803"/>
        <v>0</v>
      </c>
      <c r="M2027" s="246">
        <f t="shared" si="804"/>
        <v>0</v>
      </c>
      <c r="N2027" s="121">
        <f t="shared" si="805"/>
        <v>1</v>
      </c>
      <c r="O2027" s="246">
        <f t="shared" si="806"/>
        <v>0.98450218818380741</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87">
        <v>6</v>
      </c>
      <c r="B2028" s="242">
        <f t="shared" si="813"/>
        <v>45809</v>
      </c>
      <c r="C2028" s="243">
        <f t="shared" si="794"/>
        <v>45838</v>
      </c>
      <c r="D2028" s="120">
        <f t="shared" si="795"/>
        <v>30</v>
      </c>
      <c r="E2028" s="120">
        <f t="shared" si="796"/>
        <v>6</v>
      </c>
      <c r="F2028" s="275">
        <f t="shared" si="797"/>
        <v>45824</v>
      </c>
      <c r="G2028" s="120">
        <f t="shared" si="798"/>
        <v>24305</v>
      </c>
      <c r="H2028" s="245">
        <f t="shared" si="799"/>
        <v>1</v>
      </c>
      <c r="I2028" s="121">
        <f t="shared" si="800"/>
        <v>1</v>
      </c>
      <c r="J2028" s="121">
        <f t="shared" si="801"/>
        <v>1</v>
      </c>
      <c r="K2028" s="120">
        <f t="shared" si="802"/>
        <v>0</v>
      </c>
      <c r="L2028" s="120">
        <f t="shared" si="803"/>
        <v>0</v>
      </c>
      <c r="M2028" s="246">
        <f t="shared" si="804"/>
        <v>0</v>
      </c>
      <c r="N2028" s="121">
        <f t="shared" si="805"/>
        <v>1</v>
      </c>
      <c r="O2028" s="246">
        <f t="shared" si="806"/>
        <v>0.98483588621444207</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87">
        <v>7</v>
      </c>
      <c r="B2029" s="242">
        <f t="shared" si="813"/>
        <v>45839</v>
      </c>
      <c r="C2029" s="243">
        <f t="shared" si="794"/>
        <v>45869</v>
      </c>
      <c r="D2029" s="120">
        <f t="shared" si="795"/>
        <v>31</v>
      </c>
      <c r="E2029" s="120">
        <f t="shared" si="796"/>
        <v>7</v>
      </c>
      <c r="F2029" s="275">
        <f t="shared" si="797"/>
        <v>45854.5</v>
      </c>
      <c r="G2029" s="120">
        <f t="shared" si="798"/>
        <v>24306</v>
      </c>
      <c r="H2029" s="245">
        <f t="shared" si="799"/>
        <v>1</v>
      </c>
      <c r="I2029" s="121">
        <f t="shared" si="800"/>
        <v>1</v>
      </c>
      <c r="J2029" s="121">
        <f t="shared" si="801"/>
        <v>1</v>
      </c>
      <c r="K2029" s="120">
        <f t="shared" si="802"/>
        <v>0</v>
      </c>
      <c r="L2029" s="120">
        <f t="shared" si="803"/>
        <v>0</v>
      </c>
      <c r="M2029" s="246">
        <f t="shared" si="804"/>
        <v>0</v>
      </c>
      <c r="N2029" s="121">
        <f t="shared" si="805"/>
        <v>1</v>
      </c>
      <c r="O2029" s="246">
        <f t="shared" si="806"/>
        <v>0.98516958424507661</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87">
        <v>8</v>
      </c>
      <c r="B2030" s="242">
        <f t="shared" si="813"/>
        <v>45870</v>
      </c>
      <c r="C2030" s="243">
        <f t="shared" si="794"/>
        <v>45900</v>
      </c>
      <c r="D2030" s="120">
        <f t="shared" si="795"/>
        <v>31</v>
      </c>
      <c r="E2030" s="120">
        <f t="shared" si="796"/>
        <v>8</v>
      </c>
      <c r="F2030" s="275">
        <f t="shared" si="797"/>
        <v>45885.5</v>
      </c>
      <c r="G2030" s="120">
        <f t="shared" si="798"/>
        <v>24307</v>
      </c>
      <c r="H2030" s="245">
        <f t="shared" si="799"/>
        <v>1</v>
      </c>
      <c r="I2030" s="121">
        <f t="shared" si="800"/>
        <v>1</v>
      </c>
      <c r="J2030" s="121">
        <f t="shared" si="801"/>
        <v>1</v>
      </c>
      <c r="K2030" s="120">
        <f t="shared" si="802"/>
        <v>0</v>
      </c>
      <c r="L2030" s="120">
        <f t="shared" si="803"/>
        <v>0</v>
      </c>
      <c r="M2030" s="246">
        <f t="shared" si="804"/>
        <v>0</v>
      </c>
      <c r="N2030" s="121">
        <f t="shared" si="805"/>
        <v>1</v>
      </c>
      <c r="O2030" s="246">
        <f t="shared" si="806"/>
        <v>0.98550875273522975</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87">
        <v>9</v>
      </c>
      <c r="B2031" s="242">
        <f t="shared" si="813"/>
        <v>45901</v>
      </c>
      <c r="C2031" s="243">
        <f t="shared" si="794"/>
        <v>45930</v>
      </c>
      <c r="D2031" s="120">
        <f t="shared" si="795"/>
        <v>30</v>
      </c>
      <c r="E2031" s="120">
        <f t="shared" si="796"/>
        <v>9</v>
      </c>
      <c r="F2031" s="275">
        <f t="shared" si="797"/>
        <v>45916</v>
      </c>
      <c r="G2031" s="120">
        <f t="shared" si="798"/>
        <v>24308</v>
      </c>
      <c r="H2031" s="245">
        <f t="shared" si="799"/>
        <v>1</v>
      </c>
      <c r="I2031" s="121">
        <f t="shared" si="800"/>
        <v>1</v>
      </c>
      <c r="J2031" s="121">
        <f t="shared" si="801"/>
        <v>1</v>
      </c>
      <c r="K2031" s="120">
        <f t="shared" si="802"/>
        <v>0</v>
      </c>
      <c r="L2031" s="120">
        <f t="shared" si="803"/>
        <v>0</v>
      </c>
      <c r="M2031" s="246">
        <f t="shared" si="804"/>
        <v>0</v>
      </c>
      <c r="N2031" s="121">
        <f t="shared" si="805"/>
        <v>1</v>
      </c>
      <c r="O2031" s="246">
        <f t="shared" si="806"/>
        <v>0.9858424507658643</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87">
        <v>10</v>
      </c>
      <c r="B2032" s="242">
        <f t="shared" si="813"/>
        <v>45931</v>
      </c>
      <c r="C2032" s="243">
        <f t="shared" si="794"/>
        <v>45961</v>
      </c>
      <c r="D2032" s="120">
        <f t="shared" si="795"/>
        <v>31</v>
      </c>
      <c r="E2032" s="120">
        <f t="shared" si="796"/>
        <v>10</v>
      </c>
      <c r="F2032" s="275">
        <f t="shared" si="797"/>
        <v>45946.5</v>
      </c>
      <c r="G2032" s="120">
        <f t="shared" si="798"/>
        <v>24309</v>
      </c>
      <c r="H2032" s="245">
        <f t="shared" si="799"/>
        <v>1</v>
      </c>
      <c r="I2032" s="121">
        <f t="shared" si="800"/>
        <v>1</v>
      </c>
      <c r="J2032" s="121">
        <f t="shared" si="801"/>
        <v>1</v>
      </c>
      <c r="K2032" s="120">
        <f t="shared" si="802"/>
        <v>0</v>
      </c>
      <c r="L2032" s="120">
        <f t="shared" si="803"/>
        <v>0</v>
      </c>
      <c r="M2032" s="246">
        <f t="shared" si="804"/>
        <v>0</v>
      </c>
      <c r="N2032" s="121">
        <f t="shared" si="805"/>
        <v>1</v>
      </c>
      <c r="O2032" s="246">
        <f t="shared" si="806"/>
        <v>0.98617614879649895</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87">
        <v>11</v>
      </c>
      <c r="B2033" s="242">
        <f t="shared" si="813"/>
        <v>45962</v>
      </c>
      <c r="C2033" s="243">
        <f t="shared" si="794"/>
        <v>45991</v>
      </c>
      <c r="D2033" s="120">
        <f t="shared" si="795"/>
        <v>30</v>
      </c>
      <c r="E2033" s="120">
        <f t="shared" si="796"/>
        <v>11</v>
      </c>
      <c r="F2033" s="275">
        <f t="shared" si="797"/>
        <v>45977</v>
      </c>
      <c r="G2033" s="120">
        <f t="shared" si="798"/>
        <v>24310</v>
      </c>
      <c r="H2033" s="245">
        <f t="shared" si="799"/>
        <v>1</v>
      </c>
      <c r="I2033" s="121">
        <f t="shared" si="800"/>
        <v>1</v>
      </c>
      <c r="J2033" s="121">
        <f t="shared" si="801"/>
        <v>1</v>
      </c>
      <c r="K2033" s="120">
        <f t="shared" si="802"/>
        <v>0</v>
      </c>
      <c r="L2033" s="120">
        <f t="shared" si="803"/>
        <v>0</v>
      </c>
      <c r="M2033" s="246">
        <f t="shared" si="804"/>
        <v>0</v>
      </c>
      <c r="N2033" s="121">
        <f t="shared" si="805"/>
        <v>1</v>
      </c>
      <c r="O2033" s="246">
        <f t="shared" si="806"/>
        <v>0.9865098468271335</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87">
        <v>12</v>
      </c>
      <c r="B2034" s="242">
        <f t="shared" si="813"/>
        <v>45992</v>
      </c>
      <c r="C2034" s="243">
        <f t="shared" si="794"/>
        <v>46022</v>
      </c>
      <c r="D2034" s="120">
        <f t="shared" si="795"/>
        <v>31</v>
      </c>
      <c r="E2034" s="120">
        <f t="shared" si="796"/>
        <v>12</v>
      </c>
      <c r="F2034" s="275">
        <f t="shared" si="797"/>
        <v>46007.5</v>
      </c>
      <c r="G2034" s="120">
        <f t="shared" si="798"/>
        <v>24311</v>
      </c>
      <c r="H2034" s="245">
        <f t="shared" si="799"/>
        <v>1</v>
      </c>
      <c r="I2034" s="121">
        <f t="shared" si="800"/>
        <v>1</v>
      </c>
      <c r="J2034" s="121">
        <f t="shared" si="801"/>
        <v>1</v>
      </c>
      <c r="K2034" s="120">
        <f t="shared" si="802"/>
        <v>0</v>
      </c>
      <c r="L2034" s="120">
        <f t="shared" si="803"/>
        <v>0</v>
      </c>
      <c r="M2034" s="246">
        <f t="shared" si="804"/>
        <v>0</v>
      </c>
      <c r="N2034" s="121">
        <f t="shared" si="805"/>
        <v>1</v>
      </c>
      <c r="O2034" s="246">
        <f t="shared" si="806"/>
        <v>0.98684354485776804</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87">
        <v>13</v>
      </c>
      <c r="B2035" s="242">
        <f t="shared" si="813"/>
        <v>46023</v>
      </c>
      <c r="C2035" s="243">
        <f t="shared" si="794"/>
        <v>46053</v>
      </c>
      <c r="D2035" s="120">
        <f t="shared" si="795"/>
        <v>31</v>
      </c>
      <c r="E2035" s="120">
        <f t="shared" si="796"/>
        <v>1</v>
      </c>
      <c r="F2035" s="275">
        <f t="shared" si="797"/>
        <v>46038.5</v>
      </c>
      <c r="G2035" s="120">
        <f t="shared" si="798"/>
        <v>24312</v>
      </c>
      <c r="H2035" s="245">
        <f t="shared" si="799"/>
        <v>1</v>
      </c>
      <c r="I2035" s="121">
        <f t="shared" si="800"/>
        <v>1</v>
      </c>
      <c r="J2035" s="121">
        <f t="shared" si="801"/>
        <v>1.03</v>
      </c>
      <c r="K2035" s="120">
        <f t="shared" si="802"/>
        <v>1</v>
      </c>
      <c r="L2035" s="120">
        <f t="shared" si="803"/>
        <v>31</v>
      </c>
      <c r="M2035" s="246">
        <f t="shared" si="804"/>
        <v>1</v>
      </c>
      <c r="N2035" s="121">
        <f t="shared" si="805"/>
        <v>1.03</v>
      </c>
      <c r="O2035" s="246">
        <f t="shared" si="806"/>
        <v>0.98718271334792118</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87">
        <v>14</v>
      </c>
      <c r="B2036" s="242">
        <f t="shared" si="813"/>
        <v>46054</v>
      </c>
      <c r="C2036" s="243">
        <f t="shared" si="794"/>
        <v>46081</v>
      </c>
      <c r="D2036" s="120">
        <f t="shared" si="795"/>
        <v>28</v>
      </c>
      <c r="E2036" s="120">
        <f t="shared" si="796"/>
        <v>2</v>
      </c>
      <c r="F2036" s="275">
        <f t="shared" si="797"/>
        <v>46068</v>
      </c>
      <c r="G2036" s="120">
        <f t="shared" si="798"/>
        <v>24313</v>
      </c>
      <c r="H2036" s="245">
        <f t="shared" si="799"/>
        <v>1</v>
      </c>
      <c r="I2036" s="121">
        <f t="shared" si="800"/>
        <v>1.03</v>
      </c>
      <c r="J2036" s="121">
        <f t="shared" si="801"/>
        <v>1.03</v>
      </c>
      <c r="K2036" s="120">
        <f t="shared" si="802"/>
        <v>0</v>
      </c>
      <c r="L2036" s="120">
        <f t="shared" si="803"/>
        <v>0</v>
      </c>
      <c r="M2036" s="246">
        <f t="shared" si="804"/>
        <v>0</v>
      </c>
      <c r="N2036" s="121">
        <f t="shared" si="805"/>
        <v>1.03</v>
      </c>
      <c r="O2036" s="246">
        <f t="shared" si="806"/>
        <v>0.98750547045951864</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87">
        <v>15</v>
      </c>
      <c r="B2037" s="242">
        <f t="shared" si="813"/>
        <v>46082</v>
      </c>
      <c r="C2037" s="243">
        <f t="shared" si="794"/>
        <v>46112</v>
      </c>
      <c r="D2037" s="120">
        <f t="shared" si="795"/>
        <v>31</v>
      </c>
      <c r="E2037" s="120">
        <f t="shared" si="796"/>
        <v>3</v>
      </c>
      <c r="F2037" s="275">
        <f t="shared" si="797"/>
        <v>46097.5</v>
      </c>
      <c r="G2037" s="120">
        <f t="shared" si="798"/>
        <v>24314</v>
      </c>
      <c r="H2037" s="245">
        <f t="shared" si="799"/>
        <v>1</v>
      </c>
      <c r="I2037" s="121">
        <f t="shared" si="800"/>
        <v>1.03</v>
      </c>
      <c r="J2037" s="121">
        <f t="shared" si="801"/>
        <v>1.03</v>
      </c>
      <c r="K2037" s="120">
        <f t="shared" si="802"/>
        <v>0</v>
      </c>
      <c r="L2037" s="120">
        <f t="shared" si="803"/>
        <v>0</v>
      </c>
      <c r="M2037" s="246">
        <f t="shared" si="804"/>
        <v>0</v>
      </c>
      <c r="N2037" s="121">
        <f t="shared" si="805"/>
        <v>1.03</v>
      </c>
      <c r="O2037" s="246">
        <f t="shared" si="806"/>
        <v>0.98782822757111599</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87">
        <v>16</v>
      </c>
      <c r="B2038" s="242">
        <f t="shared" si="813"/>
        <v>46113</v>
      </c>
      <c r="C2038" s="243">
        <f t="shared" si="794"/>
        <v>46142</v>
      </c>
      <c r="D2038" s="120">
        <f t="shared" si="795"/>
        <v>30</v>
      </c>
      <c r="E2038" s="120">
        <f t="shared" si="796"/>
        <v>4</v>
      </c>
      <c r="F2038" s="275">
        <f t="shared" si="797"/>
        <v>46128</v>
      </c>
      <c r="G2038" s="120">
        <f t="shared" si="798"/>
        <v>24315</v>
      </c>
      <c r="H2038" s="245">
        <f t="shared" si="799"/>
        <v>1</v>
      </c>
      <c r="I2038" s="121">
        <f t="shared" si="800"/>
        <v>1.03</v>
      </c>
      <c r="J2038" s="121">
        <f t="shared" si="801"/>
        <v>1.03</v>
      </c>
      <c r="K2038" s="120">
        <f t="shared" si="802"/>
        <v>0</v>
      </c>
      <c r="L2038" s="120">
        <f t="shared" si="803"/>
        <v>0</v>
      </c>
      <c r="M2038" s="246">
        <f t="shared" si="804"/>
        <v>0</v>
      </c>
      <c r="N2038" s="121">
        <f t="shared" si="805"/>
        <v>1.03</v>
      </c>
      <c r="O2038" s="246">
        <f t="shared" si="806"/>
        <v>0.98816192560175053</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87">
        <v>17</v>
      </c>
      <c r="B2039" s="242">
        <f t="shared" si="813"/>
        <v>46143</v>
      </c>
      <c r="C2039" s="243">
        <f t="shared" si="794"/>
        <v>46173</v>
      </c>
      <c r="D2039" s="120">
        <f t="shared" si="795"/>
        <v>31</v>
      </c>
      <c r="E2039" s="120">
        <f t="shared" si="796"/>
        <v>5</v>
      </c>
      <c r="F2039" s="275">
        <f t="shared" si="797"/>
        <v>46158.5</v>
      </c>
      <c r="G2039" s="120">
        <f t="shared" si="798"/>
        <v>24316</v>
      </c>
      <c r="H2039" s="245">
        <f t="shared" si="799"/>
        <v>1</v>
      </c>
      <c r="I2039" s="121">
        <f t="shared" si="800"/>
        <v>1.03</v>
      </c>
      <c r="J2039" s="121">
        <f t="shared" si="801"/>
        <v>1.03</v>
      </c>
      <c r="K2039" s="120">
        <f t="shared" si="802"/>
        <v>0</v>
      </c>
      <c r="L2039" s="120">
        <f t="shared" si="803"/>
        <v>0</v>
      </c>
      <c r="M2039" s="246">
        <f t="shared" si="804"/>
        <v>0</v>
      </c>
      <c r="N2039" s="121">
        <f t="shared" si="805"/>
        <v>1.03</v>
      </c>
      <c r="O2039" s="246">
        <f t="shared" si="806"/>
        <v>0.98849562363238508</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87">
        <v>18</v>
      </c>
      <c r="B2040" s="242">
        <f t="shared" si="813"/>
        <v>46174</v>
      </c>
      <c r="C2040" s="243">
        <f t="shared" si="794"/>
        <v>46203</v>
      </c>
      <c r="D2040" s="120">
        <f t="shared" si="795"/>
        <v>30</v>
      </c>
      <c r="E2040" s="120">
        <f t="shared" si="796"/>
        <v>6</v>
      </c>
      <c r="F2040" s="275">
        <f t="shared" si="797"/>
        <v>46189</v>
      </c>
      <c r="G2040" s="120">
        <f t="shared" si="798"/>
        <v>24317</v>
      </c>
      <c r="H2040" s="245">
        <f t="shared" si="799"/>
        <v>1</v>
      </c>
      <c r="I2040" s="121">
        <f t="shared" si="800"/>
        <v>1.03</v>
      </c>
      <c r="J2040" s="121">
        <f t="shared" si="801"/>
        <v>1.03</v>
      </c>
      <c r="K2040" s="120">
        <f t="shared" si="802"/>
        <v>0</v>
      </c>
      <c r="L2040" s="120">
        <f t="shared" si="803"/>
        <v>0</v>
      </c>
      <c r="M2040" s="246">
        <f t="shared" si="804"/>
        <v>0</v>
      </c>
      <c r="N2040" s="121">
        <f t="shared" si="805"/>
        <v>1.03</v>
      </c>
      <c r="O2040" s="246">
        <f t="shared" si="806"/>
        <v>0.98882932166301973</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87">
        <v>19</v>
      </c>
      <c r="B2041" s="242">
        <f t="shared" si="813"/>
        <v>46204</v>
      </c>
      <c r="C2041" s="243">
        <f t="shared" si="794"/>
        <v>46234</v>
      </c>
      <c r="D2041" s="120">
        <f t="shared" si="795"/>
        <v>31</v>
      </c>
      <c r="E2041" s="120">
        <f t="shared" si="796"/>
        <v>7</v>
      </c>
      <c r="F2041" s="275">
        <f t="shared" si="797"/>
        <v>46219.5</v>
      </c>
      <c r="G2041" s="120">
        <f t="shared" si="798"/>
        <v>24318</v>
      </c>
      <c r="H2041" s="245">
        <f t="shared" si="799"/>
        <v>1</v>
      </c>
      <c r="I2041" s="121">
        <f t="shared" si="800"/>
        <v>1.03</v>
      </c>
      <c r="J2041" s="121">
        <f t="shared" si="801"/>
        <v>1.03</v>
      </c>
      <c r="K2041" s="120">
        <f t="shared" si="802"/>
        <v>0</v>
      </c>
      <c r="L2041" s="120">
        <f t="shared" si="803"/>
        <v>0</v>
      </c>
      <c r="M2041" s="246">
        <f t="shared" si="804"/>
        <v>0</v>
      </c>
      <c r="N2041" s="121">
        <f t="shared" si="805"/>
        <v>1.03</v>
      </c>
      <c r="O2041" s="246">
        <f t="shared" si="806"/>
        <v>0.98916301969365428</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87">
        <v>20</v>
      </c>
      <c r="B2042" s="242">
        <f t="shared" si="813"/>
        <v>46235</v>
      </c>
      <c r="C2042" s="243">
        <f t="shared" si="794"/>
        <v>46265</v>
      </c>
      <c r="D2042" s="120">
        <f t="shared" si="795"/>
        <v>31</v>
      </c>
      <c r="E2042" s="120">
        <f t="shared" si="796"/>
        <v>8</v>
      </c>
      <c r="F2042" s="275">
        <f t="shared" si="797"/>
        <v>46250.5</v>
      </c>
      <c r="G2042" s="120">
        <f t="shared" si="798"/>
        <v>24319</v>
      </c>
      <c r="H2042" s="245">
        <f t="shared" si="799"/>
        <v>1</v>
      </c>
      <c r="I2042" s="121">
        <f t="shared" si="800"/>
        <v>1.03</v>
      </c>
      <c r="J2042" s="121">
        <f t="shared" si="801"/>
        <v>1.03</v>
      </c>
      <c r="K2042" s="120">
        <f t="shared" si="802"/>
        <v>0</v>
      </c>
      <c r="L2042" s="120">
        <f t="shared" si="803"/>
        <v>0</v>
      </c>
      <c r="M2042" s="246">
        <f t="shared" si="804"/>
        <v>0</v>
      </c>
      <c r="N2042" s="121">
        <f t="shared" si="805"/>
        <v>1.03</v>
      </c>
      <c r="O2042" s="246">
        <f t="shared" si="806"/>
        <v>0.98950218818380742</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87">
        <v>21</v>
      </c>
      <c r="B2043" s="242">
        <f t="shared" si="813"/>
        <v>46266</v>
      </c>
      <c r="C2043" s="243">
        <f t="shared" si="794"/>
        <v>46295</v>
      </c>
      <c r="D2043" s="120">
        <f t="shared" si="795"/>
        <v>30</v>
      </c>
      <c r="E2043" s="120">
        <f t="shared" si="796"/>
        <v>9</v>
      </c>
      <c r="F2043" s="275">
        <f t="shared" si="797"/>
        <v>46281</v>
      </c>
      <c r="G2043" s="120">
        <f t="shared" si="798"/>
        <v>24320</v>
      </c>
      <c r="H2043" s="245">
        <f t="shared" si="799"/>
        <v>1</v>
      </c>
      <c r="I2043" s="121">
        <f t="shared" si="800"/>
        <v>1.03</v>
      </c>
      <c r="J2043" s="121">
        <f t="shared" si="801"/>
        <v>1.03</v>
      </c>
      <c r="K2043" s="120">
        <f t="shared" si="802"/>
        <v>0</v>
      </c>
      <c r="L2043" s="120">
        <f t="shared" si="803"/>
        <v>0</v>
      </c>
      <c r="M2043" s="246">
        <f t="shared" si="804"/>
        <v>0</v>
      </c>
      <c r="N2043" s="121">
        <f t="shared" si="805"/>
        <v>1.03</v>
      </c>
      <c r="O2043" s="246">
        <f t="shared" si="806"/>
        <v>0.98983588621444196</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87">
        <v>22</v>
      </c>
      <c r="B2044" s="242">
        <f t="shared" si="813"/>
        <v>46296</v>
      </c>
      <c r="C2044" s="243">
        <f t="shared" si="794"/>
        <v>46326</v>
      </c>
      <c r="D2044" s="120">
        <f t="shared" si="795"/>
        <v>31</v>
      </c>
      <c r="E2044" s="120">
        <f t="shared" si="796"/>
        <v>10</v>
      </c>
      <c r="F2044" s="275">
        <f t="shared" si="797"/>
        <v>46311.5</v>
      </c>
      <c r="G2044" s="120">
        <f t="shared" si="798"/>
        <v>24321</v>
      </c>
      <c r="H2044" s="245">
        <f t="shared" si="799"/>
        <v>1</v>
      </c>
      <c r="I2044" s="121">
        <f t="shared" si="800"/>
        <v>1.03</v>
      </c>
      <c r="J2044" s="121">
        <f t="shared" si="801"/>
        <v>1.03</v>
      </c>
      <c r="K2044" s="120">
        <f t="shared" si="802"/>
        <v>0</v>
      </c>
      <c r="L2044" s="120">
        <f t="shared" si="803"/>
        <v>0</v>
      </c>
      <c r="M2044" s="246">
        <f t="shared" si="804"/>
        <v>0</v>
      </c>
      <c r="N2044" s="121">
        <f t="shared" si="805"/>
        <v>1.03</v>
      </c>
      <c r="O2044" s="246">
        <f t="shared" si="806"/>
        <v>0.99016958424507662</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87">
        <v>23</v>
      </c>
      <c r="B2045" s="242">
        <f t="shared" si="813"/>
        <v>46327</v>
      </c>
      <c r="C2045" s="243">
        <f t="shared" si="794"/>
        <v>46356</v>
      </c>
      <c r="D2045" s="120">
        <f t="shared" si="795"/>
        <v>30</v>
      </c>
      <c r="E2045" s="120">
        <f t="shared" si="796"/>
        <v>11</v>
      </c>
      <c r="F2045" s="275">
        <f t="shared" si="797"/>
        <v>46342</v>
      </c>
      <c r="G2045" s="120">
        <f t="shared" si="798"/>
        <v>24322</v>
      </c>
      <c r="H2045" s="245">
        <f t="shared" si="799"/>
        <v>1</v>
      </c>
      <c r="I2045" s="121">
        <f t="shared" si="800"/>
        <v>1.03</v>
      </c>
      <c r="J2045" s="121">
        <f t="shared" si="801"/>
        <v>1.03</v>
      </c>
      <c r="K2045" s="120">
        <f t="shared" si="802"/>
        <v>0</v>
      </c>
      <c r="L2045" s="120">
        <f t="shared" si="803"/>
        <v>0</v>
      </c>
      <c r="M2045" s="246">
        <f t="shared" si="804"/>
        <v>0</v>
      </c>
      <c r="N2045" s="121">
        <f t="shared" si="805"/>
        <v>1.03</v>
      </c>
      <c r="O2045" s="246">
        <f t="shared" si="806"/>
        <v>0.99050328227571116</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87">
        <v>24</v>
      </c>
      <c r="B2046" s="242">
        <f t="shared" si="813"/>
        <v>46357</v>
      </c>
      <c r="C2046" s="243">
        <f t="shared" si="794"/>
        <v>46387</v>
      </c>
      <c r="D2046" s="120">
        <f t="shared" si="795"/>
        <v>31</v>
      </c>
      <c r="E2046" s="120">
        <f t="shared" si="796"/>
        <v>12</v>
      </c>
      <c r="F2046" s="275">
        <f t="shared" si="797"/>
        <v>46372.5</v>
      </c>
      <c r="G2046" s="120">
        <f t="shared" si="798"/>
        <v>24323</v>
      </c>
      <c r="H2046" s="245">
        <f t="shared" si="799"/>
        <v>1</v>
      </c>
      <c r="I2046" s="121">
        <f t="shared" si="800"/>
        <v>1.03</v>
      </c>
      <c r="J2046" s="121">
        <f t="shared" si="801"/>
        <v>1.03</v>
      </c>
      <c r="K2046" s="120">
        <f t="shared" si="802"/>
        <v>0</v>
      </c>
      <c r="L2046" s="120">
        <f t="shared" si="803"/>
        <v>0</v>
      </c>
      <c r="M2046" s="246">
        <f t="shared" si="804"/>
        <v>0</v>
      </c>
      <c r="N2046" s="121">
        <f t="shared" si="805"/>
        <v>1.03</v>
      </c>
      <c r="O2046" s="246">
        <f t="shared" si="806"/>
        <v>0.9908369803063457</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87">
        <v>25</v>
      </c>
      <c r="B2047" s="242">
        <f t="shared" si="813"/>
        <v>46388</v>
      </c>
      <c r="C2047" s="243">
        <f t="shared" si="794"/>
        <v>46418</v>
      </c>
      <c r="D2047" s="120">
        <f t="shared" si="795"/>
        <v>31</v>
      </c>
      <c r="E2047" s="120">
        <f t="shared" si="796"/>
        <v>1</v>
      </c>
      <c r="F2047" s="275">
        <f t="shared" si="797"/>
        <v>46403.5</v>
      </c>
      <c r="G2047" s="120">
        <f t="shared" si="798"/>
        <v>24324</v>
      </c>
      <c r="H2047" s="245">
        <f t="shared" si="799"/>
        <v>1</v>
      </c>
      <c r="I2047" s="121">
        <f t="shared" si="800"/>
        <v>1.03</v>
      </c>
      <c r="J2047" s="121">
        <f t="shared" si="801"/>
        <v>1.03</v>
      </c>
      <c r="K2047" s="120">
        <f t="shared" si="802"/>
        <v>0</v>
      </c>
      <c r="L2047" s="120">
        <f t="shared" si="803"/>
        <v>0</v>
      </c>
      <c r="M2047" s="246">
        <f t="shared" si="804"/>
        <v>0</v>
      </c>
      <c r="N2047" s="121">
        <f t="shared" si="805"/>
        <v>1.03</v>
      </c>
      <c r="O2047" s="246">
        <f t="shared" si="806"/>
        <v>0.99117614879649885</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87">
        <v>26</v>
      </c>
      <c r="B2048" s="242">
        <f t="shared" si="813"/>
        <v>46419</v>
      </c>
      <c r="C2048" s="243">
        <f t="shared" si="794"/>
        <v>46446</v>
      </c>
      <c r="D2048" s="120">
        <f t="shared" si="795"/>
        <v>28</v>
      </c>
      <c r="E2048" s="120">
        <f t="shared" si="796"/>
        <v>2</v>
      </c>
      <c r="F2048" s="275">
        <f t="shared" si="797"/>
        <v>46433</v>
      </c>
      <c r="G2048" s="120">
        <f t="shared" si="798"/>
        <v>24325</v>
      </c>
      <c r="H2048" s="245">
        <f t="shared" si="799"/>
        <v>1</v>
      </c>
      <c r="I2048" s="121">
        <f t="shared" si="800"/>
        <v>1.03</v>
      </c>
      <c r="J2048" s="121">
        <f t="shared" si="801"/>
        <v>1.03</v>
      </c>
      <c r="K2048" s="120">
        <f t="shared" si="802"/>
        <v>0</v>
      </c>
      <c r="L2048" s="120">
        <f t="shared" si="803"/>
        <v>0</v>
      </c>
      <c r="M2048" s="246">
        <f t="shared" si="804"/>
        <v>0</v>
      </c>
      <c r="N2048" s="121">
        <f t="shared" si="805"/>
        <v>1.03</v>
      </c>
      <c r="O2048" s="246">
        <f t="shared" si="806"/>
        <v>0.99149890590809631</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87">
        <v>27</v>
      </c>
      <c r="B2049" s="242">
        <f t="shared" si="813"/>
        <v>46447</v>
      </c>
      <c r="C2049" s="243">
        <f t="shared" si="794"/>
        <v>46477</v>
      </c>
      <c r="D2049" s="120">
        <f t="shared" si="795"/>
        <v>31</v>
      </c>
      <c r="E2049" s="120">
        <f t="shared" si="796"/>
        <v>3</v>
      </c>
      <c r="F2049" s="275">
        <f t="shared" si="797"/>
        <v>46462.5</v>
      </c>
      <c r="G2049" s="120">
        <f t="shared" si="798"/>
        <v>24326</v>
      </c>
      <c r="H2049" s="245">
        <f t="shared" si="799"/>
        <v>1</v>
      </c>
      <c r="I2049" s="121">
        <f t="shared" si="800"/>
        <v>1.03</v>
      </c>
      <c r="J2049" s="121">
        <f t="shared" si="801"/>
        <v>1.03</v>
      </c>
      <c r="K2049" s="120">
        <f t="shared" si="802"/>
        <v>0</v>
      </c>
      <c r="L2049" s="120">
        <f t="shared" si="803"/>
        <v>0</v>
      </c>
      <c r="M2049" s="246">
        <f t="shared" si="804"/>
        <v>0</v>
      </c>
      <c r="N2049" s="121">
        <f t="shared" si="805"/>
        <v>1.03</v>
      </c>
      <c r="O2049" s="246">
        <f t="shared" si="806"/>
        <v>0.99182166301969366</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87">
        <v>28</v>
      </c>
      <c r="B2050" s="242">
        <f t="shared" si="813"/>
        <v>46478</v>
      </c>
      <c r="C2050" s="243">
        <f t="shared" si="794"/>
        <v>46507</v>
      </c>
      <c r="D2050" s="120">
        <f t="shared" si="795"/>
        <v>30</v>
      </c>
      <c r="E2050" s="120">
        <f t="shared" si="796"/>
        <v>4</v>
      </c>
      <c r="F2050" s="275">
        <f t="shared" si="797"/>
        <v>46493</v>
      </c>
      <c r="G2050" s="120">
        <f t="shared" si="798"/>
        <v>24327</v>
      </c>
      <c r="H2050" s="245">
        <f t="shared" si="799"/>
        <v>1</v>
      </c>
      <c r="I2050" s="121">
        <f t="shared" si="800"/>
        <v>1.03</v>
      </c>
      <c r="J2050" s="121">
        <f t="shared" si="801"/>
        <v>1.03</v>
      </c>
      <c r="K2050" s="120">
        <f t="shared" si="802"/>
        <v>0</v>
      </c>
      <c r="L2050" s="120">
        <f t="shared" si="803"/>
        <v>0</v>
      </c>
      <c r="M2050" s="246">
        <f t="shared" si="804"/>
        <v>0</v>
      </c>
      <c r="N2050" s="121">
        <f t="shared" si="805"/>
        <v>1.03</v>
      </c>
      <c r="O2050" s="246">
        <f t="shared" si="806"/>
        <v>0.9921553610503282</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87">
        <v>29</v>
      </c>
      <c r="B2051" s="242">
        <f t="shared" si="813"/>
        <v>46508</v>
      </c>
      <c r="C2051" s="243">
        <f t="shared" si="794"/>
        <v>46538</v>
      </c>
      <c r="D2051" s="120">
        <f t="shared" si="795"/>
        <v>31</v>
      </c>
      <c r="E2051" s="120">
        <f t="shared" si="796"/>
        <v>5</v>
      </c>
      <c r="F2051" s="275">
        <f t="shared" si="797"/>
        <v>46523.5</v>
      </c>
      <c r="G2051" s="120">
        <f t="shared" si="798"/>
        <v>24328</v>
      </c>
      <c r="H2051" s="245">
        <f t="shared" si="799"/>
        <v>1</v>
      </c>
      <c r="I2051" s="121">
        <f t="shared" si="800"/>
        <v>1.03</v>
      </c>
      <c r="J2051" s="121">
        <f t="shared" si="801"/>
        <v>1.03</v>
      </c>
      <c r="K2051" s="120">
        <f t="shared" si="802"/>
        <v>0</v>
      </c>
      <c r="L2051" s="120">
        <f t="shared" si="803"/>
        <v>0</v>
      </c>
      <c r="M2051" s="246">
        <f t="shared" si="804"/>
        <v>0</v>
      </c>
      <c r="N2051" s="121">
        <f t="shared" si="805"/>
        <v>1.03</v>
      </c>
      <c r="O2051" s="246">
        <f t="shared" si="806"/>
        <v>0.99248905908096274</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87">
        <v>30</v>
      </c>
      <c r="B2052" s="242">
        <f t="shared" si="813"/>
        <v>46539</v>
      </c>
      <c r="C2052" s="243">
        <f t="shared" si="794"/>
        <v>46568</v>
      </c>
      <c r="D2052" s="120">
        <f t="shared" si="795"/>
        <v>30</v>
      </c>
      <c r="E2052" s="120">
        <f t="shared" si="796"/>
        <v>6</v>
      </c>
      <c r="F2052" s="275">
        <f t="shared" si="797"/>
        <v>46554</v>
      </c>
      <c r="G2052" s="120">
        <f t="shared" si="798"/>
        <v>24329</v>
      </c>
      <c r="H2052" s="245">
        <f t="shared" si="799"/>
        <v>1</v>
      </c>
      <c r="I2052" s="121">
        <f t="shared" si="800"/>
        <v>1.03</v>
      </c>
      <c r="J2052" s="121">
        <f t="shared" si="801"/>
        <v>1.03</v>
      </c>
      <c r="K2052" s="120">
        <f t="shared" si="802"/>
        <v>0</v>
      </c>
      <c r="L2052" s="120">
        <f t="shared" si="803"/>
        <v>0</v>
      </c>
      <c r="M2052" s="246">
        <f t="shared" si="804"/>
        <v>0</v>
      </c>
      <c r="N2052" s="121">
        <f t="shared" si="805"/>
        <v>1.03</v>
      </c>
      <c r="O2052" s="246">
        <f t="shared" si="806"/>
        <v>0.9928227571115974</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87">
        <v>31</v>
      </c>
      <c r="B2053" s="242">
        <f t="shared" si="813"/>
        <v>46569</v>
      </c>
      <c r="C2053" s="243">
        <f t="shared" si="794"/>
        <v>46599</v>
      </c>
      <c r="D2053" s="120">
        <f t="shared" si="795"/>
        <v>31</v>
      </c>
      <c r="E2053" s="120">
        <f t="shared" si="796"/>
        <v>7</v>
      </c>
      <c r="F2053" s="275">
        <f t="shared" si="797"/>
        <v>46584.5</v>
      </c>
      <c r="G2053" s="120">
        <f t="shared" si="798"/>
        <v>24330</v>
      </c>
      <c r="H2053" s="245">
        <f t="shared" si="799"/>
        <v>1</v>
      </c>
      <c r="I2053" s="121">
        <f t="shared" si="800"/>
        <v>1.03</v>
      </c>
      <c r="J2053" s="121">
        <f t="shared" si="801"/>
        <v>1.03</v>
      </c>
      <c r="K2053" s="120">
        <f t="shared" si="802"/>
        <v>0</v>
      </c>
      <c r="L2053" s="120">
        <f t="shared" si="803"/>
        <v>0</v>
      </c>
      <c r="M2053" s="246">
        <f t="shared" si="804"/>
        <v>0</v>
      </c>
      <c r="N2053" s="121">
        <f t="shared" si="805"/>
        <v>1.03</v>
      </c>
      <c r="O2053" s="246">
        <f t="shared" si="806"/>
        <v>0.99315645514223194</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87">
        <v>32</v>
      </c>
      <c r="B2054" s="242">
        <f t="shared" si="813"/>
        <v>46600</v>
      </c>
      <c r="C2054" s="243">
        <f t="shared" si="794"/>
        <v>46630</v>
      </c>
      <c r="D2054" s="120">
        <f t="shared" si="795"/>
        <v>31</v>
      </c>
      <c r="E2054" s="120">
        <f t="shared" si="796"/>
        <v>8</v>
      </c>
      <c r="F2054" s="275">
        <f t="shared" si="797"/>
        <v>46615.5</v>
      </c>
      <c r="G2054" s="120">
        <f t="shared" si="798"/>
        <v>24331</v>
      </c>
      <c r="H2054" s="245">
        <f t="shared" si="799"/>
        <v>1</v>
      </c>
      <c r="I2054" s="121">
        <f t="shared" si="800"/>
        <v>1.03</v>
      </c>
      <c r="J2054" s="121">
        <f t="shared" si="801"/>
        <v>1.03</v>
      </c>
      <c r="K2054" s="120">
        <f t="shared" si="802"/>
        <v>0</v>
      </c>
      <c r="L2054" s="120">
        <f t="shared" si="803"/>
        <v>0</v>
      </c>
      <c r="M2054" s="246">
        <f t="shared" si="804"/>
        <v>0</v>
      </c>
      <c r="N2054" s="121">
        <f t="shared" si="805"/>
        <v>1.03</v>
      </c>
      <c r="O2054" s="246">
        <f t="shared" si="806"/>
        <v>0.99349562363238508</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87">
        <v>33</v>
      </c>
      <c r="B2055" s="242">
        <f t="shared" si="813"/>
        <v>46631</v>
      </c>
      <c r="C2055" s="243">
        <f t="shared" si="794"/>
        <v>46660</v>
      </c>
      <c r="D2055" s="120">
        <f t="shared" si="795"/>
        <v>30</v>
      </c>
      <c r="E2055" s="120">
        <f t="shared" si="796"/>
        <v>9</v>
      </c>
      <c r="F2055" s="275">
        <f t="shared" si="797"/>
        <v>46646</v>
      </c>
      <c r="G2055" s="120">
        <f t="shared" si="798"/>
        <v>24332</v>
      </c>
      <c r="H2055" s="245">
        <f t="shared" si="799"/>
        <v>1</v>
      </c>
      <c r="I2055" s="121">
        <f t="shared" si="800"/>
        <v>1.03</v>
      </c>
      <c r="J2055" s="121">
        <f t="shared" si="801"/>
        <v>1.03</v>
      </c>
      <c r="K2055" s="120">
        <f t="shared" si="802"/>
        <v>0</v>
      </c>
      <c r="L2055" s="120">
        <f t="shared" si="803"/>
        <v>0</v>
      </c>
      <c r="M2055" s="246">
        <f t="shared" si="804"/>
        <v>0</v>
      </c>
      <c r="N2055" s="121">
        <f t="shared" si="805"/>
        <v>1.03</v>
      </c>
      <c r="O2055" s="246">
        <f t="shared" si="806"/>
        <v>0.99382932166301974</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87">
        <v>34</v>
      </c>
      <c r="B2056" s="242">
        <f t="shared" si="813"/>
        <v>46661</v>
      </c>
      <c r="C2056" s="243">
        <f t="shared" si="794"/>
        <v>46691</v>
      </c>
      <c r="D2056" s="120">
        <f t="shared" si="795"/>
        <v>31</v>
      </c>
      <c r="E2056" s="120">
        <f t="shared" si="796"/>
        <v>10</v>
      </c>
      <c r="F2056" s="275">
        <f t="shared" si="797"/>
        <v>46676.5</v>
      </c>
      <c r="G2056" s="120">
        <f t="shared" si="798"/>
        <v>24333</v>
      </c>
      <c r="H2056" s="245">
        <f t="shared" si="799"/>
        <v>1</v>
      </c>
      <c r="I2056" s="121">
        <f t="shared" si="800"/>
        <v>1.03</v>
      </c>
      <c r="J2056" s="121">
        <f t="shared" si="801"/>
        <v>1.03</v>
      </c>
      <c r="K2056" s="120">
        <f t="shared" si="802"/>
        <v>0</v>
      </c>
      <c r="L2056" s="120">
        <f t="shared" si="803"/>
        <v>0</v>
      </c>
      <c r="M2056" s="246">
        <f t="shared" si="804"/>
        <v>0</v>
      </c>
      <c r="N2056" s="121">
        <f t="shared" si="805"/>
        <v>1.03</v>
      </c>
      <c r="O2056" s="246">
        <f t="shared" si="806"/>
        <v>0.99416301969365428</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87">
        <v>35</v>
      </c>
      <c r="B2057" s="242">
        <f t="shared" si="813"/>
        <v>46692</v>
      </c>
      <c r="C2057" s="243">
        <f t="shared" si="794"/>
        <v>46721</v>
      </c>
      <c r="D2057" s="120">
        <f t="shared" si="795"/>
        <v>30</v>
      </c>
      <c r="E2057" s="120">
        <f t="shared" si="796"/>
        <v>11</v>
      </c>
      <c r="F2057" s="275">
        <f t="shared" si="797"/>
        <v>46707</v>
      </c>
      <c r="G2057" s="120">
        <f t="shared" si="798"/>
        <v>24334</v>
      </c>
      <c r="H2057" s="245">
        <f t="shared" si="799"/>
        <v>1</v>
      </c>
      <c r="I2057" s="121">
        <f t="shared" si="800"/>
        <v>1.03</v>
      </c>
      <c r="J2057" s="121">
        <f t="shared" si="801"/>
        <v>1.03</v>
      </c>
      <c r="K2057" s="120">
        <f t="shared" si="802"/>
        <v>0</v>
      </c>
      <c r="L2057" s="120">
        <f t="shared" si="803"/>
        <v>0</v>
      </c>
      <c r="M2057" s="246">
        <f t="shared" si="804"/>
        <v>0</v>
      </c>
      <c r="N2057" s="121">
        <f t="shared" si="805"/>
        <v>1.03</v>
      </c>
      <c r="O2057" s="246">
        <f t="shared" si="806"/>
        <v>0.99449671772428883</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87">
        <v>36</v>
      </c>
      <c r="B2058" s="242">
        <f t="shared" si="813"/>
        <v>46722</v>
      </c>
      <c r="C2058" s="243">
        <f t="shared" si="794"/>
        <v>46752</v>
      </c>
      <c r="D2058" s="120">
        <f t="shared" si="795"/>
        <v>31</v>
      </c>
      <c r="E2058" s="120">
        <f t="shared" si="796"/>
        <v>12</v>
      </c>
      <c r="F2058" s="275">
        <f t="shared" si="797"/>
        <v>46737.5</v>
      </c>
      <c r="G2058" s="120">
        <f t="shared" si="798"/>
        <v>24335</v>
      </c>
      <c r="H2058" s="245">
        <f t="shared" si="799"/>
        <v>1</v>
      </c>
      <c r="I2058" s="121">
        <f t="shared" si="800"/>
        <v>1.03</v>
      </c>
      <c r="J2058" s="121">
        <f t="shared" si="801"/>
        <v>1.03</v>
      </c>
      <c r="K2058" s="120">
        <f t="shared" si="802"/>
        <v>0</v>
      </c>
      <c r="L2058" s="120">
        <f t="shared" si="803"/>
        <v>0</v>
      </c>
      <c r="M2058" s="246">
        <f t="shared" si="804"/>
        <v>0</v>
      </c>
      <c r="N2058" s="121">
        <f t="shared" si="805"/>
        <v>1.03</v>
      </c>
      <c r="O2058" s="246">
        <f t="shared" si="806"/>
        <v>0.99483041575492337</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87">
        <v>37</v>
      </c>
      <c r="B2059" s="242">
        <f t="shared" si="813"/>
        <v>46753</v>
      </c>
      <c r="C2059" s="243">
        <f t="shared" si="794"/>
        <v>46783</v>
      </c>
      <c r="D2059" s="120">
        <f t="shared" si="795"/>
        <v>31</v>
      </c>
      <c r="E2059" s="120">
        <f t="shared" si="796"/>
        <v>1</v>
      </c>
      <c r="F2059" s="275">
        <f t="shared" si="797"/>
        <v>46768.5</v>
      </c>
      <c r="G2059" s="120">
        <f t="shared" si="798"/>
        <v>24336</v>
      </c>
      <c r="H2059" s="245">
        <f t="shared" si="799"/>
        <v>1</v>
      </c>
      <c r="I2059" s="121">
        <f t="shared" si="800"/>
        <v>1.03</v>
      </c>
      <c r="J2059" s="121">
        <f t="shared" si="801"/>
        <v>1.03</v>
      </c>
      <c r="K2059" s="120">
        <f t="shared" si="802"/>
        <v>0</v>
      </c>
      <c r="L2059" s="120">
        <f t="shared" si="803"/>
        <v>0</v>
      </c>
      <c r="M2059" s="246">
        <f t="shared" si="804"/>
        <v>0</v>
      </c>
      <c r="N2059" s="121">
        <f t="shared" si="805"/>
        <v>1.03</v>
      </c>
      <c r="O2059" s="246">
        <f t="shared" si="806"/>
        <v>0.995</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87">
        <v>38</v>
      </c>
      <c r="B2060" s="242">
        <f t="shared" si="813"/>
        <v>46784</v>
      </c>
      <c r="C2060" s="243">
        <f t="shared" si="794"/>
        <v>46812</v>
      </c>
      <c r="D2060" s="120">
        <f t="shared" si="795"/>
        <v>29</v>
      </c>
      <c r="E2060" s="120">
        <f t="shared" si="796"/>
        <v>2</v>
      </c>
      <c r="F2060" s="275">
        <f t="shared" si="797"/>
        <v>46798.5</v>
      </c>
      <c r="G2060" s="120">
        <f t="shared" si="798"/>
        <v>24337</v>
      </c>
      <c r="H2060" s="245">
        <f t="shared" si="799"/>
        <v>1</v>
      </c>
      <c r="I2060" s="121">
        <f t="shared" si="800"/>
        <v>1.03</v>
      </c>
      <c r="J2060" s="121">
        <f t="shared" si="801"/>
        <v>1.03</v>
      </c>
      <c r="K2060" s="120">
        <f t="shared" si="802"/>
        <v>0</v>
      </c>
      <c r="L2060" s="120">
        <f t="shared" si="803"/>
        <v>0</v>
      </c>
      <c r="M2060" s="246">
        <f t="shared" si="804"/>
        <v>0</v>
      </c>
      <c r="N2060" s="121">
        <f t="shared" si="805"/>
        <v>1.03</v>
      </c>
      <c r="O2060" s="246">
        <f t="shared" si="806"/>
        <v>0.995</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87">
        <v>39</v>
      </c>
      <c r="B2061" s="242">
        <f t="shared" si="813"/>
        <v>46813</v>
      </c>
      <c r="C2061" s="243">
        <f t="shared" si="794"/>
        <v>46843</v>
      </c>
      <c r="D2061" s="120">
        <f t="shared" si="795"/>
        <v>31</v>
      </c>
      <c r="E2061" s="120">
        <f t="shared" si="796"/>
        <v>3</v>
      </c>
      <c r="F2061" s="275">
        <f t="shared" si="797"/>
        <v>46828.5</v>
      </c>
      <c r="G2061" s="120">
        <f t="shared" si="798"/>
        <v>24338</v>
      </c>
      <c r="H2061" s="245">
        <f t="shared" si="799"/>
        <v>1</v>
      </c>
      <c r="I2061" s="121">
        <f t="shared" si="800"/>
        <v>1.03</v>
      </c>
      <c r="J2061" s="121">
        <f t="shared" si="801"/>
        <v>1.03</v>
      </c>
      <c r="K2061" s="120">
        <f t="shared" si="802"/>
        <v>0</v>
      </c>
      <c r="L2061" s="120">
        <f t="shared" si="803"/>
        <v>0</v>
      </c>
      <c r="M2061" s="246">
        <f t="shared" si="804"/>
        <v>0</v>
      </c>
      <c r="N2061" s="121">
        <f t="shared" si="805"/>
        <v>1.03</v>
      </c>
      <c r="O2061" s="246">
        <f t="shared" si="806"/>
        <v>0.995</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87">
        <v>40</v>
      </c>
      <c r="B2062" s="242">
        <f t="shared" si="813"/>
        <v>46844</v>
      </c>
      <c r="C2062" s="243">
        <f t="shared" si="794"/>
        <v>46873</v>
      </c>
      <c r="D2062" s="120">
        <f t="shared" si="795"/>
        <v>30</v>
      </c>
      <c r="E2062" s="120">
        <f t="shared" si="796"/>
        <v>4</v>
      </c>
      <c r="F2062" s="275">
        <f t="shared" si="797"/>
        <v>46859</v>
      </c>
      <c r="G2062" s="120">
        <f t="shared" si="798"/>
        <v>24339</v>
      </c>
      <c r="H2062" s="245">
        <f t="shared" si="799"/>
        <v>1</v>
      </c>
      <c r="I2062" s="121">
        <f t="shared" si="800"/>
        <v>1.03</v>
      </c>
      <c r="J2062" s="121">
        <f t="shared" si="801"/>
        <v>1.03</v>
      </c>
      <c r="K2062" s="120">
        <f t="shared" si="802"/>
        <v>0</v>
      </c>
      <c r="L2062" s="120">
        <f t="shared" si="803"/>
        <v>0</v>
      </c>
      <c r="M2062" s="246">
        <f t="shared" si="804"/>
        <v>0</v>
      </c>
      <c r="N2062" s="121">
        <f t="shared" si="805"/>
        <v>1.03</v>
      </c>
      <c r="O2062" s="246">
        <f t="shared" si="806"/>
        <v>0.995</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87">
        <v>41</v>
      </c>
      <c r="B2063" s="242">
        <f t="shared" si="813"/>
        <v>46874</v>
      </c>
      <c r="C2063" s="243">
        <f t="shared" si="794"/>
        <v>46904</v>
      </c>
      <c r="D2063" s="120">
        <f t="shared" si="795"/>
        <v>31</v>
      </c>
      <c r="E2063" s="120">
        <f t="shared" si="796"/>
        <v>5</v>
      </c>
      <c r="F2063" s="275">
        <f t="shared" si="797"/>
        <v>46889.5</v>
      </c>
      <c r="G2063" s="120">
        <f t="shared" si="798"/>
        <v>24340</v>
      </c>
      <c r="H2063" s="245">
        <f t="shared" si="799"/>
        <v>1</v>
      </c>
      <c r="I2063" s="121">
        <f t="shared" si="800"/>
        <v>1.03</v>
      </c>
      <c r="J2063" s="121">
        <f t="shared" si="801"/>
        <v>1.03</v>
      </c>
      <c r="K2063" s="120">
        <f t="shared" si="802"/>
        <v>0</v>
      </c>
      <c r="L2063" s="120">
        <f t="shared" si="803"/>
        <v>0</v>
      </c>
      <c r="M2063" s="246">
        <f t="shared" si="804"/>
        <v>0</v>
      </c>
      <c r="N2063" s="121">
        <f t="shared" si="805"/>
        <v>1.03</v>
      </c>
      <c r="O2063" s="246">
        <f t="shared" si="806"/>
        <v>0.995</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87">
        <v>42</v>
      </c>
      <c r="B2064" s="242">
        <f t="shared" si="813"/>
        <v>46905</v>
      </c>
      <c r="C2064" s="243">
        <f t="shared" si="794"/>
        <v>46934</v>
      </c>
      <c r="D2064" s="120">
        <f t="shared" si="795"/>
        <v>30</v>
      </c>
      <c r="E2064" s="120">
        <f t="shared" si="796"/>
        <v>6</v>
      </c>
      <c r="F2064" s="275">
        <f t="shared" si="797"/>
        <v>46920</v>
      </c>
      <c r="G2064" s="120">
        <f t="shared" si="798"/>
        <v>24341</v>
      </c>
      <c r="H2064" s="245">
        <f t="shared" si="799"/>
        <v>1</v>
      </c>
      <c r="I2064" s="121">
        <f t="shared" si="800"/>
        <v>1.03</v>
      </c>
      <c r="J2064" s="121">
        <f t="shared" si="801"/>
        <v>1.03</v>
      </c>
      <c r="K2064" s="120">
        <f t="shared" si="802"/>
        <v>0</v>
      </c>
      <c r="L2064" s="120">
        <f t="shared" si="803"/>
        <v>0</v>
      </c>
      <c r="M2064" s="246">
        <f t="shared" si="804"/>
        <v>0</v>
      </c>
      <c r="N2064" s="121">
        <f t="shared" si="805"/>
        <v>1.03</v>
      </c>
      <c r="O2064" s="246">
        <f t="shared" si="806"/>
        <v>0.995</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87">
        <v>43</v>
      </c>
      <c r="B2065" s="242">
        <f t="shared" si="813"/>
        <v>46935</v>
      </c>
      <c r="C2065" s="243">
        <f t="shared" si="794"/>
        <v>46965</v>
      </c>
      <c r="D2065" s="120">
        <f t="shared" si="795"/>
        <v>31</v>
      </c>
      <c r="E2065" s="120">
        <f t="shared" si="796"/>
        <v>7</v>
      </c>
      <c r="F2065" s="275">
        <f t="shared" si="797"/>
        <v>46950.5</v>
      </c>
      <c r="G2065" s="120">
        <f t="shared" si="798"/>
        <v>24342</v>
      </c>
      <c r="H2065" s="245">
        <f t="shared" si="799"/>
        <v>1</v>
      </c>
      <c r="I2065" s="121">
        <f t="shared" si="800"/>
        <v>1.03</v>
      </c>
      <c r="J2065" s="121">
        <f t="shared" si="801"/>
        <v>1.03</v>
      </c>
      <c r="K2065" s="120">
        <f t="shared" si="802"/>
        <v>0</v>
      </c>
      <c r="L2065" s="120">
        <f t="shared" si="803"/>
        <v>0</v>
      </c>
      <c r="M2065" s="246">
        <f t="shared" si="804"/>
        <v>0</v>
      </c>
      <c r="N2065" s="121">
        <f t="shared" si="805"/>
        <v>1.03</v>
      </c>
      <c r="O2065" s="246">
        <f t="shared" si="806"/>
        <v>0.995</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87">
        <v>44</v>
      </c>
      <c r="B2066" s="242">
        <f t="shared" si="813"/>
        <v>46966</v>
      </c>
      <c r="C2066" s="243">
        <f t="shared" si="794"/>
        <v>46996</v>
      </c>
      <c r="D2066" s="120">
        <f t="shared" si="795"/>
        <v>31</v>
      </c>
      <c r="E2066" s="120">
        <f t="shared" si="796"/>
        <v>8</v>
      </c>
      <c r="F2066" s="275">
        <f t="shared" si="797"/>
        <v>46981.5</v>
      </c>
      <c r="G2066" s="120">
        <f t="shared" si="798"/>
        <v>24343</v>
      </c>
      <c r="H2066" s="245">
        <f t="shared" si="799"/>
        <v>1</v>
      </c>
      <c r="I2066" s="121">
        <f t="shared" si="800"/>
        <v>1.03</v>
      </c>
      <c r="J2066" s="121">
        <f t="shared" si="801"/>
        <v>1.03</v>
      </c>
      <c r="K2066" s="120">
        <f t="shared" si="802"/>
        <v>0</v>
      </c>
      <c r="L2066" s="120">
        <f t="shared" si="803"/>
        <v>0</v>
      </c>
      <c r="M2066" s="246">
        <f t="shared" si="804"/>
        <v>0</v>
      </c>
      <c r="N2066" s="121">
        <f t="shared" si="805"/>
        <v>1.03</v>
      </c>
      <c r="O2066" s="246">
        <f t="shared" si="806"/>
        <v>0.995</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87">
        <v>45</v>
      </c>
      <c r="B2067" s="242">
        <f t="shared" si="813"/>
        <v>46997</v>
      </c>
      <c r="C2067" s="243">
        <f t="shared" si="794"/>
        <v>47026</v>
      </c>
      <c r="D2067" s="120">
        <f t="shared" si="795"/>
        <v>30</v>
      </c>
      <c r="E2067" s="120">
        <f t="shared" si="796"/>
        <v>9</v>
      </c>
      <c r="F2067" s="275">
        <f t="shared" si="797"/>
        <v>47012</v>
      </c>
      <c r="G2067" s="120">
        <f t="shared" si="798"/>
        <v>24344</v>
      </c>
      <c r="H2067" s="245">
        <f t="shared" si="799"/>
        <v>1</v>
      </c>
      <c r="I2067" s="121">
        <f t="shared" si="800"/>
        <v>1.03</v>
      </c>
      <c r="J2067" s="121">
        <f t="shared" si="801"/>
        <v>1.03</v>
      </c>
      <c r="K2067" s="120">
        <f t="shared" si="802"/>
        <v>0</v>
      </c>
      <c r="L2067" s="120">
        <f t="shared" si="803"/>
        <v>0</v>
      </c>
      <c r="M2067" s="246">
        <f t="shared" si="804"/>
        <v>0</v>
      </c>
      <c r="N2067" s="121">
        <f t="shared" si="805"/>
        <v>1.03</v>
      </c>
      <c r="O2067" s="246">
        <f t="shared" si="806"/>
        <v>0.995</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87">
        <v>46</v>
      </c>
      <c r="B2068" s="242">
        <f t="shared" si="813"/>
        <v>47027</v>
      </c>
      <c r="C2068" s="243">
        <f t="shared" si="794"/>
        <v>47057</v>
      </c>
      <c r="D2068" s="120">
        <f t="shared" si="795"/>
        <v>31</v>
      </c>
      <c r="E2068" s="120">
        <f t="shared" si="796"/>
        <v>10</v>
      </c>
      <c r="F2068" s="275">
        <f t="shared" si="797"/>
        <v>47042.5</v>
      </c>
      <c r="G2068" s="120">
        <f t="shared" si="798"/>
        <v>24345</v>
      </c>
      <c r="H2068" s="245">
        <f t="shared" si="799"/>
        <v>1</v>
      </c>
      <c r="I2068" s="121">
        <f t="shared" si="800"/>
        <v>1.03</v>
      </c>
      <c r="J2068" s="121">
        <f t="shared" si="801"/>
        <v>1.03</v>
      </c>
      <c r="K2068" s="120">
        <f t="shared" si="802"/>
        <v>0</v>
      </c>
      <c r="L2068" s="120">
        <f t="shared" si="803"/>
        <v>0</v>
      </c>
      <c r="M2068" s="246">
        <f t="shared" si="804"/>
        <v>0</v>
      </c>
      <c r="N2068" s="121">
        <f t="shared" si="805"/>
        <v>1.03</v>
      </c>
      <c r="O2068" s="246">
        <f t="shared" si="806"/>
        <v>0.995</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87">
        <v>47</v>
      </c>
      <c r="B2069" s="242">
        <f t="shared" si="813"/>
        <v>47058</v>
      </c>
      <c r="C2069" s="243">
        <f t="shared" si="794"/>
        <v>47087</v>
      </c>
      <c r="D2069" s="120">
        <f t="shared" si="795"/>
        <v>30</v>
      </c>
      <c r="E2069" s="120">
        <f t="shared" si="796"/>
        <v>11</v>
      </c>
      <c r="F2069" s="275">
        <f t="shared" si="797"/>
        <v>47073</v>
      </c>
      <c r="G2069" s="120">
        <f t="shared" si="798"/>
        <v>24346</v>
      </c>
      <c r="H2069" s="245">
        <f t="shared" si="799"/>
        <v>1</v>
      </c>
      <c r="I2069" s="121">
        <f t="shared" si="800"/>
        <v>1.03</v>
      </c>
      <c r="J2069" s="121">
        <f t="shared" si="801"/>
        <v>1.03</v>
      </c>
      <c r="K2069" s="120">
        <f t="shared" si="802"/>
        <v>0</v>
      </c>
      <c r="L2069" s="120">
        <f t="shared" si="803"/>
        <v>0</v>
      </c>
      <c r="M2069" s="246">
        <f t="shared" si="804"/>
        <v>0</v>
      </c>
      <c r="N2069" s="121">
        <f t="shared" si="805"/>
        <v>1.03</v>
      </c>
      <c r="O2069" s="246">
        <f t="shared" si="806"/>
        <v>0.995</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87">
        <v>48</v>
      </c>
      <c r="B2070" s="242">
        <f t="shared" si="813"/>
        <v>47088</v>
      </c>
      <c r="C2070" s="243">
        <f t="shared" si="794"/>
        <v>47118</v>
      </c>
      <c r="D2070" s="120">
        <f t="shared" si="795"/>
        <v>31</v>
      </c>
      <c r="E2070" s="120">
        <f t="shared" si="796"/>
        <v>12</v>
      </c>
      <c r="F2070" s="275">
        <f t="shared" si="797"/>
        <v>47103.5</v>
      </c>
      <c r="G2070" s="120">
        <f t="shared" si="798"/>
        <v>24347</v>
      </c>
      <c r="H2070" s="245">
        <f t="shared" si="799"/>
        <v>1</v>
      </c>
      <c r="I2070" s="121">
        <f t="shared" si="800"/>
        <v>1.03</v>
      </c>
      <c r="J2070" s="121">
        <f t="shared" si="801"/>
        <v>1.03</v>
      </c>
      <c r="K2070" s="120">
        <f t="shared" si="802"/>
        <v>0</v>
      </c>
      <c r="L2070" s="120">
        <f t="shared" si="803"/>
        <v>0</v>
      </c>
      <c r="M2070" s="246">
        <f t="shared" si="804"/>
        <v>0</v>
      </c>
      <c r="N2070" s="121">
        <f t="shared" si="805"/>
        <v>1.03</v>
      </c>
      <c r="O2070" s="246">
        <f t="shared" si="806"/>
        <v>0.995</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1651</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24">
        <f>SUMPRODUCT($H$2023:$H$2070,$Q$2023:$Q$2070,$O$2023:$O$2070)/SUMPRODUCT($H$2023:$H$2070,$Q$2023:$Q$2070)</f>
        <v>0.99099790299051793</v>
      </c>
      <c r="G2071" s="224">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24">
        <f>IF(N(INDEX(lr_mind,38))=0,1,INDEX(lr_mind,38))</f>
        <v>1</v>
      </c>
      <c r="G2074" s="224">
        <f>IF(N(INDEX(lr_m0,38))=0,1,INDEX(lr_m0,38))</f>
        <v>0.99</v>
      </c>
      <c r="H2074" s="74">
        <f>IF(N(INDEX(lr_m0asof,38))=0,DATE(nr_PlanYear-1,10,1),INDEX(lr_m0asof,38))</f>
        <v>46295</v>
      </c>
      <c r="I2074" s="224">
        <f>IF(N(INDEX(lr_m1,38))=0,1,INDEX(lr_m1,38))</f>
        <v>1.01</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814">EOMONTH($B2077,0)</f>
        <v>45688</v>
      </c>
      <c r="D2077" s="120">
        <f t="shared" ref="D2077:D2124" si="815">$C2077-$B2077+1</f>
        <v>31</v>
      </c>
      <c r="E2077" s="120">
        <f t="shared" ref="E2077:E2124" si="816">MONTH($B2077)</f>
        <v>1</v>
      </c>
      <c r="F2077" s="275">
        <f t="shared" ref="F2077:F2124" si="817">($B2077+$C2077+1)/2</f>
        <v>45673.5</v>
      </c>
      <c r="G2077" s="120">
        <f t="shared" ref="G2077:G2124" si="818">YEAR($B2077)*12+MONTH($B2077)-1</f>
        <v>24300</v>
      </c>
      <c r="H2077" s="245">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46">
        <f t="shared" ref="M2077:M2124" si="824">IF($K2077=0,0,MIN(1,$L2077/$D2077))</f>
        <v>0</v>
      </c>
      <c r="N2077" s="121">
        <f t="shared" ref="N2077:N2124" si="825">IF($K2077=0,$J2077,(1-$M2077)*$I2077+$M2077*$J2077)</f>
        <v>1</v>
      </c>
      <c r="O2077" s="246">
        <f t="shared" ref="O2077:O2124" si="826">IF($F2077&lt;$B$2075,$E$2075+$I$2075*($F2077-$A$2075),IF($F2077&lt;$C$2075,$F$2075+$J$2075*($F2077-$B$2075),$G$2075+$K$2075*($F2077-$C$2075)))</f>
        <v>0.96275711159737409</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87">
        <v>2</v>
      </c>
      <c r="B2078" s="242">
        <f t="shared" ref="B2078:B2124" si="833">EDATE($B2077,1)</f>
        <v>45689</v>
      </c>
      <c r="C2078" s="243">
        <f t="shared" si="814"/>
        <v>45716</v>
      </c>
      <c r="D2078" s="120">
        <f t="shared" si="815"/>
        <v>28</v>
      </c>
      <c r="E2078" s="120">
        <f t="shared" si="816"/>
        <v>2</v>
      </c>
      <c r="F2078" s="275">
        <f t="shared" si="817"/>
        <v>45703</v>
      </c>
      <c r="G2078" s="120">
        <f t="shared" si="818"/>
        <v>24301</v>
      </c>
      <c r="H2078" s="245">
        <f t="shared" si="819"/>
        <v>1</v>
      </c>
      <c r="I2078" s="121">
        <f t="shared" si="820"/>
        <v>1</v>
      </c>
      <c r="J2078" s="121">
        <f t="shared" si="821"/>
        <v>1</v>
      </c>
      <c r="K2078" s="120">
        <f t="shared" si="822"/>
        <v>0</v>
      </c>
      <c r="L2078" s="120">
        <f t="shared" si="823"/>
        <v>0</v>
      </c>
      <c r="M2078" s="246">
        <f t="shared" si="824"/>
        <v>0</v>
      </c>
      <c r="N2078" s="121">
        <f t="shared" si="825"/>
        <v>1</v>
      </c>
      <c r="O2078" s="246">
        <f t="shared" si="826"/>
        <v>0.9640481400437636</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87">
        <v>3</v>
      </c>
      <c r="B2079" s="242">
        <f t="shared" si="833"/>
        <v>45717</v>
      </c>
      <c r="C2079" s="243">
        <f t="shared" si="814"/>
        <v>45747</v>
      </c>
      <c r="D2079" s="120">
        <f t="shared" si="815"/>
        <v>31</v>
      </c>
      <c r="E2079" s="120">
        <f t="shared" si="816"/>
        <v>3</v>
      </c>
      <c r="F2079" s="275">
        <f t="shared" si="817"/>
        <v>45732.5</v>
      </c>
      <c r="G2079" s="120">
        <f t="shared" si="818"/>
        <v>24302</v>
      </c>
      <c r="H2079" s="245">
        <f t="shared" si="819"/>
        <v>1</v>
      </c>
      <c r="I2079" s="121">
        <f t="shared" si="820"/>
        <v>1</v>
      </c>
      <c r="J2079" s="121">
        <f t="shared" si="821"/>
        <v>1</v>
      </c>
      <c r="K2079" s="120">
        <f t="shared" si="822"/>
        <v>0</v>
      </c>
      <c r="L2079" s="120">
        <f t="shared" si="823"/>
        <v>0</v>
      </c>
      <c r="M2079" s="246">
        <f t="shared" si="824"/>
        <v>0</v>
      </c>
      <c r="N2079" s="121">
        <f t="shared" si="825"/>
        <v>1</v>
      </c>
      <c r="O2079" s="246">
        <f t="shared" si="826"/>
        <v>0.96533916849015311</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87">
        <v>4</v>
      </c>
      <c r="B2080" s="242">
        <f t="shared" si="833"/>
        <v>45748</v>
      </c>
      <c r="C2080" s="243">
        <f t="shared" si="814"/>
        <v>45777</v>
      </c>
      <c r="D2080" s="120">
        <f t="shared" si="815"/>
        <v>30</v>
      </c>
      <c r="E2080" s="120">
        <f t="shared" si="816"/>
        <v>4</v>
      </c>
      <c r="F2080" s="275">
        <f t="shared" si="817"/>
        <v>45763</v>
      </c>
      <c r="G2080" s="120">
        <f t="shared" si="818"/>
        <v>24303</v>
      </c>
      <c r="H2080" s="245">
        <f t="shared" si="819"/>
        <v>1</v>
      </c>
      <c r="I2080" s="121">
        <f t="shared" si="820"/>
        <v>1</v>
      </c>
      <c r="J2080" s="121">
        <f t="shared" si="821"/>
        <v>1</v>
      </c>
      <c r="K2080" s="120">
        <f t="shared" si="822"/>
        <v>0</v>
      </c>
      <c r="L2080" s="120">
        <f t="shared" si="823"/>
        <v>0</v>
      </c>
      <c r="M2080" s="246">
        <f t="shared" si="824"/>
        <v>0</v>
      </c>
      <c r="N2080" s="121">
        <f t="shared" si="825"/>
        <v>1</v>
      </c>
      <c r="O2080" s="246">
        <f t="shared" si="826"/>
        <v>0.9666739606126914</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87">
        <v>5</v>
      </c>
      <c r="B2081" s="242">
        <f t="shared" si="833"/>
        <v>45778</v>
      </c>
      <c r="C2081" s="243">
        <f t="shared" si="814"/>
        <v>45808</v>
      </c>
      <c r="D2081" s="120">
        <f t="shared" si="815"/>
        <v>31</v>
      </c>
      <c r="E2081" s="120">
        <f t="shared" si="816"/>
        <v>5</v>
      </c>
      <c r="F2081" s="275">
        <f t="shared" si="817"/>
        <v>45793.5</v>
      </c>
      <c r="G2081" s="120">
        <f t="shared" si="818"/>
        <v>24304</v>
      </c>
      <c r="H2081" s="245">
        <f t="shared" si="819"/>
        <v>1</v>
      </c>
      <c r="I2081" s="121">
        <f t="shared" si="820"/>
        <v>1</v>
      </c>
      <c r="J2081" s="121">
        <f t="shared" si="821"/>
        <v>1</v>
      </c>
      <c r="K2081" s="120">
        <f t="shared" si="822"/>
        <v>0</v>
      </c>
      <c r="L2081" s="120">
        <f t="shared" si="823"/>
        <v>0</v>
      </c>
      <c r="M2081" s="246">
        <f t="shared" si="824"/>
        <v>0</v>
      </c>
      <c r="N2081" s="121">
        <f t="shared" si="825"/>
        <v>1</v>
      </c>
      <c r="O2081" s="246">
        <f t="shared" si="826"/>
        <v>0.96800875273522968</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87">
        <v>6</v>
      </c>
      <c r="B2082" s="242">
        <f t="shared" si="833"/>
        <v>45809</v>
      </c>
      <c r="C2082" s="243">
        <f t="shared" si="814"/>
        <v>45838</v>
      </c>
      <c r="D2082" s="120">
        <f t="shared" si="815"/>
        <v>30</v>
      </c>
      <c r="E2082" s="120">
        <f t="shared" si="816"/>
        <v>6</v>
      </c>
      <c r="F2082" s="275">
        <f t="shared" si="817"/>
        <v>45824</v>
      </c>
      <c r="G2082" s="120">
        <f t="shared" si="818"/>
        <v>24305</v>
      </c>
      <c r="H2082" s="245">
        <f t="shared" si="819"/>
        <v>1</v>
      </c>
      <c r="I2082" s="121">
        <f t="shared" si="820"/>
        <v>1</v>
      </c>
      <c r="J2082" s="121">
        <f t="shared" si="821"/>
        <v>1</v>
      </c>
      <c r="K2082" s="120">
        <f t="shared" si="822"/>
        <v>0</v>
      </c>
      <c r="L2082" s="120">
        <f t="shared" si="823"/>
        <v>0</v>
      </c>
      <c r="M2082" s="246">
        <f t="shared" si="824"/>
        <v>0</v>
      </c>
      <c r="N2082" s="121">
        <f t="shared" si="825"/>
        <v>1</v>
      </c>
      <c r="O2082" s="246">
        <f t="shared" si="826"/>
        <v>0.96934354485776797</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87">
        <v>7</v>
      </c>
      <c r="B2083" s="242">
        <f t="shared" si="833"/>
        <v>45839</v>
      </c>
      <c r="C2083" s="243">
        <f t="shared" si="814"/>
        <v>45869</v>
      </c>
      <c r="D2083" s="120">
        <f t="shared" si="815"/>
        <v>31</v>
      </c>
      <c r="E2083" s="120">
        <f t="shared" si="816"/>
        <v>7</v>
      </c>
      <c r="F2083" s="275">
        <f t="shared" si="817"/>
        <v>45854.5</v>
      </c>
      <c r="G2083" s="120">
        <f t="shared" si="818"/>
        <v>24306</v>
      </c>
      <c r="H2083" s="245">
        <f t="shared" si="819"/>
        <v>1</v>
      </c>
      <c r="I2083" s="121">
        <f t="shared" si="820"/>
        <v>1</v>
      </c>
      <c r="J2083" s="121">
        <f t="shared" si="821"/>
        <v>1</v>
      </c>
      <c r="K2083" s="120">
        <f t="shared" si="822"/>
        <v>0</v>
      </c>
      <c r="L2083" s="120">
        <f t="shared" si="823"/>
        <v>0</v>
      </c>
      <c r="M2083" s="246">
        <f t="shared" si="824"/>
        <v>0</v>
      </c>
      <c r="N2083" s="121">
        <f t="shared" si="825"/>
        <v>1</v>
      </c>
      <c r="O2083" s="246">
        <f t="shared" si="826"/>
        <v>0.97067833698030626</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87">
        <v>8</v>
      </c>
      <c r="B2084" s="242">
        <f t="shared" si="833"/>
        <v>45870</v>
      </c>
      <c r="C2084" s="243">
        <f t="shared" si="814"/>
        <v>45900</v>
      </c>
      <c r="D2084" s="120">
        <f t="shared" si="815"/>
        <v>31</v>
      </c>
      <c r="E2084" s="120">
        <f t="shared" si="816"/>
        <v>8</v>
      </c>
      <c r="F2084" s="275">
        <f t="shared" si="817"/>
        <v>45885.5</v>
      </c>
      <c r="G2084" s="120">
        <f t="shared" si="818"/>
        <v>24307</v>
      </c>
      <c r="H2084" s="245">
        <f t="shared" si="819"/>
        <v>1</v>
      </c>
      <c r="I2084" s="121">
        <f t="shared" si="820"/>
        <v>1</v>
      </c>
      <c r="J2084" s="121">
        <f t="shared" si="821"/>
        <v>1</v>
      </c>
      <c r="K2084" s="120">
        <f t="shared" si="822"/>
        <v>0</v>
      </c>
      <c r="L2084" s="120">
        <f t="shared" si="823"/>
        <v>0</v>
      </c>
      <c r="M2084" s="246">
        <f t="shared" si="824"/>
        <v>0</v>
      </c>
      <c r="N2084" s="121">
        <f t="shared" si="825"/>
        <v>1</v>
      </c>
      <c r="O2084" s="246">
        <f t="shared" si="826"/>
        <v>0.97203501094091893</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87">
        <v>9</v>
      </c>
      <c r="B2085" s="242">
        <f t="shared" si="833"/>
        <v>45901</v>
      </c>
      <c r="C2085" s="243">
        <f t="shared" si="814"/>
        <v>45930</v>
      </c>
      <c r="D2085" s="120">
        <f t="shared" si="815"/>
        <v>30</v>
      </c>
      <c r="E2085" s="120">
        <f t="shared" si="816"/>
        <v>9</v>
      </c>
      <c r="F2085" s="275">
        <f t="shared" si="817"/>
        <v>45916</v>
      </c>
      <c r="G2085" s="120">
        <f t="shared" si="818"/>
        <v>24308</v>
      </c>
      <c r="H2085" s="245">
        <f t="shared" si="819"/>
        <v>1</v>
      </c>
      <c r="I2085" s="121">
        <f t="shared" si="820"/>
        <v>1</v>
      </c>
      <c r="J2085" s="121">
        <f t="shared" si="821"/>
        <v>1</v>
      </c>
      <c r="K2085" s="120">
        <f t="shared" si="822"/>
        <v>0</v>
      </c>
      <c r="L2085" s="120">
        <f t="shared" si="823"/>
        <v>0</v>
      </c>
      <c r="M2085" s="246">
        <f t="shared" si="824"/>
        <v>0</v>
      </c>
      <c r="N2085" s="121">
        <f t="shared" si="825"/>
        <v>1</v>
      </c>
      <c r="O2085" s="246">
        <f t="shared" si="826"/>
        <v>0.97336980306345722</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87">
        <v>10</v>
      </c>
      <c r="B2086" s="242">
        <f t="shared" si="833"/>
        <v>45931</v>
      </c>
      <c r="C2086" s="243">
        <f t="shared" si="814"/>
        <v>45961</v>
      </c>
      <c r="D2086" s="120">
        <f t="shared" si="815"/>
        <v>31</v>
      </c>
      <c r="E2086" s="120">
        <f t="shared" si="816"/>
        <v>10</v>
      </c>
      <c r="F2086" s="275">
        <f t="shared" si="817"/>
        <v>45946.5</v>
      </c>
      <c r="G2086" s="120">
        <f t="shared" si="818"/>
        <v>24309</v>
      </c>
      <c r="H2086" s="245">
        <f t="shared" si="819"/>
        <v>1</v>
      </c>
      <c r="I2086" s="121">
        <f t="shared" si="820"/>
        <v>1</v>
      </c>
      <c r="J2086" s="121">
        <f t="shared" si="821"/>
        <v>1</v>
      </c>
      <c r="K2086" s="120">
        <f t="shared" si="822"/>
        <v>0</v>
      </c>
      <c r="L2086" s="120">
        <f t="shared" si="823"/>
        <v>0</v>
      </c>
      <c r="M2086" s="246">
        <f t="shared" si="824"/>
        <v>0</v>
      </c>
      <c r="N2086" s="121">
        <f t="shared" si="825"/>
        <v>1</v>
      </c>
      <c r="O2086" s="246">
        <f t="shared" si="826"/>
        <v>0.97470459518599561</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87">
        <v>11</v>
      </c>
      <c r="B2087" s="242">
        <f t="shared" si="833"/>
        <v>45962</v>
      </c>
      <c r="C2087" s="243">
        <f t="shared" si="814"/>
        <v>45991</v>
      </c>
      <c r="D2087" s="120">
        <f t="shared" si="815"/>
        <v>30</v>
      </c>
      <c r="E2087" s="120">
        <f t="shared" si="816"/>
        <v>11</v>
      </c>
      <c r="F2087" s="275">
        <f t="shared" si="817"/>
        <v>45977</v>
      </c>
      <c r="G2087" s="120">
        <f t="shared" si="818"/>
        <v>24310</v>
      </c>
      <c r="H2087" s="245">
        <f t="shared" si="819"/>
        <v>1</v>
      </c>
      <c r="I2087" s="121">
        <f t="shared" si="820"/>
        <v>1</v>
      </c>
      <c r="J2087" s="121">
        <f t="shared" si="821"/>
        <v>1</v>
      </c>
      <c r="K2087" s="120">
        <f t="shared" si="822"/>
        <v>0</v>
      </c>
      <c r="L2087" s="120">
        <f t="shared" si="823"/>
        <v>0</v>
      </c>
      <c r="M2087" s="246">
        <f t="shared" si="824"/>
        <v>0</v>
      </c>
      <c r="N2087" s="121">
        <f t="shared" si="825"/>
        <v>1</v>
      </c>
      <c r="O2087" s="246">
        <f t="shared" si="826"/>
        <v>0.9760393873085339</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87">
        <v>12</v>
      </c>
      <c r="B2088" s="242">
        <f t="shared" si="833"/>
        <v>45992</v>
      </c>
      <c r="C2088" s="243">
        <f t="shared" si="814"/>
        <v>46022</v>
      </c>
      <c r="D2088" s="120">
        <f t="shared" si="815"/>
        <v>31</v>
      </c>
      <c r="E2088" s="120">
        <f t="shared" si="816"/>
        <v>12</v>
      </c>
      <c r="F2088" s="275">
        <f t="shared" si="817"/>
        <v>46007.5</v>
      </c>
      <c r="G2088" s="120">
        <f t="shared" si="818"/>
        <v>24311</v>
      </c>
      <c r="H2088" s="245">
        <f t="shared" si="819"/>
        <v>1</v>
      </c>
      <c r="I2088" s="121">
        <f t="shared" si="820"/>
        <v>1</v>
      </c>
      <c r="J2088" s="121">
        <f t="shared" si="821"/>
        <v>1</v>
      </c>
      <c r="K2088" s="120">
        <f t="shared" si="822"/>
        <v>0</v>
      </c>
      <c r="L2088" s="120">
        <f t="shared" si="823"/>
        <v>0</v>
      </c>
      <c r="M2088" s="246">
        <f t="shared" si="824"/>
        <v>0</v>
      </c>
      <c r="N2088" s="121">
        <f t="shared" si="825"/>
        <v>1</v>
      </c>
      <c r="O2088" s="246">
        <f t="shared" si="826"/>
        <v>0.97737417943107219</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87">
        <v>13</v>
      </c>
      <c r="B2089" s="242">
        <f t="shared" si="833"/>
        <v>46023</v>
      </c>
      <c r="C2089" s="243">
        <f t="shared" si="814"/>
        <v>46053</v>
      </c>
      <c r="D2089" s="120">
        <f t="shared" si="815"/>
        <v>31</v>
      </c>
      <c r="E2089" s="120">
        <f t="shared" si="816"/>
        <v>1</v>
      </c>
      <c r="F2089" s="275">
        <f t="shared" si="817"/>
        <v>46038.5</v>
      </c>
      <c r="G2089" s="120">
        <f t="shared" si="818"/>
        <v>24312</v>
      </c>
      <c r="H2089" s="245">
        <f t="shared" si="819"/>
        <v>1</v>
      </c>
      <c r="I2089" s="121">
        <f t="shared" si="820"/>
        <v>1</v>
      </c>
      <c r="J2089" s="121">
        <f t="shared" si="821"/>
        <v>1</v>
      </c>
      <c r="K2089" s="120">
        <f t="shared" si="822"/>
        <v>0</v>
      </c>
      <c r="L2089" s="120">
        <f t="shared" si="823"/>
        <v>0</v>
      </c>
      <c r="M2089" s="246">
        <f t="shared" si="824"/>
        <v>0</v>
      </c>
      <c r="N2089" s="121">
        <f t="shared" si="825"/>
        <v>1</v>
      </c>
      <c r="O2089" s="246">
        <f t="shared" si="826"/>
        <v>0.97873085339168486</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87">
        <v>14</v>
      </c>
      <c r="B2090" s="242">
        <f t="shared" si="833"/>
        <v>46054</v>
      </c>
      <c r="C2090" s="243">
        <f t="shared" si="814"/>
        <v>46081</v>
      </c>
      <c r="D2090" s="120">
        <f t="shared" si="815"/>
        <v>28</v>
      </c>
      <c r="E2090" s="120">
        <f t="shared" si="816"/>
        <v>2</v>
      </c>
      <c r="F2090" s="275">
        <f t="shared" si="817"/>
        <v>46068</v>
      </c>
      <c r="G2090" s="120">
        <f t="shared" si="818"/>
        <v>24313</v>
      </c>
      <c r="H2090" s="245">
        <f t="shared" si="819"/>
        <v>1</v>
      </c>
      <c r="I2090" s="121">
        <f t="shared" si="820"/>
        <v>1</v>
      </c>
      <c r="J2090" s="121">
        <f t="shared" si="821"/>
        <v>1.04</v>
      </c>
      <c r="K2090" s="120">
        <f t="shared" si="822"/>
        <v>1</v>
      </c>
      <c r="L2090" s="120">
        <f t="shared" si="823"/>
        <v>28</v>
      </c>
      <c r="M2090" s="246">
        <f t="shared" si="824"/>
        <v>1</v>
      </c>
      <c r="N2090" s="121">
        <f t="shared" si="825"/>
        <v>1.04</v>
      </c>
      <c r="O2090" s="246">
        <f t="shared" si="826"/>
        <v>0.98002188183807437</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87">
        <v>15</v>
      </c>
      <c r="B2091" s="242">
        <f t="shared" si="833"/>
        <v>46082</v>
      </c>
      <c r="C2091" s="243">
        <f t="shared" si="814"/>
        <v>46112</v>
      </c>
      <c r="D2091" s="120">
        <f t="shared" si="815"/>
        <v>31</v>
      </c>
      <c r="E2091" s="120">
        <f t="shared" si="816"/>
        <v>3</v>
      </c>
      <c r="F2091" s="275">
        <f t="shared" si="817"/>
        <v>46097.5</v>
      </c>
      <c r="G2091" s="120">
        <f t="shared" si="818"/>
        <v>24314</v>
      </c>
      <c r="H2091" s="245">
        <f t="shared" si="819"/>
        <v>1</v>
      </c>
      <c r="I2091" s="121">
        <f t="shared" si="820"/>
        <v>1.04</v>
      </c>
      <c r="J2091" s="121">
        <f t="shared" si="821"/>
        <v>1.04</v>
      </c>
      <c r="K2091" s="120">
        <f t="shared" si="822"/>
        <v>0</v>
      </c>
      <c r="L2091" s="120">
        <f t="shared" si="823"/>
        <v>0</v>
      </c>
      <c r="M2091" s="246">
        <f t="shared" si="824"/>
        <v>0</v>
      </c>
      <c r="N2091" s="121">
        <f t="shared" si="825"/>
        <v>1.04</v>
      </c>
      <c r="O2091" s="246">
        <f t="shared" si="826"/>
        <v>0.98131291028446388</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87">
        <v>16</v>
      </c>
      <c r="B2092" s="242">
        <f t="shared" si="833"/>
        <v>46113</v>
      </c>
      <c r="C2092" s="243">
        <f t="shared" si="814"/>
        <v>46142</v>
      </c>
      <c r="D2092" s="120">
        <f t="shared" si="815"/>
        <v>30</v>
      </c>
      <c r="E2092" s="120">
        <f t="shared" si="816"/>
        <v>4</v>
      </c>
      <c r="F2092" s="275">
        <f t="shared" si="817"/>
        <v>46128</v>
      </c>
      <c r="G2092" s="120">
        <f t="shared" si="818"/>
        <v>24315</v>
      </c>
      <c r="H2092" s="245">
        <f t="shared" si="819"/>
        <v>1</v>
      </c>
      <c r="I2092" s="121">
        <f t="shared" si="820"/>
        <v>1.04</v>
      </c>
      <c r="J2092" s="121">
        <f t="shared" si="821"/>
        <v>1.04</v>
      </c>
      <c r="K2092" s="120">
        <f t="shared" si="822"/>
        <v>0</v>
      </c>
      <c r="L2092" s="120">
        <f t="shared" si="823"/>
        <v>0</v>
      </c>
      <c r="M2092" s="246">
        <f t="shared" si="824"/>
        <v>0</v>
      </c>
      <c r="N2092" s="121">
        <f t="shared" si="825"/>
        <v>1.04</v>
      </c>
      <c r="O2092" s="246">
        <f t="shared" si="826"/>
        <v>0.98264770240700217</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87">
        <v>17</v>
      </c>
      <c r="B2093" s="242">
        <f t="shared" si="833"/>
        <v>46143</v>
      </c>
      <c r="C2093" s="243">
        <f t="shared" si="814"/>
        <v>46173</v>
      </c>
      <c r="D2093" s="120">
        <f t="shared" si="815"/>
        <v>31</v>
      </c>
      <c r="E2093" s="120">
        <f t="shared" si="816"/>
        <v>5</v>
      </c>
      <c r="F2093" s="275">
        <f t="shared" si="817"/>
        <v>46158.5</v>
      </c>
      <c r="G2093" s="120">
        <f t="shared" si="818"/>
        <v>24316</v>
      </c>
      <c r="H2093" s="245">
        <f t="shared" si="819"/>
        <v>1</v>
      </c>
      <c r="I2093" s="121">
        <f t="shared" si="820"/>
        <v>1.04</v>
      </c>
      <c r="J2093" s="121">
        <f t="shared" si="821"/>
        <v>1.04</v>
      </c>
      <c r="K2093" s="120">
        <f t="shared" si="822"/>
        <v>0</v>
      </c>
      <c r="L2093" s="120">
        <f t="shared" si="823"/>
        <v>0</v>
      </c>
      <c r="M2093" s="246">
        <f t="shared" si="824"/>
        <v>0</v>
      </c>
      <c r="N2093" s="121">
        <f t="shared" si="825"/>
        <v>1.04</v>
      </c>
      <c r="O2093" s="246">
        <f t="shared" si="826"/>
        <v>0.98398249452954045</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87">
        <v>18</v>
      </c>
      <c r="B2094" s="242">
        <f t="shared" si="833"/>
        <v>46174</v>
      </c>
      <c r="C2094" s="243">
        <f t="shared" si="814"/>
        <v>46203</v>
      </c>
      <c r="D2094" s="120">
        <f t="shared" si="815"/>
        <v>30</v>
      </c>
      <c r="E2094" s="120">
        <f t="shared" si="816"/>
        <v>6</v>
      </c>
      <c r="F2094" s="275">
        <f t="shared" si="817"/>
        <v>46189</v>
      </c>
      <c r="G2094" s="120">
        <f t="shared" si="818"/>
        <v>24317</v>
      </c>
      <c r="H2094" s="245">
        <f t="shared" si="819"/>
        <v>1</v>
      </c>
      <c r="I2094" s="121">
        <f t="shared" si="820"/>
        <v>1.04</v>
      </c>
      <c r="J2094" s="121">
        <f t="shared" si="821"/>
        <v>1.04</v>
      </c>
      <c r="K2094" s="120">
        <f t="shared" si="822"/>
        <v>0</v>
      </c>
      <c r="L2094" s="120">
        <f t="shared" si="823"/>
        <v>0</v>
      </c>
      <c r="M2094" s="246">
        <f t="shared" si="824"/>
        <v>0</v>
      </c>
      <c r="N2094" s="121">
        <f t="shared" si="825"/>
        <v>1.04</v>
      </c>
      <c r="O2094" s="246">
        <f t="shared" si="826"/>
        <v>0.98531728665207874</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87">
        <v>19</v>
      </c>
      <c r="B2095" s="242">
        <f t="shared" si="833"/>
        <v>46204</v>
      </c>
      <c r="C2095" s="243">
        <f t="shared" si="814"/>
        <v>46234</v>
      </c>
      <c r="D2095" s="120">
        <f t="shared" si="815"/>
        <v>31</v>
      </c>
      <c r="E2095" s="120">
        <f t="shared" si="816"/>
        <v>7</v>
      </c>
      <c r="F2095" s="275">
        <f t="shared" si="817"/>
        <v>46219.5</v>
      </c>
      <c r="G2095" s="120">
        <f t="shared" si="818"/>
        <v>24318</v>
      </c>
      <c r="H2095" s="245">
        <f t="shared" si="819"/>
        <v>1</v>
      </c>
      <c r="I2095" s="121">
        <f t="shared" si="820"/>
        <v>1.04</v>
      </c>
      <c r="J2095" s="121">
        <f t="shared" si="821"/>
        <v>1.04</v>
      </c>
      <c r="K2095" s="120">
        <f t="shared" si="822"/>
        <v>0</v>
      </c>
      <c r="L2095" s="120">
        <f t="shared" si="823"/>
        <v>0</v>
      </c>
      <c r="M2095" s="246">
        <f t="shared" si="824"/>
        <v>0</v>
      </c>
      <c r="N2095" s="121">
        <f t="shared" si="825"/>
        <v>1.04</v>
      </c>
      <c r="O2095" s="246">
        <f t="shared" si="826"/>
        <v>0.98665207877461703</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87">
        <v>20</v>
      </c>
      <c r="B2096" s="242">
        <f t="shared" si="833"/>
        <v>46235</v>
      </c>
      <c r="C2096" s="243">
        <f t="shared" si="814"/>
        <v>46265</v>
      </c>
      <c r="D2096" s="120">
        <f t="shared" si="815"/>
        <v>31</v>
      </c>
      <c r="E2096" s="120">
        <f t="shared" si="816"/>
        <v>8</v>
      </c>
      <c r="F2096" s="275">
        <f t="shared" si="817"/>
        <v>46250.5</v>
      </c>
      <c r="G2096" s="120">
        <f t="shared" si="818"/>
        <v>24319</v>
      </c>
      <c r="H2096" s="245">
        <f t="shared" si="819"/>
        <v>1</v>
      </c>
      <c r="I2096" s="121">
        <f t="shared" si="820"/>
        <v>1.04</v>
      </c>
      <c r="J2096" s="121">
        <f t="shared" si="821"/>
        <v>1.04</v>
      </c>
      <c r="K2096" s="120">
        <f t="shared" si="822"/>
        <v>0</v>
      </c>
      <c r="L2096" s="120">
        <f t="shared" si="823"/>
        <v>0</v>
      </c>
      <c r="M2096" s="246">
        <f t="shared" si="824"/>
        <v>0</v>
      </c>
      <c r="N2096" s="121">
        <f t="shared" si="825"/>
        <v>1.04</v>
      </c>
      <c r="O2096" s="246">
        <f t="shared" si="826"/>
        <v>0.9880087527352297</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87">
        <v>21</v>
      </c>
      <c r="B2097" s="242">
        <f t="shared" si="833"/>
        <v>46266</v>
      </c>
      <c r="C2097" s="243">
        <f t="shared" si="814"/>
        <v>46295</v>
      </c>
      <c r="D2097" s="120">
        <f t="shared" si="815"/>
        <v>30</v>
      </c>
      <c r="E2097" s="120">
        <f t="shared" si="816"/>
        <v>9</v>
      </c>
      <c r="F2097" s="275">
        <f t="shared" si="817"/>
        <v>46281</v>
      </c>
      <c r="G2097" s="120">
        <f t="shared" si="818"/>
        <v>24320</v>
      </c>
      <c r="H2097" s="245">
        <f t="shared" si="819"/>
        <v>1</v>
      </c>
      <c r="I2097" s="121">
        <f t="shared" si="820"/>
        <v>1.04</v>
      </c>
      <c r="J2097" s="121">
        <f t="shared" si="821"/>
        <v>1.04</v>
      </c>
      <c r="K2097" s="120">
        <f t="shared" si="822"/>
        <v>0</v>
      </c>
      <c r="L2097" s="120">
        <f t="shared" si="823"/>
        <v>0</v>
      </c>
      <c r="M2097" s="246">
        <f t="shared" si="824"/>
        <v>0</v>
      </c>
      <c r="N2097" s="121">
        <f t="shared" si="825"/>
        <v>1.04</v>
      </c>
      <c r="O2097" s="246">
        <f t="shared" si="826"/>
        <v>0.98934354485776799</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87">
        <v>22</v>
      </c>
      <c r="B2098" s="242">
        <f t="shared" si="833"/>
        <v>46296</v>
      </c>
      <c r="C2098" s="243">
        <f t="shared" si="814"/>
        <v>46326</v>
      </c>
      <c r="D2098" s="120">
        <f t="shared" si="815"/>
        <v>31</v>
      </c>
      <c r="E2098" s="120">
        <f t="shared" si="816"/>
        <v>10</v>
      </c>
      <c r="F2098" s="275">
        <f t="shared" si="817"/>
        <v>46311.5</v>
      </c>
      <c r="G2098" s="120">
        <f t="shared" si="818"/>
        <v>24321</v>
      </c>
      <c r="H2098" s="245">
        <f t="shared" si="819"/>
        <v>1</v>
      </c>
      <c r="I2098" s="121">
        <f t="shared" si="820"/>
        <v>1.04</v>
      </c>
      <c r="J2098" s="121">
        <f t="shared" si="821"/>
        <v>1.04</v>
      </c>
      <c r="K2098" s="120">
        <f t="shared" si="822"/>
        <v>0</v>
      </c>
      <c r="L2098" s="120">
        <f t="shared" si="823"/>
        <v>0</v>
      </c>
      <c r="M2098" s="246">
        <f t="shared" si="824"/>
        <v>0</v>
      </c>
      <c r="N2098" s="121">
        <f t="shared" si="825"/>
        <v>1.04</v>
      </c>
      <c r="O2098" s="246">
        <f t="shared" si="826"/>
        <v>0.99067833698030638</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87">
        <v>23</v>
      </c>
      <c r="B2099" s="242">
        <f t="shared" si="833"/>
        <v>46327</v>
      </c>
      <c r="C2099" s="243">
        <f t="shared" si="814"/>
        <v>46356</v>
      </c>
      <c r="D2099" s="120">
        <f t="shared" si="815"/>
        <v>30</v>
      </c>
      <c r="E2099" s="120">
        <f t="shared" si="816"/>
        <v>11</v>
      </c>
      <c r="F2099" s="275">
        <f t="shared" si="817"/>
        <v>46342</v>
      </c>
      <c r="G2099" s="120">
        <f t="shared" si="818"/>
        <v>24322</v>
      </c>
      <c r="H2099" s="245">
        <f t="shared" si="819"/>
        <v>1</v>
      </c>
      <c r="I2099" s="121">
        <f t="shared" si="820"/>
        <v>1.04</v>
      </c>
      <c r="J2099" s="121">
        <f t="shared" si="821"/>
        <v>1.04</v>
      </c>
      <c r="K2099" s="120">
        <f t="shared" si="822"/>
        <v>0</v>
      </c>
      <c r="L2099" s="120">
        <f t="shared" si="823"/>
        <v>0</v>
      </c>
      <c r="M2099" s="246">
        <f t="shared" si="824"/>
        <v>0</v>
      </c>
      <c r="N2099" s="121">
        <f t="shared" si="825"/>
        <v>1.04</v>
      </c>
      <c r="O2099" s="246">
        <f t="shared" si="826"/>
        <v>0.99201312910284467</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87">
        <v>24</v>
      </c>
      <c r="B2100" s="242">
        <f t="shared" si="833"/>
        <v>46357</v>
      </c>
      <c r="C2100" s="243">
        <f t="shared" si="814"/>
        <v>46387</v>
      </c>
      <c r="D2100" s="120">
        <f t="shared" si="815"/>
        <v>31</v>
      </c>
      <c r="E2100" s="120">
        <f t="shared" si="816"/>
        <v>12</v>
      </c>
      <c r="F2100" s="275">
        <f t="shared" si="817"/>
        <v>46372.5</v>
      </c>
      <c r="G2100" s="120">
        <f t="shared" si="818"/>
        <v>24323</v>
      </c>
      <c r="H2100" s="245">
        <f t="shared" si="819"/>
        <v>1</v>
      </c>
      <c r="I2100" s="121">
        <f t="shared" si="820"/>
        <v>1.04</v>
      </c>
      <c r="J2100" s="121">
        <f t="shared" si="821"/>
        <v>1.04</v>
      </c>
      <c r="K2100" s="120">
        <f t="shared" si="822"/>
        <v>0</v>
      </c>
      <c r="L2100" s="120">
        <f t="shared" si="823"/>
        <v>0</v>
      </c>
      <c r="M2100" s="246">
        <f t="shared" si="824"/>
        <v>0</v>
      </c>
      <c r="N2100" s="121">
        <f t="shared" si="825"/>
        <v>1.04</v>
      </c>
      <c r="O2100" s="246">
        <f t="shared" si="826"/>
        <v>0.99334792122538296</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87">
        <v>25</v>
      </c>
      <c r="B2101" s="242">
        <f t="shared" si="833"/>
        <v>46388</v>
      </c>
      <c r="C2101" s="243">
        <f t="shared" si="814"/>
        <v>46418</v>
      </c>
      <c r="D2101" s="120">
        <f t="shared" si="815"/>
        <v>31</v>
      </c>
      <c r="E2101" s="120">
        <f t="shared" si="816"/>
        <v>1</v>
      </c>
      <c r="F2101" s="275">
        <f t="shared" si="817"/>
        <v>46403.5</v>
      </c>
      <c r="G2101" s="120">
        <f t="shared" si="818"/>
        <v>24324</v>
      </c>
      <c r="H2101" s="245">
        <f t="shared" si="819"/>
        <v>1</v>
      </c>
      <c r="I2101" s="121">
        <f t="shared" si="820"/>
        <v>1.04</v>
      </c>
      <c r="J2101" s="121">
        <f t="shared" si="821"/>
        <v>1.04</v>
      </c>
      <c r="K2101" s="120">
        <f t="shared" si="822"/>
        <v>0</v>
      </c>
      <c r="L2101" s="120">
        <f t="shared" si="823"/>
        <v>0</v>
      </c>
      <c r="M2101" s="246">
        <f t="shared" si="824"/>
        <v>0</v>
      </c>
      <c r="N2101" s="121">
        <f t="shared" si="825"/>
        <v>1.04</v>
      </c>
      <c r="O2101" s="246">
        <f t="shared" si="826"/>
        <v>0.99470459518599563</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87">
        <v>26</v>
      </c>
      <c r="B2102" s="242">
        <f t="shared" si="833"/>
        <v>46419</v>
      </c>
      <c r="C2102" s="243">
        <f t="shared" si="814"/>
        <v>46446</v>
      </c>
      <c r="D2102" s="120">
        <f t="shared" si="815"/>
        <v>28</v>
      </c>
      <c r="E2102" s="120">
        <f t="shared" si="816"/>
        <v>2</v>
      </c>
      <c r="F2102" s="275">
        <f t="shared" si="817"/>
        <v>46433</v>
      </c>
      <c r="G2102" s="120">
        <f t="shared" si="818"/>
        <v>24325</v>
      </c>
      <c r="H2102" s="245">
        <f t="shared" si="819"/>
        <v>1</v>
      </c>
      <c r="I2102" s="121">
        <f t="shared" si="820"/>
        <v>1.04</v>
      </c>
      <c r="J2102" s="121">
        <f t="shared" si="821"/>
        <v>1.04</v>
      </c>
      <c r="K2102" s="120">
        <f t="shared" si="822"/>
        <v>0</v>
      </c>
      <c r="L2102" s="120">
        <f t="shared" si="823"/>
        <v>0</v>
      </c>
      <c r="M2102" s="246">
        <f t="shared" si="824"/>
        <v>0</v>
      </c>
      <c r="N2102" s="121">
        <f t="shared" si="825"/>
        <v>1.04</v>
      </c>
      <c r="O2102" s="246">
        <f t="shared" si="826"/>
        <v>0.99599562363238514</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87">
        <v>27</v>
      </c>
      <c r="B2103" s="242">
        <f t="shared" si="833"/>
        <v>46447</v>
      </c>
      <c r="C2103" s="243">
        <f t="shared" si="814"/>
        <v>46477</v>
      </c>
      <c r="D2103" s="120">
        <f t="shared" si="815"/>
        <v>31</v>
      </c>
      <c r="E2103" s="120">
        <f t="shared" si="816"/>
        <v>3</v>
      </c>
      <c r="F2103" s="275">
        <f t="shared" si="817"/>
        <v>46462.5</v>
      </c>
      <c r="G2103" s="120">
        <f t="shared" si="818"/>
        <v>24326</v>
      </c>
      <c r="H2103" s="245">
        <f t="shared" si="819"/>
        <v>1</v>
      </c>
      <c r="I2103" s="121">
        <f t="shared" si="820"/>
        <v>1.04</v>
      </c>
      <c r="J2103" s="121">
        <f t="shared" si="821"/>
        <v>1.04</v>
      </c>
      <c r="K2103" s="120">
        <f t="shared" si="822"/>
        <v>0</v>
      </c>
      <c r="L2103" s="120">
        <f t="shared" si="823"/>
        <v>0</v>
      </c>
      <c r="M2103" s="246">
        <f t="shared" si="824"/>
        <v>0</v>
      </c>
      <c r="N2103" s="121">
        <f t="shared" si="825"/>
        <v>1.04</v>
      </c>
      <c r="O2103" s="246">
        <f t="shared" si="826"/>
        <v>0.99728665207877465</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87">
        <v>28</v>
      </c>
      <c r="B2104" s="242">
        <f t="shared" si="833"/>
        <v>46478</v>
      </c>
      <c r="C2104" s="243">
        <f t="shared" si="814"/>
        <v>46507</v>
      </c>
      <c r="D2104" s="120">
        <f t="shared" si="815"/>
        <v>30</v>
      </c>
      <c r="E2104" s="120">
        <f t="shared" si="816"/>
        <v>4</v>
      </c>
      <c r="F2104" s="275">
        <f t="shared" si="817"/>
        <v>46493</v>
      </c>
      <c r="G2104" s="120">
        <f t="shared" si="818"/>
        <v>24327</v>
      </c>
      <c r="H2104" s="245">
        <f t="shared" si="819"/>
        <v>1</v>
      </c>
      <c r="I2104" s="121">
        <f t="shared" si="820"/>
        <v>1.04</v>
      </c>
      <c r="J2104" s="121">
        <f t="shared" si="821"/>
        <v>1.04</v>
      </c>
      <c r="K2104" s="120">
        <f t="shared" si="822"/>
        <v>0</v>
      </c>
      <c r="L2104" s="120">
        <f t="shared" si="823"/>
        <v>0</v>
      </c>
      <c r="M2104" s="246">
        <f t="shared" si="824"/>
        <v>0</v>
      </c>
      <c r="N2104" s="121">
        <f t="shared" si="825"/>
        <v>1.04</v>
      </c>
      <c r="O2104" s="246">
        <f t="shared" si="826"/>
        <v>0.99862144420131294</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87">
        <v>29</v>
      </c>
      <c r="B2105" s="242">
        <f t="shared" si="833"/>
        <v>46508</v>
      </c>
      <c r="C2105" s="243">
        <f t="shared" si="814"/>
        <v>46538</v>
      </c>
      <c r="D2105" s="120">
        <f t="shared" si="815"/>
        <v>31</v>
      </c>
      <c r="E2105" s="120">
        <f t="shared" si="816"/>
        <v>5</v>
      </c>
      <c r="F2105" s="275">
        <f t="shared" si="817"/>
        <v>46523.5</v>
      </c>
      <c r="G2105" s="120">
        <f t="shared" si="818"/>
        <v>24328</v>
      </c>
      <c r="H2105" s="245">
        <f t="shared" si="819"/>
        <v>1</v>
      </c>
      <c r="I2105" s="121">
        <f t="shared" si="820"/>
        <v>1.04</v>
      </c>
      <c r="J2105" s="121">
        <f t="shared" si="821"/>
        <v>1.04</v>
      </c>
      <c r="K2105" s="120">
        <f t="shared" si="822"/>
        <v>0</v>
      </c>
      <c r="L2105" s="120">
        <f t="shared" si="823"/>
        <v>0</v>
      </c>
      <c r="M2105" s="246">
        <f t="shared" si="824"/>
        <v>0</v>
      </c>
      <c r="N2105" s="121">
        <f t="shared" si="825"/>
        <v>1.04</v>
      </c>
      <c r="O2105" s="246">
        <f t="shared" si="826"/>
        <v>0.99995623632385122</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87">
        <v>30</v>
      </c>
      <c r="B2106" s="242">
        <f t="shared" si="833"/>
        <v>46539</v>
      </c>
      <c r="C2106" s="243">
        <f t="shared" si="814"/>
        <v>46568</v>
      </c>
      <c r="D2106" s="120">
        <f t="shared" si="815"/>
        <v>30</v>
      </c>
      <c r="E2106" s="120">
        <f t="shared" si="816"/>
        <v>6</v>
      </c>
      <c r="F2106" s="275">
        <f t="shared" si="817"/>
        <v>46554</v>
      </c>
      <c r="G2106" s="120">
        <f t="shared" si="818"/>
        <v>24329</v>
      </c>
      <c r="H2106" s="245">
        <f t="shared" si="819"/>
        <v>1</v>
      </c>
      <c r="I2106" s="121">
        <f t="shared" si="820"/>
        <v>1.04</v>
      </c>
      <c r="J2106" s="121">
        <f t="shared" si="821"/>
        <v>1.04</v>
      </c>
      <c r="K2106" s="120">
        <f t="shared" si="822"/>
        <v>0</v>
      </c>
      <c r="L2106" s="120">
        <f t="shared" si="823"/>
        <v>0</v>
      </c>
      <c r="M2106" s="246">
        <f t="shared" si="824"/>
        <v>0</v>
      </c>
      <c r="N2106" s="121">
        <f t="shared" si="825"/>
        <v>1.04</v>
      </c>
      <c r="O2106" s="246">
        <f t="shared" si="826"/>
        <v>1.0012910284463894</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87">
        <v>31</v>
      </c>
      <c r="B2107" s="242">
        <f t="shared" si="833"/>
        <v>46569</v>
      </c>
      <c r="C2107" s="243">
        <f t="shared" si="814"/>
        <v>46599</v>
      </c>
      <c r="D2107" s="120">
        <f t="shared" si="815"/>
        <v>31</v>
      </c>
      <c r="E2107" s="120">
        <f t="shared" si="816"/>
        <v>7</v>
      </c>
      <c r="F2107" s="275">
        <f t="shared" si="817"/>
        <v>46584.5</v>
      </c>
      <c r="G2107" s="120">
        <f t="shared" si="818"/>
        <v>24330</v>
      </c>
      <c r="H2107" s="245">
        <f t="shared" si="819"/>
        <v>1</v>
      </c>
      <c r="I2107" s="121">
        <f t="shared" si="820"/>
        <v>1.04</v>
      </c>
      <c r="J2107" s="121">
        <f t="shared" si="821"/>
        <v>1.04</v>
      </c>
      <c r="K2107" s="120">
        <f t="shared" si="822"/>
        <v>0</v>
      </c>
      <c r="L2107" s="120">
        <f t="shared" si="823"/>
        <v>0</v>
      </c>
      <c r="M2107" s="246">
        <f t="shared" si="824"/>
        <v>0</v>
      </c>
      <c r="N2107" s="121">
        <f t="shared" si="825"/>
        <v>1.04</v>
      </c>
      <c r="O2107" s="246">
        <f t="shared" si="826"/>
        <v>1.0026258205689278</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87">
        <v>32</v>
      </c>
      <c r="B2108" s="242">
        <f t="shared" si="833"/>
        <v>46600</v>
      </c>
      <c r="C2108" s="243">
        <f t="shared" si="814"/>
        <v>46630</v>
      </c>
      <c r="D2108" s="120">
        <f t="shared" si="815"/>
        <v>31</v>
      </c>
      <c r="E2108" s="120">
        <f t="shared" si="816"/>
        <v>8</v>
      </c>
      <c r="F2108" s="275">
        <f t="shared" si="817"/>
        <v>46615.5</v>
      </c>
      <c r="G2108" s="120">
        <f t="shared" si="818"/>
        <v>24331</v>
      </c>
      <c r="H2108" s="245">
        <f t="shared" si="819"/>
        <v>1</v>
      </c>
      <c r="I2108" s="121">
        <f t="shared" si="820"/>
        <v>1.04</v>
      </c>
      <c r="J2108" s="121">
        <f t="shared" si="821"/>
        <v>1.0816000000000001</v>
      </c>
      <c r="K2108" s="120">
        <f t="shared" si="822"/>
        <v>1</v>
      </c>
      <c r="L2108" s="120">
        <f t="shared" si="823"/>
        <v>31</v>
      </c>
      <c r="M2108" s="246">
        <f t="shared" si="824"/>
        <v>1</v>
      </c>
      <c r="N2108" s="121">
        <f t="shared" si="825"/>
        <v>1.0816000000000001</v>
      </c>
      <c r="O2108" s="246">
        <f t="shared" si="826"/>
        <v>1.0039824945295406</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87">
        <v>33</v>
      </c>
      <c r="B2109" s="242">
        <f t="shared" si="833"/>
        <v>46631</v>
      </c>
      <c r="C2109" s="243">
        <f t="shared" si="814"/>
        <v>46660</v>
      </c>
      <c r="D2109" s="120">
        <f t="shared" si="815"/>
        <v>30</v>
      </c>
      <c r="E2109" s="120">
        <f t="shared" si="816"/>
        <v>9</v>
      </c>
      <c r="F2109" s="275">
        <f t="shared" si="817"/>
        <v>46646</v>
      </c>
      <c r="G2109" s="120">
        <f t="shared" si="818"/>
        <v>24332</v>
      </c>
      <c r="H2109" s="245">
        <f t="shared" si="819"/>
        <v>1</v>
      </c>
      <c r="I2109" s="121">
        <f t="shared" si="820"/>
        <v>1.0816000000000001</v>
      </c>
      <c r="J2109" s="121">
        <f t="shared" si="821"/>
        <v>1.0816000000000001</v>
      </c>
      <c r="K2109" s="120">
        <f t="shared" si="822"/>
        <v>0</v>
      </c>
      <c r="L2109" s="120">
        <f t="shared" si="823"/>
        <v>0</v>
      </c>
      <c r="M2109" s="246">
        <f t="shared" si="824"/>
        <v>0</v>
      </c>
      <c r="N2109" s="121">
        <f t="shared" si="825"/>
        <v>1.0816000000000001</v>
      </c>
      <c r="O2109" s="246">
        <f t="shared" si="826"/>
        <v>1.0053172866520788</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87">
        <v>34</v>
      </c>
      <c r="B2110" s="242">
        <f t="shared" si="833"/>
        <v>46661</v>
      </c>
      <c r="C2110" s="243">
        <f t="shared" si="814"/>
        <v>46691</v>
      </c>
      <c r="D2110" s="120">
        <f t="shared" si="815"/>
        <v>31</v>
      </c>
      <c r="E2110" s="120">
        <f t="shared" si="816"/>
        <v>10</v>
      </c>
      <c r="F2110" s="275">
        <f t="shared" si="817"/>
        <v>46676.5</v>
      </c>
      <c r="G2110" s="120">
        <f t="shared" si="818"/>
        <v>24333</v>
      </c>
      <c r="H2110" s="245">
        <f t="shared" si="819"/>
        <v>1</v>
      </c>
      <c r="I2110" s="121">
        <f t="shared" si="820"/>
        <v>1.0816000000000001</v>
      </c>
      <c r="J2110" s="121">
        <f t="shared" si="821"/>
        <v>1.0816000000000001</v>
      </c>
      <c r="K2110" s="120">
        <f t="shared" si="822"/>
        <v>0</v>
      </c>
      <c r="L2110" s="120">
        <f t="shared" si="823"/>
        <v>0</v>
      </c>
      <c r="M2110" s="246">
        <f t="shared" si="824"/>
        <v>0</v>
      </c>
      <c r="N2110" s="121">
        <f t="shared" si="825"/>
        <v>1.0816000000000001</v>
      </c>
      <c r="O2110" s="246">
        <f t="shared" si="826"/>
        <v>1.0066520787746172</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87">
        <v>35</v>
      </c>
      <c r="B2111" s="242">
        <f t="shared" si="833"/>
        <v>46692</v>
      </c>
      <c r="C2111" s="243">
        <f t="shared" si="814"/>
        <v>46721</v>
      </c>
      <c r="D2111" s="120">
        <f t="shared" si="815"/>
        <v>30</v>
      </c>
      <c r="E2111" s="120">
        <f t="shared" si="816"/>
        <v>11</v>
      </c>
      <c r="F2111" s="275">
        <f t="shared" si="817"/>
        <v>46707</v>
      </c>
      <c r="G2111" s="120">
        <f t="shared" si="818"/>
        <v>24334</v>
      </c>
      <c r="H2111" s="245">
        <f t="shared" si="819"/>
        <v>1</v>
      </c>
      <c r="I2111" s="121">
        <f t="shared" si="820"/>
        <v>1.0816000000000001</v>
      </c>
      <c r="J2111" s="121">
        <f t="shared" si="821"/>
        <v>1.0816000000000001</v>
      </c>
      <c r="K2111" s="120">
        <f t="shared" si="822"/>
        <v>0</v>
      </c>
      <c r="L2111" s="120">
        <f t="shared" si="823"/>
        <v>0</v>
      </c>
      <c r="M2111" s="246">
        <f t="shared" si="824"/>
        <v>0</v>
      </c>
      <c r="N2111" s="121">
        <f t="shared" si="825"/>
        <v>1.0816000000000001</v>
      </c>
      <c r="O2111" s="246">
        <f t="shared" si="826"/>
        <v>1.0079868708971553</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87">
        <v>36</v>
      </c>
      <c r="B2112" s="242">
        <f t="shared" si="833"/>
        <v>46722</v>
      </c>
      <c r="C2112" s="243">
        <f t="shared" si="814"/>
        <v>46752</v>
      </c>
      <c r="D2112" s="120">
        <f t="shared" si="815"/>
        <v>31</v>
      </c>
      <c r="E2112" s="120">
        <f t="shared" si="816"/>
        <v>12</v>
      </c>
      <c r="F2112" s="275">
        <f t="shared" si="817"/>
        <v>46737.5</v>
      </c>
      <c r="G2112" s="120">
        <f t="shared" si="818"/>
        <v>24335</v>
      </c>
      <c r="H2112" s="245">
        <f t="shared" si="819"/>
        <v>1</v>
      </c>
      <c r="I2112" s="121">
        <f t="shared" si="820"/>
        <v>1.0816000000000001</v>
      </c>
      <c r="J2112" s="121">
        <f t="shared" si="821"/>
        <v>1.0816000000000001</v>
      </c>
      <c r="K2112" s="120">
        <f t="shared" si="822"/>
        <v>0</v>
      </c>
      <c r="L2112" s="120">
        <f t="shared" si="823"/>
        <v>0</v>
      </c>
      <c r="M2112" s="246">
        <f t="shared" si="824"/>
        <v>0</v>
      </c>
      <c r="N2112" s="121">
        <f t="shared" si="825"/>
        <v>1.0816000000000001</v>
      </c>
      <c r="O2112" s="246">
        <f t="shared" si="826"/>
        <v>1.0093216630196937</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87">
        <v>37</v>
      </c>
      <c r="B2113" s="242">
        <f t="shared" si="833"/>
        <v>46753</v>
      </c>
      <c r="C2113" s="243">
        <f t="shared" si="814"/>
        <v>46783</v>
      </c>
      <c r="D2113" s="120">
        <f t="shared" si="815"/>
        <v>31</v>
      </c>
      <c r="E2113" s="120">
        <f t="shared" si="816"/>
        <v>1</v>
      </c>
      <c r="F2113" s="275">
        <f t="shared" si="817"/>
        <v>46768.5</v>
      </c>
      <c r="G2113" s="120">
        <f t="shared" si="818"/>
        <v>24336</v>
      </c>
      <c r="H2113" s="245">
        <f t="shared" si="819"/>
        <v>1</v>
      </c>
      <c r="I2113" s="121">
        <f t="shared" si="820"/>
        <v>1.0816000000000001</v>
      </c>
      <c r="J2113" s="121">
        <f t="shared" si="821"/>
        <v>1.0816000000000001</v>
      </c>
      <c r="K2113" s="120">
        <f t="shared" si="822"/>
        <v>0</v>
      </c>
      <c r="L2113" s="120">
        <f t="shared" si="823"/>
        <v>0</v>
      </c>
      <c r="M2113" s="246">
        <f t="shared" si="824"/>
        <v>0</v>
      </c>
      <c r="N2113" s="121">
        <f t="shared" si="825"/>
        <v>1.0816000000000001</v>
      </c>
      <c r="O2113" s="246">
        <f t="shared" si="826"/>
        <v>1.01</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87">
        <v>38</v>
      </c>
      <c r="B2114" s="242">
        <f t="shared" si="833"/>
        <v>46784</v>
      </c>
      <c r="C2114" s="243">
        <f t="shared" si="814"/>
        <v>46812</v>
      </c>
      <c r="D2114" s="120">
        <f t="shared" si="815"/>
        <v>29</v>
      </c>
      <c r="E2114" s="120">
        <f t="shared" si="816"/>
        <v>2</v>
      </c>
      <c r="F2114" s="275">
        <f t="shared" si="817"/>
        <v>46798.5</v>
      </c>
      <c r="G2114" s="120">
        <f t="shared" si="818"/>
        <v>24337</v>
      </c>
      <c r="H2114" s="245">
        <f t="shared" si="819"/>
        <v>1</v>
      </c>
      <c r="I2114" s="121">
        <f t="shared" si="820"/>
        <v>1.0816000000000001</v>
      </c>
      <c r="J2114" s="121">
        <f t="shared" si="821"/>
        <v>1.0816000000000001</v>
      </c>
      <c r="K2114" s="120">
        <f t="shared" si="822"/>
        <v>0</v>
      </c>
      <c r="L2114" s="120">
        <f t="shared" si="823"/>
        <v>0</v>
      </c>
      <c r="M2114" s="246">
        <f t="shared" si="824"/>
        <v>0</v>
      </c>
      <c r="N2114" s="121">
        <f t="shared" si="825"/>
        <v>1.0816000000000001</v>
      </c>
      <c r="O2114" s="246">
        <f t="shared" si="826"/>
        <v>1.01</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87">
        <v>39</v>
      </c>
      <c r="B2115" s="242">
        <f t="shared" si="833"/>
        <v>46813</v>
      </c>
      <c r="C2115" s="243">
        <f t="shared" si="814"/>
        <v>46843</v>
      </c>
      <c r="D2115" s="120">
        <f t="shared" si="815"/>
        <v>31</v>
      </c>
      <c r="E2115" s="120">
        <f t="shared" si="816"/>
        <v>3</v>
      </c>
      <c r="F2115" s="275">
        <f t="shared" si="817"/>
        <v>46828.5</v>
      </c>
      <c r="G2115" s="120">
        <f t="shared" si="818"/>
        <v>24338</v>
      </c>
      <c r="H2115" s="245">
        <f t="shared" si="819"/>
        <v>1</v>
      </c>
      <c r="I2115" s="121">
        <f t="shared" si="820"/>
        <v>1.0816000000000001</v>
      </c>
      <c r="J2115" s="121">
        <f t="shared" si="821"/>
        <v>1.0816000000000001</v>
      </c>
      <c r="K2115" s="120">
        <f t="shared" si="822"/>
        <v>0</v>
      </c>
      <c r="L2115" s="120">
        <f t="shared" si="823"/>
        <v>0</v>
      </c>
      <c r="M2115" s="246">
        <f t="shared" si="824"/>
        <v>0</v>
      </c>
      <c r="N2115" s="121">
        <f t="shared" si="825"/>
        <v>1.0816000000000001</v>
      </c>
      <c r="O2115" s="246">
        <f t="shared" si="826"/>
        <v>1.01</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87">
        <v>40</v>
      </c>
      <c r="B2116" s="242">
        <f t="shared" si="833"/>
        <v>46844</v>
      </c>
      <c r="C2116" s="243">
        <f t="shared" si="814"/>
        <v>46873</v>
      </c>
      <c r="D2116" s="120">
        <f t="shared" si="815"/>
        <v>30</v>
      </c>
      <c r="E2116" s="120">
        <f t="shared" si="816"/>
        <v>4</v>
      </c>
      <c r="F2116" s="275">
        <f t="shared" si="817"/>
        <v>46859</v>
      </c>
      <c r="G2116" s="120">
        <f t="shared" si="818"/>
        <v>24339</v>
      </c>
      <c r="H2116" s="245">
        <f t="shared" si="819"/>
        <v>1</v>
      </c>
      <c r="I2116" s="121">
        <f t="shared" si="820"/>
        <v>1.0816000000000001</v>
      </c>
      <c r="J2116" s="121">
        <f t="shared" si="821"/>
        <v>1.0816000000000001</v>
      </c>
      <c r="K2116" s="120">
        <f t="shared" si="822"/>
        <v>0</v>
      </c>
      <c r="L2116" s="120">
        <f t="shared" si="823"/>
        <v>0</v>
      </c>
      <c r="M2116" s="246">
        <f t="shared" si="824"/>
        <v>0</v>
      </c>
      <c r="N2116" s="121">
        <f t="shared" si="825"/>
        <v>1.0816000000000001</v>
      </c>
      <c r="O2116" s="246">
        <f t="shared" si="826"/>
        <v>1.01</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87">
        <v>41</v>
      </c>
      <c r="B2117" s="242">
        <f t="shared" si="833"/>
        <v>46874</v>
      </c>
      <c r="C2117" s="243">
        <f t="shared" si="814"/>
        <v>46904</v>
      </c>
      <c r="D2117" s="120">
        <f t="shared" si="815"/>
        <v>31</v>
      </c>
      <c r="E2117" s="120">
        <f t="shared" si="816"/>
        <v>5</v>
      </c>
      <c r="F2117" s="275">
        <f t="shared" si="817"/>
        <v>46889.5</v>
      </c>
      <c r="G2117" s="120">
        <f t="shared" si="818"/>
        <v>24340</v>
      </c>
      <c r="H2117" s="245">
        <f t="shared" si="819"/>
        <v>1</v>
      </c>
      <c r="I2117" s="121">
        <f t="shared" si="820"/>
        <v>1.0816000000000001</v>
      </c>
      <c r="J2117" s="121">
        <f t="shared" si="821"/>
        <v>1.0816000000000001</v>
      </c>
      <c r="K2117" s="120">
        <f t="shared" si="822"/>
        <v>0</v>
      </c>
      <c r="L2117" s="120">
        <f t="shared" si="823"/>
        <v>0</v>
      </c>
      <c r="M2117" s="246">
        <f t="shared" si="824"/>
        <v>0</v>
      </c>
      <c r="N2117" s="121">
        <f t="shared" si="825"/>
        <v>1.0816000000000001</v>
      </c>
      <c r="O2117" s="246">
        <f t="shared" si="826"/>
        <v>1.01</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87">
        <v>42</v>
      </c>
      <c r="B2118" s="242">
        <f t="shared" si="833"/>
        <v>46905</v>
      </c>
      <c r="C2118" s="243">
        <f t="shared" si="814"/>
        <v>46934</v>
      </c>
      <c r="D2118" s="120">
        <f t="shared" si="815"/>
        <v>30</v>
      </c>
      <c r="E2118" s="120">
        <f t="shared" si="816"/>
        <v>6</v>
      </c>
      <c r="F2118" s="275">
        <f t="shared" si="817"/>
        <v>46920</v>
      </c>
      <c r="G2118" s="120">
        <f t="shared" si="818"/>
        <v>24341</v>
      </c>
      <c r="H2118" s="245">
        <f t="shared" si="819"/>
        <v>1</v>
      </c>
      <c r="I2118" s="121">
        <f t="shared" si="820"/>
        <v>1.0816000000000001</v>
      </c>
      <c r="J2118" s="121">
        <f t="shared" si="821"/>
        <v>1.0816000000000001</v>
      </c>
      <c r="K2118" s="120">
        <f t="shared" si="822"/>
        <v>0</v>
      </c>
      <c r="L2118" s="120">
        <f t="shared" si="823"/>
        <v>0</v>
      </c>
      <c r="M2118" s="246">
        <f t="shared" si="824"/>
        <v>0</v>
      </c>
      <c r="N2118" s="121">
        <f t="shared" si="825"/>
        <v>1.0816000000000001</v>
      </c>
      <c r="O2118" s="246">
        <f t="shared" si="826"/>
        <v>1.01</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87">
        <v>43</v>
      </c>
      <c r="B2119" s="242">
        <f t="shared" si="833"/>
        <v>46935</v>
      </c>
      <c r="C2119" s="243">
        <f t="shared" si="814"/>
        <v>46965</v>
      </c>
      <c r="D2119" s="120">
        <f t="shared" si="815"/>
        <v>31</v>
      </c>
      <c r="E2119" s="120">
        <f t="shared" si="816"/>
        <v>7</v>
      </c>
      <c r="F2119" s="275">
        <f t="shared" si="817"/>
        <v>46950.5</v>
      </c>
      <c r="G2119" s="120">
        <f t="shared" si="818"/>
        <v>24342</v>
      </c>
      <c r="H2119" s="245">
        <f t="shared" si="819"/>
        <v>1</v>
      </c>
      <c r="I2119" s="121">
        <f t="shared" si="820"/>
        <v>1.0816000000000001</v>
      </c>
      <c r="J2119" s="121">
        <f t="shared" si="821"/>
        <v>1.0816000000000001</v>
      </c>
      <c r="K2119" s="120">
        <f t="shared" si="822"/>
        <v>0</v>
      </c>
      <c r="L2119" s="120">
        <f t="shared" si="823"/>
        <v>0</v>
      </c>
      <c r="M2119" s="246">
        <f t="shared" si="824"/>
        <v>0</v>
      </c>
      <c r="N2119" s="121">
        <f t="shared" si="825"/>
        <v>1.0816000000000001</v>
      </c>
      <c r="O2119" s="246">
        <f t="shared" si="826"/>
        <v>1.01</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87">
        <v>44</v>
      </c>
      <c r="B2120" s="242">
        <f t="shared" si="833"/>
        <v>46966</v>
      </c>
      <c r="C2120" s="243">
        <f t="shared" si="814"/>
        <v>46996</v>
      </c>
      <c r="D2120" s="120">
        <f t="shared" si="815"/>
        <v>31</v>
      </c>
      <c r="E2120" s="120">
        <f t="shared" si="816"/>
        <v>8</v>
      </c>
      <c r="F2120" s="275">
        <f t="shared" si="817"/>
        <v>46981.5</v>
      </c>
      <c r="G2120" s="120">
        <f t="shared" si="818"/>
        <v>24343</v>
      </c>
      <c r="H2120" s="245">
        <f t="shared" si="819"/>
        <v>1</v>
      </c>
      <c r="I2120" s="121">
        <f t="shared" si="820"/>
        <v>1.0816000000000001</v>
      </c>
      <c r="J2120" s="121">
        <f t="shared" si="821"/>
        <v>1.0816000000000001</v>
      </c>
      <c r="K2120" s="120">
        <f t="shared" si="822"/>
        <v>0</v>
      </c>
      <c r="L2120" s="120">
        <f t="shared" si="823"/>
        <v>0</v>
      </c>
      <c r="M2120" s="246">
        <f t="shared" si="824"/>
        <v>0</v>
      </c>
      <c r="N2120" s="121">
        <f t="shared" si="825"/>
        <v>1.0816000000000001</v>
      </c>
      <c r="O2120" s="246">
        <f t="shared" si="826"/>
        <v>1.01</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87">
        <v>45</v>
      </c>
      <c r="B2121" s="242">
        <f t="shared" si="833"/>
        <v>46997</v>
      </c>
      <c r="C2121" s="243">
        <f t="shared" si="814"/>
        <v>47026</v>
      </c>
      <c r="D2121" s="120">
        <f t="shared" si="815"/>
        <v>30</v>
      </c>
      <c r="E2121" s="120">
        <f t="shared" si="816"/>
        <v>9</v>
      </c>
      <c r="F2121" s="275">
        <f t="shared" si="817"/>
        <v>47012</v>
      </c>
      <c r="G2121" s="120">
        <f t="shared" si="818"/>
        <v>24344</v>
      </c>
      <c r="H2121" s="245">
        <f t="shared" si="819"/>
        <v>1</v>
      </c>
      <c r="I2121" s="121">
        <f t="shared" si="820"/>
        <v>1.0816000000000001</v>
      </c>
      <c r="J2121" s="121">
        <f t="shared" si="821"/>
        <v>1.0816000000000001</v>
      </c>
      <c r="K2121" s="120">
        <f t="shared" si="822"/>
        <v>0</v>
      </c>
      <c r="L2121" s="120">
        <f t="shared" si="823"/>
        <v>0</v>
      </c>
      <c r="M2121" s="246">
        <f t="shared" si="824"/>
        <v>0</v>
      </c>
      <c r="N2121" s="121">
        <f t="shared" si="825"/>
        <v>1.0816000000000001</v>
      </c>
      <c r="O2121" s="246">
        <f t="shared" si="826"/>
        <v>1.01</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87">
        <v>46</v>
      </c>
      <c r="B2122" s="242">
        <f t="shared" si="833"/>
        <v>47027</v>
      </c>
      <c r="C2122" s="243">
        <f t="shared" si="814"/>
        <v>47057</v>
      </c>
      <c r="D2122" s="120">
        <f t="shared" si="815"/>
        <v>31</v>
      </c>
      <c r="E2122" s="120">
        <f t="shared" si="816"/>
        <v>10</v>
      </c>
      <c r="F2122" s="275">
        <f t="shared" si="817"/>
        <v>47042.5</v>
      </c>
      <c r="G2122" s="120">
        <f t="shared" si="818"/>
        <v>24345</v>
      </c>
      <c r="H2122" s="245">
        <f t="shared" si="819"/>
        <v>1</v>
      </c>
      <c r="I2122" s="121">
        <f t="shared" si="820"/>
        <v>1.0816000000000001</v>
      </c>
      <c r="J2122" s="121">
        <f t="shared" si="821"/>
        <v>1.0816000000000001</v>
      </c>
      <c r="K2122" s="120">
        <f t="shared" si="822"/>
        <v>0</v>
      </c>
      <c r="L2122" s="120">
        <f t="shared" si="823"/>
        <v>0</v>
      </c>
      <c r="M2122" s="246">
        <f t="shared" si="824"/>
        <v>0</v>
      </c>
      <c r="N2122" s="121">
        <f t="shared" si="825"/>
        <v>1.0816000000000001</v>
      </c>
      <c r="O2122" s="246">
        <f t="shared" si="826"/>
        <v>1.01</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87">
        <v>47</v>
      </c>
      <c r="B2123" s="242">
        <f t="shared" si="833"/>
        <v>47058</v>
      </c>
      <c r="C2123" s="243">
        <f t="shared" si="814"/>
        <v>47087</v>
      </c>
      <c r="D2123" s="120">
        <f t="shared" si="815"/>
        <v>30</v>
      </c>
      <c r="E2123" s="120">
        <f t="shared" si="816"/>
        <v>11</v>
      </c>
      <c r="F2123" s="275">
        <f t="shared" si="817"/>
        <v>47073</v>
      </c>
      <c r="G2123" s="120">
        <f t="shared" si="818"/>
        <v>24346</v>
      </c>
      <c r="H2123" s="245">
        <f t="shared" si="819"/>
        <v>1</v>
      </c>
      <c r="I2123" s="121">
        <f t="shared" si="820"/>
        <v>1.0816000000000001</v>
      </c>
      <c r="J2123" s="121">
        <f t="shared" si="821"/>
        <v>1.0816000000000001</v>
      </c>
      <c r="K2123" s="120">
        <f t="shared" si="822"/>
        <v>0</v>
      </c>
      <c r="L2123" s="120">
        <f t="shared" si="823"/>
        <v>0</v>
      </c>
      <c r="M2123" s="246">
        <f t="shared" si="824"/>
        <v>0</v>
      </c>
      <c r="N2123" s="121">
        <f t="shared" si="825"/>
        <v>1.0816000000000001</v>
      </c>
      <c r="O2123" s="246">
        <f t="shared" si="826"/>
        <v>1.01</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87">
        <v>48</v>
      </c>
      <c r="B2124" s="242">
        <f t="shared" si="833"/>
        <v>47088</v>
      </c>
      <c r="C2124" s="243">
        <f t="shared" si="814"/>
        <v>47118</v>
      </c>
      <c r="D2124" s="120">
        <f t="shared" si="815"/>
        <v>31</v>
      </c>
      <c r="E2124" s="120">
        <f t="shared" si="816"/>
        <v>12</v>
      </c>
      <c r="F2124" s="275">
        <f t="shared" si="817"/>
        <v>47103.5</v>
      </c>
      <c r="G2124" s="120">
        <f t="shared" si="818"/>
        <v>24347</v>
      </c>
      <c r="H2124" s="245">
        <f t="shared" si="819"/>
        <v>1</v>
      </c>
      <c r="I2124" s="121">
        <f t="shared" si="820"/>
        <v>1.0816000000000001</v>
      </c>
      <c r="J2124" s="121">
        <f t="shared" si="821"/>
        <v>1.0816000000000001</v>
      </c>
      <c r="K2124" s="120">
        <f t="shared" si="822"/>
        <v>0</v>
      </c>
      <c r="L2124" s="120">
        <f t="shared" si="823"/>
        <v>0</v>
      </c>
      <c r="M2124" s="246">
        <f t="shared" si="824"/>
        <v>0</v>
      </c>
      <c r="N2124" s="121">
        <f t="shared" si="825"/>
        <v>1.0816000000000001</v>
      </c>
      <c r="O2124" s="246">
        <f t="shared" si="826"/>
        <v>1.01</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1651</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24">
        <f>SUMPRODUCT($H$2077:$H$2124,$Q$2077:$Q$2124,$O$2077:$O$2124)/SUMPRODUCT($H$2077:$H$2124,$Q$2077:$Q$2124)</f>
        <v>0.99399161196207142</v>
      </c>
      <c r="G2125" s="224">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24">
        <f>IF(N(INDEX(lr_mind,39))=0,1,INDEX(lr_mind,39))</f>
        <v>1</v>
      </c>
      <c r="G2128" s="224">
        <f>IF(N(INDEX(lr_m0,39))=0,1,INDEX(lr_m0,39))</f>
        <v>0.99</v>
      </c>
      <c r="H2128" s="74">
        <f>IF(N(INDEX(lr_m0asof,39))=0,DATE(nr_PlanYear-1,10,1),INDEX(lr_m0asof,39))</f>
        <v>46295</v>
      </c>
      <c r="I2128" s="224">
        <f>IF(N(INDEX(lr_m1,39))=0,1,INDEX(lr_m1,39))</f>
        <v>0.99</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34">EOMONTH($B2131,0)</f>
        <v>45688</v>
      </c>
      <c r="D2131" s="120">
        <f t="shared" ref="D2131:D2178" si="835">$C2131-$B2131+1</f>
        <v>31</v>
      </c>
      <c r="E2131" s="120">
        <f t="shared" ref="E2131:E2178" si="836">MONTH($B2131)</f>
        <v>1</v>
      </c>
      <c r="F2131" s="275">
        <f t="shared" ref="F2131:F2178" si="837">($B2131+$C2131+1)/2</f>
        <v>45673.5</v>
      </c>
      <c r="G2131" s="120">
        <f t="shared" ref="G2131:G2178" si="838">YEAR($B2131)*12+MONTH($B2131)-1</f>
        <v>24300</v>
      </c>
      <c r="H2131" s="245">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46">
        <f t="shared" ref="M2131:M2178" si="844">IF($K2131=0,0,MIN(1,$L2131/$D2131))</f>
        <v>0</v>
      </c>
      <c r="N2131" s="121">
        <f t="shared" ref="N2131:N2178" si="845">IF($K2131=0,$J2131,(1-$M2131)*$I2131+$M2131*$J2131)</f>
        <v>1</v>
      </c>
      <c r="O2131" s="246">
        <f t="shared" ref="O2131:O2178" si="846">IF($F2131&lt;$B$2129,$E$2129+$I$2129*($F2131-$A$2129),IF($F2131&lt;$C$2129,$F$2129+$J$2129*($F2131-$B$2129),$G$2129+$K$2129*($F2131-$C$2129)))</f>
        <v>0.99</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87">
        <v>2</v>
      </c>
      <c r="B2132" s="242">
        <f t="shared" ref="B2132:B2178" si="853">EDATE($B2131,1)</f>
        <v>45689</v>
      </c>
      <c r="C2132" s="243">
        <f t="shared" si="834"/>
        <v>45716</v>
      </c>
      <c r="D2132" s="120">
        <f t="shared" si="835"/>
        <v>28</v>
      </c>
      <c r="E2132" s="120">
        <f t="shared" si="836"/>
        <v>2</v>
      </c>
      <c r="F2132" s="275">
        <f t="shared" si="837"/>
        <v>45703</v>
      </c>
      <c r="G2132" s="120">
        <f t="shared" si="838"/>
        <v>24301</v>
      </c>
      <c r="H2132" s="245">
        <f t="shared" si="839"/>
        <v>1</v>
      </c>
      <c r="I2132" s="121">
        <f t="shared" si="840"/>
        <v>1</v>
      </c>
      <c r="J2132" s="121">
        <f t="shared" si="841"/>
        <v>1</v>
      </c>
      <c r="K2132" s="120">
        <f t="shared" si="842"/>
        <v>0</v>
      </c>
      <c r="L2132" s="120">
        <f t="shared" si="843"/>
        <v>0</v>
      </c>
      <c r="M2132" s="246">
        <f t="shared" si="844"/>
        <v>0</v>
      </c>
      <c r="N2132" s="121">
        <f t="shared" si="845"/>
        <v>1</v>
      </c>
      <c r="O2132" s="246">
        <f t="shared" si="846"/>
        <v>0.99</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87">
        <v>3</v>
      </c>
      <c r="B2133" s="242">
        <f t="shared" si="853"/>
        <v>45717</v>
      </c>
      <c r="C2133" s="243">
        <f t="shared" si="834"/>
        <v>45747</v>
      </c>
      <c r="D2133" s="120">
        <f t="shared" si="835"/>
        <v>31</v>
      </c>
      <c r="E2133" s="120">
        <f t="shared" si="836"/>
        <v>3</v>
      </c>
      <c r="F2133" s="275">
        <f t="shared" si="837"/>
        <v>45732.5</v>
      </c>
      <c r="G2133" s="120">
        <f t="shared" si="838"/>
        <v>24302</v>
      </c>
      <c r="H2133" s="245">
        <f t="shared" si="839"/>
        <v>1</v>
      </c>
      <c r="I2133" s="121">
        <f t="shared" si="840"/>
        <v>1</v>
      </c>
      <c r="J2133" s="121">
        <f t="shared" si="841"/>
        <v>1</v>
      </c>
      <c r="K2133" s="120">
        <f t="shared" si="842"/>
        <v>0</v>
      </c>
      <c r="L2133" s="120">
        <f t="shared" si="843"/>
        <v>0</v>
      </c>
      <c r="M2133" s="246">
        <f t="shared" si="844"/>
        <v>0</v>
      </c>
      <c r="N2133" s="121">
        <f t="shared" si="845"/>
        <v>1</v>
      </c>
      <c r="O2133" s="246">
        <f t="shared" si="846"/>
        <v>0.99</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87">
        <v>4</v>
      </c>
      <c r="B2134" s="242">
        <f t="shared" si="853"/>
        <v>45748</v>
      </c>
      <c r="C2134" s="243">
        <f t="shared" si="834"/>
        <v>45777</v>
      </c>
      <c r="D2134" s="120">
        <f t="shared" si="835"/>
        <v>30</v>
      </c>
      <c r="E2134" s="120">
        <f t="shared" si="836"/>
        <v>4</v>
      </c>
      <c r="F2134" s="275">
        <f t="shared" si="837"/>
        <v>45763</v>
      </c>
      <c r="G2134" s="120">
        <f t="shared" si="838"/>
        <v>24303</v>
      </c>
      <c r="H2134" s="245">
        <f t="shared" si="839"/>
        <v>1</v>
      </c>
      <c r="I2134" s="121">
        <f t="shared" si="840"/>
        <v>1</v>
      </c>
      <c r="J2134" s="121">
        <f t="shared" si="841"/>
        <v>1</v>
      </c>
      <c r="K2134" s="120">
        <f t="shared" si="842"/>
        <v>0</v>
      </c>
      <c r="L2134" s="120">
        <f t="shared" si="843"/>
        <v>0</v>
      </c>
      <c r="M2134" s="246">
        <f t="shared" si="844"/>
        <v>0</v>
      </c>
      <c r="N2134" s="121">
        <f t="shared" si="845"/>
        <v>1</v>
      </c>
      <c r="O2134" s="246">
        <f t="shared" si="846"/>
        <v>0.99</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87">
        <v>5</v>
      </c>
      <c r="B2135" s="242">
        <f t="shared" si="853"/>
        <v>45778</v>
      </c>
      <c r="C2135" s="243">
        <f t="shared" si="834"/>
        <v>45808</v>
      </c>
      <c r="D2135" s="120">
        <f t="shared" si="835"/>
        <v>31</v>
      </c>
      <c r="E2135" s="120">
        <f t="shared" si="836"/>
        <v>5</v>
      </c>
      <c r="F2135" s="275">
        <f t="shared" si="837"/>
        <v>45793.5</v>
      </c>
      <c r="G2135" s="120">
        <f t="shared" si="838"/>
        <v>24304</v>
      </c>
      <c r="H2135" s="245">
        <f t="shared" si="839"/>
        <v>1</v>
      </c>
      <c r="I2135" s="121">
        <f t="shared" si="840"/>
        <v>1</v>
      </c>
      <c r="J2135" s="121">
        <f t="shared" si="841"/>
        <v>1</v>
      </c>
      <c r="K2135" s="120">
        <f t="shared" si="842"/>
        <v>0</v>
      </c>
      <c r="L2135" s="120">
        <f t="shared" si="843"/>
        <v>0</v>
      </c>
      <c r="M2135" s="246">
        <f t="shared" si="844"/>
        <v>0</v>
      </c>
      <c r="N2135" s="121">
        <f t="shared" si="845"/>
        <v>1</v>
      </c>
      <c r="O2135" s="246">
        <f t="shared" si="846"/>
        <v>0.99</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87">
        <v>6</v>
      </c>
      <c r="B2136" s="242">
        <f t="shared" si="853"/>
        <v>45809</v>
      </c>
      <c r="C2136" s="243">
        <f t="shared" si="834"/>
        <v>45838</v>
      </c>
      <c r="D2136" s="120">
        <f t="shared" si="835"/>
        <v>30</v>
      </c>
      <c r="E2136" s="120">
        <f t="shared" si="836"/>
        <v>6</v>
      </c>
      <c r="F2136" s="275">
        <f t="shared" si="837"/>
        <v>45824</v>
      </c>
      <c r="G2136" s="120">
        <f t="shared" si="838"/>
        <v>24305</v>
      </c>
      <c r="H2136" s="245">
        <f t="shared" si="839"/>
        <v>1</v>
      </c>
      <c r="I2136" s="121">
        <f t="shared" si="840"/>
        <v>1</v>
      </c>
      <c r="J2136" s="121">
        <f t="shared" si="841"/>
        <v>1</v>
      </c>
      <c r="K2136" s="120">
        <f t="shared" si="842"/>
        <v>0</v>
      </c>
      <c r="L2136" s="120">
        <f t="shared" si="843"/>
        <v>0</v>
      </c>
      <c r="M2136" s="246">
        <f t="shared" si="844"/>
        <v>0</v>
      </c>
      <c r="N2136" s="121">
        <f t="shared" si="845"/>
        <v>1</v>
      </c>
      <c r="O2136" s="246">
        <f t="shared" si="846"/>
        <v>0.99</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87">
        <v>7</v>
      </c>
      <c r="B2137" s="242">
        <f t="shared" si="853"/>
        <v>45839</v>
      </c>
      <c r="C2137" s="243">
        <f t="shared" si="834"/>
        <v>45869</v>
      </c>
      <c r="D2137" s="120">
        <f t="shared" si="835"/>
        <v>31</v>
      </c>
      <c r="E2137" s="120">
        <f t="shared" si="836"/>
        <v>7</v>
      </c>
      <c r="F2137" s="275">
        <f t="shared" si="837"/>
        <v>45854.5</v>
      </c>
      <c r="G2137" s="120">
        <f t="shared" si="838"/>
        <v>24306</v>
      </c>
      <c r="H2137" s="245">
        <f t="shared" si="839"/>
        <v>1</v>
      </c>
      <c r="I2137" s="121">
        <f t="shared" si="840"/>
        <v>1</v>
      </c>
      <c r="J2137" s="121">
        <f t="shared" si="841"/>
        <v>1</v>
      </c>
      <c r="K2137" s="120">
        <f t="shared" si="842"/>
        <v>0</v>
      </c>
      <c r="L2137" s="120">
        <f t="shared" si="843"/>
        <v>0</v>
      </c>
      <c r="M2137" s="246">
        <f t="shared" si="844"/>
        <v>0</v>
      </c>
      <c r="N2137" s="121">
        <f t="shared" si="845"/>
        <v>1</v>
      </c>
      <c r="O2137" s="246">
        <f t="shared" si="846"/>
        <v>0.99</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87">
        <v>8</v>
      </c>
      <c r="B2138" s="242">
        <f t="shared" si="853"/>
        <v>45870</v>
      </c>
      <c r="C2138" s="243">
        <f t="shared" si="834"/>
        <v>45900</v>
      </c>
      <c r="D2138" s="120">
        <f t="shared" si="835"/>
        <v>31</v>
      </c>
      <c r="E2138" s="120">
        <f t="shared" si="836"/>
        <v>8</v>
      </c>
      <c r="F2138" s="275">
        <f t="shared" si="837"/>
        <v>45885.5</v>
      </c>
      <c r="G2138" s="120">
        <f t="shared" si="838"/>
        <v>24307</v>
      </c>
      <c r="H2138" s="245">
        <f t="shared" si="839"/>
        <v>1</v>
      </c>
      <c r="I2138" s="121">
        <f t="shared" si="840"/>
        <v>1</v>
      </c>
      <c r="J2138" s="121">
        <f t="shared" si="841"/>
        <v>1</v>
      </c>
      <c r="K2138" s="120">
        <f t="shared" si="842"/>
        <v>0</v>
      </c>
      <c r="L2138" s="120">
        <f t="shared" si="843"/>
        <v>0</v>
      </c>
      <c r="M2138" s="246">
        <f t="shared" si="844"/>
        <v>0</v>
      </c>
      <c r="N2138" s="121">
        <f t="shared" si="845"/>
        <v>1</v>
      </c>
      <c r="O2138" s="246">
        <f t="shared" si="846"/>
        <v>0.99</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87">
        <v>9</v>
      </c>
      <c r="B2139" s="242">
        <f t="shared" si="853"/>
        <v>45901</v>
      </c>
      <c r="C2139" s="243">
        <f t="shared" si="834"/>
        <v>45930</v>
      </c>
      <c r="D2139" s="120">
        <f t="shared" si="835"/>
        <v>30</v>
      </c>
      <c r="E2139" s="120">
        <f t="shared" si="836"/>
        <v>9</v>
      </c>
      <c r="F2139" s="275">
        <f t="shared" si="837"/>
        <v>45916</v>
      </c>
      <c r="G2139" s="120">
        <f t="shared" si="838"/>
        <v>24308</v>
      </c>
      <c r="H2139" s="245">
        <f t="shared" si="839"/>
        <v>1</v>
      </c>
      <c r="I2139" s="121">
        <f t="shared" si="840"/>
        <v>1</v>
      </c>
      <c r="J2139" s="121">
        <f t="shared" si="841"/>
        <v>1</v>
      </c>
      <c r="K2139" s="120">
        <f t="shared" si="842"/>
        <v>0</v>
      </c>
      <c r="L2139" s="120">
        <f t="shared" si="843"/>
        <v>0</v>
      </c>
      <c r="M2139" s="246">
        <f t="shared" si="844"/>
        <v>0</v>
      </c>
      <c r="N2139" s="121">
        <f t="shared" si="845"/>
        <v>1</v>
      </c>
      <c r="O2139" s="246">
        <f t="shared" si="846"/>
        <v>0.99</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87">
        <v>10</v>
      </c>
      <c r="B2140" s="242">
        <f t="shared" si="853"/>
        <v>45931</v>
      </c>
      <c r="C2140" s="243">
        <f t="shared" si="834"/>
        <v>45961</v>
      </c>
      <c r="D2140" s="120">
        <f t="shared" si="835"/>
        <v>31</v>
      </c>
      <c r="E2140" s="120">
        <f t="shared" si="836"/>
        <v>10</v>
      </c>
      <c r="F2140" s="275">
        <f t="shared" si="837"/>
        <v>45946.5</v>
      </c>
      <c r="G2140" s="120">
        <f t="shared" si="838"/>
        <v>24309</v>
      </c>
      <c r="H2140" s="245">
        <f t="shared" si="839"/>
        <v>1</v>
      </c>
      <c r="I2140" s="121">
        <f t="shared" si="840"/>
        <v>1</v>
      </c>
      <c r="J2140" s="121">
        <f t="shared" si="841"/>
        <v>1</v>
      </c>
      <c r="K2140" s="120">
        <f t="shared" si="842"/>
        <v>0</v>
      </c>
      <c r="L2140" s="120">
        <f t="shared" si="843"/>
        <v>0</v>
      </c>
      <c r="M2140" s="246">
        <f t="shared" si="844"/>
        <v>0</v>
      </c>
      <c r="N2140" s="121">
        <f t="shared" si="845"/>
        <v>1</v>
      </c>
      <c r="O2140" s="246">
        <f t="shared" si="846"/>
        <v>0.99</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87">
        <v>11</v>
      </c>
      <c r="B2141" s="242">
        <f t="shared" si="853"/>
        <v>45962</v>
      </c>
      <c r="C2141" s="243">
        <f t="shared" si="834"/>
        <v>45991</v>
      </c>
      <c r="D2141" s="120">
        <f t="shared" si="835"/>
        <v>30</v>
      </c>
      <c r="E2141" s="120">
        <f t="shared" si="836"/>
        <v>11</v>
      </c>
      <c r="F2141" s="275">
        <f t="shared" si="837"/>
        <v>45977</v>
      </c>
      <c r="G2141" s="120">
        <f t="shared" si="838"/>
        <v>24310</v>
      </c>
      <c r="H2141" s="245">
        <f t="shared" si="839"/>
        <v>1</v>
      </c>
      <c r="I2141" s="121">
        <f t="shared" si="840"/>
        <v>1</v>
      </c>
      <c r="J2141" s="121">
        <f t="shared" si="841"/>
        <v>1</v>
      </c>
      <c r="K2141" s="120">
        <f t="shared" si="842"/>
        <v>0</v>
      </c>
      <c r="L2141" s="120">
        <f t="shared" si="843"/>
        <v>0</v>
      </c>
      <c r="M2141" s="246">
        <f t="shared" si="844"/>
        <v>0</v>
      </c>
      <c r="N2141" s="121">
        <f t="shared" si="845"/>
        <v>1</v>
      </c>
      <c r="O2141" s="246">
        <f t="shared" si="846"/>
        <v>0.99</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87">
        <v>12</v>
      </c>
      <c r="B2142" s="242">
        <f t="shared" si="853"/>
        <v>45992</v>
      </c>
      <c r="C2142" s="243">
        <f t="shared" si="834"/>
        <v>46022</v>
      </c>
      <c r="D2142" s="120">
        <f t="shared" si="835"/>
        <v>31</v>
      </c>
      <c r="E2142" s="120">
        <f t="shared" si="836"/>
        <v>12</v>
      </c>
      <c r="F2142" s="275">
        <f t="shared" si="837"/>
        <v>46007.5</v>
      </c>
      <c r="G2142" s="120">
        <f t="shared" si="838"/>
        <v>24311</v>
      </c>
      <c r="H2142" s="245">
        <f t="shared" si="839"/>
        <v>1</v>
      </c>
      <c r="I2142" s="121">
        <f t="shared" si="840"/>
        <v>1</v>
      </c>
      <c r="J2142" s="121">
        <f t="shared" si="841"/>
        <v>1</v>
      </c>
      <c r="K2142" s="120">
        <f t="shared" si="842"/>
        <v>0</v>
      </c>
      <c r="L2142" s="120">
        <f t="shared" si="843"/>
        <v>0</v>
      </c>
      <c r="M2142" s="246">
        <f t="shared" si="844"/>
        <v>0</v>
      </c>
      <c r="N2142" s="121">
        <f t="shared" si="845"/>
        <v>1</v>
      </c>
      <c r="O2142" s="246">
        <f t="shared" si="846"/>
        <v>0.99</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87">
        <v>13</v>
      </c>
      <c r="B2143" s="242">
        <f t="shared" si="853"/>
        <v>46023</v>
      </c>
      <c r="C2143" s="243">
        <f t="shared" si="834"/>
        <v>46053</v>
      </c>
      <c r="D2143" s="120">
        <f t="shared" si="835"/>
        <v>31</v>
      </c>
      <c r="E2143" s="120">
        <f t="shared" si="836"/>
        <v>1</v>
      </c>
      <c r="F2143" s="275">
        <f t="shared" si="837"/>
        <v>46038.5</v>
      </c>
      <c r="G2143" s="120">
        <f t="shared" si="838"/>
        <v>24312</v>
      </c>
      <c r="H2143" s="245">
        <f t="shared" si="839"/>
        <v>1</v>
      </c>
      <c r="I2143" s="121">
        <f t="shared" si="840"/>
        <v>1</v>
      </c>
      <c r="J2143" s="121">
        <f t="shared" si="841"/>
        <v>1</v>
      </c>
      <c r="K2143" s="120">
        <f t="shared" si="842"/>
        <v>0</v>
      </c>
      <c r="L2143" s="120">
        <f t="shared" si="843"/>
        <v>0</v>
      </c>
      <c r="M2143" s="246">
        <f t="shared" si="844"/>
        <v>0</v>
      </c>
      <c r="N2143" s="121">
        <f t="shared" si="845"/>
        <v>1</v>
      </c>
      <c r="O2143" s="246">
        <f t="shared" si="846"/>
        <v>0.99</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87">
        <v>14</v>
      </c>
      <c r="B2144" s="242">
        <f t="shared" si="853"/>
        <v>46054</v>
      </c>
      <c r="C2144" s="243">
        <f t="shared" si="834"/>
        <v>46081</v>
      </c>
      <c r="D2144" s="120">
        <f t="shared" si="835"/>
        <v>28</v>
      </c>
      <c r="E2144" s="120">
        <f t="shared" si="836"/>
        <v>2</v>
      </c>
      <c r="F2144" s="275">
        <f t="shared" si="837"/>
        <v>46068</v>
      </c>
      <c r="G2144" s="120">
        <f t="shared" si="838"/>
        <v>24313</v>
      </c>
      <c r="H2144" s="245">
        <f t="shared" si="839"/>
        <v>1</v>
      </c>
      <c r="I2144" s="121">
        <f t="shared" si="840"/>
        <v>1</v>
      </c>
      <c r="J2144" s="121">
        <f t="shared" si="841"/>
        <v>1</v>
      </c>
      <c r="K2144" s="120">
        <f t="shared" si="842"/>
        <v>0</v>
      </c>
      <c r="L2144" s="120">
        <f t="shared" si="843"/>
        <v>0</v>
      </c>
      <c r="M2144" s="246">
        <f t="shared" si="844"/>
        <v>0</v>
      </c>
      <c r="N2144" s="121">
        <f t="shared" si="845"/>
        <v>1</v>
      </c>
      <c r="O2144" s="246">
        <f t="shared" si="846"/>
        <v>0.99</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87">
        <v>15</v>
      </c>
      <c r="B2145" s="242">
        <f t="shared" si="853"/>
        <v>46082</v>
      </c>
      <c r="C2145" s="243">
        <f t="shared" si="834"/>
        <v>46112</v>
      </c>
      <c r="D2145" s="120">
        <f t="shared" si="835"/>
        <v>31</v>
      </c>
      <c r="E2145" s="120">
        <f t="shared" si="836"/>
        <v>3</v>
      </c>
      <c r="F2145" s="275">
        <f t="shared" si="837"/>
        <v>46097.5</v>
      </c>
      <c r="G2145" s="120">
        <f t="shared" si="838"/>
        <v>24314</v>
      </c>
      <c r="H2145" s="245">
        <f t="shared" si="839"/>
        <v>1</v>
      </c>
      <c r="I2145" s="121">
        <f t="shared" si="840"/>
        <v>1</v>
      </c>
      <c r="J2145" s="121">
        <f t="shared" si="841"/>
        <v>1</v>
      </c>
      <c r="K2145" s="120">
        <f t="shared" si="842"/>
        <v>0</v>
      </c>
      <c r="L2145" s="120">
        <f t="shared" si="843"/>
        <v>0</v>
      </c>
      <c r="M2145" s="246">
        <f t="shared" si="844"/>
        <v>0</v>
      </c>
      <c r="N2145" s="121">
        <f t="shared" si="845"/>
        <v>1</v>
      </c>
      <c r="O2145" s="246">
        <f t="shared" si="846"/>
        <v>0.99</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87">
        <v>16</v>
      </c>
      <c r="B2146" s="242">
        <f t="shared" si="853"/>
        <v>46113</v>
      </c>
      <c r="C2146" s="243">
        <f t="shared" si="834"/>
        <v>46142</v>
      </c>
      <c r="D2146" s="120">
        <f t="shared" si="835"/>
        <v>30</v>
      </c>
      <c r="E2146" s="120">
        <f t="shared" si="836"/>
        <v>4</v>
      </c>
      <c r="F2146" s="275">
        <f t="shared" si="837"/>
        <v>46128</v>
      </c>
      <c r="G2146" s="120">
        <f t="shared" si="838"/>
        <v>24315</v>
      </c>
      <c r="H2146" s="245">
        <f t="shared" si="839"/>
        <v>1</v>
      </c>
      <c r="I2146" s="121">
        <f t="shared" si="840"/>
        <v>1</v>
      </c>
      <c r="J2146" s="121">
        <f t="shared" si="841"/>
        <v>1</v>
      </c>
      <c r="K2146" s="120">
        <f t="shared" si="842"/>
        <v>0</v>
      </c>
      <c r="L2146" s="120">
        <f t="shared" si="843"/>
        <v>0</v>
      </c>
      <c r="M2146" s="246">
        <f t="shared" si="844"/>
        <v>0</v>
      </c>
      <c r="N2146" s="121">
        <f t="shared" si="845"/>
        <v>1</v>
      </c>
      <c r="O2146" s="246">
        <f t="shared" si="846"/>
        <v>0.99</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87">
        <v>17</v>
      </c>
      <c r="B2147" s="242">
        <f t="shared" si="853"/>
        <v>46143</v>
      </c>
      <c r="C2147" s="243">
        <f t="shared" si="834"/>
        <v>46173</v>
      </c>
      <c r="D2147" s="120">
        <f t="shared" si="835"/>
        <v>31</v>
      </c>
      <c r="E2147" s="120">
        <f t="shared" si="836"/>
        <v>5</v>
      </c>
      <c r="F2147" s="275">
        <f t="shared" si="837"/>
        <v>46158.5</v>
      </c>
      <c r="G2147" s="120">
        <f t="shared" si="838"/>
        <v>24316</v>
      </c>
      <c r="H2147" s="245">
        <f t="shared" si="839"/>
        <v>1</v>
      </c>
      <c r="I2147" s="121">
        <f t="shared" si="840"/>
        <v>1</v>
      </c>
      <c r="J2147" s="121">
        <f t="shared" si="841"/>
        <v>1</v>
      </c>
      <c r="K2147" s="120">
        <f t="shared" si="842"/>
        <v>0</v>
      </c>
      <c r="L2147" s="120">
        <f t="shared" si="843"/>
        <v>0</v>
      </c>
      <c r="M2147" s="246">
        <f t="shared" si="844"/>
        <v>0</v>
      </c>
      <c r="N2147" s="121">
        <f t="shared" si="845"/>
        <v>1</v>
      </c>
      <c r="O2147" s="246">
        <f t="shared" si="846"/>
        <v>0.99</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87">
        <v>18</v>
      </c>
      <c r="B2148" s="242">
        <f t="shared" si="853"/>
        <v>46174</v>
      </c>
      <c r="C2148" s="243">
        <f t="shared" si="834"/>
        <v>46203</v>
      </c>
      <c r="D2148" s="120">
        <f t="shared" si="835"/>
        <v>30</v>
      </c>
      <c r="E2148" s="120">
        <f t="shared" si="836"/>
        <v>6</v>
      </c>
      <c r="F2148" s="275">
        <f t="shared" si="837"/>
        <v>46189</v>
      </c>
      <c r="G2148" s="120">
        <f t="shared" si="838"/>
        <v>24317</v>
      </c>
      <c r="H2148" s="245">
        <f t="shared" si="839"/>
        <v>1</v>
      </c>
      <c r="I2148" s="121">
        <f t="shared" si="840"/>
        <v>1</v>
      </c>
      <c r="J2148" s="121">
        <f t="shared" si="841"/>
        <v>1</v>
      </c>
      <c r="K2148" s="120">
        <f t="shared" si="842"/>
        <v>0</v>
      </c>
      <c r="L2148" s="120">
        <f t="shared" si="843"/>
        <v>0</v>
      </c>
      <c r="M2148" s="246">
        <f t="shared" si="844"/>
        <v>0</v>
      </c>
      <c r="N2148" s="121">
        <f t="shared" si="845"/>
        <v>1</v>
      </c>
      <c r="O2148" s="246">
        <f t="shared" si="846"/>
        <v>0.99</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87">
        <v>19</v>
      </c>
      <c r="B2149" s="242">
        <f t="shared" si="853"/>
        <v>46204</v>
      </c>
      <c r="C2149" s="243">
        <f t="shared" si="834"/>
        <v>46234</v>
      </c>
      <c r="D2149" s="120">
        <f t="shared" si="835"/>
        <v>31</v>
      </c>
      <c r="E2149" s="120">
        <f t="shared" si="836"/>
        <v>7</v>
      </c>
      <c r="F2149" s="275">
        <f t="shared" si="837"/>
        <v>46219.5</v>
      </c>
      <c r="G2149" s="120">
        <f t="shared" si="838"/>
        <v>24318</v>
      </c>
      <c r="H2149" s="245">
        <f t="shared" si="839"/>
        <v>1</v>
      </c>
      <c r="I2149" s="121">
        <f t="shared" si="840"/>
        <v>1</v>
      </c>
      <c r="J2149" s="121">
        <f t="shared" si="841"/>
        <v>1</v>
      </c>
      <c r="K2149" s="120">
        <f t="shared" si="842"/>
        <v>0</v>
      </c>
      <c r="L2149" s="120">
        <f t="shared" si="843"/>
        <v>0</v>
      </c>
      <c r="M2149" s="246">
        <f t="shared" si="844"/>
        <v>0</v>
      </c>
      <c r="N2149" s="121">
        <f t="shared" si="845"/>
        <v>1</v>
      </c>
      <c r="O2149" s="246">
        <f t="shared" si="846"/>
        <v>0.99</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87">
        <v>20</v>
      </c>
      <c r="B2150" s="242">
        <f t="shared" si="853"/>
        <v>46235</v>
      </c>
      <c r="C2150" s="243">
        <f t="shared" si="834"/>
        <v>46265</v>
      </c>
      <c r="D2150" s="120">
        <f t="shared" si="835"/>
        <v>31</v>
      </c>
      <c r="E2150" s="120">
        <f t="shared" si="836"/>
        <v>8</v>
      </c>
      <c r="F2150" s="275">
        <f t="shared" si="837"/>
        <v>46250.5</v>
      </c>
      <c r="G2150" s="120">
        <f t="shared" si="838"/>
        <v>24319</v>
      </c>
      <c r="H2150" s="245">
        <f t="shared" si="839"/>
        <v>1</v>
      </c>
      <c r="I2150" s="121">
        <f t="shared" si="840"/>
        <v>1</v>
      </c>
      <c r="J2150" s="121">
        <f t="shared" si="841"/>
        <v>1</v>
      </c>
      <c r="K2150" s="120">
        <f t="shared" si="842"/>
        <v>0</v>
      </c>
      <c r="L2150" s="120">
        <f t="shared" si="843"/>
        <v>0</v>
      </c>
      <c r="M2150" s="246">
        <f t="shared" si="844"/>
        <v>0</v>
      </c>
      <c r="N2150" s="121">
        <f t="shared" si="845"/>
        <v>1</v>
      </c>
      <c r="O2150" s="246">
        <f t="shared" si="846"/>
        <v>0.99</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87">
        <v>21</v>
      </c>
      <c r="B2151" s="242">
        <f t="shared" si="853"/>
        <v>46266</v>
      </c>
      <c r="C2151" s="243">
        <f t="shared" si="834"/>
        <v>46295</v>
      </c>
      <c r="D2151" s="120">
        <f t="shared" si="835"/>
        <v>30</v>
      </c>
      <c r="E2151" s="120">
        <f t="shared" si="836"/>
        <v>9</v>
      </c>
      <c r="F2151" s="275">
        <f t="shared" si="837"/>
        <v>46281</v>
      </c>
      <c r="G2151" s="120">
        <f t="shared" si="838"/>
        <v>24320</v>
      </c>
      <c r="H2151" s="245">
        <f t="shared" si="839"/>
        <v>1</v>
      </c>
      <c r="I2151" s="121">
        <f t="shared" si="840"/>
        <v>1</v>
      </c>
      <c r="J2151" s="121">
        <f t="shared" si="841"/>
        <v>1</v>
      </c>
      <c r="K2151" s="120">
        <f t="shared" si="842"/>
        <v>0</v>
      </c>
      <c r="L2151" s="120">
        <f t="shared" si="843"/>
        <v>0</v>
      </c>
      <c r="M2151" s="246">
        <f t="shared" si="844"/>
        <v>0</v>
      </c>
      <c r="N2151" s="121">
        <f t="shared" si="845"/>
        <v>1</v>
      </c>
      <c r="O2151" s="246">
        <f t="shared" si="846"/>
        <v>0.99</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87">
        <v>22</v>
      </c>
      <c r="B2152" s="242">
        <f t="shared" si="853"/>
        <v>46296</v>
      </c>
      <c r="C2152" s="243">
        <f t="shared" si="834"/>
        <v>46326</v>
      </c>
      <c r="D2152" s="120">
        <f t="shared" si="835"/>
        <v>31</v>
      </c>
      <c r="E2152" s="120">
        <f t="shared" si="836"/>
        <v>10</v>
      </c>
      <c r="F2152" s="275">
        <f t="shared" si="837"/>
        <v>46311.5</v>
      </c>
      <c r="G2152" s="120">
        <f t="shared" si="838"/>
        <v>24321</v>
      </c>
      <c r="H2152" s="245">
        <f t="shared" si="839"/>
        <v>1</v>
      </c>
      <c r="I2152" s="121">
        <f t="shared" si="840"/>
        <v>1</v>
      </c>
      <c r="J2152" s="121">
        <f t="shared" si="841"/>
        <v>1</v>
      </c>
      <c r="K2152" s="120">
        <f t="shared" si="842"/>
        <v>0</v>
      </c>
      <c r="L2152" s="120">
        <f t="shared" si="843"/>
        <v>0</v>
      </c>
      <c r="M2152" s="246">
        <f t="shared" si="844"/>
        <v>0</v>
      </c>
      <c r="N2152" s="121">
        <f t="shared" si="845"/>
        <v>1</v>
      </c>
      <c r="O2152" s="246">
        <f t="shared" si="846"/>
        <v>0.99</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87">
        <v>23</v>
      </c>
      <c r="B2153" s="242">
        <f t="shared" si="853"/>
        <v>46327</v>
      </c>
      <c r="C2153" s="243">
        <f t="shared" si="834"/>
        <v>46356</v>
      </c>
      <c r="D2153" s="120">
        <f t="shared" si="835"/>
        <v>30</v>
      </c>
      <c r="E2153" s="120">
        <f t="shared" si="836"/>
        <v>11</v>
      </c>
      <c r="F2153" s="275">
        <f t="shared" si="837"/>
        <v>46342</v>
      </c>
      <c r="G2153" s="120">
        <f t="shared" si="838"/>
        <v>24322</v>
      </c>
      <c r="H2153" s="245">
        <f t="shared" si="839"/>
        <v>1</v>
      </c>
      <c r="I2153" s="121">
        <f t="shared" si="840"/>
        <v>1</v>
      </c>
      <c r="J2153" s="121">
        <f t="shared" si="841"/>
        <v>1</v>
      </c>
      <c r="K2153" s="120">
        <f t="shared" si="842"/>
        <v>0</v>
      </c>
      <c r="L2153" s="120">
        <f t="shared" si="843"/>
        <v>0</v>
      </c>
      <c r="M2153" s="246">
        <f t="shared" si="844"/>
        <v>0</v>
      </c>
      <c r="N2153" s="121">
        <f t="shared" si="845"/>
        <v>1</v>
      </c>
      <c r="O2153" s="246">
        <f t="shared" si="846"/>
        <v>0.99</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87">
        <v>24</v>
      </c>
      <c r="B2154" s="242">
        <f t="shared" si="853"/>
        <v>46357</v>
      </c>
      <c r="C2154" s="243">
        <f t="shared" si="834"/>
        <v>46387</v>
      </c>
      <c r="D2154" s="120">
        <f t="shared" si="835"/>
        <v>31</v>
      </c>
      <c r="E2154" s="120">
        <f t="shared" si="836"/>
        <v>12</v>
      </c>
      <c r="F2154" s="275">
        <f t="shared" si="837"/>
        <v>46372.5</v>
      </c>
      <c r="G2154" s="120">
        <f t="shared" si="838"/>
        <v>24323</v>
      </c>
      <c r="H2154" s="245">
        <f t="shared" si="839"/>
        <v>1</v>
      </c>
      <c r="I2154" s="121">
        <f t="shared" si="840"/>
        <v>1</v>
      </c>
      <c r="J2154" s="121">
        <f t="shared" si="841"/>
        <v>1</v>
      </c>
      <c r="K2154" s="120">
        <f t="shared" si="842"/>
        <v>0</v>
      </c>
      <c r="L2154" s="120">
        <f t="shared" si="843"/>
        <v>0</v>
      </c>
      <c r="M2154" s="246">
        <f t="shared" si="844"/>
        <v>0</v>
      </c>
      <c r="N2154" s="121">
        <f t="shared" si="845"/>
        <v>1</v>
      </c>
      <c r="O2154" s="246">
        <f t="shared" si="846"/>
        <v>0.99</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87">
        <v>25</v>
      </c>
      <c r="B2155" s="242">
        <f t="shared" si="853"/>
        <v>46388</v>
      </c>
      <c r="C2155" s="243">
        <f t="shared" si="834"/>
        <v>46418</v>
      </c>
      <c r="D2155" s="120">
        <f t="shared" si="835"/>
        <v>31</v>
      </c>
      <c r="E2155" s="120">
        <f t="shared" si="836"/>
        <v>1</v>
      </c>
      <c r="F2155" s="275">
        <f t="shared" si="837"/>
        <v>46403.5</v>
      </c>
      <c r="G2155" s="120">
        <f t="shared" si="838"/>
        <v>24324</v>
      </c>
      <c r="H2155" s="245">
        <f t="shared" si="839"/>
        <v>1</v>
      </c>
      <c r="I2155" s="121">
        <f t="shared" si="840"/>
        <v>1</v>
      </c>
      <c r="J2155" s="121">
        <f t="shared" si="841"/>
        <v>1</v>
      </c>
      <c r="K2155" s="120">
        <f t="shared" si="842"/>
        <v>0</v>
      </c>
      <c r="L2155" s="120">
        <f t="shared" si="843"/>
        <v>0</v>
      </c>
      <c r="M2155" s="246">
        <f t="shared" si="844"/>
        <v>0</v>
      </c>
      <c r="N2155" s="121">
        <f t="shared" si="845"/>
        <v>1</v>
      </c>
      <c r="O2155" s="246">
        <f t="shared" si="846"/>
        <v>0.99</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87">
        <v>26</v>
      </c>
      <c r="B2156" s="242">
        <f t="shared" si="853"/>
        <v>46419</v>
      </c>
      <c r="C2156" s="243">
        <f t="shared" si="834"/>
        <v>46446</v>
      </c>
      <c r="D2156" s="120">
        <f t="shared" si="835"/>
        <v>28</v>
      </c>
      <c r="E2156" s="120">
        <f t="shared" si="836"/>
        <v>2</v>
      </c>
      <c r="F2156" s="275">
        <f t="shared" si="837"/>
        <v>46433</v>
      </c>
      <c r="G2156" s="120">
        <f t="shared" si="838"/>
        <v>24325</v>
      </c>
      <c r="H2156" s="245">
        <f t="shared" si="839"/>
        <v>1</v>
      </c>
      <c r="I2156" s="121">
        <f t="shared" si="840"/>
        <v>1</v>
      </c>
      <c r="J2156" s="121">
        <f t="shared" si="841"/>
        <v>1</v>
      </c>
      <c r="K2156" s="120">
        <f t="shared" si="842"/>
        <v>0</v>
      </c>
      <c r="L2156" s="120">
        <f t="shared" si="843"/>
        <v>0</v>
      </c>
      <c r="M2156" s="246">
        <f t="shared" si="844"/>
        <v>0</v>
      </c>
      <c r="N2156" s="121">
        <f t="shared" si="845"/>
        <v>1</v>
      </c>
      <c r="O2156" s="246">
        <f t="shared" si="846"/>
        <v>0.99</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87">
        <v>27</v>
      </c>
      <c r="B2157" s="242">
        <f t="shared" si="853"/>
        <v>46447</v>
      </c>
      <c r="C2157" s="243">
        <f t="shared" si="834"/>
        <v>46477</v>
      </c>
      <c r="D2157" s="120">
        <f t="shared" si="835"/>
        <v>31</v>
      </c>
      <c r="E2157" s="120">
        <f t="shared" si="836"/>
        <v>3</v>
      </c>
      <c r="F2157" s="275">
        <f t="shared" si="837"/>
        <v>46462.5</v>
      </c>
      <c r="G2157" s="120">
        <f t="shared" si="838"/>
        <v>24326</v>
      </c>
      <c r="H2157" s="245">
        <f t="shared" si="839"/>
        <v>1</v>
      </c>
      <c r="I2157" s="121">
        <f t="shared" si="840"/>
        <v>1</v>
      </c>
      <c r="J2157" s="121">
        <f t="shared" si="841"/>
        <v>1</v>
      </c>
      <c r="K2157" s="120">
        <f t="shared" si="842"/>
        <v>0</v>
      </c>
      <c r="L2157" s="120">
        <f t="shared" si="843"/>
        <v>0</v>
      </c>
      <c r="M2157" s="246">
        <f t="shared" si="844"/>
        <v>0</v>
      </c>
      <c r="N2157" s="121">
        <f t="shared" si="845"/>
        <v>1</v>
      </c>
      <c r="O2157" s="246">
        <f t="shared" si="846"/>
        <v>0.99</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87">
        <v>28</v>
      </c>
      <c r="B2158" s="242">
        <f t="shared" si="853"/>
        <v>46478</v>
      </c>
      <c r="C2158" s="243">
        <f t="shared" si="834"/>
        <v>46507</v>
      </c>
      <c r="D2158" s="120">
        <f t="shared" si="835"/>
        <v>30</v>
      </c>
      <c r="E2158" s="120">
        <f t="shared" si="836"/>
        <v>4</v>
      </c>
      <c r="F2158" s="275">
        <f t="shared" si="837"/>
        <v>46493</v>
      </c>
      <c r="G2158" s="120">
        <f t="shared" si="838"/>
        <v>24327</v>
      </c>
      <c r="H2158" s="245">
        <f t="shared" si="839"/>
        <v>1</v>
      </c>
      <c r="I2158" s="121">
        <f t="shared" si="840"/>
        <v>1</v>
      </c>
      <c r="J2158" s="121">
        <f t="shared" si="841"/>
        <v>1</v>
      </c>
      <c r="K2158" s="120">
        <f t="shared" si="842"/>
        <v>0</v>
      </c>
      <c r="L2158" s="120">
        <f t="shared" si="843"/>
        <v>0</v>
      </c>
      <c r="M2158" s="246">
        <f t="shared" si="844"/>
        <v>0</v>
      </c>
      <c r="N2158" s="121">
        <f t="shared" si="845"/>
        <v>1</v>
      </c>
      <c r="O2158" s="246">
        <f t="shared" si="846"/>
        <v>0.99</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87">
        <v>29</v>
      </c>
      <c r="B2159" s="242">
        <f t="shared" si="853"/>
        <v>46508</v>
      </c>
      <c r="C2159" s="243">
        <f t="shared" si="834"/>
        <v>46538</v>
      </c>
      <c r="D2159" s="120">
        <f t="shared" si="835"/>
        <v>31</v>
      </c>
      <c r="E2159" s="120">
        <f t="shared" si="836"/>
        <v>5</v>
      </c>
      <c r="F2159" s="275">
        <f t="shared" si="837"/>
        <v>46523.5</v>
      </c>
      <c r="G2159" s="120">
        <f t="shared" si="838"/>
        <v>24328</v>
      </c>
      <c r="H2159" s="245">
        <f t="shared" si="839"/>
        <v>1</v>
      </c>
      <c r="I2159" s="121">
        <f t="shared" si="840"/>
        <v>1</v>
      </c>
      <c r="J2159" s="121">
        <f t="shared" si="841"/>
        <v>1</v>
      </c>
      <c r="K2159" s="120">
        <f t="shared" si="842"/>
        <v>0</v>
      </c>
      <c r="L2159" s="120">
        <f t="shared" si="843"/>
        <v>0</v>
      </c>
      <c r="M2159" s="246">
        <f t="shared" si="844"/>
        <v>0</v>
      </c>
      <c r="N2159" s="121">
        <f t="shared" si="845"/>
        <v>1</v>
      </c>
      <c r="O2159" s="246">
        <f t="shared" si="846"/>
        <v>0.99</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87">
        <v>30</v>
      </c>
      <c r="B2160" s="242">
        <f t="shared" si="853"/>
        <v>46539</v>
      </c>
      <c r="C2160" s="243">
        <f t="shared" si="834"/>
        <v>46568</v>
      </c>
      <c r="D2160" s="120">
        <f t="shared" si="835"/>
        <v>30</v>
      </c>
      <c r="E2160" s="120">
        <f t="shared" si="836"/>
        <v>6</v>
      </c>
      <c r="F2160" s="275">
        <f t="shared" si="837"/>
        <v>46554</v>
      </c>
      <c r="G2160" s="120">
        <f t="shared" si="838"/>
        <v>24329</v>
      </c>
      <c r="H2160" s="245">
        <f t="shared" si="839"/>
        <v>1</v>
      </c>
      <c r="I2160" s="121">
        <f t="shared" si="840"/>
        <v>1</v>
      </c>
      <c r="J2160" s="121">
        <f t="shared" si="841"/>
        <v>1</v>
      </c>
      <c r="K2160" s="120">
        <f t="shared" si="842"/>
        <v>0</v>
      </c>
      <c r="L2160" s="120">
        <f t="shared" si="843"/>
        <v>0</v>
      </c>
      <c r="M2160" s="246">
        <f t="shared" si="844"/>
        <v>0</v>
      </c>
      <c r="N2160" s="121">
        <f t="shared" si="845"/>
        <v>1</v>
      </c>
      <c r="O2160" s="246">
        <f t="shared" si="846"/>
        <v>0.99</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87">
        <v>31</v>
      </c>
      <c r="B2161" s="242">
        <f t="shared" si="853"/>
        <v>46569</v>
      </c>
      <c r="C2161" s="243">
        <f t="shared" si="834"/>
        <v>46599</v>
      </c>
      <c r="D2161" s="120">
        <f t="shared" si="835"/>
        <v>31</v>
      </c>
      <c r="E2161" s="120">
        <f t="shared" si="836"/>
        <v>7</v>
      </c>
      <c r="F2161" s="275">
        <f t="shared" si="837"/>
        <v>46584.5</v>
      </c>
      <c r="G2161" s="120">
        <f t="shared" si="838"/>
        <v>24330</v>
      </c>
      <c r="H2161" s="245">
        <f t="shared" si="839"/>
        <v>1</v>
      </c>
      <c r="I2161" s="121">
        <f t="shared" si="840"/>
        <v>1</v>
      </c>
      <c r="J2161" s="121">
        <f t="shared" si="841"/>
        <v>1</v>
      </c>
      <c r="K2161" s="120">
        <f t="shared" si="842"/>
        <v>0</v>
      </c>
      <c r="L2161" s="120">
        <f t="shared" si="843"/>
        <v>0</v>
      </c>
      <c r="M2161" s="246">
        <f t="shared" si="844"/>
        <v>0</v>
      </c>
      <c r="N2161" s="121">
        <f t="shared" si="845"/>
        <v>1</v>
      </c>
      <c r="O2161" s="246">
        <f t="shared" si="846"/>
        <v>0.99</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87">
        <v>32</v>
      </c>
      <c r="B2162" s="242">
        <f t="shared" si="853"/>
        <v>46600</v>
      </c>
      <c r="C2162" s="243">
        <f t="shared" si="834"/>
        <v>46630</v>
      </c>
      <c r="D2162" s="120">
        <f t="shared" si="835"/>
        <v>31</v>
      </c>
      <c r="E2162" s="120">
        <f t="shared" si="836"/>
        <v>8</v>
      </c>
      <c r="F2162" s="275">
        <f t="shared" si="837"/>
        <v>46615.5</v>
      </c>
      <c r="G2162" s="120">
        <f t="shared" si="838"/>
        <v>24331</v>
      </c>
      <c r="H2162" s="245">
        <f t="shared" si="839"/>
        <v>1</v>
      </c>
      <c r="I2162" s="121">
        <f t="shared" si="840"/>
        <v>1</v>
      </c>
      <c r="J2162" s="121">
        <f t="shared" si="841"/>
        <v>1</v>
      </c>
      <c r="K2162" s="120">
        <f t="shared" si="842"/>
        <v>0</v>
      </c>
      <c r="L2162" s="120">
        <f t="shared" si="843"/>
        <v>0</v>
      </c>
      <c r="M2162" s="246">
        <f t="shared" si="844"/>
        <v>0</v>
      </c>
      <c r="N2162" s="121">
        <f t="shared" si="845"/>
        <v>1</v>
      </c>
      <c r="O2162" s="246">
        <f t="shared" si="846"/>
        <v>0.99</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87">
        <v>33</v>
      </c>
      <c r="B2163" s="242">
        <f t="shared" si="853"/>
        <v>46631</v>
      </c>
      <c r="C2163" s="243">
        <f t="shared" si="834"/>
        <v>46660</v>
      </c>
      <c r="D2163" s="120">
        <f t="shared" si="835"/>
        <v>30</v>
      </c>
      <c r="E2163" s="120">
        <f t="shared" si="836"/>
        <v>9</v>
      </c>
      <c r="F2163" s="275">
        <f t="shared" si="837"/>
        <v>46646</v>
      </c>
      <c r="G2163" s="120">
        <f t="shared" si="838"/>
        <v>24332</v>
      </c>
      <c r="H2163" s="245">
        <f t="shared" si="839"/>
        <v>1</v>
      </c>
      <c r="I2163" s="121">
        <f t="shared" si="840"/>
        <v>1</v>
      </c>
      <c r="J2163" s="121">
        <f t="shared" si="841"/>
        <v>1</v>
      </c>
      <c r="K2163" s="120">
        <f t="shared" si="842"/>
        <v>0</v>
      </c>
      <c r="L2163" s="120">
        <f t="shared" si="843"/>
        <v>0</v>
      </c>
      <c r="M2163" s="246">
        <f t="shared" si="844"/>
        <v>0</v>
      </c>
      <c r="N2163" s="121">
        <f t="shared" si="845"/>
        <v>1</v>
      </c>
      <c r="O2163" s="246">
        <f t="shared" si="846"/>
        <v>0.99</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87">
        <v>34</v>
      </c>
      <c r="B2164" s="242">
        <f t="shared" si="853"/>
        <v>46661</v>
      </c>
      <c r="C2164" s="243">
        <f t="shared" si="834"/>
        <v>46691</v>
      </c>
      <c r="D2164" s="120">
        <f t="shared" si="835"/>
        <v>31</v>
      </c>
      <c r="E2164" s="120">
        <f t="shared" si="836"/>
        <v>10</v>
      </c>
      <c r="F2164" s="275">
        <f t="shared" si="837"/>
        <v>46676.5</v>
      </c>
      <c r="G2164" s="120">
        <f t="shared" si="838"/>
        <v>24333</v>
      </c>
      <c r="H2164" s="245">
        <f t="shared" si="839"/>
        <v>1</v>
      </c>
      <c r="I2164" s="121">
        <f t="shared" si="840"/>
        <v>1</v>
      </c>
      <c r="J2164" s="121">
        <f t="shared" si="841"/>
        <v>1</v>
      </c>
      <c r="K2164" s="120">
        <f t="shared" si="842"/>
        <v>0</v>
      </c>
      <c r="L2164" s="120">
        <f t="shared" si="843"/>
        <v>0</v>
      </c>
      <c r="M2164" s="246">
        <f t="shared" si="844"/>
        <v>0</v>
      </c>
      <c r="N2164" s="121">
        <f t="shared" si="845"/>
        <v>1</v>
      </c>
      <c r="O2164" s="246">
        <f t="shared" si="846"/>
        <v>0.99</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87">
        <v>35</v>
      </c>
      <c r="B2165" s="242">
        <f t="shared" si="853"/>
        <v>46692</v>
      </c>
      <c r="C2165" s="243">
        <f t="shared" si="834"/>
        <v>46721</v>
      </c>
      <c r="D2165" s="120">
        <f t="shared" si="835"/>
        <v>30</v>
      </c>
      <c r="E2165" s="120">
        <f t="shared" si="836"/>
        <v>11</v>
      </c>
      <c r="F2165" s="275">
        <f t="shared" si="837"/>
        <v>46707</v>
      </c>
      <c r="G2165" s="120">
        <f t="shared" si="838"/>
        <v>24334</v>
      </c>
      <c r="H2165" s="245">
        <f t="shared" si="839"/>
        <v>1</v>
      </c>
      <c r="I2165" s="121">
        <f t="shared" si="840"/>
        <v>1</v>
      </c>
      <c r="J2165" s="121">
        <f t="shared" si="841"/>
        <v>1</v>
      </c>
      <c r="K2165" s="120">
        <f t="shared" si="842"/>
        <v>0</v>
      </c>
      <c r="L2165" s="120">
        <f t="shared" si="843"/>
        <v>0</v>
      </c>
      <c r="M2165" s="246">
        <f t="shared" si="844"/>
        <v>0</v>
      </c>
      <c r="N2165" s="121">
        <f t="shared" si="845"/>
        <v>1</v>
      </c>
      <c r="O2165" s="246">
        <f t="shared" si="846"/>
        <v>0.99</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87">
        <v>36</v>
      </c>
      <c r="B2166" s="242">
        <f t="shared" si="853"/>
        <v>46722</v>
      </c>
      <c r="C2166" s="243">
        <f t="shared" si="834"/>
        <v>46752</v>
      </c>
      <c r="D2166" s="120">
        <f t="shared" si="835"/>
        <v>31</v>
      </c>
      <c r="E2166" s="120">
        <f t="shared" si="836"/>
        <v>12</v>
      </c>
      <c r="F2166" s="275">
        <f t="shared" si="837"/>
        <v>46737.5</v>
      </c>
      <c r="G2166" s="120">
        <f t="shared" si="838"/>
        <v>24335</v>
      </c>
      <c r="H2166" s="245">
        <f t="shared" si="839"/>
        <v>1</v>
      </c>
      <c r="I2166" s="121">
        <f t="shared" si="840"/>
        <v>1</v>
      </c>
      <c r="J2166" s="121">
        <f t="shared" si="841"/>
        <v>1</v>
      </c>
      <c r="K2166" s="120">
        <f t="shared" si="842"/>
        <v>0</v>
      </c>
      <c r="L2166" s="120">
        <f t="shared" si="843"/>
        <v>0</v>
      </c>
      <c r="M2166" s="246">
        <f t="shared" si="844"/>
        <v>0</v>
      </c>
      <c r="N2166" s="121">
        <f t="shared" si="845"/>
        <v>1</v>
      </c>
      <c r="O2166" s="246">
        <f t="shared" si="846"/>
        <v>0.99</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87">
        <v>37</v>
      </c>
      <c r="B2167" s="242">
        <f t="shared" si="853"/>
        <v>46753</v>
      </c>
      <c r="C2167" s="243">
        <f t="shared" si="834"/>
        <v>46783</v>
      </c>
      <c r="D2167" s="120">
        <f t="shared" si="835"/>
        <v>31</v>
      </c>
      <c r="E2167" s="120">
        <f t="shared" si="836"/>
        <v>1</v>
      </c>
      <c r="F2167" s="275">
        <f t="shared" si="837"/>
        <v>46768.5</v>
      </c>
      <c r="G2167" s="120">
        <f t="shared" si="838"/>
        <v>24336</v>
      </c>
      <c r="H2167" s="245">
        <f t="shared" si="839"/>
        <v>1</v>
      </c>
      <c r="I2167" s="121">
        <f t="shared" si="840"/>
        <v>1</v>
      </c>
      <c r="J2167" s="121">
        <f t="shared" si="841"/>
        <v>1</v>
      </c>
      <c r="K2167" s="120">
        <f t="shared" si="842"/>
        <v>0</v>
      </c>
      <c r="L2167" s="120">
        <f t="shared" si="843"/>
        <v>0</v>
      </c>
      <c r="M2167" s="246">
        <f t="shared" si="844"/>
        <v>0</v>
      </c>
      <c r="N2167" s="121">
        <f t="shared" si="845"/>
        <v>1</v>
      </c>
      <c r="O2167" s="246">
        <f t="shared" si="846"/>
        <v>0.99</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87">
        <v>38</v>
      </c>
      <c r="B2168" s="242">
        <f t="shared" si="853"/>
        <v>46784</v>
      </c>
      <c r="C2168" s="243">
        <f t="shared" si="834"/>
        <v>46812</v>
      </c>
      <c r="D2168" s="120">
        <f t="shared" si="835"/>
        <v>29</v>
      </c>
      <c r="E2168" s="120">
        <f t="shared" si="836"/>
        <v>2</v>
      </c>
      <c r="F2168" s="275">
        <f t="shared" si="837"/>
        <v>46798.5</v>
      </c>
      <c r="G2168" s="120">
        <f t="shared" si="838"/>
        <v>24337</v>
      </c>
      <c r="H2168" s="245">
        <f t="shared" si="839"/>
        <v>1</v>
      </c>
      <c r="I2168" s="121">
        <f t="shared" si="840"/>
        <v>1</v>
      </c>
      <c r="J2168" s="121">
        <f t="shared" si="841"/>
        <v>1</v>
      </c>
      <c r="K2168" s="120">
        <f t="shared" si="842"/>
        <v>0</v>
      </c>
      <c r="L2168" s="120">
        <f t="shared" si="843"/>
        <v>0</v>
      </c>
      <c r="M2168" s="246">
        <f t="shared" si="844"/>
        <v>0</v>
      </c>
      <c r="N2168" s="121">
        <f t="shared" si="845"/>
        <v>1</v>
      </c>
      <c r="O2168" s="246">
        <f t="shared" si="846"/>
        <v>0.99</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87">
        <v>39</v>
      </c>
      <c r="B2169" s="242">
        <f t="shared" si="853"/>
        <v>46813</v>
      </c>
      <c r="C2169" s="243">
        <f t="shared" si="834"/>
        <v>46843</v>
      </c>
      <c r="D2169" s="120">
        <f t="shared" si="835"/>
        <v>31</v>
      </c>
      <c r="E2169" s="120">
        <f t="shared" si="836"/>
        <v>3</v>
      </c>
      <c r="F2169" s="275">
        <f t="shared" si="837"/>
        <v>46828.5</v>
      </c>
      <c r="G2169" s="120">
        <f t="shared" si="838"/>
        <v>24338</v>
      </c>
      <c r="H2169" s="245">
        <f t="shared" si="839"/>
        <v>1</v>
      </c>
      <c r="I2169" s="121">
        <f t="shared" si="840"/>
        <v>1</v>
      </c>
      <c r="J2169" s="121">
        <f t="shared" si="841"/>
        <v>1</v>
      </c>
      <c r="K2169" s="120">
        <f t="shared" si="842"/>
        <v>0</v>
      </c>
      <c r="L2169" s="120">
        <f t="shared" si="843"/>
        <v>0</v>
      </c>
      <c r="M2169" s="246">
        <f t="shared" si="844"/>
        <v>0</v>
      </c>
      <c r="N2169" s="121">
        <f t="shared" si="845"/>
        <v>1</v>
      </c>
      <c r="O2169" s="246">
        <f t="shared" si="846"/>
        <v>0.99</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87">
        <v>40</v>
      </c>
      <c r="B2170" s="242">
        <f t="shared" si="853"/>
        <v>46844</v>
      </c>
      <c r="C2170" s="243">
        <f t="shared" si="834"/>
        <v>46873</v>
      </c>
      <c r="D2170" s="120">
        <f t="shared" si="835"/>
        <v>30</v>
      </c>
      <c r="E2170" s="120">
        <f t="shared" si="836"/>
        <v>4</v>
      </c>
      <c r="F2170" s="275">
        <f t="shared" si="837"/>
        <v>46859</v>
      </c>
      <c r="G2170" s="120">
        <f t="shared" si="838"/>
        <v>24339</v>
      </c>
      <c r="H2170" s="245">
        <f t="shared" si="839"/>
        <v>1</v>
      </c>
      <c r="I2170" s="121">
        <f t="shared" si="840"/>
        <v>1</v>
      </c>
      <c r="J2170" s="121">
        <f t="shared" si="841"/>
        <v>1</v>
      </c>
      <c r="K2170" s="120">
        <f t="shared" si="842"/>
        <v>0</v>
      </c>
      <c r="L2170" s="120">
        <f t="shared" si="843"/>
        <v>0</v>
      </c>
      <c r="M2170" s="246">
        <f t="shared" si="844"/>
        <v>0</v>
      </c>
      <c r="N2170" s="121">
        <f t="shared" si="845"/>
        <v>1</v>
      </c>
      <c r="O2170" s="246">
        <f t="shared" si="846"/>
        <v>0.99</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87">
        <v>41</v>
      </c>
      <c r="B2171" s="242">
        <f t="shared" si="853"/>
        <v>46874</v>
      </c>
      <c r="C2171" s="243">
        <f t="shared" si="834"/>
        <v>46904</v>
      </c>
      <c r="D2171" s="120">
        <f t="shared" si="835"/>
        <v>31</v>
      </c>
      <c r="E2171" s="120">
        <f t="shared" si="836"/>
        <v>5</v>
      </c>
      <c r="F2171" s="275">
        <f t="shared" si="837"/>
        <v>46889.5</v>
      </c>
      <c r="G2171" s="120">
        <f t="shared" si="838"/>
        <v>24340</v>
      </c>
      <c r="H2171" s="245">
        <f t="shared" si="839"/>
        <v>1</v>
      </c>
      <c r="I2171" s="121">
        <f t="shared" si="840"/>
        <v>1</v>
      </c>
      <c r="J2171" s="121">
        <f t="shared" si="841"/>
        <v>1</v>
      </c>
      <c r="K2171" s="120">
        <f t="shared" si="842"/>
        <v>0</v>
      </c>
      <c r="L2171" s="120">
        <f t="shared" si="843"/>
        <v>0</v>
      </c>
      <c r="M2171" s="246">
        <f t="shared" si="844"/>
        <v>0</v>
      </c>
      <c r="N2171" s="121">
        <f t="shared" si="845"/>
        <v>1</v>
      </c>
      <c r="O2171" s="246">
        <f t="shared" si="846"/>
        <v>0.99</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87">
        <v>42</v>
      </c>
      <c r="B2172" s="242">
        <f t="shared" si="853"/>
        <v>46905</v>
      </c>
      <c r="C2172" s="243">
        <f t="shared" si="834"/>
        <v>46934</v>
      </c>
      <c r="D2172" s="120">
        <f t="shared" si="835"/>
        <v>30</v>
      </c>
      <c r="E2172" s="120">
        <f t="shared" si="836"/>
        <v>6</v>
      </c>
      <c r="F2172" s="275">
        <f t="shared" si="837"/>
        <v>46920</v>
      </c>
      <c r="G2172" s="120">
        <f t="shared" si="838"/>
        <v>24341</v>
      </c>
      <c r="H2172" s="245">
        <f t="shared" si="839"/>
        <v>1</v>
      </c>
      <c r="I2172" s="121">
        <f t="shared" si="840"/>
        <v>1</v>
      </c>
      <c r="J2172" s="121">
        <f t="shared" si="841"/>
        <v>1</v>
      </c>
      <c r="K2172" s="120">
        <f t="shared" si="842"/>
        <v>0</v>
      </c>
      <c r="L2172" s="120">
        <f t="shared" si="843"/>
        <v>0</v>
      </c>
      <c r="M2172" s="246">
        <f t="shared" si="844"/>
        <v>0</v>
      </c>
      <c r="N2172" s="121">
        <f t="shared" si="845"/>
        <v>1</v>
      </c>
      <c r="O2172" s="246">
        <f t="shared" si="846"/>
        <v>0.99</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87">
        <v>43</v>
      </c>
      <c r="B2173" s="242">
        <f t="shared" si="853"/>
        <v>46935</v>
      </c>
      <c r="C2173" s="243">
        <f t="shared" si="834"/>
        <v>46965</v>
      </c>
      <c r="D2173" s="120">
        <f t="shared" si="835"/>
        <v>31</v>
      </c>
      <c r="E2173" s="120">
        <f t="shared" si="836"/>
        <v>7</v>
      </c>
      <c r="F2173" s="275">
        <f t="shared" si="837"/>
        <v>46950.5</v>
      </c>
      <c r="G2173" s="120">
        <f t="shared" si="838"/>
        <v>24342</v>
      </c>
      <c r="H2173" s="245">
        <f t="shared" si="839"/>
        <v>1</v>
      </c>
      <c r="I2173" s="121">
        <f t="shared" si="840"/>
        <v>1</v>
      </c>
      <c r="J2173" s="121">
        <f t="shared" si="841"/>
        <v>1</v>
      </c>
      <c r="K2173" s="120">
        <f t="shared" si="842"/>
        <v>0</v>
      </c>
      <c r="L2173" s="120">
        <f t="shared" si="843"/>
        <v>0</v>
      </c>
      <c r="M2173" s="246">
        <f t="shared" si="844"/>
        <v>0</v>
      </c>
      <c r="N2173" s="121">
        <f t="shared" si="845"/>
        <v>1</v>
      </c>
      <c r="O2173" s="246">
        <f t="shared" si="846"/>
        <v>0.99</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87">
        <v>44</v>
      </c>
      <c r="B2174" s="242">
        <f t="shared" si="853"/>
        <v>46966</v>
      </c>
      <c r="C2174" s="243">
        <f t="shared" si="834"/>
        <v>46996</v>
      </c>
      <c r="D2174" s="120">
        <f t="shared" si="835"/>
        <v>31</v>
      </c>
      <c r="E2174" s="120">
        <f t="shared" si="836"/>
        <v>8</v>
      </c>
      <c r="F2174" s="275">
        <f t="shared" si="837"/>
        <v>46981.5</v>
      </c>
      <c r="G2174" s="120">
        <f t="shared" si="838"/>
        <v>24343</v>
      </c>
      <c r="H2174" s="245">
        <f t="shared" si="839"/>
        <v>1</v>
      </c>
      <c r="I2174" s="121">
        <f t="shared" si="840"/>
        <v>1</v>
      </c>
      <c r="J2174" s="121">
        <f t="shared" si="841"/>
        <v>1</v>
      </c>
      <c r="K2174" s="120">
        <f t="shared" si="842"/>
        <v>0</v>
      </c>
      <c r="L2174" s="120">
        <f t="shared" si="843"/>
        <v>0</v>
      </c>
      <c r="M2174" s="246">
        <f t="shared" si="844"/>
        <v>0</v>
      </c>
      <c r="N2174" s="121">
        <f t="shared" si="845"/>
        <v>1</v>
      </c>
      <c r="O2174" s="246">
        <f t="shared" si="846"/>
        <v>0.99</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87">
        <v>45</v>
      </c>
      <c r="B2175" s="242">
        <f t="shared" si="853"/>
        <v>46997</v>
      </c>
      <c r="C2175" s="243">
        <f t="shared" si="834"/>
        <v>47026</v>
      </c>
      <c r="D2175" s="120">
        <f t="shared" si="835"/>
        <v>30</v>
      </c>
      <c r="E2175" s="120">
        <f t="shared" si="836"/>
        <v>9</v>
      </c>
      <c r="F2175" s="275">
        <f t="shared" si="837"/>
        <v>47012</v>
      </c>
      <c r="G2175" s="120">
        <f t="shared" si="838"/>
        <v>24344</v>
      </c>
      <c r="H2175" s="245">
        <f t="shared" si="839"/>
        <v>1</v>
      </c>
      <c r="I2175" s="121">
        <f t="shared" si="840"/>
        <v>1</v>
      </c>
      <c r="J2175" s="121">
        <f t="shared" si="841"/>
        <v>1</v>
      </c>
      <c r="K2175" s="120">
        <f t="shared" si="842"/>
        <v>0</v>
      </c>
      <c r="L2175" s="120">
        <f t="shared" si="843"/>
        <v>0</v>
      </c>
      <c r="M2175" s="246">
        <f t="shared" si="844"/>
        <v>0</v>
      </c>
      <c r="N2175" s="121">
        <f t="shared" si="845"/>
        <v>1</v>
      </c>
      <c r="O2175" s="246">
        <f t="shared" si="846"/>
        <v>0.99</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87">
        <v>46</v>
      </c>
      <c r="B2176" s="242">
        <f t="shared" si="853"/>
        <v>47027</v>
      </c>
      <c r="C2176" s="243">
        <f t="shared" si="834"/>
        <v>47057</v>
      </c>
      <c r="D2176" s="120">
        <f t="shared" si="835"/>
        <v>31</v>
      </c>
      <c r="E2176" s="120">
        <f t="shared" si="836"/>
        <v>10</v>
      </c>
      <c r="F2176" s="275">
        <f t="shared" si="837"/>
        <v>47042.5</v>
      </c>
      <c r="G2176" s="120">
        <f t="shared" si="838"/>
        <v>24345</v>
      </c>
      <c r="H2176" s="245">
        <f t="shared" si="839"/>
        <v>1</v>
      </c>
      <c r="I2176" s="121">
        <f t="shared" si="840"/>
        <v>1</v>
      </c>
      <c r="J2176" s="121">
        <f t="shared" si="841"/>
        <v>1</v>
      </c>
      <c r="K2176" s="120">
        <f t="shared" si="842"/>
        <v>0</v>
      </c>
      <c r="L2176" s="120">
        <f t="shared" si="843"/>
        <v>0</v>
      </c>
      <c r="M2176" s="246">
        <f t="shared" si="844"/>
        <v>0</v>
      </c>
      <c r="N2176" s="121">
        <f t="shared" si="845"/>
        <v>1</v>
      </c>
      <c r="O2176" s="246">
        <f t="shared" si="846"/>
        <v>0.99</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87">
        <v>47</v>
      </c>
      <c r="B2177" s="242">
        <f t="shared" si="853"/>
        <v>47058</v>
      </c>
      <c r="C2177" s="243">
        <f t="shared" si="834"/>
        <v>47087</v>
      </c>
      <c r="D2177" s="120">
        <f t="shared" si="835"/>
        <v>30</v>
      </c>
      <c r="E2177" s="120">
        <f t="shared" si="836"/>
        <v>11</v>
      </c>
      <c r="F2177" s="275">
        <f t="shared" si="837"/>
        <v>47073</v>
      </c>
      <c r="G2177" s="120">
        <f t="shared" si="838"/>
        <v>24346</v>
      </c>
      <c r="H2177" s="245">
        <f t="shared" si="839"/>
        <v>1</v>
      </c>
      <c r="I2177" s="121">
        <f t="shared" si="840"/>
        <v>1</v>
      </c>
      <c r="J2177" s="121">
        <f t="shared" si="841"/>
        <v>1</v>
      </c>
      <c r="K2177" s="120">
        <f t="shared" si="842"/>
        <v>0</v>
      </c>
      <c r="L2177" s="120">
        <f t="shared" si="843"/>
        <v>0</v>
      </c>
      <c r="M2177" s="246">
        <f t="shared" si="844"/>
        <v>0</v>
      </c>
      <c r="N2177" s="121">
        <f t="shared" si="845"/>
        <v>1</v>
      </c>
      <c r="O2177" s="246">
        <f t="shared" si="846"/>
        <v>0.99</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87">
        <v>48</v>
      </c>
      <c r="B2178" s="242">
        <f t="shared" si="853"/>
        <v>47088</v>
      </c>
      <c r="C2178" s="243">
        <f t="shared" si="834"/>
        <v>47118</v>
      </c>
      <c r="D2178" s="120">
        <f t="shared" si="835"/>
        <v>31</v>
      </c>
      <c r="E2178" s="120">
        <f t="shared" si="836"/>
        <v>12</v>
      </c>
      <c r="F2178" s="275">
        <f t="shared" si="837"/>
        <v>47103.5</v>
      </c>
      <c r="G2178" s="120">
        <f t="shared" si="838"/>
        <v>24347</v>
      </c>
      <c r="H2178" s="245">
        <f t="shared" si="839"/>
        <v>1</v>
      </c>
      <c r="I2178" s="121">
        <f t="shared" si="840"/>
        <v>1</v>
      </c>
      <c r="J2178" s="121">
        <f t="shared" si="841"/>
        <v>1</v>
      </c>
      <c r="K2178" s="120">
        <f t="shared" si="842"/>
        <v>0</v>
      </c>
      <c r="L2178" s="120">
        <f t="shared" si="843"/>
        <v>0</v>
      </c>
      <c r="M2178" s="246">
        <f t="shared" si="844"/>
        <v>0</v>
      </c>
      <c r="N2178" s="121">
        <f t="shared" si="845"/>
        <v>1</v>
      </c>
      <c r="O2178" s="246">
        <f t="shared" si="846"/>
        <v>0.99</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1651</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0.9900000000000001</v>
      </c>
      <c r="G2179" s="224">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24">
        <f>IF(N(INDEX(lr_mind,40))=0,1,INDEX(lr_mind,40))</f>
        <v>1</v>
      </c>
      <c r="G2182" s="224">
        <f>IF(N(INDEX(lr_m0,40))=0,1,INDEX(lr_m0,40))</f>
        <v>0.99</v>
      </c>
      <c r="H2182" s="74">
        <f>IF(N(INDEX(lr_m0asof,40))=0,DATE(nr_PlanYear-1,10,1),INDEX(lr_m0asof,40))</f>
        <v>46295</v>
      </c>
      <c r="I2182" s="224">
        <f>IF(N(INDEX(lr_m1,40))=0,1,INDEX(lr_m1,40))</f>
        <v>1.0049999999999999</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54">EOMONTH($B2185,0)</f>
        <v>45688</v>
      </c>
      <c r="D2185" s="120">
        <f t="shared" ref="D2185:D2232" si="855">$C2185-$B2185+1</f>
        <v>31</v>
      </c>
      <c r="E2185" s="120">
        <f t="shared" ref="E2185:E2232" si="856">MONTH($B2185)</f>
        <v>1</v>
      </c>
      <c r="F2185" s="275">
        <f t="shared" ref="F2185:F2232" si="857">($B2185+$C2185+1)/2</f>
        <v>45673.5</v>
      </c>
      <c r="G2185" s="120">
        <f t="shared" ref="G2185:G2232" si="858">YEAR($B2185)*12+MONTH($B2185)-1</f>
        <v>24300</v>
      </c>
      <c r="H2185" s="245">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46">
        <f t="shared" ref="M2185:M2232" si="864">IF($K2185=0,0,MIN(1,$L2185/$D2185))</f>
        <v>0</v>
      </c>
      <c r="N2185" s="121">
        <f t="shared" ref="N2185:N2232" si="865">IF($K2185=0,$J2185,(1-$M2185)*$I2185+$M2185*$J2185)</f>
        <v>1</v>
      </c>
      <c r="O2185" s="246">
        <f t="shared" ref="O2185:O2232" si="866">IF($F2185&lt;$B$2183,$E$2183+$I$2183*($F2185-$A$2183),IF($F2185&lt;$C$2183,$F$2183+$J$2183*($F2185-$B$2183),$G$2183+$K$2183*($F2185-$C$2183)))</f>
        <v>0.96956783369803068</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87">
        <v>2</v>
      </c>
      <c r="B2186" s="242">
        <f t="shared" ref="B2186:B2232" si="873">EDATE($B2185,1)</f>
        <v>45689</v>
      </c>
      <c r="C2186" s="243">
        <f t="shared" si="854"/>
        <v>45716</v>
      </c>
      <c r="D2186" s="120">
        <f t="shared" si="855"/>
        <v>28</v>
      </c>
      <c r="E2186" s="120">
        <f t="shared" si="856"/>
        <v>2</v>
      </c>
      <c r="F2186" s="275">
        <f t="shared" si="857"/>
        <v>45703</v>
      </c>
      <c r="G2186" s="120">
        <f t="shared" si="858"/>
        <v>24301</v>
      </c>
      <c r="H2186" s="245">
        <f t="shared" si="859"/>
        <v>1</v>
      </c>
      <c r="I2186" s="121">
        <f t="shared" si="860"/>
        <v>1</v>
      </c>
      <c r="J2186" s="121">
        <f t="shared" si="861"/>
        <v>1</v>
      </c>
      <c r="K2186" s="120">
        <f t="shared" si="862"/>
        <v>0</v>
      </c>
      <c r="L2186" s="120">
        <f t="shared" si="863"/>
        <v>0</v>
      </c>
      <c r="M2186" s="246">
        <f t="shared" si="864"/>
        <v>0</v>
      </c>
      <c r="N2186" s="121">
        <f t="shared" si="865"/>
        <v>1</v>
      </c>
      <c r="O2186" s="246">
        <f t="shared" si="866"/>
        <v>0.97053610503282284</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87">
        <v>3</v>
      </c>
      <c r="B2187" s="242">
        <f t="shared" si="873"/>
        <v>45717</v>
      </c>
      <c r="C2187" s="243">
        <f t="shared" si="854"/>
        <v>45747</v>
      </c>
      <c r="D2187" s="120">
        <f t="shared" si="855"/>
        <v>31</v>
      </c>
      <c r="E2187" s="120">
        <f t="shared" si="856"/>
        <v>3</v>
      </c>
      <c r="F2187" s="275">
        <f t="shared" si="857"/>
        <v>45732.5</v>
      </c>
      <c r="G2187" s="120">
        <f t="shared" si="858"/>
        <v>24302</v>
      </c>
      <c r="H2187" s="245">
        <f t="shared" si="859"/>
        <v>1</v>
      </c>
      <c r="I2187" s="121">
        <f t="shared" si="860"/>
        <v>1</v>
      </c>
      <c r="J2187" s="121">
        <f t="shared" si="861"/>
        <v>1</v>
      </c>
      <c r="K2187" s="120">
        <f t="shared" si="862"/>
        <v>0</v>
      </c>
      <c r="L2187" s="120">
        <f t="shared" si="863"/>
        <v>0</v>
      </c>
      <c r="M2187" s="246">
        <f t="shared" si="864"/>
        <v>0</v>
      </c>
      <c r="N2187" s="121">
        <f t="shared" si="865"/>
        <v>1</v>
      </c>
      <c r="O2187" s="246">
        <f t="shared" si="866"/>
        <v>0.971504376367615</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87">
        <v>4</v>
      </c>
      <c r="B2188" s="242">
        <f t="shared" si="873"/>
        <v>45748</v>
      </c>
      <c r="C2188" s="243">
        <f t="shared" si="854"/>
        <v>45777</v>
      </c>
      <c r="D2188" s="120">
        <f t="shared" si="855"/>
        <v>30</v>
      </c>
      <c r="E2188" s="120">
        <f t="shared" si="856"/>
        <v>4</v>
      </c>
      <c r="F2188" s="275">
        <f t="shared" si="857"/>
        <v>45763</v>
      </c>
      <c r="G2188" s="120">
        <f t="shared" si="858"/>
        <v>24303</v>
      </c>
      <c r="H2188" s="245">
        <f t="shared" si="859"/>
        <v>1</v>
      </c>
      <c r="I2188" s="121">
        <f t="shared" si="860"/>
        <v>1</v>
      </c>
      <c r="J2188" s="121">
        <f t="shared" si="861"/>
        <v>1</v>
      </c>
      <c r="K2188" s="120">
        <f t="shared" si="862"/>
        <v>0</v>
      </c>
      <c r="L2188" s="120">
        <f t="shared" si="863"/>
        <v>0</v>
      </c>
      <c r="M2188" s="246">
        <f t="shared" si="864"/>
        <v>0</v>
      </c>
      <c r="N2188" s="121">
        <f t="shared" si="865"/>
        <v>1</v>
      </c>
      <c r="O2188" s="246">
        <f t="shared" si="866"/>
        <v>0.97250547045951863</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87">
        <v>5</v>
      </c>
      <c r="B2189" s="242">
        <f t="shared" si="873"/>
        <v>45778</v>
      </c>
      <c r="C2189" s="243">
        <f t="shared" si="854"/>
        <v>45808</v>
      </c>
      <c r="D2189" s="120">
        <f t="shared" si="855"/>
        <v>31</v>
      </c>
      <c r="E2189" s="120">
        <f t="shared" si="856"/>
        <v>5</v>
      </c>
      <c r="F2189" s="275">
        <f t="shared" si="857"/>
        <v>45793.5</v>
      </c>
      <c r="G2189" s="120">
        <f t="shared" si="858"/>
        <v>24304</v>
      </c>
      <c r="H2189" s="245">
        <f t="shared" si="859"/>
        <v>1</v>
      </c>
      <c r="I2189" s="121">
        <f t="shared" si="860"/>
        <v>1</v>
      </c>
      <c r="J2189" s="121">
        <f t="shared" si="861"/>
        <v>1</v>
      </c>
      <c r="K2189" s="120">
        <f t="shared" si="862"/>
        <v>0</v>
      </c>
      <c r="L2189" s="120">
        <f t="shared" si="863"/>
        <v>0</v>
      </c>
      <c r="M2189" s="246">
        <f t="shared" si="864"/>
        <v>0</v>
      </c>
      <c r="N2189" s="121">
        <f t="shared" si="865"/>
        <v>1</v>
      </c>
      <c r="O2189" s="246">
        <f t="shared" si="866"/>
        <v>0.97350656455142237</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87">
        <v>6</v>
      </c>
      <c r="B2190" s="242">
        <f t="shared" si="873"/>
        <v>45809</v>
      </c>
      <c r="C2190" s="243">
        <f t="shared" si="854"/>
        <v>45838</v>
      </c>
      <c r="D2190" s="120">
        <f t="shared" si="855"/>
        <v>30</v>
      </c>
      <c r="E2190" s="120">
        <f t="shared" si="856"/>
        <v>6</v>
      </c>
      <c r="F2190" s="275">
        <f t="shared" si="857"/>
        <v>45824</v>
      </c>
      <c r="G2190" s="120">
        <f t="shared" si="858"/>
        <v>24305</v>
      </c>
      <c r="H2190" s="245">
        <f t="shared" si="859"/>
        <v>1</v>
      </c>
      <c r="I2190" s="121">
        <f t="shared" si="860"/>
        <v>1</v>
      </c>
      <c r="J2190" s="121">
        <f t="shared" si="861"/>
        <v>1</v>
      </c>
      <c r="K2190" s="120">
        <f t="shared" si="862"/>
        <v>0</v>
      </c>
      <c r="L2190" s="120">
        <f t="shared" si="863"/>
        <v>0</v>
      </c>
      <c r="M2190" s="246">
        <f t="shared" si="864"/>
        <v>0</v>
      </c>
      <c r="N2190" s="121">
        <f t="shared" si="865"/>
        <v>1</v>
      </c>
      <c r="O2190" s="246">
        <f t="shared" si="866"/>
        <v>0.97450765864332611</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87">
        <v>7</v>
      </c>
      <c r="B2191" s="242">
        <f t="shared" si="873"/>
        <v>45839</v>
      </c>
      <c r="C2191" s="243">
        <f t="shared" si="854"/>
        <v>45869</v>
      </c>
      <c r="D2191" s="120">
        <f t="shared" si="855"/>
        <v>31</v>
      </c>
      <c r="E2191" s="120">
        <f t="shared" si="856"/>
        <v>7</v>
      </c>
      <c r="F2191" s="275">
        <f t="shared" si="857"/>
        <v>45854.5</v>
      </c>
      <c r="G2191" s="120">
        <f t="shared" si="858"/>
        <v>24306</v>
      </c>
      <c r="H2191" s="245">
        <f t="shared" si="859"/>
        <v>1</v>
      </c>
      <c r="I2191" s="121">
        <f t="shared" si="860"/>
        <v>1</v>
      </c>
      <c r="J2191" s="121">
        <f t="shared" si="861"/>
        <v>1</v>
      </c>
      <c r="K2191" s="120">
        <f t="shared" si="862"/>
        <v>0</v>
      </c>
      <c r="L2191" s="120">
        <f t="shared" si="863"/>
        <v>0</v>
      </c>
      <c r="M2191" s="246">
        <f t="shared" si="864"/>
        <v>0</v>
      </c>
      <c r="N2191" s="121">
        <f t="shared" si="865"/>
        <v>1</v>
      </c>
      <c r="O2191" s="246">
        <f t="shared" si="866"/>
        <v>0.97550875273522986</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87">
        <v>8</v>
      </c>
      <c r="B2192" s="242">
        <f t="shared" si="873"/>
        <v>45870</v>
      </c>
      <c r="C2192" s="243">
        <f t="shared" si="854"/>
        <v>45900</v>
      </c>
      <c r="D2192" s="120">
        <f t="shared" si="855"/>
        <v>31</v>
      </c>
      <c r="E2192" s="120">
        <f t="shared" si="856"/>
        <v>8</v>
      </c>
      <c r="F2192" s="275">
        <f t="shared" si="857"/>
        <v>45885.5</v>
      </c>
      <c r="G2192" s="120">
        <f t="shared" si="858"/>
        <v>24307</v>
      </c>
      <c r="H2192" s="245">
        <f t="shared" si="859"/>
        <v>1</v>
      </c>
      <c r="I2192" s="121">
        <f t="shared" si="860"/>
        <v>1</v>
      </c>
      <c r="J2192" s="121">
        <f t="shared" si="861"/>
        <v>1</v>
      </c>
      <c r="K2192" s="120">
        <f t="shared" si="862"/>
        <v>0</v>
      </c>
      <c r="L2192" s="120">
        <f t="shared" si="863"/>
        <v>0</v>
      </c>
      <c r="M2192" s="246">
        <f t="shared" si="864"/>
        <v>0</v>
      </c>
      <c r="N2192" s="121">
        <f t="shared" si="865"/>
        <v>1</v>
      </c>
      <c r="O2192" s="246">
        <f t="shared" si="866"/>
        <v>0.97652625820568928</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87">
        <v>9</v>
      </c>
      <c r="B2193" s="242">
        <f t="shared" si="873"/>
        <v>45901</v>
      </c>
      <c r="C2193" s="243">
        <f t="shared" si="854"/>
        <v>45930</v>
      </c>
      <c r="D2193" s="120">
        <f t="shared" si="855"/>
        <v>30</v>
      </c>
      <c r="E2193" s="120">
        <f t="shared" si="856"/>
        <v>9</v>
      </c>
      <c r="F2193" s="275">
        <f t="shared" si="857"/>
        <v>45916</v>
      </c>
      <c r="G2193" s="120">
        <f t="shared" si="858"/>
        <v>24308</v>
      </c>
      <c r="H2193" s="245">
        <f t="shared" si="859"/>
        <v>1</v>
      </c>
      <c r="I2193" s="121">
        <f t="shared" si="860"/>
        <v>1</v>
      </c>
      <c r="J2193" s="121">
        <f t="shared" si="861"/>
        <v>1</v>
      </c>
      <c r="K2193" s="120">
        <f t="shared" si="862"/>
        <v>0</v>
      </c>
      <c r="L2193" s="120">
        <f t="shared" si="863"/>
        <v>0</v>
      </c>
      <c r="M2193" s="246">
        <f t="shared" si="864"/>
        <v>0</v>
      </c>
      <c r="N2193" s="121">
        <f t="shared" si="865"/>
        <v>1</v>
      </c>
      <c r="O2193" s="246">
        <f t="shared" si="866"/>
        <v>0.97752735229759302</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87">
        <v>10</v>
      </c>
      <c r="B2194" s="242">
        <f t="shared" si="873"/>
        <v>45931</v>
      </c>
      <c r="C2194" s="243">
        <f t="shared" si="854"/>
        <v>45961</v>
      </c>
      <c r="D2194" s="120">
        <f t="shared" si="855"/>
        <v>31</v>
      </c>
      <c r="E2194" s="120">
        <f t="shared" si="856"/>
        <v>10</v>
      </c>
      <c r="F2194" s="275">
        <f t="shared" si="857"/>
        <v>45946.5</v>
      </c>
      <c r="G2194" s="120">
        <f t="shared" si="858"/>
        <v>24309</v>
      </c>
      <c r="H2194" s="245">
        <f t="shared" si="859"/>
        <v>1</v>
      </c>
      <c r="I2194" s="121">
        <f t="shared" si="860"/>
        <v>1</v>
      </c>
      <c r="J2194" s="121">
        <f t="shared" si="861"/>
        <v>1</v>
      </c>
      <c r="K2194" s="120">
        <f t="shared" si="862"/>
        <v>0</v>
      </c>
      <c r="L2194" s="120">
        <f t="shared" si="863"/>
        <v>0</v>
      </c>
      <c r="M2194" s="246">
        <f t="shared" si="864"/>
        <v>0</v>
      </c>
      <c r="N2194" s="121">
        <f t="shared" si="865"/>
        <v>1</v>
      </c>
      <c r="O2194" s="246">
        <f t="shared" si="866"/>
        <v>0.97852844638949676</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87">
        <v>11</v>
      </c>
      <c r="B2195" s="242">
        <f t="shared" si="873"/>
        <v>45962</v>
      </c>
      <c r="C2195" s="243">
        <f t="shared" si="854"/>
        <v>45991</v>
      </c>
      <c r="D2195" s="120">
        <f t="shared" si="855"/>
        <v>30</v>
      </c>
      <c r="E2195" s="120">
        <f t="shared" si="856"/>
        <v>11</v>
      </c>
      <c r="F2195" s="275">
        <f t="shared" si="857"/>
        <v>45977</v>
      </c>
      <c r="G2195" s="120">
        <f t="shared" si="858"/>
        <v>24310</v>
      </c>
      <c r="H2195" s="245">
        <f t="shared" si="859"/>
        <v>1</v>
      </c>
      <c r="I2195" s="121">
        <f t="shared" si="860"/>
        <v>1</v>
      </c>
      <c r="J2195" s="121">
        <f t="shared" si="861"/>
        <v>1</v>
      </c>
      <c r="K2195" s="120">
        <f t="shared" si="862"/>
        <v>0</v>
      </c>
      <c r="L2195" s="120">
        <f t="shared" si="863"/>
        <v>0</v>
      </c>
      <c r="M2195" s="246">
        <f t="shared" si="864"/>
        <v>0</v>
      </c>
      <c r="N2195" s="121">
        <f t="shared" si="865"/>
        <v>1</v>
      </c>
      <c r="O2195" s="246">
        <f t="shared" si="866"/>
        <v>0.97952954048140051</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87">
        <v>12</v>
      </c>
      <c r="B2196" s="242">
        <f t="shared" si="873"/>
        <v>45992</v>
      </c>
      <c r="C2196" s="243">
        <f t="shared" si="854"/>
        <v>46022</v>
      </c>
      <c r="D2196" s="120">
        <f t="shared" si="855"/>
        <v>31</v>
      </c>
      <c r="E2196" s="120">
        <f t="shared" si="856"/>
        <v>12</v>
      </c>
      <c r="F2196" s="275">
        <f t="shared" si="857"/>
        <v>46007.5</v>
      </c>
      <c r="G2196" s="120">
        <f t="shared" si="858"/>
        <v>24311</v>
      </c>
      <c r="H2196" s="245">
        <f t="shared" si="859"/>
        <v>1</v>
      </c>
      <c r="I2196" s="121">
        <f t="shared" si="860"/>
        <v>1</v>
      </c>
      <c r="J2196" s="121">
        <f t="shared" si="861"/>
        <v>1</v>
      </c>
      <c r="K2196" s="120">
        <f t="shared" si="862"/>
        <v>0</v>
      </c>
      <c r="L2196" s="120">
        <f t="shared" si="863"/>
        <v>0</v>
      </c>
      <c r="M2196" s="246">
        <f t="shared" si="864"/>
        <v>0</v>
      </c>
      <c r="N2196" s="121">
        <f t="shared" si="865"/>
        <v>1</v>
      </c>
      <c r="O2196" s="246">
        <f t="shared" si="866"/>
        <v>0.98053063457330414</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87">
        <v>13</v>
      </c>
      <c r="B2197" s="242">
        <f t="shared" si="873"/>
        <v>46023</v>
      </c>
      <c r="C2197" s="243">
        <f t="shared" si="854"/>
        <v>46053</v>
      </c>
      <c r="D2197" s="120">
        <f t="shared" si="855"/>
        <v>31</v>
      </c>
      <c r="E2197" s="120">
        <f t="shared" si="856"/>
        <v>1</v>
      </c>
      <c r="F2197" s="275">
        <f t="shared" si="857"/>
        <v>46038.5</v>
      </c>
      <c r="G2197" s="120">
        <f t="shared" si="858"/>
        <v>24312</v>
      </c>
      <c r="H2197" s="245">
        <f t="shared" si="859"/>
        <v>1</v>
      </c>
      <c r="I2197" s="121">
        <f t="shared" si="860"/>
        <v>1</v>
      </c>
      <c r="J2197" s="121">
        <f t="shared" si="861"/>
        <v>1</v>
      </c>
      <c r="K2197" s="120">
        <f t="shared" si="862"/>
        <v>0</v>
      </c>
      <c r="L2197" s="120">
        <f t="shared" si="863"/>
        <v>0</v>
      </c>
      <c r="M2197" s="246">
        <f t="shared" si="864"/>
        <v>0</v>
      </c>
      <c r="N2197" s="121">
        <f t="shared" si="865"/>
        <v>1</v>
      </c>
      <c r="O2197" s="246">
        <f t="shared" si="866"/>
        <v>0.98154814004376367</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87">
        <v>14</v>
      </c>
      <c r="B2198" s="242">
        <f t="shared" si="873"/>
        <v>46054</v>
      </c>
      <c r="C2198" s="243">
        <f t="shared" si="854"/>
        <v>46081</v>
      </c>
      <c r="D2198" s="120">
        <f t="shared" si="855"/>
        <v>28</v>
      </c>
      <c r="E2198" s="120">
        <f t="shared" si="856"/>
        <v>2</v>
      </c>
      <c r="F2198" s="275">
        <f t="shared" si="857"/>
        <v>46068</v>
      </c>
      <c r="G2198" s="120">
        <f t="shared" si="858"/>
        <v>24313</v>
      </c>
      <c r="H2198" s="245">
        <f t="shared" si="859"/>
        <v>1</v>
      </c>
      <c r="I2198" s="121">
        <f t="shared" si="860"/>
        <v>1</v>
      </c>
      <c r="J2198" s="121">
        <f t="shared" si="861"/>
        <v>1</v>
      </c>
      <c r="K2198" s="120">
        <f t="shared" si="862"/>
        <v>0</v>
      </c>
      <c r="L2198" s="120">
        <f t="shared" si="863"/>
        <v>0</v>
      </c>
      <c r="M2198" s="246">
        <f t="shared" si="864"/>
        <v>0</v>
      </c>
      <c r="N2198" s="121">
        <f t="shared" si="865"/>
        <v>1</v>
      </c>
      <c r="O2198" s="246">
        <f t="shared" si="866"/>
        <v>0.98251641137855583</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87">
        <v>15</v>
      </c>
      <c r="B2199" s="242">
        <f t="shared" si="873"/>
        <v>46082</v>
      </c>
      <c r="C2199" s="243">
        <f t="shared" si="854"/>
        <v>46112</v>
      </c>
      <c r="D2199" s="120">
        <f t="shared" si="855"/>
        <v>31</v>
      </c>
      <c r="E2199" s="120">
        <f t="shared" si="856"/>
        <v>3</v>
      </c>
      <c r="F2199" s="275">
        <f t="shared" si="857"/>
        <v>46097.5</v>
      </c>
      <c r="G2199" s="120">
        <f t="shared" si="858"/>
        <v>24314</v>
      </c>
      <c r="H2199" s="245">
        <f t="shared" si="859"/>
        <v>1</v>
      </c>
      <c r="I2199" s="121">
        <f t="shared" si="860"/>
        <v>1</v>
      </c>
      <c r="J2199" s="121">
        <f t="shared" si="861"/>
        <v>1</v>
      </c>
      <c r="K2199" s="120">
        <f t="shared" si="862"/>
        <v>0</v>
      </c>
      <c r="L2199" s="120">
        <f t="shared" si="863"/>
        <v>0</v>
      </c>
      <c r="M2199" s="246">
        <f t="shared" si="864"/>
        <v>0</v>
      </c>
      <c r="N2199" s="121">
        <f t="shared" si="865"/>
        <v>1</v>
      </c>
      <c r="O2199" s="246">
        <f t="shared" si="866"/>
        <v>0.98348468271334799</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87">
        <v>16</v>
      </c>
      <c r="B2200" s="242">
        <f t="shared" si="873"/>
        <v>46113</v>
      </c>
      <c r="C2200" s="243">
        <f t="shared" si="854"/>
        <v>46142</v>
      </c>
      <c r="D2200" s="120">
        <f t="shared" si="855"/>
        <v>30</v>
      </c>
      <c r="E2200" s="120">
        <f t="shared" si="856"/>
        <v>4</v>
      </c>
      <c r="F2200" s="275">
        <f t="shared" si="857"/>
        <v>46128</v>
      </c>
      <c r="G2200" s="120">
        <f t="shared" si="858"/>
        <v>24315</v>
      </c>
      <c r="H2200" s="245">
        <f t="shared" si="859"/>
        <v>1</v>
      </c>
      <c r="I2200" s="121">
        <f t="shared" si="860"/>
        <v>1</v>
      </c>
      <c r="J2200" s="121">
        <f t="shared" si="861"/>
        <v>1.06</v>
      </c>
      <c r="K2200" s="120">
        <f t="shared" si="862"/>
        <v>1</v>
      </c>
      <c r="L2200" s="120">
        <f t="shared" si="863"/>
        <v>30</v>
      </c>
      <c r="M2200" s="246">
        <f t="shared" si="864"/>
        <v>1</v>
      </c>
      <c r="N2200" s="121">
        <f t="shared" si="865"/>
        <v>1.06</v>
      </c>
      <c r="O2200" s="246">
        <f t="shared" si="866"/>
        <v>0.98448577680525162</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87">
        <v>17</v>
      </c>
      <c r="B2201" s="242">
        <f t="shared" si="873"/>
        <v>46143</v>
      </c>
      <c r="C2201" s="243">
        <f t="shared" si="854"/>
        <v>46173</v>
      </c>
      <c r="D2201" s="120">
        <f t="shared" si="855"/>
        <v>31</v>
      </c>
      <c r="E2201" s="120">
        <f t="shared" si="856"/>
        <v>5</v>
      </c>
      <c r="F2201" s="275">
        <f t="shared" si="857"/>
        <v>46158.5</v>
      </c>
      <c r="G2201" s="120">
        <f t="shared" si="858"/>
        <v>24316</v>
      </c>
      <c r="H2201" s="245">
        <f t="shared" si="859"/>
        <v>1</v>
      </c>
      <c r="I2201" s="121">
        <f t="shared" si="860"/>
        <v>1.06</v>
      </c>
      <c r="J2201" s="121">
        <f t="shared" si="861"/>
        <v>1.06</v>
      </c>
      <c r="K2201" s="120">
        <f t="shared" si="862"/>
        <v>0</v>
      </c>
      <c r="L2201" s="120">
        <f t="shared" si="863"/>
        <v>0</v>
      </c>
      <c r="M2201" s="246">
        <f t="shared" si="864"/>
        <v>0</v>
      </c>
      <c r="N2201" s="121">
        <f t="shared" si="865"/>
        <v>1.06</v>
      </c>
      <c r="O2201" s="246">
        <f t="shared" si="866"/>
        <v>0.98548687089715536</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87">
        <v>18</v>
      </c>
      <c r="B2202" s="242">
        <f t="shared" si="873"/>
        <v>46174</v>
      </c>
      <c r="C2202" s="243">
        <f t="shared" si="854"/>
        <v>46203</v>
      </c>
      <c r="D2202" s="120">
        <f t="shared" si="855"/>
        <v>30</v>
      </c>
      <c r="E2202" s="120">
        <f t="shared" si="856"/>
        <v>6</v>
      </c>
      <c r="F2202" s="275">
        <f t="shared" si="857"/>
        <v>46189</v>
      </c>
      <c r="G2202" s="120">
        <f t="shared" si="858"/>
        <v>24317</v>
      </c>
      <c r="H2202" s="245">
        <f t="shared" si="859"/>
        <v>1</v>
      </c>
      <c r="I2202" s="121">
        <f t="shared" si="860"/>
        <v>1.06</v>
      </c>
      <c r="J2202" s="121">
        <f t="shared" si="861"/>
        <v>1.06</v>
      </c>
      <c r="K2202" s="120">
        <f t="shared" si="862"/>
        <v>0</v>
      </c>
      <c r="L2202" s="120">
        <f t="shared" si="863"/>
        <v>0</v>
      </c>
      <c r="M2202" s="246">
        <f t="shared" si="864"/>
        <v>0</v>
      </c>
      <c r="N2202" s="121">
        <f t="shared" si="865"/>
        <v>1.06</v>
      </c>
      <c r="O2202" s="246">
        <f t="shared" si="866"/>
        <v>0.98648796498905911</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87">
        <v>19</v>
      </c>
      <c r="B2203" s="242">
        <f t="shared" si="873"/>
        <v>46204</v>
      </c>
      <c r="C2203" s="243">
        <f t="shared" si="854"/>
        <v>46234</v>
      </c>
      <c r="D2203" s="120">
        <f t="shared" si="855"/>
        <v>31</v>
      </c>
      <c r="E2203" s="120">
        <f t="shared" si="856"/>
        <v>7</v>
      </c>
      <c r="F2203" s="275">
        <f t="shared" si="857"/>
        <v>46219.5</v>
      </c>
      <c r="G2203" s="120">
        <f t="shared" si="858"/>
        <v>24318</v>
      </c>
      <c r="H2203" s="245">
        <f t="shared" si="859"/>
        <v>1</v>
      </c>
      <c r="I2203" s="121">
        <f t="shared" si="860"/>
        <v>1.06</v>
      </c>
      <c r="J2203" s="121">
        <f t="shared" si="861"/>
        <v>1.06</v>
      </c>
      <c r="K2203" s="120">
        <f t="shared" si="862"/>
        <v>0</v>
      </c>
      <c r="L2203" s="120">
        <f t="shared" si="863"/>
        <v>0</v>
      </c>
      <c r="M2203" s="246">
        <f t="shared" si="864"/>
        <v>0</v>
      </c>
      <c r="N2203" s="121">
        <f t="shared" si="865"/>
        <v>1.06</v>
      </c>
      <c r="O2203" s="246">
        <f t="shared" si="866"/>
        <v>0.98748905908096285</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87">
        <v>20</v>
      </c>
      <c r="B2204" s="242">
        <f t="shared" si="873"/>
        <v>46235</v>
      </c>
      <c r="C2204" s="243">
        <f t="shared" si="854"/>
        <v>46265</v>
      </c>
      <c r="D2204" s="120">
        <f t="shared" si="855"/>
        <v>31</v>
      </c>
      <c r="E2204" s="120">
        <f t="shared" si="856"/>
        <v>8</v>
      </c>
      <c r="F2204" s="275">
        <f t="shared" si="857"/>
        <v>46250.5</v>
      </c>
      <c r="G2204" s="120">
        <f t="shared" si="858"/>
        <v>24319</v>
      </c>
      <c r="H2204" s="245">
        <f t="shared" si="859"/>
        <v>1</v>
      </c>
      <c r="I2204" s="121">
        <f t="shared" si="860"/>
        <v>1.06</v>
      </c>
      <c r="J2204" s="121">
        <f t="shared" si="861"/>
        <v>1.06</v>
      </c>
      <c r="K2204" s="120">
        <f t="shared" si="862"/>
        <v>0</v>
      </c>
      <c r="L2204" s="120">
        <f t="shared" si="863"/>
        <v>0</v>
      </c>
      <c r="M2204" s="246">
        <f t="shared" si="864"/>
        <v>0</v>
      </c>
      <c r="N2204" s="121">
        <f t="shared" si="865"/>
        <v>1.06</v>
      </c>
      <c r="O2204" s="246">
        <f t="shared" si="866"/>
        <v>0.98850656455142227</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87">
        <v>21</v>
      </c>
      <c r="B2205" s="242">
        <f t="shared" si="873"/>
        <v>46266</v>
      </c>
      <c r="C2205" s="243">
        <f t="shared" si="854"/>
        <v>46295</v>
      </c>
      <c r="D2205" s="120">
        <f t="shared" si="855"/>
        <v>30</v>
      </c>
      <c r="E2205" s="120">
        <f t="shared" si="856"/>
        <v>9</v>
      </c>
      <c r="F2205" s="275">
        <f t="shared" si="857"/>
        <v>46281</v>
      </c>
      <c r="G2205" s="120">
        <f t="shared" si="858"/>
        <v>24320</v>
      </c>
      <c r="H2205" s="245">
        <f t="shared" si="859"/>
        <v>1</v>
      </c>
      <c r="I2205" s="121">
        <f t="shared" si="860"/>
        <v>1.06</v>
      </c>
      <c r="J2205" s="121">
        <f t="shared" si="861"/>
        <v>1.06</v>
      </c>
      <c r="K2205" s="120">
        <f t="shared" si="862"/>
        <v>0</v>
      </c>
      <c r="L2205" s="120">
        <f t="shared" si="863"/>
        <v>0</v>
      </c>
      <c r="M2205" s="246">
        <f t="shared" si="864"/>
        <v>0</v>
      </c>
      <c r="N2205" s="121">
        <f t="shared" si="865"/>
        <v>1.06</v>
      </c>
      <c r="O2205" s="246">
        <f t="shared" si="866"/>
        <v>0.98950765864332602</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87">
        <v>22</v>
      </c>
      <c r="B2206" s="242">
        <f t="shared" si="873"/>
        <v>46296</v>
      </c>
      <c r="C2206" s="243">
        <f t="shared" si="854"/>
        <v>46326</v>
      </c>
      <c r="D2206" s="120">
        <f t="shared" si="855"/>
        <v>31</v>
      </c>
      <c r="E2206" s="120">
        <f t="shared" si="856"/>
        <v>10</v>
      </c>
      <c r="F2206" s="275">
        <f t="shared" si="857"/>
        <v>46311.5</v>
      </c>
      <c r="G2206" s="120">
        <f t="shared" si="858"/>
        <v>24321</v>
      </c>
      <c r="H2206" s="245">
        <f t="shared" si="859"/>
        <v>1</v>
      </c>
      <c r="I2206" s="121">
        <f t="shared" si="860"/>
        <v>1.06</v>
      </c>
      <c r="J2206" s="121">
        <f t="shared" si="861"/>
        <v>1.06</v>
      </c>
      <c r="K2206" s="120">
        <f t="shared" si="862"/>
        <v>0</v>
      </c>
      <c r="L2206" s="120">
        <f t="shared" si="863"/>
        <v>0</v>
      </c>
      <c r="M2206" s="246">
        <f t="shared" si="864"/>
        <v>0</v>
      </c>
      <c r="N2206" s="121">
        <f t="shared" si="865"/>
        <v>1.06</v>
      </c>
      <c r="O2206" s="246">
        <f t="shared" si="866"/>
        <v>0.99050875273522976</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87">
        <v>23</v>
      </c>
      <c r="B2207" s="242">
        <f t="shared" si="873"/>
        <v>46327</v>
      </c>
      <c r="C2207" s="243">
        <f t="shared" si="854"/>
        <v>46356</v>
      </c>
      <c r="D2207" s="120">
        <f t="shared" si="855"/>
        <v>30</v>
      </c>
      <c r="E2207" s="120">
        <f t="shared" si="856"/>
        <v>11</v>
      </c>
      <c r="F2207" s="275">
        <f t="shared" si="857"/>
        <v>46342</v>
      </c>
      <c r="G2207" s="120">
        <f t="shared" si="858"/>
        <v>24322</v>
      </c>
      <c r="H2207" s="245">
        <f t="shared" si="859"/>
        <v>1</v>
      </c>
      <c r="I2207" s="121">
        <f t="shared" si="860"/>
        <v>1.06</v>
      </c>
      <c r="J2207" s="121">
        <f t="shared" si="861"/>
        <v>1.06</v>
      </c>
      <c r="K2207" s="120">
        <f t="shared" si="862"/>
        <v>0</v>
      </c>
      <c r="L2207" s="120">
        <f t="shared" si="863"/>
        <v>0</v>
      </c>
      <c r="M2207" s="246">
        <f t="shared" si="864"/>
        <v>0</v>
      </c>
      <c r="N2207" s="121">
        <f t="shared" si="865"/>
        <v>1.06</v>
      </c>
      <c r="O2207" s="246">
        <f t="shared" si="866"/>
        <v>0.9915098468271335</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87">
        <v>24</v>
      </c>
      <c r="B2208" s="242">
        <f t="shared" si="873"/>
        <v>46357</v>
      </c>
      <c r="C2208" s="243">
        <f t="shared" si="854"/>
        <v>46387</v>
      </c>
      <c r="D2208" s="120">
        <f t="shared" si="855"/>
        <v>31</v>
      </c>
      <c r="E2208" s="120">
        <f t="shared" si="856"/>
        <v>12</v>
      </c>
      <c r="F2208" s="275">
        <f t="shared" si="857"/>
        <v>46372.5</v>
      </c>
      <c r="G2208" s="120">
        <f t="shared" si="858"/>
        <v>24323</v>
      </c>
      <c r="H2208" s="245">
        <f t="shared" si="859"/>
        <v>1</v>
      </c>
      <c r="I2208" s="121">
        <f t="shared" si="860"/>
        <v>1.06</v>
      </c>
      <c r="J2208" s="121">
        <f t="shared" si="861"/>
        <v>1.06</v>
      </c>
      <c r="K2208" s="120">
        <f t="shared" si="862"/>
        <v>0</v>
      </c>
      <c r="L2208" s="120">
        <f t="shared" si="863"/>
        <v>0</v>
      </c>
      <c r="M2208" s="246">
        <f t="shared" si="864"/>
        <v>0</v>
      </c>
      <c r="N2208" s="121">
        <f t="shared" si="865"/>
        <v>1.06</v>
      </c>
      <c r="O2208" s="246">
        <f t="shared" si="866"/>
        <v>0.99251094091903713</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87">
        <v>25</v>
      </c>
      <c r="B2209" s="242">
        <f t="shared" si="873"/>
        <v>46388</v>
      </c>
      <c r="C2209" s="243">
        <f t="shared" si="854"/>
        <v>46418</v>
      </c>
      <c r="D2209" s="120">
        <f t="shared" si="855"/>
        <v>31</v>
      </c>
      <c r="E2209" s="120">
        <f t="shared" si="856"/>
        <v>1</v>
      </c>
      <c r="F2209" s="275">
        <f t="shared" si="857"/>
        <v>46403.5</v>
      </c>
      <c r="G2209" s="120">
        <f t="shared" si="858"/>
        <v>24324</v>
      </c>
      <c r="H2209" s="245">
        <f t="shared" si="859"/>
        <v>1</v>
      </c>
      <c r="I2209" s="121">
        <f t="shared" si="860"/>
        <v>1.06</v>
      </c>
      <c r="J2209" s="121">
        <f t="shared" si="861"/>
        <v>1.06</v>
      </c>
      <c r="K2209" s="120">
        <f t="shared" si="862"/>
        <v>0</v>
      </c>
      <c r="L2209" s="120">
        <f t="shared" si="863"/>
        <v>0</v>
      </c>
      <c r="M2209" s="246">
        <f t="shared" si="864"/>
        <v>0</v>
      </c>
      <c r="N2209" s="121">
        <f t="shared" si="865"/>
        <v>1.06</v>
      </c>
      <c r="O2209" s="246">
        <f t="shared" si="866"/>
        <v>0.99352844638949667</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87">
        <v>26</v>
      </c>
      <c r="B2210" s="242">
        <f t="shared" si="873"/>
        <v>46419</v>
      </c>
      <c r="C2210" s="243">
        <f t="shared" si="854"/>
        <v>46446</v>
      </c>
      <c r="D2210" s="120">
        <f t="shared" si="855"/>
        <v>28</v>
      </c>
      <c r="E2210" s="120">
        <f t="shared" si="856"/>
        <v>2</v>
      </c>
      <c r="F2210" s="275">
        <f t="shared" si="857"/>
        <v>46433</v>
      </c>
      <c r="G2210" s="120">
        <f t="shared" si="858"/>
        <v>24325</v>
      </c>
      <c r="H2210" s="245">
        <f t="shared" si="859"/>
        <v>1</v>
      </c>
      <c r="I2210" s="121">
        <f t="shared" si="860"/>
        <v>1.06</v>
      </c>
      <c r="J2210" s="121">
        <f t="shared" si="861"/>
        <v>1.06</v>
      </c>
      <c r="K2210" s="120">
        <f t="shared" si="862"/>
        <v>0</v>
      </c>
      <c r="L2210" s="120">
        <f t="shared" si="863"/>
        <v>0</v>
      </c>
      <c r="M2210" s="246">
        <f t="shared" si="864"/>
        <v>0</v>
      </c>
      <c r="N2210" s="121">
        <f t="shared" si="865"/>
        <v>1.06</v>
      </c>
      <c r="O2210" s="246">
        <f t="shared" si="866"/>
        <v>0.99449671772428883</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87">
        <v>27</v>
      </c>
      <c r="B2211" s="242">
        <f t="shared" si="873"/>
        <v>46447</v>
      </c>
      <c r="C2211" s="243">
        <f t="shared" si="854"/>
        <v>46477</v>
      </c>
      <c r="D2211" s="120">
        <f t="shared" si="855"/>
        <v>31</v>
      </c>
      <c r="E2211" s="120">
        <f t="shared" si="856"/>
        <v>3</v>
      </c>
      <c r="F2211" s="275">
        <f t="shared" si="857"/>
        <v>46462.5</v>
      </c>
      <c r="G2211" s="120">
        <f t="shared" si="858"/>
        <v>24326</v>
      </c>
      <c r="H2211" s="245">
        <f t="shared" si="859"/>
        <v>1</v>
      </c>
      <c r="I2211" s="121">
        <f t="shared" si="860"/>
        <v>1.06</v>
      </c>
      <c r="J2211" s="121">
        <f t="shared" si="861"/>
        <v>1.06</v>
      </c>
      <c r="K2211" s="120">
        <f t="shared" si="862"/>
        <v>0</v>
      </c>
      <c r="L2211" s="120">
        <f t="shared" si="863"/>
        <v>0</v>
      </c>
      <c r="M2211" s="246">
        <f t="shared" si="864"/>
        <v>0</v>
      </c>
      <c r="N2211" s="121">
        <f t="shared" si="865"/>
        <v>1.06</v>
      </c>
      <c r="O2211" s="246">
        <f t="shared" si="866"/>
        <v>0.99546498905908087</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87">
        <v>28</v>
      </c>
      <c r="B2212" s="242">
        <f t="shared" si="873"/>
        <v>46478</v>
      </c>
      <c r="C2212" s="243">
        <f t="shared" si="854"/>
        <v>46507</v>
      </c>
      <c r="D2212" s="120">
        <f t="shared" si="855"/>
        <v>30</v>
      </c>
      <c r="E2212" s="120">
        <f t="shared" si="856"/>
        <v>4</v>
      </c>
      <c r="F2212" s="275">
        <f t="shared" si="857"/>
        <v>46493</v>
      </c>
      <c r="G2212" s="120">
        <f t="shared" si="858"/>
        <v>24327</v>
      </c>
      <c r="H2212" s="245">
        <f t="shared" si="859"/>
        <v>1</v>
      </c>
      <c r="I2212" s="121">
        <f t="shared" si="860"/>
        <v>1.06</v>
      </c>
      <c r="J2212" s="121">
        <f t="shared" si="861"/>
        <v>1.06</v>
      </c>
      <c r="K2212" s="120">
        <f t="shared" si="862"/>
        <v>0</v>
      </c>
      <c r="L2212" s="120">
        <f t="shared" si="863"/>
        <v>0</v>
      </c>
      <c r="M2212" s="246">
        <f t="shared" si="864"/>
        <v>0</v>
      </c>
      <c r="N2212" s="121">
        <f t="shared" si="865"/>
        <v>1.06</v>
      </c>
      <c r="O2212" s="246">
        <f t="shared" si="866"/>
        <v>0.99646608315098462</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87">
        <v>29</v>
      </c>
      <c r="B2213" s="242">
        <f t="shared" si="873"/>
        <v>46508</v>
      </c>
      <c r="C2213" s="243">
        <f t="shared" si="854"/>
        <v>46538</v>
      </c>
      <c r="D2213" s="120">
        <f t="shared" si="855"/>
        <v>31</v>
      </c>
      <c r="E2213" s="120">
        <f t="shared" si="856"/>
        <v>5</v>
      </c>
      <c r="F2213" s="275">
        <f t="shared" si="857"/>
        <v>46523.5</v>
      </c>
      <c r="G2213" s="120">
        <f t="shared" si="858"/>
        <v>24328</v>
      </c>
      <c r="H2213" s="245">
        <f t="shared" si="859"/>
        <v>1</v>
      </c>
      <c r="I2213" s="121">
        <f t="shared" si="860"/>
        <v>1.06</v>
      </c>
      <c r="J2213" s="121">
        <f t="shared" si="861"/>
        <v>1.06</v>
      </c>
      <c r="K2213" s="120">
        <f t="shared" si="862"/>
        <v>0</v>
      </c>
      <c r="L2213" s="120">
        <f t="shared" si="863"/>
        <v>0</v>
      </c>
      <c r="M2213" s="246">
        <f t="shared" si="864"/>
        <v>0</v>
      </c>
      <c r="N2213" s="121">
        <f t="shared" si="865"/>
        <v>1.06</v>
      </c>
      <c r="O2213" s="246">
        <f t="shared" si="866"/>
        <v>0.99746717724288836</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87">
        <v>30</v>
      </c>
      <c r="B2214" s="242">
        <f t="shared" si="873"/>
        <v>46539</v>
      </c>
      <c r="C2214" s="243">
        <f t="shared" si="854"/>
        <v>46568</v>
      </c>
      <c r="D2214" s="120">
        <f t="shared" si="855"/>
        <v>30</v>
      </c>
      <c r="E2214" s="120">
        <f t="shared" si="856"/>
        <v>6</v>
      </c>
      <c r="F2214" s="275">
        <f t="shared" si="857"/>
        <v>46554</v>
      </c>
      <c r="G2214" s="120">
        <f t="shared" si="858"/>
        <v>24329</v>
      </c>
      <c r="H2214" s="245">
        <f t="shared" si="859"/>
        <v>1</v>
      </c>
      <c r="I2214" s="121">
        <f t="shared" si="860"/>
        <v>1.06</v>
      </c>
      <c r="J2214" s="121">
        <f t="shared" si="861"/>
        <v>1.06</v>
      </c>
      <c r="K2214" s="120">
        <f t="shared" si="862"/>
        <v>0</v>
      </c>
      <c r="L2214" s="120">
        <f t="shared" si="863"/>
        <v>0</v>
      </c>
      <c r="M2214" s="246">
        <f t="shared" si="864"/>
        <v>0</v>
      </c>
      <c r="N2214" s="121">
        <f t="shared" si="865"/>
        <v>1.06</v>
      </c>
      <c r="O2214" s="246">
        <f t="shared" si="866"/>
        <v>0.9984682713347921</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87">
        <v>31</v>
      </c>
      <c r="B2215" s="242">
        <f t="shared" si="873"/>
        <v>46569</v>
      </c>
      <c r="C2215" s="243">
        <f t="shared" si="854"/>
        <v>46599</v>
      </c>
      <c r="D2215" s="120">
        <f t="shared" si="855"/>
        <v>31</v>
      </c>
      <c r="E2215" s="120">
        <f t="shared" si="856"/>
        <v>7</v>
      </c>
      <c r="F2215" s="275">
        <f t="shared" si="857"/>
        <v>46584.5</v>
      </c>
      <c r="G2215" s="120">
        <f t="shared" si="858"/>
        <v>24330</v>
      </c>
      <c r="H2215" s="245">
        <f t="shared" si="859"/>
        <v>1</v>
      </c>
      <c r="I2215" s="121">
        <f t="shared" si="860"/>
        <v>1.06</v>
      </c>
      <c r="J2215" s="121">
        <f t="shared" si="861"/>
        <v>1.06</v>
      </c>
      <c r="K2215" s="120">
        <f t="shared" si="862"/>
        <v>0</v>
      </c>
      <c r="L2215" s="120">
        <f t="shared" si="863"/>
        <v>0</v>
      </c>
      <c r="M2215" s="246">
        <f t="shared" si="864"/>
        <v>0</v>
      </c>
      <c r="N2215" s="121">
        <f t="shared" si="865"/>
        <v>1.06</v>
      </c>
      <c r="O2215" s="246">
        <f t="shared" si="866"/>
        <v>0.99946936542669573</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87">
        <v>32</v>
      </c>
      <c r="B2216" s="242">
        <f t="shared" si="873"/>
        <v>46600</v>
      </c>
      <c r="C2216" s="243">
        <f t="shared" si="854"/>
        <v>46630</v>
      </c>
      <c r="D2216" s="120">
        <f t="shared" si="855"/>
        <v>31</v>
      </c>
      <c r="E2216" s="120">
        <f t="shared" si="856"/>
        <v>8</v>
      </c>
      <c r="F2216" s="275">
        <f t="shared" si="857"/>
        <v>46615.5</v>
      </c>
      <c r="G2216" s="120">
        <f t="shared" si="858"/>
        <v>24331</v>
      </c>
      <c r="H2216" s="245">
        <f t="shared" si="859"/>
        <v>1</v>
      </c>
      <c r="I2216" s="121">
        <f t="shared" si="860"/>
        <v>1.06</v>
      </c>
      <c r="J2216" s="121">
        <f t="shared" si="861"/>
        <v>1.06</v>
      </c>
      <c r="K2216" s="120">
        <f t="shared" si="862"/>
        <v>0</v>
      </c>
      <c r="L2216" s="120">
        <f t="shared" si="863"/>
        <v>0</v>
      </c>
      <c r="M2216" s="246">
        <f t="shared" si="864"/>
        <v>0</v>
      </c>
      <c r="N2216" s="121">
        <f t="shared" si="865"/>
        <v>1.06</v>
      </c>
      <c r="O2216" s="246">
        <f t="shared" si="866"/>
        <v>1.0004868708971553</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87">
        <v>33</v>
      </c>
      <c r="B2217" s="242">
        <f t="shared" si="873"/>
        <v>46631</v>
      </c>
      <c r="C2217" s="243">
        <f t="shared" si="854"/>
        <v>46660</v>
      </c>
      <c r="D2217" s="120">
        <f t="shared" si="855"/>
        <v>30</v>
      </c>
      <c r="E2217" s="120">
        <f t="shared" si="856"/>
        <v>9</v>
      </c>
      <c r="F2217" s="275">
        <f t="shared" si="857"/>
        <v>46646</v>
      </c>
      <c r="G2217" s="120">
        <f t="shared" si="858"/>
        <v>24332</v>
      </c>
      <c r="H2217" s="245">
        <f t="shared" si="859"/>
        <v>1</v>
      </c>
      <c r="I2217" s="121">
        <f t="shared" si="860"/>
        <v>1.06</v>
      </c>
      <c r="J2217" s="121">
        <f t="shared" si="861"/>
        <v>1.06</v>
      </c>
      <c r="K2217" s="120">
        <f t="shared" si="862"/>
        <v>0</v>
      </c>
      <c r="L2217" s="120">
        <f t="shared" si="863"/>
        <v>0</v>
      </c>
      <c r="M2217" s="246">
        <f t="shared" si="864"/>
        <v>0</v>
      </c>
      <c r="N2217" s="121">
        <f t="shared" si="865"/>
        <v>1.06</v>
      </c>
      <c r="O2217" s="246">
        <f t="shared" si="866"/>
        <v>1.0014879649890589</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87">
        <v>34</v>
      </c>
      <c r="B2218" s="242">
        <f t="shared" si="873"/>
        <v>46661</v>
      </c>
      <c r="C2218" s="243">
        <f t="shared" si="854"/>
        <v>46691</v>
      </c>
      <c r="D2218" s="120">
        <f t="shared" si="855"/>
        <v>31</v>
      </c>
      <c r="E2218" s="120">
        <f t="shared" si="856"/>
        <v>10</v>
      </c>
      <c r="F2218" s="275">
        <f t="shared" si="857"/>
        <v>46676.5</v>
      </c>
      <c r="G2218" s="120">
        <f t="shared" si="858"/>
        <v>24333</v>
      </c>
      <c r="H2218" s="245">
        <f t="shared" si="859"/>
        <v>1</v>
      </c>
      <c r="I2218" s="121">
        <f t="shared" si="860"/>
        <v>1.06</v>
      </c>
      <c r="J2218" s="121">
        <f t="shared" si="861"/>
        <v>1.06</v>
      </c>
      <c r="K2218" s="120">
        <f t="shared" si="862"/>
        <v>0</v>
      </c>
      <c r="L2218" s="120">
        <f t="shared" si="863"/>
        <v>0</v>
      </c>
      <c r="M2218" s="246">
        <f t="shared" si="864"/>
        <v>0</v>
      </c>
      <c r="N2218" s="121">
        <f t="shared" si="865"/>
        <v>1.06</v>
      </c>
      <c r="O2218" s="246">
        <f t="shared" si="866"/>
        <v>1.0024890590809628</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87">
        <v>35</v>
      </c>
      <c r="B2219" s="242">
        <f t="shared" si="873"/>
        <v>46692</v>
      </c>
      <c r="C2219" s="243">
        <f t="shared" si="854"/>
        <v>46721</v>
      </c>
      <c r="D2219" s="120">
        <f t="shared" si="855"/>
        <v>30</v>
      </c>
      <c r="E2219" s="120">
        <f t="shared" si="856"/>
        <v>11</v>
      </c>
      <c r="F2219" s="275">
        <f t="shared" si="857"/>
        <v>46707</v>
      </c>
      <c r="G2219" s="120">
        <f t="shared" si="858"/>
        <v>24334</v>
      </c>
      <c r="H2219" s="245">
        <f t="shared" si="859"/>
        <v>1</v>
      </c>
      <c r="I2219" s="121">
        <f t="shared" si="860"/>
        <v>1.06</v>
      </c>
      <c r="J2219" s="121">
        <f t="shared" si="861"/>
        <v>1.06</v>
      </c>
      <c r="K2219" s="120">
        <f t="shared" si="862"/>
        <v>0</v>
      </c>
      <c r="L2219" s="120">
        <f t="shared" si="863"/>
        <v>0</v>
      </c>
      <c r="M2219" s="246">
        <f t="shared" si="864"/>
        <v>0</v>
      </c>
      <c r="N2219" s="121">
        <f t="shared" si="865"/>
        <v>1.06</v>
      </c>
      <c r="O2219" s="246">
        <f t="shared" si="866"/>
        <v>1.0034901531728664</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87">
        <v>36</v>
      </c>
      <c r="B2220" s="242">
        <f t="shared" si="873"/>
        <v>46722</v>
      </c>
      <c r="C2220" s="243">
        <f t="shared" si="854"/>
        <v>46752</v>
      </c>
      <c r="D2220" s="120">
        <f t="shared" si="855"/>
        <v>31</v>
      </c>
      <c r="E2220" s="120">
        <f t="shared" si="856"/>
        <v>12</v>
      </c>
      <c r="F2220" s="275">
        <f t="shared" si="857"/>
        <v>46737.5</v>
      </c>
      <c r="G2220" s="120">
        <f t="shared" si="858"/>
        <v>24335</v>
      </c>
      <c r="H2220" s="245">
        <f t="shared" si="859"/>
        <v>1</v>
      </c>
      <c r="I2220" s="121">
        <f t="shared" si="860"/>
        <v>1.06</v>
      </c>
      <c r="J2220" s="121">
        <f t="shared" si="861"/>
        <v>1.06</v>
      </c>
      <c r="K2220" s="120">
        <f t="shared" si="862"/>
        <v>0</v>
      </c>
      <c r="L2220" s="120">
        <f t="shared" si="863"/>
        <v>0</v>
      </c>
      <c r="M2220" s="246">
        <f t="shared" si="864"/>
        <v>0</v>
      </c>
      <c r="N2220" s="121">
        <f t="shared" si="865"/>
        <v>1.06</v>
      </c>
      <c r="O2220" s="246">
        <f t="shared" si="866"/>
        <v>1.0044912472647702</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87">
        <v>37</v>
      </c>
      <c r="B2221" s="242">
        <f t="shared" si="873"/>
        <v>46753</v>
      </c>
      <c r="C2221" s="243">
        <f t="shared" si="854"/>
        <v>46783</v>
      </c>
      <c r="D2221" s="120">
        <f t="shared" si="855"/>
        <v>31</v>
      </c>
      <c r="E2221" s="120">
        <f t="shared" si="856"/>
        <v>1</v>
      </c>
      <c r="F2221" s="275">
        <f t="shared" si="857"/>
        <v>46768.5</v>
      </c>
      <c r="G2221" s="120">
        <f t="shared" si="858"/>
        <v>24336</v>
      </c>
      <c r="H2221" s="245">
        <f t="shared" si="859"/>
        <v>1</v>
      </c>
      <c r="I2221" s="121">
        <f t="shared" si="860"/>
        <v>1.06</v>
      </c>
      <c r="J2221" s="121">
        <f t="shared" si="861"/>
        <v>1.06</v>
      </c>
      <c r="K2221" s="120">
        <f t="shared" si="862"/>
        <v>0</v>
      </c>
      <c r="L2221" s="120">
        <f t="shared" si="863"/>
        <v>0</v>
      </c>
      <c r="M2221" s="246">
        <f t="shared" si="864"/>
        <v>0</v>
      </c>
      <c r="N2221" s="121">
        <f t="shared" si="865"/>
        <v>1.06</v>
      </c>
      <c r="O2221" s="246">
        <f t="shared" si="866"/>
        <v>1.0049999999999999</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87">
        <v>38</v>
      </c>
      <c r="B2222" s="242">
        <f t="shared" si="873"/>
        <v>46784</v>
      </c>
      <c r="C2222" s="243">
        <f t="shared" si="854"/>
        <v>46812</v>
      </c>
      <c r="D2222" s="120">
        <f t="shared" si="855"/>
        <v>29</v>
      </c>
      <c r="E2222" s="120">
        <f t="shared" si="856"/>
        <v>2</v>
      </c>
      <c r="F2222" s="275">
        <f t="shared" si="857"/>
        <v>46798.5</v>
      </c>
      <c r="G2222" s="120">
        <f t="shared" si="858"/>
        <v>24337</v>
      </c>
      <c r="H2222" s="245">
        <f t="shared" si="859"/>
        <v>1</v>
      </c>
      <c r="I2222" s="121">
        <f t="shared" si="860"/>
        <v>1.06</v>
      </c>
      <c r="J2222" s="121">
        <f t="shared" si="861"/>
        <v>1.06</v>
      </c>
      <c r="K2222" s="120">
        <f t="shared" si="862"/>
        <v>0</v>
      </c>
      <c r="L2222" s="120">
        <f t="shared" si="863"/>
        <v>0</v>
      </c>
      <c r="M2222" s="246">
        <f t="shared" si="864"/>
        <v>0</v>
      </c>
      <c r="N2222" s="121">
        <f t="shared" si="865"/>
        <v>1.06</v>
      </c>
      <c r="O2222" s="246">
        <f t="shared" si="866"/>
        <v>1.0049999999999999</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87">
        <v>39</v>
      </c>
      <c r="B2223" s="242">
        <f t="shared" si="873"/>
        <v>46813</v>
      </c>
      <c r="C2223" s="243">
        <f t="shared" si="854"/>
        <v>46843</v>
      </c>
      <c r="D2223" s="120">
        <f t="shared" si="855"/>
        <v>31</v>
      </c>
      <c r="E2223" s="120">
        <f t="shared" si="856"/>
        <v>3</v>
      </c>
      <c r="F2223" s="275">
        <f t="shared" si="857"/>
        <v>46828.5</v>
      </c>
      <c r="G2223" s="120">
        <f t="shared" si="858"/>
        <v>24338</v>
      </c>
      <c r="H2223" s="245">
        <f t="shared" si="859"/>
        <v>1</v>
      </c>
      <c r="I2223" s="121">
        <f t="shared" si="860"/>
        <v>1.06</v>
      </c>
      <c r="J2223" s="121">
        <f t="shared" si="861"/>
        <v>1.06</v>
      </c>
      <c r="K2223" s="120">
        <f t="shared" si="862"/>
        <v>0</v>
      </c>
      <c r="L2223" s="120">
        <f t="shared" si="863"/>
        <v>0</v>
      </c>
      <c r="M2223" s="246">
        <f t="shared" si="864"/>
        <v>0</v>
      </c>
      <c r="N2223" s="121">
        <f t="shared" si="865"/>
        <v>1.06</v>
      </c>
      <c r="O2223" s="246">
        <f t="shared" si="866"/>
        <v>1.0049999999999999</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87">
        <v>40</v>
      </c>
      <c r="B2224" s="242">
        <f t="shared" si="873"/>
        <v>46844</v>
      </c>
      <c r="C2224" s="243">
        <f t="shared" si="854"/>
        <v>46873</v>
      </c>
      <c r="D2224" s="120">
        <f t="shared" si="855"/>
        <v>30</v>
      </c>
      <c r="E2224" s="120">
        <f t="shared" si="856"/>
        <v>4</v>
      </c>
      <c r="F2224" s="275">
        <f t="shared" si="857"/>
        <v>46859</v>
      </c>
      <c r="G2224" s="120">
        <f t="shared" si="858"/>
        <v>24339</v>
      </c>
      <c r="H2224" s="245">
        <f t="shared" si="859"/>
        <v>1</v>
      </c>
      <c r="I2224" s="121">
        <f t="shared" si="860"/>
        <v>1.06</v>
      </c>
      <c r="J2224" s="121">
        <f t="shared" si="861"/>
        <v>1.06</v>
      </c>
      <c r="K2224" s="120">
        <f t="shared" si="862"/>
        <v>0</v>
      </c>
      <c r="L2224" s="120">
        <f t="shared" si="863"/>
        <v>0</v>
      </c>
      <c r="M2224" s="246">
        <f t="shared" si="864"/>
        <v>0</v>
      </c>
      <c r="N2224" s="121">
        <f t="shared" si="865"/>
        <v>1.06</v>
      </c>
      <c r="O2224" s="246">
        <f t="shared" si="866"/>
        <v>1.0049999999999999</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87">
        <v>41</v>
      </c>
      <c r="B2225" s="242">
        <f t="shared" si="873"/>
        <v>46874</v>
      </c>
      <c r="C2225" s="243">
        <f t="shared" si="854"/>
        <v>46904</v>
      </c>
      <c r="D2225" s="120">
        <f t="shared" si="855"/>
        <v>31</v>
      </c>
      <c r="E2225" s="120">
        <f t="shared" si="856"/>
        <v>5</v>
      </c>
      <c r="F2225" s="275">
        <f t="shared" si="857"/>
        <v>46889.5</v>
      </c>
      <c r="G2225" s="120">
        <f t="shared" si="858"/>
        <v>24340</v>
      </c>
      <c r="H2225" s="245">
        <f t="shared" si="859"/>
        <v>1</v>
      </c>
      <c r="I2225" s="121">
        <f t="shared" si="860"/>
        <v>1.06</v>
      </c>
      <c r="J2225" s="121">
        <f t="shared" si="861"/>
        <v>1.06</v>
      </c>
      <c r="K2225" s="120">
        <f t="shared" si="862"/>
        <v>0</v>
      </c>
      <c r="L2225" s="120">
        <f t="shared" si="863"/>
        <v>0</v>
      </c>
      <c r="M2225" s="246">
        <f t="shared" si="864"/>
        <v>0</v>
      </c>
      <c r="N2225" s="121">
        <f t="shared" si="865"/>
        <v>1.06</v>
      </c>
      <c r="O2225" s="246">
        <f t="shared" si="866"/>
        <v>1.0049999999999999</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87">
        <v>42</v>
      </c>
      <c r="B2226" s="242">
        <f t="shared" si="873"/>
        <v>46905</v>
      </c>
      <c r="C2226" s="243">
        <f t="shared" si="854"/>
        <v>46934</v>
      </c>
      <c r="D2226" s="120">
        <f t="shared" si="855"/>
        <v>30</v>
      </c>
      <c r="E2226" s="120">
        <f t="shared" si="856"/>
        <v>6</v>
      </c>
      <c r="F2226" s="275">
        <f t="shared" si="857"/>
        <v>46920</v>
      </c>
      <c r="G2226" s="120">
        <f t="shared" si="858"/>
        <v>24341</v>
      </c>
      <c r="H2226" s="245">
        <f t="shared" si="859"/>
        <v>1</v>
      </c>
      <c r="I2226" s="121">
        <f t="shared" si="860"/>
        <v>1.06</v>
      </c>
      <c r="J2226" s="121">
        <f t="shared" si="861"/>
        <v>1.06</v>
      </c>
      <c r="K2226" s="120">
        <f t="shared" si="862"/>
        <v>0</v>
      </c>
      <c r="L2226" s="120">
        <f t="shared" si="863"/>
        <v>0</v>
      </c>
      <c r="M2226" s="246">
        <f t="shared" si="864"/>
        <v>0</v>
      </c>
      <c r="N2226" s="121">
        <f t="shared" si="865"/>
        <v>1.06</v>
      </c>
      <c r="O2226" s="246">
        <f t="shared" si="866"/>
        <v>1.0049999999999999</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87">
        <v>43</v>
      </c>
      <c r="B2227" s="242">
        <f t="shared" si="873"/>
        <v>46935</v>
      </c>
      <c r="C2227" s="243">
        <f t="shared" si="854"/>
        <v>46965</v>
      </c>
      <c r="D2227" s="120">
        <f t="shared" si="855"/>
        <v>31</v>
      </c>
      <c r="E2227" s="120">
        <f t="shared" si="856"/>
        <v>7</v>
      </c>
      <c r="F2227" s="275">
        <f t="shared" si="857"/>
        <v>46950.5</v>
      </c>
      <c r="G2227" s="120">
        <f t="shared" si="858"/>
        <v>24342</v>
      </c>
      <c r="H2227" s="245">
        <f t="shared" si="859"/>
        <v>1</v>
      </c>
      <c r="I2227" s="121">
        <f t="shared" si="860"/>
        <v>1.06</v>
      </c>
      <c r="J2227" s="121">
        <f t="shared" si="861"/>
        <v>1.06</v>
      </c>
      <c r="K2227" s="120">
        <f t="shared" si="862"/>
        <v>0</v>
      </c>
      <c r="L2227" s="120">
        <f t="shared" si="863"/>
        <v>0</v>
      </c>
      <c r="M2227" s="246">
        <f t="shared" si="864"/>
        <v>0</v>
      </c>
      <c r="N2227" s="121">
        <f t="shared" si="865"/>
        <v>1.06</v>
      </c>
      <c r="O2227" s="246">
        <f t="shared" si="866"/>
        <v>1.0049999999999999</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87">
        <v>44</v>
      </c>
      <c r="B2228" s="242">
        <f t="shared" si="873"/>
        <v>46966</v>
      </c>
      <c r="C2228" s="243">
        <f t="shared" si="854"/>
        <v>46996</v>
      </c>
      <c r="D2228" s="120">
        <f t="shared" si="855"/>
        <v>31</v>
      </c>
      <c r="E2228" s="120">
        <f t="shared" si="856"/>
        <v>8</v>
      </c>
      <c r="F2228" s="275">
        <f t="shared" si="857"/>
        <v>46981.5</v>
      </c>
      <c r="G2228" s="120">
        <f t="shared" si="858"/>
        <v>24343</v>
      </c>
      <c r="H2228" s="245">
        <f t="shared" si="859"/>
        <v>1</v>
      </c>
      <c r="I2228" s="121">
        <f t="shared" si="860"/>
        <v>1.06</v>
      </c>
      <c r="J2228" s="121">
        <f t="shared" si="861"/>
        <v>1.06</v>
      </c>
      <c r="K2228" s="120">
        <f t="shared" si="862"/>
        <v>0</v>
      </c>
      <c r="L2228" s="120">
        <f t="shared" si="863"/>
        <v>0</v>
      </c>
      <c r="M2228" s="246">
        <f t="shared" si="864"/>
        <v>0</v>
      </c>
      <c r="N2228" s="121">
        <f t="shared" si="865"/>
        <v>1.06</v>
      </c>
      <c r="O2228" s="246">
        <f t="shared" si="866"/>
        <v>1.0049999999999999</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87">
        <v>45</v>
      </c>
      <c r="B2229" s="242">
        <f t="shared" si="873"/>
        <v>46997</v>
      </c>
      <c r="C2229" s="243">
        <f t="shared" si="854"/>
        <v>47026</v>
      </c>
      <c r="D2229" s="120">
        <f t="shared" si="855"/>
        <v>30</v>
      </c>
      <c r="E2229" s="120">
        <f t="shared" si="856"/>
        <v>9</v>
      </c>
      <c r="F2229" s="275">
        <f t="shared" si="857"/>
        <v>47012</v>
      </c>
      <c r="G2229" s="120">
        <f t="shared" si="858"/>
        <v>24344</v>
      </c>
      <c r="H2229" s="245">
        <f t="shared" si="859"/>
        <v>1</v>
      </c>
      <c r="I2229" s="121">
        <f t="shared" si="860"/>
        <v>1.06</v>
      </c>
      <c r="J2229" s="121">
        <f t="shared" si="861"/>
        <v>1.06</v>
      </c>
      <c r="K2229" s="120">
        <f t="shared" si="862"/>
        <v>0</v>
      </c>
      <c r="L2229" s="120">
        <f t="shared" si="863"/>
        <v>0</v>
      </c>
      <c r="M2229" s="246">
        <f t="shared" si="864"/>
        <v>0</v>
      </c>
      <c r="N2229" s="121">
        <f t="shared" si="865"/>
        <v>1.06</v>
      </c>
      <c r="O2229" s="246">
        <f t="shared" si="866"/>
        <v>1.0049999999999999</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87">
        <v>46</v>
      </c>
      <c r="B2230" s="242">
        <f t="shared" si="873"/>
        <v>47027</v>
      </c>
      <c r="C2230" s="243">
        <f t="shared" si="854"/>
        <v>47057</v>
      </c>
      <c r="D2230" s="120">
        <f t="shared" si="855"/>
        <v>31</v>
      </c>
      <c r="E2230" s="120">
        <f t="shared" si="856"/>
        <v>10</v>
      </c>
      <c r="F2230" s="275">
        <f t="shared" si="857"/>
        <v>47042.5</v>
      </c>
      <c r="G2230" s="120">
        <f t="shared" si="858"/>
        <v>24345</v>
      </c>
      <c r="H2230" s="245">
        <f t="shared" si="859"/>
        <v>1</v>
      </c>
      <c r="I2230" s="121">
        <f t="shared" si="860"/>
        <v>1.06</v>
      </c>
      <c r="J2230" s="121">
        <f t="shared" si="861"/>
        <v>1.06</v>
      </c>
      <c r="K2230" s="120">
        <f t="shared" si="862"/>
        <v>0</v>
      </c>
      <c r="L2230" s="120">
        <f t="shared" si="863"/>
        <v>0</v>
      </c>
      <c r="M2230" s="246">
        <f t="shared" si="864"/>
        <v>0</v>
      </c>
      <c r="N2230" s="121">
        <f t="shared" si="865"/>
        <v>1.06</v>
      </c>
      <c r="O2230" s="246">
        <f t="shared" si="866"/>
        <v>1.0049999999999999</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87">
        <v>47</v>
      </c>
      <c r="B2231" s="242">
        <f t="shared" si="873"/>
        <v>47058</v>
      </c>
      <c r="C2231" s="243">
        <f t="shared" si="854"/>
        <v>47087</v>
      </c>
      <c r="D2231" s="120">
        <f t="shared" si="855"/>
        <v>30</v>
      </c>
      <c r="E2231" s="120">
        <f t="shared" si="856"/>
        <v>11</v>
      </c>
      <c r="F2231" s="275">
        <f t="shared" si="857"/>
        <v>47073</v>
      </c>
      <c r="G2231" s="120">
        <f t="shared" si="858"/>
        <v>24346</v>
      </c>
      <c r="H2231" s="245">
        <f t="shared" si="859"/>
        <v>1</v>
      </c>
      <c r="I2231" s="121">
        <f t="shared" si="860"/>
        <v>1.06</v>
      </c>
      <c r="J2231" s="121">
        <f t="shared" si="861"/>
        <v>1.06</v>
      </c>
      <c r="K2231" s="120">
        <f t="shared" si="862"/>
        <v>0</v>
      </c>
      <c r="L2231" s="120">
        <f t="shared" si="863"/>
        <v>0</v>
      </c>
      <c r="M2231" s="246">
        <f t="shared" si="864"/>
        <v>0</v>
      </c>
      <c r="N2231" s="121">
        <f t="shared" si="865"/>
        <v>1.06</v>
      </c>
      <c r="O2231" s="246">
        <f t="shared" si="866"/>
        <v>1.0049999999999999</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87">
        <v>48</v>
      </c>
      <c r="B2232" s="242">
        <f t="shared" si="873"/>
        <v>47088</v>
      </c>
      <c r="C2232" s="243">
        <f t="shared" si="854"/>
        <v>47118</v>
      </c>
      <c r="D2232" s="120">
        <f t="shared" si="855"/>
        <v>31</v>
      </c>
      <c r="E2232" s="120">
        <f t="shared" si="856"/>
        <v>12</v>
      </c>
      <c r="F2232" s="275">
        <f t="shared" si="857"/>
        <v>47103.5</v>
      </c>
      <c r="G2232" s="120">
        <f t="shared" si="858"/>
        <v>24347</v>
      </c>
      <c r="H2232" s="245">
        <f t="shared" si="859"/>
        <v>1</v>
      </c>
      <c r="I2232" s="121">
        <f t="shared" si="860"/>
        <v>1.06</v>
      </c>
      <c r="J2232" s="121">
        <f t="shared" si="861"/>
        <v>1.06</v>
      </c>
      <c r="K2232" s="120">
        <f t="shared" si="862"/>
        <v>0</v>
      </c>
      <c r="L2232" s="120">
        <f t="shared" si="863"/>
        <v>0</v>
      </c>
      <c r="M2232" s="246">
        <f t="shared" si="864"/>
        <v>0</v>
      </c>
      <c r="N2232" s="121">
        <f t="shared" si="865"/>
        <v>1.06</v>
      </c>
      <c r="O2232" s="246">
        <f t="shared" si="866"/>
        <v>1.0049999999999999</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1651</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24">
        <f>SUMPRODUCT($H$2185:$H$2232,$Q$2185:$Q$2232,$O$2185:$O$2232)/SUMPRODUCT($H$2185:$H$2232,$Q$2185:$Q$2232)</f>
        <v>0.99299370897155337</v>
      </c>
      <c r="G2233" s="224">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24">
        <f>IF(N(INDEX(lr_mind,41))=0,1,INDEX(lr_mind,41))</f>
        <v>1</v>
      </c>
      <c r="G2236" s="224">
        <f>IF(N(INDEX(lr_m0,41))=0,1,INDEX(lr_m0,41))</f>
        <v>0.99</v>
      </c>
      <c r="H2236" s="74">
        <f>IF(N(INDEX(lr_m0asof,41))=0,DATE(nr_PlanYear-1,10,1),INDEX(lr_m0asof,41))</f>
        <v>46295</v>
      </c>
      <c r="I2236" s="224">
        <f>IF(N(INDEX(lr_m1,41))=0,1,INDEX(lr_m1,41))</f>
        <v>0.98499999999999999</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74">EOMONTH($B2239,0)</f>
        <v>45688</v>
      </c>
      <c r="D2239" s="120">
        <f t="shared" ref="D2239:D2286" si="875">$C2239-$B2239+1</f>
        <v>31</v>
      </c>
      <c r="E2239" s="120">
        <f t="shared" ref="E2239:E2286" si="876">MONTH($B2239)</f>
        <v>1</v>
      </c>
      <c r="F2239" s="275">
        <f t="shared" ref="F2239:F2286" si="877">($B2239+$C2239+1)/2</f>
        <v>45673.5</v>
      </c>
      <c r="G2239" s="120">
        <f t="shared" ref="G2239:G2286" si="878">YEAR($B2239)*12+MONTH($B2239)-1</f>
        <v>24300</v>
      </c>
      <c r="H2239" s="245">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46">
        <f t="shared" ref="M2239:M2286" si="884">IF($K2239=0,0,MIN(1,$L2239/$D2239))</f>
        <v>0</v>
      </c>
      <c r="N2239" s="121">
        <f t="shared" ref="N2239:N2286" si="885">IF($K2239=0,$J2239,(1-$M2239)*$I2239+$M2239*$J2239)</f>
        <v>1</v>
      </c>
      <c r="O2239" s="246">
        <f t="shared" ref="O2239:O2286" si="886">IF($F2239&lt;$B$2237,$E$2237+$I$2237*($F2239-$A$2237),IF($F2239&lt;$C$2237,$F$2237+$J$2237*($F2239-$B$2237),$G$2237+$K$2237*($F2239-$C$2237)))</f>
        <v>0.99681072210065647</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87">
        <v>2</v>
      </c>
      <c r="B2240" s="242">
        <f t="shared" ref="B2240:B2286" si="893">EDATE($B2239,1)</f>
        <v>45689</v>
      </c>
      <c r="C2240" s="243">
        <f t="shared" si="874"/>
        <v>45716</v>
      </c>
      <c r="D2240" s="120">
        <f t="shared" si="875"/>
        <v>28</v>
      </c>
      <c r="E2240" s="120">
        <f t="shared" si="876"/>
        <v>2</v>
      </c>
      <c r="F2240" s="275">
        <f t="shared" si="877"/>
        <v>45703</v>
      </c>
      <c r="G2240" s="120">
        <f t="shared" si="878"/>
        <v>24301</v>
      </c>
      <c r="H2240" s="245">
        <f t="shared" si="879"/>
        <v>1</v>
      </c>
      <c r="I2240" s="121">
        <f t="shared" si="880"/>
        <v>1</v>
      </c>
      <c r="J2240" s="121">
        <f t="shared" si="881"/>
        <v>1</v>
      </c>
      <c r="K2240" s="120">
        <f t="shared" si="882"/>
        <v>0</v>
      </c>
      <c r="L2240" s="120">
        <f t="shared" si="883"/>
        <v>0</v>
      </c>
      <c r="M2240" s="246">
        <f t="shared" si="884"/>
        <v>0</v>
      </c>
      <c r="N2240" s="121">
        <f t="shared" si="885"/>
        <v>1</v>
      </c>
      <c r="O2240" s="246">
        <f t="shared" si="886"/>
        <v>0.99648796498905901</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87">
        <v>3</v>
      </c>
      <c r="B2241" s="242">
        <f t="shared" si="893"/>
        <v>45717</v>
      </c>
      <c r="C2241" s="243">
        <f t="shared" si="874"/>
        <v>45747</v>
      </c>
      <c r="D2241" s="120">
        <f t="shared" si="875"/>
        <v>31</v>
      </c>
      <c r="E2241" s="120">
        <f t="shared" si="876"/>
        <v>3</v>
      </c>
      <c r="F2241" s="275">
        <f t="shared" si="877"/>
        <v>45732.5</v>
      </c>
      <c r="G2241" s="120">
        <f t="shared" si="878"/>
        <v>24302</v>
      </c>
      <c r="H2241" s="245">
        <f t="shared" si="879"/>
        <v>1</v>
      </c>
      <c r="I2241" s="121">
        <f t="shared" si="880"/>
        <v>1</v>
      </c>
      <c r="J2241" s="121">
        <f t="shared" si="881"/>
        <v>1</v>
      </c>
      <c r="K2241" s="120">
        <f t="shared" si="882"/>
        <v>0</v>
      </c>
      <c r="L2241" s="120">
        <f t="shared" si="883"/>
        <v>0</v>
      </c>
      <c r="M2241" s="246">
        <f t="shared" si="884"/>
        <v>0</v>
      </c>
      <c r="N2241" s="121">
        <f t="shared" si="885"/>
        <v>1</v>
      </c>
      <c r="O2241" s="246">
        <f t="shared" si="886"/>
        <v>0.99616520787746166</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87">
        <v>4</v>
      </c>
      <c r="B2242" s="242">
        <f t="shared" si="893"/>
        <v>45748</v>
      </c>
      <c r="C2242" s="243">
        <f t="shared" si="874"/>
        <v>45777</v>
      </c>
      <c r="D2242" s="120">
        <f t="shared" si="875"/>
        <v>30</v>
      </c>
      <c r="E2242" s="120">
        <f t="shared" si="876"/>
        <v>4</v>
      </c>
      <c r="F2242" s="275">
        <f t="shared" si="877"/>
        <v>45763</v>
      </c>
      <c r="G2242" s="120">
        <f t="shared" si="878"/>
        <v>24303</v>
      </c>
      <c r="H2242" s="245">
        <f t="shared" si="879"/>
        <v>1</v>
      </c>
      <c r="I2242" s="121">
        <f t="shared" si="880"/>
        <v>1</v>
      </c>
      <c r="J2242" s="121">
        <f t="shared" si="881"/>
        <v>1</v>
      </c>
      <c r="K2242" s="120">
        <f t="shared" si="882"/>
        <v>0</v>
      </c>
      <c r="L2242" s="120">
        <f t="shared" si="883"/>
        <v>0</v>
      </c>
      <c r="M2242" s="246">
        <f t="shared" si="884"/>
        <v>0</v>
      </c>
      <c r="N2242" s="121">
        <f t="shared" si="885"/>
        <v>1</v>
      </c>
      <c r="O2242" s="246">
        <f t="shared" si="886"/>
        <v>0.99583150984682711</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87">
        <v>5</v>
      </c>
      <c r="B2243" s="242">
        <f t="shared" si="893"/>
        <v>45778</v>
      </c>
      <c r="C2243" s="243">
        <f t="shared" si="874"/>
        <v>45808</v>
      </c>
      <c r="D2243" s="120">
        <f t="shared" si="875"/>
        <v>31</v>
      </c>
      <c r="E2243" s="120">
        <f t="shared" si="876"/>
        <v>5</v>
      </c>
      <c r="F2243" s="275">
        <f t="shared" si="877"/>
        <v>45793.5</v>
      </c>
      <c r="G2243" s="120">
        <f t="shared" si="878"/>
        <v>24304</v>
      </c>
      <c r="H2243" s="245">
        <f t="shared" si="879"/>
        <v>1</v>
      </c>
      <c r="I2243" s="121">
        <f t="shared" si="880"/>
        <v>1</v>
      </c>
      <c r="J2243" s="121">
        <f t="shared" si="881"/>
        <v>1</v>
      </c>
      <c r="K2243" s="120">
        <f t="shared" si="882"/>
        <v>0</v>
      </c>
      <c r="L2243" s="120">
        <f t="shared" si="883"/>
        <v>0</v>
      </c>
      <c r="M2243" s="246">
        <f t="shared" si="884"/>
        <v>0</v>
      </c>
      <c r="N2243" s="121">
        <f t="shared" si="885"/>
        <v>1</v>
      </c>
      <c r="O2243" s="246">
        <f t="shared" si="886"/>
        <v>0.99549781181619257</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87">
        <v>6</v>
      </c>
      <c r="B2244" s="242">
        <f t="shared" si="893"/>
        <v>45809</v>
      </c>
      <c r="C2244" s="243">
        <f t="shared" si="874"/>
        <v>45838</v>
      </c>
      <c r="D2244" s="120">
        <f t="shared" si="875"/>
        <v>30</v>
      </c>
      <c r="E2244" s="120">
        <f t="shared" si="876"/>
        <v>6</v>
      </c>
      <c r="F2244" s="275">
        <f t="shared" si="877"/>
        <v>45824</v>
      </c>
      <c r="G2244" s="120">
        <f t="shared" si="878"/>
        <v>24305</v>
      </c>
      <c r="H2244" s="245">
        <f t="shared" si="879"/>
        <v>1</v>
      </c>
      <c r="I2244" s="121">
        <f t="shared" si="880"/>
        <v>1</v>
      </c>
      <c r="J2244" s="121">
        <f t="shared" si="881"/>
        <v>1</v>
      </c>
      <c r="K2244" s="120">
        <f t="shared" si="882"/>
        <v>0</v>
      </c>
      <c r="L2244" s="120">
        <f t="shared" si="883"/>
        <v>0</v>
      </c>
      <c r="M2244" s="246">
        <f t="shared" si="884"/>
        <v>0</v>
      </c>
      <c r="N2244" s="121">
        <f t="shared" si="885"/>
        <v>1</v>
      </c>
      <c r="O2244" s="246">
        <f t="shared" si="886"/>
        <v>0.99516411378555791</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87">
        <v>7</v>
      </c>
      <c r="B2245" s="242">
        <f t="shared" si="893"/>
        <v>45839</v>
      </c>
      <c r="C2245" s="243">
        <f t="shared" si="874"/>
        <v>45869</v>
      </c>
      <c r="D2245" s="120">
        <f t="shared" si="875"/>
        <v>31</v>
      </c>
      <c r="E2245" s="120">
        <f t="shared" si="876"/>
        <v>7</v>
      </c>
      <c r="F2245" s="275">
        <f t="shared" si="877"/>
        <v>45854.5</v>
      </c>
      <c r="G2245" s="120">
        <f t="shared" si="878"/>
        <v>24306</v>
      </c>
      <c r="H2245" s="245">
        <f t="shared" si="879"/>
        <v>1</v>
      </c>
      <c r="I2245" s="121">
        <f t="shared" si="880"/>
        <v>1</v>
      </c>
      <c r="J2245" s="121">
        <f t="shared" si="881"/>
        <v>1</v>
      </c>
      <c r="K2245" s="120">
        <f t="shared" si="882"/>
        <v>0</v>
      </c>
      <c r="L2245" s="120">
        <f t="shared" si="883"/>
        <v>0</v>
      </c>
      <c r="M2245" s="246">
        <f t="shared" si="884"/>
        <v>0</v>
      </c>
      <c r="N2245" s="121">
        <f t="shared" si="885"/>
        <v>1</v>
      </c>
      <c r="O2245" s="246">
        <f t="shared" si="886"/>
        <v>0.99483041575492337</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87">
        <v>8</v>
      </c>
      <c r="B2246" s="242">
        <f t="shared" si="893"/>
        <v>45870</v>
      </c>
      <c r="C2246" s="243">
        <f t="shared" si="874"/>
        <v>45900</v>
      </c>
      <c r="D2246" s="120">
        <f t="shared" si="875"/>
        <v>31</v>
      </c>
      <c r="E2246" s="120">
        <f t="shared" si="876"/>
        <v>8</v>
      </c>
      <c r="F2246" s="275">
        <f t="shared" si="877"/>
        <v>45885.5</v>
      </c>
      <c r="G2246" s="120">
        <f t="shared" si="878"/>
        <v>24307</v>
      </c>
      <c r="H2246" s="245">
        <f t="shared" si="879"/>
        <v>1</v>
      </c>
      <c r="I2246" s="121">
        <f t="shared" si="880"/>
        <v>1</v>
      </c>
      <c r="J2246" s="121">
        <f t="shared" si="881"/>
        <v>1</v>
      </c>
      <c r="K2246" s="120">
        <f t="shared" si="882"/>
        <v>0</v>
      </c>
      <c r="L2246" s="120">
        <f t="shared" si="883"/>
        <v>0</v>
      </c>
      <c r="M2246" s="246">
        <f t="shared" si="884"/>
        <v>0</v>
      </c>
      <c r="N2246" s="121">
        <f t="shared" si="885"/>
        <v>1</v>
      </c>
      <c r="O2246" s="246">
        <f t="shared" si="886"/>
        <v>0.99449124726477023</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87">
        <v>9</v>
      </c>
      <c r="B2247" s="242">
        <f t="shared" si="893"/>
        <v>45901</v>
      </c>
      <c r="C2247" s="243">
        <f t="shared" si="874"/>
        <v>45930</v>
      </c>
      <c r="D2247" s="120">
        <f t="shared" si="875"/>
        <v>30</v>
      </c>
      <c r="E2247" s="120">
        <f t="shared" si="876"/>
        <v>9</v>
      </c>
      <c r="F2247" s="275">
        <f t="shared" si="877"/>
        <v>45916</v>
      </c>
      <c r="G2247" s="120">
        <f t="shared" si="878"/>
        <v>24308</v>
      </c>
      <c r="H2247" s="245">
        <f t="shared" si="879"/>
        <v>1</v>
      </c>
      <c r="I2247" s="121">
        <f t="shared" si="880"/>
        <v>1</v>
      </c>
      <c r="J2247" s="121">
        <f t="shared" si="881"/>
        <v>1</v>
      </c>
      <c r="K2247" s="120">
        <f t="shared" si="882"/>
        <v>0</v>
      </c>
      <c r="L2247" s="120">
        <f t="shared" si="883"/>
        <v>0</v>
      </c>
      <c r="M2247" s="246">
        <f t="shared" si="884"/>
        <v>0</v>
      </c>
      <c r="N2247" s="121">
        <f t="shared" si="885"/>
        <v>1</v>
      </c>
      <c r="O2247" s="246">
        <f t="shared" si="886"/>
        <v>0.99415754923413568</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87">
        <v>10</v>
      </c>
      <c r="B2248" s="242">
        <f t="shared" si="893"/>
        <v>45931</v>
      </c>
      <c r="C2248" s="243">
        <f t="shared" si="874"/>
        <v>45961</v>
      </c>
      <c r="D2248" s="120">
        <f t="shared" si="875"/>
        <v>31</v>
      </c>
      <c r="E2248" s="120">
        <f t="shared" si="876"/>
        <v>10</v>
      </c>
      <c r="F2248" s="275">
        <f t="shared" si="877"/>
        <v>45946.5</v>
      </c>
      <c r="G2248" s="120">
        <f t="shared" si="878"/>
        <v>24309</v>
      </c>
      <c r="H2248" s="245">
        <f t="shared" si="879"/>
        <v>1</v>
      </c>
      <c r="I2248" s="121">
        <f t="shared" si="880"/>
        <v>1</v>
      </c>
      <c r="J2248" s="121">
        <f t="shared" si="881"/>
        <v>1</v>
      </c>
      <c r="K2248" s="120">
        <f t="shared" si="882"/>
        <v>0</v>
      </c>
      <c r="L2248" s="120">
        <f t="shared" si="883"/>
        <v>0</v>
      </c>
      <c r="M2248" s="246">
        <f t="shared" si="884"/>
        <v>0</v>
      </c>
      <c r="N2248" s="121">
        <f t="shared" si="885"/>
        <v>1</v>
      </c>
      <c r="O2248" s="246">
        <f t="shared" si="886"/>
        <v>0.99382385120350103</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87">
        <v>11</v>
      </c>
      <c r="B2249" s="242">
        <f t="shared" si="893"/>
        <v>45962</v>
      </c>
      <c r="C2249" s="243">
        <f t="shared" si="874"/>
        <v>45991</v>
      </c>
      <c r="D2249" s="120">
        <f t="shared" si="875"/>
        <v>30</v>
      </c>
      <c r="E2249" s="120">
        <f t="shared" si="876"/>
        <v>11</v>
      </c>
      <c r="F2249" s="275">
        <f t="shared" si="877"/>
        <v>45977</v>
      </c>
      <c r="G2249" s="120">
        <f t="shared" si="878"/>
        <v>24310</v>
      </c>
      <c r="H2249" s="245">
        <f t="shared" si="879"/>
        <v>1</v>
      </c>
      <c r="I2249" s="121">
        <f t="shared" si="880"/>
        <v>1</v>
      </c>
      <c r="J2249" s="121">
        <f t="shared" si="881"/>
        <v>1</v>
      </c>
      <c r="K2249" s="120">
        <f t="shared" si="882"/>
        <v>0</v>
      </c>
      <c r="L2249" s="120">
        <f t="shared" si="883"/>
        <v>0</v>
      </c>
      <c r="M2249" s="246">
        <f t="shared" si="884"/>
        <v>0</v>
      </c>
      <c r="N2249" s="121">
        <f t="shared" si="885"/>
        <v>1</v>
      </c>
      <c r="O2249" s="246">
        <f t="shared" si="886"/>
        <v>0.99349015317286649</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87">
        <v>12</v>
      </c>
      <c r="B2250" s="242">
        <f t="shared" si="893"/>
        <v>45992</v>
      </c>
      <c r="C2250" s="243">
        <f t="shared" si="874"/>
        <v>46022</v>
      </c>
      <c r="D2250" s="120">
        <f t="shared" si="875"/>
        <v>31</v>
      </c>
      <c r="E2250" s="120">
        <f t="shared" si="876"/>
        <v>12</v>
      </c>
      <c r="F2250" s="275">
        <f t="shared" si="877"/>
        <v>46007.5</v>
      </c>
      <c r="G2250" s="120">
        <f t="shared" si="878"/>
        <v>24311</v>
      </c>
      <c r="H2250" s="245">
        <f t="shared" si="879"/>
        <v>1</v>
      </c>
      <c r="I2250" s="121">
        <f t="shared" si="880"/>
        <v>1</v>
      </c>
      <c r="J2250" s="121">
        <f t="shared" si="881"/>
        <v>1</v>
      </c>
      <c r="K2250" s="120">
        <f t="shared" si="882"/>
        <v>0</v>
      </c>
      <c r="L2250" s="120">
        <f t="shared" si="883"/>
        <v>0</v>
      </c>
      <c r="M2250" s="246">
        <f t="shared" si="884"/>
        <v>0</v>
      </c>
      <c r="N2250" s="121">
        <f t="shared" si="885"/>
        <v>1</v>
      </c>
      <c r="O2250" s="246">
        <f t="shared" si="886"/>
        <v>0.99315645514223194</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87">
        <v>13</v>
      </c>
      <c r="B2251" s="242">
        <f t="shared" si="893"/>
        <v>46023</v>
      </c>
      <c r="C2251" s="243">
        <f t="shared" si="874"/>
        <v>46053</v>
      </c>
      <c r="D2251" s="120">
        <f t="shared" si="875"/>
        <v>31</v>
      </c>
      <c r="E2251" s="120">
        <f t="shared" si="876"/>
        <v>1</v>
      </c>
      <c r="F2251" s="275">
        <f t="shared" si="877"/>
        <v>46038.5</v>
      </c>
      <c r="G2251" s="120">
        <f t="shared" si="878"/>
        <v>24312</v>
      </c>
      <c r="H2251" s="245">
        <f t="shared" si="879"/>
        <v>1</v>
      </c>
      <c r="I2251" s="121">
        <f t="shared" si="880"/>
        <v>1</v>
      </c>
      <c r="J2251" s="121">
        <f t="shared" si="881"/>
        <v>1</v>
      </c>
      <c r="K2251" s="120">
        <f t="shared" si="882"/>
        <v>0</v>
      </c>
      <c r="L2251" s="120">
        <f t="shared" si="883"/>
        <v>0</v>
      </c>
      <c r="M2251" s="246">
        <f t="shared" si="884"/>
        <v>0</v>
      </c>
      <c r="N2251" s="121">
        <f t="shared" si="885"/>
        <v>1</v>
      </c>
      <c r="O2251" s="246">
        <f t="shared" si="886"/>
        <v>0.9928172866520788</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87">
        <v>14</v>
      </c>
      <c r="B2252" s="242">
        <f t="shared" si="893"/>
        <v>46054</v>
      </c>
      <c r="C2252" s="243">
        <f t="shared" si="874"/>
        <v>46081</v>
      </c>
      <c r="D2252" s="120">
        <f t="shared" si="875"/>
        <v>28</v>
      </c>
      <c r="E2252" s="120">
        <f t="shared" si="876"/>
        <v>2</v>
      </c>
      <c r="F2252" s="275">
        <f t="shared" si="877"/>
        <v>46068</v>
      </c>
      <c r="G2252" s="120">
        <f t="shared" si="878"/>
        <v>24313</v>
      </c>
      <c r="H2252" s="245">
        <f t="shared" si="879"/>
        <v>1</v>
      </c>
      <c r="I2252" s="121">
        <f t="shared" si="880"/>
        <v>1</v>
      </c>
      <c r="J2252" s="121">
        <f t="shared" si="881"/>
        <v>1</v>
      </c>
      <c r="K2252" s="120">
        <f t="shared" si="882"/>
        <v>0</v>
      </c>
      <c r="L2252" s="120">
        <f t="shared" si="883"/>
        <v>0</v>
      </c>
      <c r="M2252" s="246">
        <f t="shared" si="884"/>
        <v>0</v>
      </c>
      <c r="N2252" s="121">
        <f t="shared" si="885"/>
        <v>1</v>
      </c>
      <c r="O2252" s="246">
        <f t="shared" si="886"/>
        <v>0.99249452954048134</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87">
        <v>15</v>
      </c>
      <c r="B2253" s="242">
        <f t="shared" si="893"/>
        <v>46082</v>
      </c>
      <c r="C2253" s="243">
        <f t="shared" si="874"/>
        <v>46112</v>
      </c>
      <c r="D2253" s="120">
        <f t="shared" si="875"/>
        <v>31</v>
      </c>
      <c r="E2253" s="120">
        <f t="shared" si="876"/>
        <v>3</v>
      </c>
      <c r="F2253" s="275">
        <f t="shared" si="877"/>
        <v>46097.5</v>
      </c>
      <c r="G2253" s="120">
        <f t="shared" si="878"/>
        <v>24314</v>
      </c>
      <c r="H2253" s="245">
        <f t="shared" si="879"/>
        <v>1</v>
      </c>
      <c r="I2253" s="121">
        <f t="shared" si="880"/>
        <v>1</v>
      </c>
      <c r="J2253" s="121">
        <f t="shared" si="881"/>
        <v>1</v>
      </c>
      <c r="K2253" s="120">
        <f t="shared" si="882"/>
        <v>0</v>
      </c>
      <c r="L2253" s="120">
        <f t="shared" si="883"/>
        <v>0</v>
      </c>
      <c r="M2253" s="246">
        <f t="shared" si="884"/>
        <v>0</v>
      </c>
      <c r="N2253" s="121">
        <f t="shared" si="885"/>
        <v>1</v>
      </c>
      <c r="O2253" s="246">
        <f t="shared" si="886"/>
        <v>0.99217177242888399</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87">
        <v>16</v>
      </c>
      <c r="B2254" s="242">
        <f t="shared" si="893"/>
        <v>46113</v>
      </c>
      <c r="C2254" s="243">
        <f t="shared" si="874"/>
        <v>46142</v>
      </c>
      <c r="D2254" s="120">
        <f t="shared" si="875"/>
        <v>30</v>
      </c>
      <c r="E2254" s="120">
        <f t="shared" si="876"/>
        <v>4</v>
      </c>
      <c r="F2254" s="275">
        <f t="shared" si="877"/>
        <v>46128</v>
      </c>
      <c r="G2254" s="120">
        <f t="shared" si="878"/>
        <v>24315</v>
      </c>
      <c r="H2254" s="245">
        <f t="shared" si="879"/>
        <v>1</v>
      </c>
      <c r="I2254" s="121">
        <f t="shared" si="880"/>
        <v>1</v>
      </c>
      <c r="J2254" s="121">
        <f t="shared" si="881"/>
        <v>1</v>
      </c>
      <c r="K2254" s="120">
        <f t="shared" si="882"/>
        <v>0</v>
      </c>
      <c r="L2254" s="120">
        <f t="shared" si="883"/>
        <v>0</v>
      </c>
      <c r="M2254" s="246">
        <f t="shared" si="884"/>
        <v>0</v>
      </c>
      <c r="N2254" s="121">
        <f t="shared" si="885"/>
        <v>1</v>
      </c>
      <c r="O2254" s="246">
        <f t="shared" si="886"/>
        <v>0.99183807439824945</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87">
        <v>17</v>
      </c>
      <c r="B2255" s="242">
        <f t="shared" si="893"/>
        <v>46143</v>
      </c>
      <c r="C2255" s="243">
        <f t="shared" si="874"/>
        <v>46173</v>
      </c>
      <c r="D2255" s="120">
        <f t="shared" si="875"/>
        <v>31</v>
      </c>
      <c r="E2255" s="120">
        <f t="shared" si="876"/>
        <v>5</v>
      </c>
      <c r="F2255" s="275">
        <f t="shared" si="877"/>
        <v>46158.5</v>
      </c>
      <c r="G2255" s="120">
        <f t="shared" si="878"/>
        <v>24316</v>
      </c>
      <c r="H2255" s="245">
        <f t="shared" si="879"/>
        <v>1</v>
      </c>
      <c r="I2255" s="121">
        <f t="shared" si="880"/>
        <v>1</v>
      </c>
      <c r="J2255" s="121">
        <f t="shared" si="881"/>
        <v>1.02</v>
      </c>
      <c r="K2255" s="120">
        <f t="shared" si="882"/>
        <v>1</v>
      </c>
      <c r="L2255" s="120">
        <f t="shared" si="883"/>
        <v>31</v>
      </c>
      <c r="M2255" s="246">
        <f t="shared" si="884"/>
        <v>1</v>
      </c>
      <c r="N2255" s="121">
        <f t="shared" si="885"/>
        <v>1.02</v>
      </c>
      <c r="O2255" s="246">
        <f t="shared" si="886"/>
        <v>0.9915043763676149</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87">
        <v>18</v>
      </c>
      <c r="B2256" s="242">
        <f t="shared" si="893"/>
        <v>46174</v>
      </c>
      <c r="C2256" s="243">
        <f t="shared" si="874"/>
        <v>46203</v>
      </c>
      <c r="D2256" s="120">
        <f t="shared" si="875"/>
        <v>30</v>
      </c>
      <c r="E2256" s="120">
        <f t="shared" si="876"/>
        <v>6</v>
      </c>
      <c r="F2256" s="275">
        <f t="shared" si="877"/>
        <v>46189</v>
      </c>
      <c r="G2256" s="120">
        <f t="shared" si="878"/>
        <v>24317</v>
      </c>
      <c r="H2256" s="245">
        <f t="shared" si="879"/>
        <v>1</v>
      </c>
      <c r="I2256" s="121">
        <f t="shared" si="880"/>
        <v>1.02</v>
      </c>
      <c r="J2256" s="121">
        <f t="shared" si="881"/>
        <v>1.02</v>
      </c>
      <c r="K2256" s="120">
        <f t="shared" si="882"/>
        <v>0</v>
      </c>
      <c r="L2256" s="120">
        <f t="shared" si="883"/>
        <v>0</v>
      </c>
      <c r="M2256" s="246">
        <f t="shared" si="884"/>
        <v>0</v>
      </c>
      <c r="N2256" s="121">
        <f t="shared" si="885"/>
        <v>1.02</v>
      </c>
      <c r="O2256" s="246">
        <f t="shared" si="886"/>
        <v>0.99117067833698025</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87">
        <v>19</v>
      </c>
      <c r="B2257" s="242">
        <f t="shared" si="893"/>
        <v>46204</v>
      </c>
      <c r="C2257" s="243">
        <f t="shared" si="874"/>
        <v>46234</v>
      </c>
      <c r="D2257" s="120">
        <f t="shared" si="875"/>
        <v>31</v>
      </c>
      <c r="E2257" s="120">
        <f t="shared" si="876"/>
        <v>7</v>
      </c>
      <c r="F2257" s="275">
        <f t="shared" si="877"/>
        <v>46219.5</v>
      </c>
      <c r="G2257" s="120">
        <f t="shared" si="878"/>
        <v>24318</v>
      </c>
      <c r="H2257" s="245">
        <f t="shared" si="879"/>
        <v>1</v>
      </c>
      <c r="I2257" s="121">
        <f t="shared" si="880"/>
        <v>1.02</v>
      </c>
      <c r="J2257" s="121">
        <f t="shared" si="881"/>
        <v>1.02</v>
      </c>
      <c r="K2257" s="120">
        <f t="shared" si="882"/>
        <v>0</v>
      </c>
      <c r="L2257" s="120">
        <f t="shared" si="883"/>
        <v>0</v>
      </c>
      <c r="M2257" s="246">
        <f t="shared" si="884"/>
        <v>0</v>
      </c>
      <c r="N2257" s="121">
        <f t="shared" si="885"/>
        <v>1.02</v>
      </c>
      <c r="O2257" s="246">
        <f t="shared" si="886"/>
        <v>0.9908369803063457</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87">
        <v>20</v>
      </c>
      <c r="B2258" s="242">
        <f t="shared" si="893"/>
        <v>46235</v>
      </c>
      <c r="C2258" s="243">
        <f t="shared" si="874"/>
        <v>46265</v>
      </c>
      <c r="D2258" s="120">
        <f t="shared" si="875"/>
        <v>31</v>
      </c>
      <c r="E2258" s="120">
        <f t="shared" si="876"/>
        <v>8</v>
      </c>
      <c r="F2258" s="275">
        <f t="shared" si="877"/>
        <v>46250.5</v>
      </c>
      <c r="G2258" s="120">
        <f t="shared" si="878"/>
        <v>24319</v>
      </c>
      <c r="H2258" s="245">
        <f t="shared" si="879"/>
        <v>1</v>
      </c>
      <c r="I2258" s="121">
        <f t="shared" si="880"/>
        <v>1.02</v>
      </c>
      <c r="J2258" s="121">
        <f t="shared" si="881"/>
        <v>1.02</v>
      </c>
      <c r="K2258" s="120">
        <f t="shared" si="882"/>
        <v>0</v>
      </c>
      <c r="L2258" s="120">
        <f t="shared" si="883"/>
        <v>0</v>
      </c>
      <c r="M2258" s="246">
        <f t="shared" si="884"/>
        <v>0</v>
      </c>
      <c r="N2258" s="121">
        <f t="shared" si="885"/>
        <v>1.02</v>
      </c>
      <c r="O2258" s="246">
        <f t="shared" si="886"/>
        <v>0.99049781181619256</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87">
        <v>21</v>
      </c>
      <c r="B2259" s="242">
        <f t="shared" si="893"/>
        <v>46266</v>
      </c>
      <c r="C2259" s="243">
        <f t="shared" si="874"/>
        <v>46295</v>
      </c>
      <c r="D2259" s="120">
        <f t="shared" si="875"/>
        <v>30</v>
      </c>
      <c r="E2259" s="120">
        <f t="shared" si="876"/>
        <v>9</v>
      </c>
      <c r="F2259" s="275">
        <f t="shared" si="877"/>
        <v>46281</v>
      </c>
      <c r="G2259" s="120">
        <f t="shared" si="878"/>
        <v>24320</v>
      </c>
      <c r="H2259" s="245">
        <f t="shared" si="879"/>
        <v>1</v>
      </c>
      <c r="I2259" s="121">
        <f t="shared" si="880"/>
        <v>1.02</v>
      </c>
      <c r="J2259" s="121">
        <f t="shared" si="881"/>
        <v>1.02</v>
      </c>
      <c r="K2259" s="120">
        <f t="shared" si="882"/>
        <v>0</v>
      </c>
      <c r="L2259" s="120">
        <f t="shared" si="883"/>
        <v>0</v>
      </c>
      <c r="M2259" s="246">
        <f t="shared" si="884"/>
        <v>0</v>
      </c>
      <c r="N2259" s="121">
        <f t="shared" si="885"/>
        <v>1.02</v>
      </c>
      <c r="O2259" s="246">
        <f t="shared" si="886"/>
        <v>0.99016411378555802</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87">
        <v>22</v>
      </c>
      <c r="B2260" s="242">
        <f t="shared" si="893"/>
        <v>46296</v>
      </c>
      <c r="C2260" s="243">
        <f t="shared" si="874"/>
        <v>46326</v>
      </c>
      <c r="D2260" s="120">
        <f t="shared" si="875"/>
        <v>31</v>
      </c>
      <c r="E2260" s="120">
        <f t="shared" si="876"/>
        <v>10</v>
      </c>
      <c r="F2260" s="275">
        <f t="shared" si="877"/>
        <v>46311.5</v>
      </c>
      <c r="G2260" s="120">
        <f t="shared" si="878"/>
        <v>24321</v>
      </c>
      <c r="H2260" s="245">
        <f t="shared" si="879"/>
        <v>1</v>
      </c>
      <c r="I2260" s="121">
        <f t="shared" si="880"/>
        <v>1.02</v>
      </c>
      <c r="J2260" s="121">
        <f t="shared" si="881"/>
        <v>1.02</v>
      </c>
      <c r="K2260" s="120">
        <f t="shared" si="882"/>
        <v>0</v>
      </c>
      <c r="L2260" s="120">
        <f t="shared" si="883"/>
        <v>0</v>
      </c>
      <c r="M2260" s="246">
        <f t="shared" si="884"/>
        <v>0</v>
      </c>
      <c r="N2260" s="121">
        <f t="shared" si="885"/>
        <v>1.02</v>
      </c>
      <c r="O2260" s="246">
        <f t="shared" si="886"/>
        <v>0.98983041575492337</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87">
        <v>23</v>
      </c>
      <c r="B2261" s="242">
        <f t="shared" si="893"/>
        <v>46327</v>
      </c>
      <c r="C2261" s="243">
        <f t="shared" si="874"/>
        <v>46356</v>
      </c>
      <c r="D2261" s="120">
        <f t="shared" si="875"/>
        <v>30</v>
      </c>
      <c r="E2261" s="120">
        <f t="shared" si="876"/>
        <v>11</v>
      </c>
      <c r="F2261" s="275">
        <f t="shared" si="877"/>
        <v>46342</v>
      </c>
      <c r="G2261" s="120">
        <f t="shared" si="878"/>
        <v>24322</v>
      </c>
      <c r="H2261" s="245">
        <f t="shared" si="879"/>
        <v>1</v>
      </c>
      <c r="I2261" s="121">
        <f t="shared" si="880"/>
        <v>1.02</v>
      </c>
      <c r="J2261" s="121">
        <f t="shared" si="881"/>
        <v>1.02</v>
      </c>
      <c r="K2261" s="120">
        <f t="shared" si="882"/>
        <v>0</v>
      </c>
      <c r="L2261" s="120">
        <f t="shared" si="883"/>
        <v>0</v>
      </c>
      <c r="M2261" s="246">
        <f t="shared" si="884"/>
        <v>0</v>
      </c>
      <c r="N2261" s="121">
        <f t="shared" si="885"/>
        <v>1.02</v>
      </c>
      <c r="O2261" s="246">
        <f t="shared" si="886"/>
        <v>0.98949671772428882</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87">
        <v>24</v>
      </c>
      <c r="B2262" s="242">
        <f t="shared" si="893"/>
        <v>46357</v>
      </c>
      <c r="C2262" s="243">
        <f t="shared" si="874"/>
        <v>46387</v>
      </c>
      <c r="D2262" s="120">
        <f t="shared" si="875"/>
        <v>31</v>
      </c>
      <c r="E2262" s="120">
        <f t="shared" si="876"/>
        <v>12</v>
      </c>
      <c r="F2262" s="275">
        <f t="shared" si="877"/>
        <v>46372.5</v>
      </c>
      <c r="G2262" s="120">
        <f t="shared" si="878"/>
        <v>24323</v>
      </c>
      <c r="H2262" s="245">
        <f t="shared" si="879"/>
        <v>1</v>
      </c>
      <c r="I2262" s="121">
        <f t="shared" si="880"/>
        <v>1.02</v>
      </c>
      <c r="J2262" s="121">
        <f t="shared" si="881"/>
        <v>1.02</v>
      </c>
      <c r="K2262" s="120">
        <f t="shared" si="882"/>
        <v>0</v>
      </c>
      <c r="L2262" s="120">
        <f t="shared" si="883"/>
        <v>0</v>
      </c>
      <c r="M2262" s="246">
        <f t="shared" si="884"/>
        <v>0</v>
      </c>
      <c r="N2262" s="121">
        <f t="shared" si="885"/>
        <v>1.02</v>
      </c>
      <c r="O2262" s="246">
        <f t="shared" si="886"/>
        <v>0.98916301969365428</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87">
        <v>25</v>
      </c>
      <c r="B2263" s="242">
        <f t="shared" si="893"/>
        <v>46388</v>
      </c>
      <c r="C2263" s="243">
        <f t="shared" si="874"/>
        <v>46418</v>
      </c>
      <c r="D2263" s="120">
        <f t="shared" si="875"/>
        <v>31</v>
      </c>
      <c r="E2263" s="120">
        <f t="shared" si="876"/>
        <v>1</v>
      </c>
      <c r="F2263" s="275">
        <f t="shared" si="877"/>
        <v>46403.5</v>
      </c>
      <c r="G2263" s="120">
        <f t="shared" si="878"/>
        <v>24324</v>
      </c>
      <c r="H2263" s="245">
        <f t="shared" si="879"/>
        <v>1</v>
      </c>
      <c r="I2263" s="121">
        <f t="shared" si="880"/>
        <v>1.02</v>
      </c>
      <c r="J2263" s="121">
        <f t="shared" si="881"/>
        <v>1.02</v>
      </c>
      <c r="K2263" s="120">
        <f t="shared" si="882"/>
        <v>0</v>
      </c>
      <c r="L2263" s="120">
        <f t="shared" si="883"/>
        <v>0</v>
      </c>
      <c r="M2263" s="246">
        <f t="shared" si="884"/>
        <v>0</v>
      </c>
      <c r="N2263" s="121">
        <f t="shared" si="885"/>
        <v>1.02</v>
      </c>
      <c r="O2263" s="246">
        <f t="shared" si="886"/>
        <v>0.98882385120350114</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87">
        <v>26</v>
      </c>
      <c r="B2264" s="242">
        <f t="shared" si="893"/>
        <v>46419</v>
      </c>
      <c r="C2264" s="243">
        <f t="shared" si="874"/>
        <v>46446</v>
      </c>
      <c r="D2264" s="120">
        <f t="shared" si="875"/>
        <v>28</v>
      </c>
      <c r="E2264" s="120">
        <f t="shared" si="876"/>
        <v>2</v>
      </c>
      <c r="F2264" s="275">
        <f t="shared" si="877"/>
        <v>46433</v>
      </c>
      <c r="G2264" s="120">
        <f t="shared" si="878"/>
        <v>24325</v>
      </c>
      <c r="H2264" s="245">
        <f t="shared" si="879"/>
        <v>1</v>
      </c>
      <c r="I2264" s="121">
        <f t="shared" si="880"/>
        <v>1.02</v>
      </c>
      <c r="J2264" s="121">
        <f t="shared" si="881"/>
        <v>1.02</v>
      </c>
      <c r="K2264" s="120">
        <f t="shared" si="882"/>
        <v>0</v>
      </c>
      <c r="L2264" s="120">
        <f t="shared" si="883"/>
        <v>0</v>
      </c>
      <c r="M2264" s="246">
        <f t="shared" si="884"/>
        <v>0</v>
      </c>
      <c r="N2264" s="121">
        <f t="shared" si="885"/>
        <v>1.02</v>
      </c>
      <c r="O2264" s="246">
        <f t="shared" si="886"/>
        <v>0.98850109409190368</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87">
        <v>27</v>
      </c>
      <c r="B2265" s="242">
        <f t="shared" si="893"/>
        <v>46447</v>
      </c>
      <c r="C2265" s="243">
        <f t="shared" si="874"/>
        <v>46477</v>
      </c>
      <c r="D2265" s="120">
        <f t="shared" si="875"/>
        <v>31</v>
      </c>
      <c r="E2265" s="120">
        <f t="shared" si="876"/>
        <v>3</v>
      </c>
      <c r="F2265" s="275">
        <f t="shared" si="877"/>
        <v>46462.5</v>
      </c>
      <c r="G2265" s="120">
        <f t="shared" si="878"/>
        <v>24326</v>
      </c>
      <c r="H2265" s="245">
        <f t="shared" si="879"/>
        <v>1</v>
      </c>
      <c r="I2265" s="121">
        <f t="shared" si="880"/>
        <v>1.02</v>
      </c>
      <c r="J2265" s="121">
        <f t="shared" si="881"/>
        <v>1.02</v>
      </c>
      <c r="K2265" s="120">
        <f t="shared" si="882"/>
        <v>0</v>
      </c>
      <c r="L2265" s="120">
        <f t="shared" si="883"/>
        <v>0</v>
      </c>
      <c r="M2265" s="246">
        <f t="shared" si="884"/>
        <v>0</v>
      </c>
      <c r="N2265" s="121">
        <f t="shared" si="885"/>
        <v>1.02</v>
      </c>
      <c r="O2265" s="246">
        <f t="shared" si="886"/>
        <v>0.98817833698030633</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87">
        <v>28</v>
      </c>
      <c r="B2266" s="242">
        <f t="shared" si="893"/>
        <v>46478</v>
      </c>
      <c r="C2266" s="243">
        <f t="shared" si="874"/>
        <v>46507</v>
      </c>
      <c r="D2266" s="120">
        <f t="shared" si="875"/>
        <v>30</v>
      </c>
      <c r="E2266" s="120">
        <f t="shared" si="876"/>
        <v>4</v>
      </c>
      <c r="F2266" s="275">
        <f t="shared" si="877"/>
        <v>46493</v>
      </c>
      <c r="G2266" s="120">
        <f t="shared" si="878"/>
        <v>24327</v>
      </c>
      <c r="H2266" s="245">
        <f t="shared" si="879"/>
        <v>1</v>
      </c>
      <c r="I2266" s="121">
        <f t="shared" si="880"/>
        <v>1.02</v>
      </c>
      <c r="J2266" s="121">
        <f t="shared" si="881"/>
        <v>1.02</v>
      </c>
      <c r="K2266" s="120">
        <f t="shared" si="882"/>
        <v>0</v>
      </c>
      <c r="L2266" s="120">
        <f t="shared" si="883"/>
        <v>0</v>
      </c>
      <c r="M2266" s="246">
        <f t="shared" si="884"/>
        <v>0</v>
      </c>
      <c r="N2266" s="121">
        <f t="shared" si="885"/>
        <v>1.02</v>
      </c>
      <c r="O2266" s="246">
        <f t="shared" si="886"/>
        <v>0.98784463894967178</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87">
        <v>29</v>
      </c>
      <c r="B2267" s="242">
        <f t="shared" si="893"/>
        <v>46508</v>
      </c>
      <c r="C2267" s="243">
        <f t="shared" si="874"/>
        <v>46538</v>
      </c>
      <c r="D2267" s="120">
        <f t="shared" si="875"/>
        <v>31</v>
      </c>
      <c r="E2267" s="120">
        <f t="shared" si="876"/>
        <v>5</v>
      </c>
      <c r="F2267" s="275">
        <f t="shared" si="877"/>
        <v>46523.5</v>
      </c>
      <c r="G2267" s="120">
        <f t="shared" si="878"/>
        <v>24328</v>
      </c>
      <c r="H2267" s="245">
        <f t="shared" si="879"/>
        <v>1</v>
      </c>
      <c r="I2267" s="121">
        <f t="shared" si="880"/>
        <v>1.02</v>
      </c>
      <c r="J2267" s="121">
        <f t="shared" si="881"/>
        <v>1.02</v>
      </c>
      <c r="K2267" s="120">
        <f t="shared" si="882"/>
        <v>0</v>
      </c>
      <c r="L2267" s="120">
        <f t="shared" si="883"/>
        <v>0</v>
      </c>
      <c r="M2267" s="246">
        <f t="shared" si="884"/>
        <v>0</v>
      </c>
      <c r="N2267" s="121">
        <f t="shared" si="885"/>
        <v>1.02</v>
      </c>
      <c r="O2267" s="246">
        <f t="shared" si="886"/>
        <v>0.98751094091903724</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87">
        <v>30</v>
      </c>
      <c r="B2268" s="242">
        <f t="shared" si="893"/>
        <v>46539</v>
      </c>
      <c r="C2268" s="243">
        <f t="shared" si="874"/>
        <v>46568</v>
      </c>
      <c r="D2268" s="120">
        <f t="shared" si="875"/>
        <v>30</v>
      </c>
      <c r="E2268" s="120">
        <f t="shared" si="876"/>
        <v>6</v>
      </c>
      <c r="F2268" s="275">
        <f t="shared" si="877"/>
        <v>46554</v>
      </c>
      <c r="G2268" s="120">
        <f t="shared" si="878"/>
        <v>24329</v>
      </c>
      <c r="H2268" s="245">
        <f t="shared" si="879"/>
        <v>1</v>
      </c>
      <c r="I2268" s="121">
        <f t="shared" si="880"/>
        <v>1.02</v>
      </c>
      <c r="J2268" s="121">
        <f t="shared" si="881"/>
        <v>1.02</v>
      </c>
      <c r="K2268" s="120">
        <f t="shared" si="882"/>
        <v>0</v>
      </c>
      <c r="L2268" s="120">
        <f t="shared" si="883"/>
        <v>0</v>
      </c>
      <c r="M2268" s="246">
        <f t="shared" si="884"/>
        <v>0</v>
      </c>
      <c r="N2268" s="121">
        <f t="shared" si="885"/>
        <v>1.02</v>
      </c>
      <c r="O2268" s="246">
        <f t="shared" si="886"/>
        <v>0.98717724288840258</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87">
        <v>31</v>
      </c>
      <c r="B2269" s="242">
        <f t="shared" si="893"/>
        <v>46569</v>
      </c>
      <c r="C2269" s="243">
        <f t="shared" si="874"/>
        <v>46599</v>
      </c>
      <c r="D2269" s="120">
        <f t="shared" si="875"/>
        <v>31</v>
      </c>
      <c r="E2269" s="120">
        <f t="shared" si="876"/>
        <v>7</v>
      </c>
      <c r="F2269" s="275">
        <f t="shared" si="877"/>
        <v>46584.5</v>
      </c>
      <c r="G2269" s="120">
        <f t="shared" si="878"/>
        <v>24330</v>
      </c>
      <c r="H2269" s="245">
        <f t="shared" si="879"/>
        <v>1</v>
      </c>
      <c r="I2269" s="121">
        <f t="shared" si="880"/>
        <v>1.02</v>
      </c>
      <c r="J2269" s="121">
        <f t="shared" si="881"/>
        <v>1.02</v>
      </c>
      <c r="K2269" s="120">
        <f t="shared" si="882"/>
        <v>0</v>
      </c>
      <c r="L2269" s="120">
        <f t="shared" si="883"/>
        <v>0</v>
      </c>
      <c r="M2269" s="246">
        <f t="shared" si="884"/>
        <v>0</v>
      </c>
      <c r="N2269" s="121">
        <f t="shared" si="885"/>
        <v>1.02</v>
      </c>
      <c r="O2269" s="246">
        <f t="shared" si="886"/>
        <v>0.98684354485776804</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87">
        <v>32</v>
      </c>
      <c r="B2270" s="242">
        <f t="shared" si="893"/>
        <v>46600</v>
      </c>
      <c r="C2270" s="243">
        <f t="shared" si="874"/>
        <v>46630</v>
      </c>
      <c r="D2270" s="120">
        <f t="shared" si="875"/>
        <v>31</v>
      </c>
      <c r="E2270" s="120">
        <f t="shared" si="876"/>
        <v>8</v>
      </c>
      <c r="F2270" s="275">
        <f t="shared" si="877"/>
        <v>46615.5</v>
      </c>
      <c r="G2270" s="120">
        <f t="shared" si="878"/>
        <v>24331</v>
      </c>
      <c r="H2270" s="245">
        <f t="shared" si="879"/>
        <v>1</v>
      </c>
      <c r="I2270" s="121">
        <f t="shared" si="880"/>
        <v>1.02</v>
      </c>
      <c r="J2270" s="121">
        <f t="shared" si="881"/>
        <v>1.02</v>
      </c>
      <c r="K2270" s="120">
        <f t="shared" si="882"/>
        <v>0</v>
      </c>
      <c r="L2270" s="120">
        <f t="shared" si="883"/>
        <v>0</v>
      </c>
      <c r="M2270" s="246">
        <f t="shared" si="884"/>
        <v>0</v>
      </c>
      <c r="N2270" s="121">
        <f t="shared" si="885"/>
        <v>1.02</v>
      </c>
      <c r="O2270" s="246">
        <f t="shared" si="886"/>
        <v>0.9865043763676149</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87">
        <v>33</v>
      </c>
      <c r="B2271" s="242">
        <f t="shared" si="893"/>
        <v>46631</v>
      </c>
      <c r="C2271" s="243">
        <f t="shared" si="874"/>
        <v>46660</v>
      </c>
      <c r="D2271" s="120">
        <f t="shared" si="875"/>
        <v>30</v>
      </c>
      <c r="E2271" s="120">
        <f t="shared" si="876"/>
        <v>9</v>
      </c>
      <c r="F2271" s="275">
        <f t="shared" si="877"/>
        <v>46646</v>
      </c>
      <c r="G2271" s="120">
        <f t="shared" si="878"/>
        <v>24332</v>
      </c>
      <c r="H2271" s="245">
        <f t="shared" si="879"/>
        <v>1</v>
      </c>
      <c r="I2271" s="121">
        <f t="shared" si="880"/>
        <v>1.02</v>
      </c>
      <c r="J2271" s="121">
        <f t="shared" si="881"/>
        <v>1.02</v>
      </c>
      <c r="K2271" s="120">
        <f t="shared" si="882"/>
        <v>0</v>
      </c>
      <c r="L2271" s="120">
        <f t="shared" si="883"/>
        <v>0</v>
      </c>
      <c r="M2271" s="246">
        <f t="shared" si="884"/>
        <v>0</v>
      </c>
      <c r="N2271" s="121">
        <f t="shared" si="885"/>
        <v>1.02</v>
      </c>
      <c r="O2271" s="246">
        <f t="shared" si="886"/>
        <v>0.98617067833698024</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87">
        <v>34</v>
      </c>
      <c r="B2272" s="242">
        <f t="shared" si="893"/>
        <v>46661</v>
      </c>
      <c r="C2272" s="243">
        <f t="shared" si="874"/>
        <v>46691</v>
      </c>
      <c r="D2272" s="120">
        <f t="shared" si="875"/>
        <v>31</v>
      </c>
      <c r="E2272" s="120">
        <f t="shared" si="876"/>
        <v>10</v>
      </c>
      <c r="F2272" s="275">
        <f t="shared" si="877"/>
        <v>46676.5</v>
      </c>
      <c r="G2272" s="120">
        <f t="shared" si="878"/>
        <v>24333</v>
      </c>
      <c r="H2272" s="245">
        <f t="shared" si="879"/>
        <v>1</v>
      </c>
      <c r="I2272" s="121">
        <f t="shared" si="880"/>
        <v>1.02</v>
      </c>
      <c r="J2272" s="121">
        <f t="shared" si="881"/>
        <v>1.02</v>
      </c>
      <c r="K2272" s="120">
        <f t="shared" si="882"/>
        <v>0</v>
      </c>
      <c r="L2272" s="120">
        <f t="shared" si="883"/>
        <v>0</v>
      </c>
      <c r="M2272" s="246">
        <f t="shared" si="884"/>
        <v>0</v>
      </c>
      <c r="N2272" s="121">
        <f t="shared" si="885"/>
        <v>1.02</v>
      </c>
      <c r="O2272" s="246">
        <f t="shared" si="886"/>
        <v>0.9858369803063457</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87">
        <v>35</v>
      </c>
      <c r="B2273" s="242">
        <f t="shared" si="893"/>
        <v>46692</v>
      </c>
      <c r="C2273" s="243">
        <f t="shared" si="874"/>
        <v>46721</v>
      </c>
      <c r="D2273" s="120">
        <f t="shared" si="875"/>
        <v>30</v>
      </c>
      <c r="E2273" s="120">
        <f t="shared" si="876"/>
        <v>11</v>
      </c>
      <c r="F2273" s="275">
        <f t="shared" si="877"/>
        <v>46707</v>
      </c>
      <c r="G2273" s="120">
        <f t="shared" si="878"/>
        <v>24334</v>
      </c>
      <c r="H2273" s="245">
        <f t="shared" si="879"/>
        <v>1</v>
      </c>
      <c r="I2273" s="121">
        <f t="shared" si="880"/>
        <v>1.02</v>
      </c>
      <c r="J2273" s="121">
        <f t="shared" si="881"/>
        <v>1.02</v>
      </c>
      <c r="K2273" s="120">
        <f t="shared" si="882"/>
        <v>0</v>
      </c>
      <c r="L2273" s="120">
        <f t="shared" si="883"/>
        <v>0</v>
      </c>
      <c r="M2273" s="246">
        <f t="shared" si="884"/>
        <v>0</v>
      </c>
      <c r="N2273" s="121">
        <f t="shared" si="885"/>
        <v>1.02</v>
      </c>
      <c r="O2273" s="246">
        <f t="shared" si="886"/>
        <v>0.98550328227571116</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87">
        <v>36</v>
      </c>
      <c r="B2274" s="242">
        <f t="shared" si="893"/>
        <v>46722</v>
      </c>
      <c r="C2274" s="243">
        <f t="shared" si="874"/>
        <v>46752</v>
      </c>
      <c r="D2274" s="120">
        <f t="shared" si="875"/>
        <v>31</v>
      </c>
      <c r="E2274" s="120">
        <f t="shared" si="876"/>
        <v>12</v>
      </c>
      <c r="F2274" s="275">
        <f t="shared" si="877"/>
        <v>46737.5</v>
      </c>
      <c r="G2274" s="120">
        <f t="shared" si="878"/>
        <v>24335</v>
      </c>
      <c r="H2274" s="245">
        <f t="shared" si="879"/>
        <v>1</v>
      </c>
      <c r="I2274" s="121">
        <f t="shared" si="880"/>
        <v>1.02</v>
      </c>
      <c r="J2274" s="121">
        <f t="shared" si="881"/>
        <v>1.02</v>
      </c>
      <c r="K2274" s="120">
        <f t="shared" si="882"/>
        <v>0</v>
      </c>
      <c r="L2274" s="120">
        <f t="shared" si="883"/>
        <v>0</v>
      </c>
      <c r="M2274" s="246">
        <f t="shared" si="884"/>
        <v>0</v>
      </c>
      <c r="N2274" s="121">
        <f t="shared" si="885"/>
        <v>1.02</v>
      </c>
      <c r="O2274" s="246">
        <f t="shared" si="886"/>
        <v>0.98516958424507661</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87">
        <v>37</v>
      </c>
      <c r="B2275" s="242">
        <f t="shared" si="893"/>
        <v>46753</v>
      </c>
      <c r="C2275" s="243">
        <f t="shared" si="874"/>
        <v>46783</v>
      </c>
      <c r="D2275" s="120">
        <f t="shared" si="875"/>
        <v>31</v>
      </c>
      <c r="E2275" s="120">
        <f t="shared" si="876"/>
        <v>1</v>
      </c>
      <c r="F2275" s="275">
        <f t="shared" si="877"/>
        <v>46768.5</v>
      </c>
      <c r="G2275" s="120">
        <f t="shared" si="878"/>
        <v>24336</v>
      </c>
      <c r="H2275" s="245">
        <f t="shared" si="879"/>
        <v>1</v>
      </c>
      <c r="I2275" s="121">
        <f t="shared" si="880"/>
        <v>1.02</v>
      </c>
      <c r="J2275" s="121">
        <f t="shared" si="881"/>
        <v>1.02</v>
      </c>
      <c r="K2275" s="120">
        <f t="shared" si="882"/>
        <v>0</v>
      </c>
      <c r="L2275" s="120">
        <f t="shared" si="883"/>
        <v>0</v>
      </c>
      <c r="M2275" s="246">
        <f t="shared" si="884"/>
        <v>0</v>
      </c>
      <c r="N2275" s="121">
        <f t="shared" si="885"/>
        <v>1.02</v>
      </c>
      <c r="O2275" s="246">
        <f t="shared" si="886"/>
        <v>0.98499999999999999</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87">
        <v>38</v>
      </c>
      <c r="B2276" s="242">
        <f t="shared" si="893"/>
        <v>46784</v>
      </c>
      <c r="C2276" s="243">
        <f t="shared" si="874"/>
        <v>46812</v>
      </c>
      <c r="D2276" s="120">
        <f t="shared" si="875"/>
        <v>29</v>
      </c>
      <c r="E2276" s="120">
        <f t="shared" si="876"/>
        <v>2</v>
      </c>
      <c r="F2276" s="275">
        <f t="shared" si="877"/>
        <v>46798.5</v>
      </c>
      <c r="G2276" s="120">
        <f t="shared" si="878"/>
        <v>24337</v>
      </c>
      <c r="H2276" s="245">
        <f t="shared" si="879"/>
        <v>1</v>
      </c>
      <c r="I2276" s="121">
        <f t="shared" si="880"/>
        <v>1.02</v>
      </c>
      <c r="J2276" s="121">
        <f t="shared" si="881"/>
        <v>1.02</v>
      </c>
      <c r="K2276" s="120">
        <f t="shared" si="882"/>
        <v>0</v>
      </c>
      <c r="L2276" s="120">
        <f t="shared" si="883"/>
        <v>0</v>
      </c>
      <c r="M2276" s="246">
        <f t="shared" si="884"/>
        <v>0</v>
      </c>
      <c r="N2276" s="121">
        <f t="shared" si="885"/>
        <v>1.02</v>
      </c>
      <c r="O2276" s="246">
        <f t="shared" si="886"/>
        <v>0.98499999999999999</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87">
        <v>39</v>
      </c>
      <c r="B2277" s="242">
        <f t="shared" si="893"/>
        <v>46813</v>
      </c>
      <c r="C2277" s="243">
        <f t="shared" si="874"/>
        <v>46843</v>
      </c>
      <c r="D2277" s="120">
        <f t="shared" si="875"/>
        <v>31</v>
      </c>
      <c r="E2277" s="120">
        <f t="shared" si="876"/>
        <v>3</v>
      </c>
      <c r="F2277" s="275">
        <f t="shared" si="877"/>
        <v>46828.5</v>
      </c>
      <c r="G2277" s="120">
        <f t="shared" si="878"/>
        <v>24338</v>
      </c>
      <c r="H2277" s="245">
        <f t="shared" si="879"/>
        <v>1</v>
      </c>
      <c r="I2277" s="121">
        <f t="shared" si="880"/>
        <v>1.02</v>
      </c>
      <c r="J2277" s="121">
        <f t="shared" si="881"/>
        <v>1.02</v>
      </c>
      <c r="K2277" s="120">
        <f t="shared" si="882"/>
        <v>0</v>
      </c>
      <c r="L2277" s="120">
        <f t="shared" si="883"/>
        <v>0</v>
      </c>
      <c r="M2277" s="246">
        <f t="shared" si="884"/>
        <v>0</v>
      </c>
      <c r="N2277" s="121">
        <f t="shared" si="885"/>
        <v>1.02</v>
      </c>
      <c r="O2277" s="246">
        <f t="shared" si="886"/>
        <v>0.98499999999999999</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87">
        <v>40</v>
      </c>
      <c r="B2278" s="242">
        <f t="shared" si="893"/>
        <v>46844</v>
      </c>
      <c r="C2278" s="243">
        <f t="shared" si="874"/>
        <v>46873</v>
      </c>
      <c r="D2278" s="120">
        <f t="shared" si="875"/>
        <v>30</v>
      </c>
      <c r="E2278" s="120">
        <f t="shared" si="876"/>
        <v>4</v>
      </c>
      <c r="F2278" s="275">
        <f t="shared" si="877"/>
        <v>46859</v>
      </c>
      <c r="G2278" s="120">
        <f t="shared" si="878"/>
        <v>24339</v>
      </c>
      <c r="H2278" s="245">
        <f t="shared" si="879"/>
        <v>1</v>
      </c>
      <c r="I2278" s="121">
        <f t="shared" si="880"/>
        <v>1.02</v>
      </c>
      <c r="J2278" s="121">
        <f t="shared" si="881"/>
        <v>1.02</v>
      </c>
      <c r="K2278" s="120">
        <f t="shared" si="882"/>
        <v>0</v>
      </c>
      <c r="L2278" s="120">
        <f t="shared" si="883"/>
        <v>0</v>
      </c>
      <c r="M2278" s="246">
        <f t="shared" si="884"/>
        <v>0</v>
      </c>
      <c r="N2278" s="121">
        <f t="shared" si="885"/>
        <v>1.02</v>
      </c>
      <c r="O2278" s="246">
        <f t="shared" si="886"/>
        <v>0.98499999999999999</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87">
        <v>41</v>
      </c>
      <c r="B2279" s="242">
        <f t="shared" si="893"/>
        <v>46874</v>
      </c>
      <c r="C2279" s="243">
        <f t="shared" si="874"/>
        <v>46904</v>
      </c>
      <c r="D2279" s="120">
        <f t="shared" si="875"/>
        <v>31</v>
      </c>
      <c r="E2279" s="120">
        <f t="shared" si="876"/>
        <v>5</v>
      </c>
      <c r="F2279" s="275">
        <f t="shared" si="877"/>
        <v>46889.5</v>
      </c>
      <c r="G2279" s="120">
        <f t="shared" si="878"/>
        <v>24340</v>
      </c>
      <c r="H2279" s="245">
        <f t="shared" si="879"/>
        <v>1</v>
      </c>
      <c r="I2279" s="121">
        <f t="shared" si="880"/>
        <v>1.02</v>
      </c>
      <c r="J2279" s="121">
        <f t="shared" si="881"/>
        <v>1.02</v>
      </c>
      <c r="K2279" s="120">
        <f t="shared" si="882"/>
        <v>0</v>
      </c>
      <c r="L2279" s="120">
        <f t="shared" si="883"/>
        <v>0</v>
      </c>
      <c r="M2279" s="246">
        <f t="shared" si="884"/>
        <v>0</v>
      </c>
      <c r="N2279" s="121">
        <f t="shared" si="885"/>
        <v>1.02</v>
      </c>
      <c r="O2279" s="246">
        <f t="shared" si="886"/>
        <v>0.98499999999999999</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87">
        <v>42</v>
      </c>
      <c r="B2280" s="242">
        <f t="shared" si="893"/>
        <v>46905</v>
      </c>
      <c r="C2280" s="243">
        <f t="shared" si="874"/>
        <v>46934</v>
      </c>
      <c r="D2280" s="120">
        <f t="shared" si="875"/>
        <v>30</v>
      </c>
      <c r="E2280" s="120">
        <f t="shared" si="876"/>
        <v>6</v>
      </c>
      <c r="F2280" s="275">
        <f t="shared" si="877"/>
        <v>46920</v>
      </c>
      <c r="G2280" s="120">
        <f t="shared" si="878"/>
        <v>24341</v>
      </c>
      <c r="H2280" s="245">
        <f t="shared" si="879"/>
        <v>1</v>
      </c>
      <c r="I2280" s="121">
        <f t="shared" si="880"/>
        <v>1.02</v>
      </c>
      <c r="J2280" s="121">
        <f t="shared" si="881"/>
        <v>1.02</v>
      </c>
      <c r="K2280" s="120">
        <f t="shared" si="882"/>
        <v>0</v>
      </c>
      <c r="L2280" s="120">
        <f t="shared" si="883"/>
        <v>0</v>
      </c>
      <c r="M2280" s="246">
        <f t="shared" si="884"/>
        <v>0</v>
      </c>
      <c r="N2280" s="121">
        <f t="shared" si="885"/>
        <v>1.02</v>
      </c>
      <c r="O2280" s="246">
        <f t="shared" si="886"/>
        <v>0.98499999999999999</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87">
        <v>43</v>
      </c>
      <c r="B2281" s="242">
        <f t="shared" si="893"/>
        <v>46935</v>
      </c>
      <c r="C2281" s="243">
        <f t="shared" si="874"/>
        <v>46965</v>
      </c>
      <c r="D2281" s="120">
        <f t="shared" si="875"/>
        <v>31</v>
      </c>
      <c r="E2281" s="120">
        <f t="shared" si="876"/>
        <v>7</v>
      </c>
      <c r="F2281" s="275">
        <f t="shared" si="877"/>
        <v>46950.5</v>
      </c>
      <c r="G2281" s="120">
        <f t="shared" si="878"/>
        <v>24342</v>
      </c>
      <c r="H2281" s="245">
        <f t="shared" si="879"/>
        <v>1</v>
      </c>
      <c r="I2281" s="121">
        <f t="shared" si="880"/>
        <v>1.02</v>
      </c>
      <c r="J2281" s="121">
        <f t="shared" si="881"/>
        <v>1.02</v>
      </c>
      <c r="K2281" s="120">
        <f t="shared" si="882"/>
        <v>0</v>
      </c>
      <c r="L2281" s="120">
        <f t="shared" si="883"/>
        <v>0</v>
      </c>
      <c r="M2281" s="246">
        <f t="shared" si="884"/>
        <v>0</v>
      </c>
      <c r="N2281" s="121">
        <f t="shared" si="885"/>
        <v>1.02</v>
      </c>
      <c r="O2281" s="246">
        <f t="shared" si="886"/>
        <v>0.98499999999999999</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87">
        <v>44</v>
      </c>
      <c r="B2282" s="242">
        <f t="shared" si="893"/>
        <v>46966</v>
      </c>
      <c r="C2282" s="243">
        <f t="shared" si="874"/>
        <v>46996</v>
      </c>
      <c r="D2282" s="120">
        <f t="shared" si="875"/>
        <v>31</v>
      </c>
      <c r="E2282" s="120">
        <f t="shared" si="876"/>
        <v>8</v>
      </c>
      <c r="F2282" s="275">
        <f t="shared" si="877"/>
        <v>46981.5</v>
      </c>
      <c r="G2282" s="120">
        <f t="shared" si="878"/>
        <v>24343</v>
      </c>
      <c r="H2282" s="245">
        <f t="shared" si="879"/>
        <v>1</v>
      </c>
      <c r="I2282" s="121">
        <f t="shared" si="880"/>
        <v>1.02</v>
      </c>
      <c r="J2282" s="121">
        <f t="shared" si="881"/>
        <v>1.02</v>
      </c>
      <c r="K2282" s="120">
        <f t="shared" si="882"/>
        <v>0</v>
      </c>
      <c r="L2282" s="120">
        <f t="shared" si="883"/>
        <v>0</v>
      </c>
      <c r="M2282" s="246">
        <f t="shared" si="884"/>
        <v>0</v>
      </c>
      <c r="N2282" s="121">
        <f t="shared" si="885"/>
        <v>1.02</v>
      </c>
      <c r="O2282" s="246">
        <f t="shared" si="886"/>
        <v>0.98499999999999999</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87">
        <v>45</v>
      </c>
      <c r="B2283" s="242">
        <f t="shared" si="893"/>
        <v>46997</v>
      </c>
      <c r="C2283" s="243">
        <f t="shared" si="874"/>
        <v>47026</v>
      </c>
      <c r="D2283" s="120">
        <f t="shared" si="875"/>
        <v>30</v>
      </c>
      <c r="E2283" s="120">
        <f t="shared" si="876"/>
        <v>9</v>
      </c>
      <c r="F2283" s="275">
        <f t="shared" si="877"/>
        <v>47012</v>
      </c>
      <c r="G2283" s="120">
        <f t="shared" si="878"/>
        <v>24344</v>
      </c>
      <c r="H2283" s="245">
        <f t="shared" si="879"/>
        <v>1</v>
      </c>
      <c r="I2283" s="121">
        <f t="shared" si="880"/>
        <v>1.02</v>
      </c>
      <c r="J2283" s="121">
        <f t="shared" si="881"/>
        <v>1.02</v>
      </c>
      <c r="K2283" s="120">
        <f t="shared" si="882"/>
        <v>0</v>
      </c>
      <c r="L2283" s="120">
        <f t="shared" si="883"/>
        <v>0</v>
      </c>
      <c r="M2283" s="246">
        <f t="shared" si="884"/>
        <v>0</v>
      </c>
      <c r="N2283" s="121">
        <f t="shared" si="885"/>
        <v>1.02</v>
      </c>
      <c r="O2283" s="246">
        <f t="shared" si="886"/>
        <v>0.98499999999999999</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87">
        <v>46</v>
      </c>
      <c r="B2284" s="242">
        <f t="shared" si="893"/>
        <v>47027</v>
      </c>
      <c r="C2284" s="243">
        <f t="shared" si="874"/>
        <v>47057</v>
      </c>
      <c r="D2284" s="120">
        <f t="shared" si="875"/>
        <v>31</v>
      </c>
      <c r="E2284" s="120">
        <f t="shared" si="876"/>
        <v>10</v>
      </c>
      <c r="F2284" s="275">
        <f t="shared" si="877"/>
        <v>47042.5</v>
      </c>
      <c r="G2284" s="120">
        <f t="shared" si="878"/>
        <v>24345</v>
      </c>
      <c r="H2284" s="245">
        <f t="shared" si="879"/>
        <v>1</v>
      </c>
      <c r="I2284" s="121">
        <f t="shared" si="880"/>
        <v>1.02</v>
      </c>
      <c r="J2284" s="121">
        <f t="shared" si="881"/>
        <v>1.02</v>
      </c>
      <c r="K2284" s="120">
        <f t="shared" si="882"/>
        <v>0</v>
      </c>
      <c r="L2284" s="120">
        <f t="shared" si="883"/>
        <v>0</v>
      </c>
      <c r="M2284" s="246">
        <f t="shared" si="884"/>
        <v>0</v>
      </c>
      <c r="N2284" s="121">
        <f t="shared" si="885"/>
        <v>1.02</v>
      </c>
      <c r="O2284" s="246">
        <f t="shared" si="886"/>
        <v>0.98499999999999999</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87">
        <v>47</v>
      </c>
      <c r="B2285" s="242">
        <f t="shared" si="893"/>
        <v>47058</v>
      </c>
      <c r="C2285" s="243">
        <f t="shared" si="874"/>
        <v>47087</v>
      </c>
      <c r="D2285" s="120">
        <f t="shared" si="875"/>
        <v>30</v>
      </c>
      <c r="E2285" s="120">
        <f t="shared" si="876"/>
        <v>11</v>
      </c>
      <c r="F2285" s="275">
        <f t="shared" si="877"/>
        <v>47073</v>
      </c>
      <c r="G2285" s="120">
        <f t="shared" si="878"/>
        <v>24346</v>
      </c>
      <c r="H2285" s="245">
        <f t="shared" si="879"/>
        <v>1</v>
      </c>
      <c r="I2285" s="121">
        <f t="shared" si="880"/>
        <v>1.02</v>
      </c>
      <c r="J2285" s="121">
        <f t="shared" si="881"/>
        <v>1.02</v>
      </c>
      <c r="K2285" s="120">
        <f t="shared" si="882"/>
        <v>0</v>
      </c>
      <c r="L2285" s="120">
        <f t="shared" si="883"/>
        <v>0</v>
      </c>
      <c r="M2285" s="246">
        <f t="shared" si="884"/>
        <v>0</v>
      </c>
      <c r="N2285" s="121">
        <f t="shared" si="885"/>
        <v>1.02</v>
      </c>
      <c r="O2285" s="246">
        <f t="shared" si="886"/>
        <v>0.98499999999999999</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87">
        <v>48</v>
      </c>
      <c r="B2286" s="242">
        <f t="shared" si="893"/>
        <v>47088</v>
      </c>
      <c r="C2286" s="243">
        <f t="shared" si="874"/>
        <v>47118</v>
      </c>
      <c r="D2286" s="120">
        <f t="shared" si="875"/>
        <v>31</v>
      </c>
      <c r="E2286" s="120">
        <f t="shared" si="876"/>
        <v>12</v>
      </c>
      <c r="F2286" s="275">
        <f t="shared" si="877"/>
        <v>47103.5</v>
      </c>
      <c r="G2286" s="120">
        <f t="shared" si="878"/>
        <v>24347</v>
      </c>
      <c r="H2286" s="245">
        <f t="shared" si="879"/>
        <v>1</v>
      </c>
      <c r="I2286" s="121">
        <f t="shared" si="880"/>
        <v>1.02</v>
      </c>
      <c r="J2286" s="121">
        <f t="shared" si="881"/>
        <v>1.02</v>
      </c>
      <c r="K2286" s="120">
        <f t="shared" si="882"/>
        <v>0</v>
      </c>
      <c r="L2286" s="120">
        <f t="shared" si="883"/>
        <v>0</v>
      </c>
      <c r="M2286" s="246">
        <f t="shared" si="884"/>
        <v>0</v>
      </c>
      <c r="N2286" s="121">
        <f t="shared" si="885"/>
        <v>1.02</v>
      </c>
      <c r="O2286" s="246">
        <f t="shared" si="886"/>
        <v>0.98499999999999999</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1651</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24">
        <f>SUMPRODUCT($H$2239:$H$2286,$Q$2239:$Q$2286,$O$2239:$O$2286)/SUMPRODUCT($H$2239:$H$2286,$Q$2239:$Q$2286)</f>
        <v>0.98900209700948194</v>
      </c>
      <c r="G2287" s="224">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24">
        <f>IF(N(INDEX(lr_mind,42))=0,1,INDEX(lr_mind,42))</f>
        <v>1</v>
      </c>
      <c r="G2290" s="224">
        <f>IF(N(INDEX(lr_m0,42))=0,1,INDEX(lr_m0,42))</f>
        <v>0.99</v>
      </c>
      <c r="H2290" s="74">
        <f>IF(N(INDEX(lr_m0asof,42))=0,DATE(nr_PlanYear-1,10,1),INDEX(lr_m0asof,42))</f>
        <v>46295</v>
      </c>
      <c r="I2290" s="224">
        <f>IF(N(INDEX(lr_m1,42))=0,1,INDEX(lr_m1,42))</f>
        <v>1</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94">EOMONTH($B2293,0)</f>
        <v>45688</v>
      </c>
      <c r="D2293" s="120">
        <f t="shared" ref="D2293:D2340" si="895">$C2293-$B2293+1</f>
        <v>31</v>
      </c>
      <c r="E2293" s="120">
        <f t="shared" ref="E2293:E2340" si="896">MONTH($B2293)</f>
        <v>1</v>
      </c>
      <c r="F2293" s="275">
        <f t="shared" ref="F2293:F2340" si="897">($B2293+$C2293+1)/2</f>
        <v>45673.5</v>
      </c>
      <c r="G2293" s="120">
        <f t="shared" ref="G2293:G2340" si="898">YEAR($B2293)*12+MONTH($B2293)-1</f>
        <v>24300</v>
      </c>
      <c r="H2293" s="245">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46">
        <f t="shared" ref="M2293:M2340" si="904">IF($K2293=0,0,MIN(1,$L2293/$D2293))</f>
        <v>0</v>
      </c>
      <c r="N2293" s="121">
        <f t="shared" ref="N2293:N2340" si="905">IF($K2293=0,$J2293,(1-$M2293)*$I2293+$M2293*$J2293)</f>
        <v>1</v>
      </c>
      <c r="O2293" s="246">
        <f t="shared" ref="O2293:O2340" si="906">IF($F2293&lt;$B$2291,$E$2291+$I$2291*($F2293-$A$2291),IF($F2293&lt;$C$2291,$F$2291+$J$2291*($F2293-$B$2291),$G$2291+$K$2291*($F2293-$C$2291)))</f>
        <v>0.97637855579868715</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87">
        <v>2</v>
      </c>
      <c r="B2294" s="242">
        <f t="shared" ref="B2294:B2340" si="913">EDATE($B2293,1)</f>
        <v>45689</v>
      </c>
      <c r="C2294" s="243">
        <f t="shared" si="894"/>
        <v>45716</v>
      </c>
      <c r="D2294" s="120">
        <f t="shared" si="895"/>
        <v>28</v>
      </c>
      <c r="E2294" s="120">
        <f t="shared" si="896"/>
        <v>2</v>
      </c>
      <c r="F2294" s="275">
        <f t="shared" si="897"/>
        <v>45703</v>
      </c>
      <c r="G2294" s="120">
        <f t="shared" si="898"/>
        <v>24301</v>
      </c>
      <c r="H2294" s="245">
        <f t="shared" si="899"/>
        <v>1</v>
      </c>
      <c r="I2294" s="121">
        <f t="shared" si="900"/>
        <v>1</v>
      </c>
      <c r="J2294" s="121">
        <f t="shared" si="901"/>
        <v>1</v>
      </c>
      <c r="K2294" s="120">
        <f t="shared" si="902"/>
        <v>0</v>
      </c>
      <c r="L2294" s="120">
        <f t="shared" si="903"/>
        <v>0</v>
      </c>
      <c r="M2294" s="246">
        <f t="shared" si="904"/>
        <v>0</v>
      </c>
      <c r="N2294" s="121">
        <f t="shared" si="905"/>
        <v>1</v>
      </c>
      <c r="O2294" s="246">
        <f t="shared" si="906"/>
        <v>0.97702407002188185</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87">
        <v>3</v>
      </c>
      <c r="B2295" s="242">
        <f t="shared" si="913"/>
        <v>45717</v>
      </c>
      <c r="C2295" s="243">
        <f t="shared" si="894"/>
        <v>45747</v>
      </c>
      <c r="D2295" s="120">
        <f t="shared" si="895"/>
        <v>31</v>
      </c>
      <c r="E2295" s="120">
        <f t="shared" si="896"/>
        <v>3</v>
      </c>
      <c r="F2295" s="275">
        <f t="shared" si="897"/>
        <v>45732.5</v>
      </c>
      <c r="G2295" s="120">
        <f t="shared" si="898"/>
        <v>24302</v>
      </c>
      <c r="H2295" s="245">
        <f t="shared" si="899"/>
        <v>1</v>
      </c>
      <c r="I2295" s="121">
        <f t="shared" si="900"/>
        <v>1</v>
      </c>
      <c r="J2295" s="121">
        <f t="shared" si="901"/>
        <v>1</v>
      </c>
      <c r="K2295" s="120">
        <f t="shared" si="902"/>
        <v>0</v>
      </c>
      <c r="L2295" s="120">
        <f t="shared" si="903"/>
        <v>0</v>
      </c>
      <c r="M2295" s="246">
        <f t="shared" si="904"/>
        <v>0</v>
      </c>
      <c r="N2295" s="121">
        <f t="shared" si="905"/>
        <v>1</v>
      </c>
      <c r="O2295" s="246">
        <f t="shared" si="906"/>
        <v>0.97766958424507666</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87">
        <v>4</v>
      </c>
      <c r="B2296" s="242">
        <f t="shared" si="913"/>
        <v>45748</v>
      </c>
      <c r="C2296" s="243">
        <f t="shared" si="894"/>
        <v>45777</v>
      </c>
      <c r="D2296" s="120">
        <f t="shared" si="895"/>
        <v>30</v>
      </c>
      <c r="E2296" s="120">
        <f t="shared" si="896"/>
        <v>4</v>
      </c>
      <c r="F2296" s="275">
        <f t="shared" si="897"/>
        <v>45763</v>
      </c>
      <c r="G2296" s="120">
        <f t="shared" si="898"/>
        <v>24303</v>
      </c>
      <c r="H2296" s="245">
        <f t="shared" si="899"/>
        <v>1</v>
      </c>
      <c r="I2296" s="121">
        <f t="shared" si="900"/>
        <v>1</v>
      </c>
      <c r="J2296" s="121">
        <f t="shared" si="901"/>
        <v>1</v>
      </c>
      <c r="K2296" s="120">
        <f t="shared" si="902"/>
        <v>0</v>
      </c>
      <c r="L2296" s="120">
        <f t="shared" si="903"/>
        <v>0</v>
      </c>
      <c r="M2296" s="246">
        <f t="shared" si="904"/>
        <v>0</v>
      </c>
      <c r="N2296" s="121">
        <f t="shared" si="905"/>
        <v>1</v>
      </c>
      <c r="O2296" s="246">
        <f t="shared" si="906"/>
        <v>0.97833698030634575</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87">
        <v>5</v>
      </c>
      <c r="B2297" s="242">
        <f t="shared" si="913"/>
        <v>45778</v>
      </c>
      <c r="C2297" s="243">
        <f t="shared" si="894"/>
        <v>45808</v>
      </c>
      <c r="D2297" s="120">
        <f t="shared" si="895"/>
        <v>31</v>
      </c>
      <c r="E2297" s="120">
        <f t="shared" si="896"/>
        <v>5</v>
      </c>
      <c r="F2297" s="275">
        <f t="shared" si="897"/>
        <v>45793.5</v>
      </c>
      <c r="G2297" s="120">
        <f t="shared" si="898"/>
        <v>24304</v>
      </c>
      <c r="H2297" s="245">
        <f t="shared" si="899"/>
        <v>1</v>
      </c>
      <c r="I2297" s="121">
        <f t="shared" si="900"/>
        <v>1</v>
      </c>
      <c r="J2297" s="121">
        <f t="shared" si="901"/>
        <v>1</v>
      </c>
      <c r="K2297" s="120">
        <f t="shared" si="902"/>
        <v>0</v>
      </c>
      <c r="L2297" s="120">
        <f t="shared" si="903"/>
        <v>0</v>
      </c>
      <c r="M2297" s="246">
        <f t="shared" si="904"/>
        <v>0</v>
      </c>
      <c r="N2297" s="121">
        <f t="shared" si="905"/>
        <v>1</v>
      </c>
      <c r="O2297" s="246">
        <f t="shared" si="906"/>
        <v>0.97900437636761495</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87">
        <v>6</v>
      </c>
      <c r="B2298" s="242">
        <f t="shared" si="913"/>
        <v>45809</v>
      </c>
      <c r="C2298" s="243">
        <f t="shared" si="894"/>
        <v>45838</v>
      </c>
      <c r="D2298" s="120">
        <f t="shared" si="895"/>
        <v>30</v>
      </c>
      <c r="E2298" s="120">
        <f t="shared" si="896"/>
        <v>6</v>
      </c>
      <c r="F2298" s="275">
        <f t="shared" si="897"/>
        <v>45824</v>
      </c>
      <c r="G2298" s="120">
        <f t="shared" si="898"/>
        <v>24305</v>
      </c>
      <c r="H2298" s="245">
        <f t="shared" si="899"/>
        <v>1</v>
      </c>
      <c r="I2298" s="121">
        <f t="shared" si="900"/>
        <v>1</v>
      </c>
      <c r="J2298" s="121">
        <f t="shared" si="901"/>
        <v>1</v>
      </c>
      <c r="K2298" s="120">
        <f t="shared" si="902"/>
        <v>0</v>
      </c>
      <c r="L2298" s="120">
        <f t="shared" si="903"/>
        <v>0</v>
      </c>
      <c r="M2298" s="246">
        <f t="shared" si="904"/>
        <v>0</v>
      </c>
      <c r="N2298" s="121">
        <f t="shared" si="905"/>
        <v>1</v>
      </c>
      <c r="O2298" s="246">
        <f t="shared" si="906"/>
        <v>0.97967177242888404</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87">
        <v>7</v>
      </c>
      <c r="B2299" s="242">
        <f t="shared" si="913"/>
        <v>45839</v>
      </c>
      <c r="C2299" s="243">
        <f t="shared" si="894"/>
        <v>45869</v>
      </c>
      <c r="D2299" s="120">
        <f t="shared" si="895"/>
        <v>31</v>
      </c>
      <c r="E2299" s="120">
        <f t="shared" si="896"/>
        <v>7</v>
      </c>
      <c r="F2299" s="275">
        <f t="shared" si="897"/>
        <v>45854.5</v>
      </c>
      <c r="G2299" s="120">
        <f t="shared" si="898"/>
        <v>24306</v>
      </c>
      <c r="H2299" s="245">
        <f t="shared" si="899"/>
        <v>1</v>
      </c>
      <c r="I2299" s="121">
        <f t="shared" si="900"/>
        <v>1</v>
      </c>
      <c r="J2299" s="121">
        <f t="shared" si="901"/>
        <v>1</v>
      </c>
      <c r="K2299" s="120">
        <f t="shared" si="902"/>
        <v>0</v>
      </c>
      <c r="L2299" s="120">
        <f t="shared" si="903"/>
        <v>0</v>
      </c>
      <c r="M2299" s="246">
        <f t="shared" si="904"/>
        <v>0</v>
      </c>
      <c r="N2299" s="121">
        <f t="shared" si="905"/>
        <v>1</v>
      </c>
      <c r="O2299" s="246">
        <f t="shared" si="906"/>
        <v>0.98033916849015323</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87">
        <v>8</v>
      </c>
      <c r="B2300" s="242">
        <f t="shared" si="913"/>
        <v>45870</v>
      </c>
      <c r="C2300" s="243">
        <f t="shared" si="894"/>
        <v>45900</v>
      </c>
      <c r="D2300" s="120">
        <f t="shared" si="895"/>
        <v>31</v>
      </c>
      <c r="E2300" s="120">
        <f t="shared" si="896"/>
        <v>8</v>
      </c>
      <c r="F2300" s="275">
        <f t="shared" si="897"/>
        <v>45885.5</v>
      </c>
      <c r="G2300" s="120">
        <f t="shared" si="898"/>
        <v>24307</v>
      </c>
      <c r="H2300" s="245">
        <f t="shared" si="899"/>
        <v>1</v>
      </c>
      <c r="I2300" s="121">
        <f t="shared" si="900"/>
        <v>1</v>
      </c>
      <c r="J2300" s="121">
        <f t="shared" si="901"/>
        <v>1</v>
      </c>
      <c r="K2300" s="120">
        <f t="shared" si="902"/>
        <v>0</v>
      </c>
      <c r="L2300" s="120">
        <f t="shared" si="903"/>
        <v>0</v>
      </c>
      <c r="M2300" s="246">
        <f t="shared" si="904"/>
        <v>0</v>
      </c>
      <c r="N2300" s="121">
        <f t="shared" si="905"/>
        <v>1</v>
      </c>
      <c r="O2300" s="246">
        <f t="shared" si="906"/>
        <v>0.98101750547045952</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87">
        <v>9</v>
      </c>
      <c r="B2301" s="242">
        <f t="shared" si="913"/>
        <v>45901</v>
      </c>
      <c r="C2301" s="243">
        <f t="shared" si="894"/>
        <v>45930</v>
      </c>
      <c r="D2301" s="120">
        <f t="shared" si="895"/>
        <v>30</v>
      </c>
      <c r="E2301" s="120">
        <f t="shared" si="896"/>
        <v>9</v>
      </c>
      <c r="F2301" s="275">
        <f t="shared" si="897"/>
        <v>45916</v>
      </c>
      <c r="G2301" s="120">
        <f t="shared" si="898"/>
        <v>24308</v>
      </c>
      <c r="H2301" s="245">
        <f t="shared" si="899"/>
        <v>1</v>
      </c>
      <c r="I2301" s="121">
        <f t="shared" si="900"/>
        <v>1</v>
      </c>
      <c r="J2301" s="121">
        <f t="shared" si="901"/>
        <v>1</v>
      </c>
      <c r="K2301" s="120">
        <f t="shared" si="902"/>
        <v>0</v>
      </c>
      <c r="L2301" s="120">
        <f t="shared" si="903"/>
        <v>0</v>
      </c>
      <c r="M2301" s="246">
        <f t="shared" si="904"/>
        <v>0</v>
      </c>
      <c r="N2301" s="121">
        <f t="shared" si="905"/>
        <v>1</v>
      </c>
      <c r="O2301" s="246">
        <f t="shared" si="906"/>
        <v>0.98168490153172872</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87">
        <v>10</v>
      </c>
      <c r="B2302" s="242">
        <f t="shared" si="913"/>
        <v>45931</v>
      </c>
      <c r="C2302" s="243">
        <f t="shared" si="894"/>
        <v>45961</v>
      </c>
      <c r="D2302" s="120">
        <f t="shared" si="895"/>
        <v>31</v>
      </c>
      <c r="E2302" s="120">
        <f t="shared" si="896"/>
        <v>10</v>
      </c>
      <c r="F2302" s="275">
        <f t="shared" si="897"/>
        <v>45946.5</v>
      </c>
      <c r="G2302" s="120">
        <f t="shared" si="898"/>
        <v>24309</v>
      </c>
      <c r="H2302" s="245">
        <f t="shared" si="899"/>
        <v>1</v>
      </c>
      <c r="I2302" s="121">
        <f t="shared" si="900"/>
        <v>1</v>
      </c>
      <c r="J2302" s="121">
        <f t="shared" si="901"/>
        <v>1</v>
      </c>
      <c r="K2302" s="120">
        <f t="shared" si="902"/>
        <v>0</v>
      </c>
      <c r="L2302" s="120">
        <f t="shared" si="903"/>
        <v>0</v>
      </c>
      <c r="M2302" s="246">
        <f t="shared" si="904"/>
        <v>0</v>
      </c>
      <c r="N2302" s="121">
        <f t="shared" si="905"/>
        <v>1</v>
      </c>
      <c r="O2302" s="246">
        <f t="shared" si="906"/>
        <v>0.9823522975929978</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87">
        <v>11</v>
      </c>
      <c r="B2303" s="242">
        <f t="shared" si="913"/>
        <v>45962</v>
      </c>
      <c r="C2303" s="243">
        <f t="shared" si="894"/>
        <v>45991</v>
      </c>
      <c r="D2303" s="120">
        <f t="shared" si="895"/>
        <v>30</v>
      </c>
      <c r="E2303" s="120">
        <f t="shared" si="896"/>
        <v>11</v>
      </c>
      <c r="F2303" s="275">
        <f t="shared" si="897"/>
        <v>45977</v>
      </c>
      <c r="G2303" s="120">
        <f t="shared" si="898"/>
        <v>24310</v>
      </c>
      <c r="H2303" s="245">
        <f t="shared" si="899"/>
        <v>1</v>
      </c>
      <c r="I2303" s="121">
        <f t="shared" si="900"/>
        <v>1</v>
      </c>
      <c r="J2303" s="121">
        <f t="shared" si="901"/>
        <v>1</v>
      </c>
      <c r="K2303" s="120">
        <f t="shared" si="902"/>
        <v>0</v>
      </c>
      <c r="L2303" s="120">
        <f t="shared" si="903"/>
        <v>0</v>
      </c>
      <c r="M2303" s="246">
        <f t="shared" si="904"/>
        <v>0</v>
      </c>
      <c r="N2303" s="121">
        <f t="shared" si="905"/>
        <v>1</v>
      </c>
      <c r="O2303" s="246">
        <f t="shared" si="906"/>
        <v>0.983019693654267</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87">
        <v>12</v>
      </c>
      <c r="B2304" s="242">
        <f t="shared" si="913"/>
        <v>45992</v>
      </c>
      <c r="C2304" s="243">
        <f t="shared" si="894"/>
        <v>46022</v>
      </c>
      <c r="D2304" s="120">
        <f t="shared" si="895"/>
        <v>31</v>
      </c>
      <c r="E2304" s="120">
        <f t="shared" si="896"/>
        <v>12</v>
      </c>
      <c r="F2304" s="275">
        <f t="shared" si="897"/>
        <v>46007.5</v>
      </c>
      <c r="G2304" s="120">
        <f t="shared" si="898"/>
        <v>24311</v>
      </c>
      <c r="H2304" s="245">
        <f t="shared" si="899"/>
        <v>1</v>
      </c>
      <c r="I2304" s="121">
        <f t="shared" si="900"/>
        <v>1</v>
      </c>
      <c r="J2304" s="121">
        <f t="shared" si="901"/>
        <v>1</v>
      </c>
      <c r="K2304" s="120">
        <f t="shared" si="902"/>
        <v>0</v>
      </c>
      <c r="L2304" s="120">
        <f t="shared" si="903"/>
        <v>0</v>
      </c>
      <c r="M2304" s="246">
        <f t="shared" si="904"/>
        <v>0</v>
      </c>
      <c r="N2304" s="121">
        <f t="shared" si="905"/>
        <v>1</v>
      </c>
      <c r="O2304" s="246">
        <f t="shared" si="906"/>
        <v>0.98368708971553609</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87">
        <v>13</v>
      </c>
      <c r="B2305" s="242">
        <f t="shared" si="913"/>
        <v>46023</v>
      </c>
      <c r="C2305" s="243">
        <f t="shared" si="894"/>
        <v>46053</v>
      </c>
      <c r="D2305" s="120">
        <f t="shared" si="895"/>
        <v>31</v>
      </c>
      <c r="E2305" s="120">
        <f t="shared" si="896"/>
        <v>1</v>
      </c>
      <c r="F2305" s="275">
        <f t="shared" si="897"/>
        <v>46038.5</v>
      </c>
      <c r="G2305" s="120">
        <f t="shared" si="898"/>
        <v>24312</v>
      </c>
      <c r="H2305" s="245">
        <f t="shared" si="899"/>
        <v>1</v>
      </c>
      <c r="I2305" s="121">
        <f t="shared" si="900"/>
        <v>1</v>
      </c>
      <c r="J2305" s="121">
        <f t="shared" si="901"/>
        <v>1</v>
      </c>
      <c r="K2305" s="120">
        <f t="shared" si="902"/>
        <v>0</v>
      </c>
      <c r="L2305" s="120">
        <f t="shared" si="903"/>
        <v>0</v>
      </c>
      <c r="M2305" s="246">
        <f t="shared" si="904"/>
        <v>0</v>
      </c>
      <c r="N2305" s="121">
        <f t="shared" si="905"/>
        <v>1</v>
      </c>
      <c r="O2305" s="246">
        <f t="shared" si="906"/>
        <v>0.98436542669584248</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87">
        <v>14</v>
      </c>
      <c r="B2306" s="242">
        <f t="shared" si="913"/>
        <v>46054</v>
      </c>
      <c r="C2306" s="243">
        <f t="shared" si="894"/>
        <v>46081</v>
      </c>
      <c r="D2306" s="120">
        <f t="shared" si="895"/>
        <v>28</v>
      </c>
      <c r="E2306" s="120">
        <f t="shared" si="896"/>
        <v>2</v>
      </c>
      <c r="F2306" s="275">
        <f t="shared" si="897"/>
        <v>46068</v>
      </c>
      <c r="G2306" s="120">
        <f t="shared" si="898"/>
        <v>24313</v>
      </c>
      <c r="H2306" s="245">
        <f t="shared" si="899"/>
        <v>1</v>
      </c>
      <c r="I2306" s="121">
        <f t="shared" si="900"/>
        <v>1</v>
      </c>
      <c r="J2306" s="121">
        <f t="shared" si="901"/>
        <v>1</v>
      </c>
      <c r="K2306" s="120">
        <f t="shared" si="902"/>
        <v>0</v>
      </c>
      <c r="L2306" s="120">
        <f t="shared" si="903"/>
        <v>0</v>
      </c>
      <c r="M2306" s="246">
        <f t="shared" si="904"/>
        <v>0</v>
      </c>
      <c r="N2306" s="121">
        <f t="shared" si="905"/>
        <v>1</v>
      </c>
      <c r="O2306" s="246">
        <f t="shared" si="906"/>
        <v>0.98501094091903718</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87">
        <v>15</v>
      </c>
      <c r="B2307" s="242">
        <f t="shared" si="913"/>
        <v>46082</v>
      </c>
      <c r="C2307" s="243">
        <f t="shared" si="894"/>
        <v>46112</v>
      </c>
      <c r="D2307" s="120">
        <f t="shared" si="895"/>
        <v>31</v>
      </c>
      <c r="E2307" s="120">
        <f t="shared" si="896"/>
        <v>3</v>
      </c>
      <c r="F2307" s="275">
        <f t="shared" si="897"/>
        <v>46097.5</v>
      </c>
      <c r="G2307" s="120">
        <f t="shared" si="898"/>
        <v>24314</v>
      </c>
      <c r="H2307" s="245">
        <f t="shared" si="899"/>
        <v>1</v>
      </c>
      <c r="I2307" s="121">
        <f t="shared" si="900"/>
        <v>1</v>
      </c>
      <c r="J2307" s="121">
        <f t="shared" si="901"/>
        <v>1</v>
      </c>
      <c r="K2307" s="120">
        <f t="shared" si="902"/>
        <v>0</v>
      </c>
      <c r="L2307" s="120">
        <f t="shared" si="903"/>
        <v>0</v>
      </c>
      <c r="M2307" s="246">
        <f t="shared" si="904"/>
        <v>0</v>
      </c>
      <c r="N2307" s="121">
        <f t="shared" si="905"/>
        <v>1</v>
      </c>
      <c r="O2307" s="246">
        <f t="shared" si="906"/>
        <v>0.98565645514223199</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87">
        <v>16</v>
      </c>
      <c r="B2308" s="242">
        <f t="shared" si="913"/>
        <v>46113</v>
      </c>
      <c r="C2308" s="243">
        <f t="shared" si="894"/>
        <v>46142</v>
      </c>
      <c r="D2308" s="120">
        <f t="shared" si="895"/>
        <v>30</v>
      </c>
      <c r="E2308" s="120">
        <f t="shared" si="896"/>
        <v>4</v>
      </c>
      <c r="F2308" s="275">
        <f t="shared" si="897"/>
        <v>46128</v>
      </c>
      <c r="G2308" s="120">
        <f t="shared" si="898"/>
        <v>24315</v>
      </c>
      <c r="H2308" s="245">
        <f t="shared" si="899"/>
        <v>1</v>
      </c>
      <c r="I2308" s="121">
        <f t="shared" si="900"/>
        <v>1</v>
      </c>
      <c r="J2308" s="121">
        <f t="shared" si="901"/>
        <v>1</v>
      </c>
      <c r="K2308" s="120">
        <f t="shared" si="902"/>
        <v>0</v>
      </c>
      <c r="L2308" s="120">
        <f t="shared" si="903"/>
        <v>0</v>
      </c>
      <c r="M2308" s="246">
        <f t="shared" si="904"/>
        <v>0</v>
      </c>
      <c r="N2308" s="121">
        <f t="shared" si="905"/>
        <v>1</v>
      </c>
      <c r="O2308" s="246">
        <f t="shared" si="906"/>
        <v>0.98632385120350108</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87">
        <v>17</v>
      </c>
      <c r="B2309" s="242">
        <f t="shared" si="913"/>
        <v>46143</v>
      </c>
      <c r="C2309" s="243">
        <f t="shared" si="894"/>
        <v>46173</v>
      </c>
      <c r="D2309" s="120">
        <f t="shared" si="895"/>
        <v>31</v>
      </c>
      <c r="E2309" s="120">
        <f t="shared" si="896"/>
        <v>5</v>
      </c>
      <c r="F2309" s="275">
        <f t="shared" si="897"/>
        <v>46158.5</v>
      </c>
      <c r="G2309" s="120">
        <f t="shared" si="898"/>
        <v>24316</v>
      </c>
      <c r="H2309" s="245">
        <f t="shared" si="899"/>
        <v>1</v>
      </c>
      <c r="I2309" s="121">
        <f t="shared" si="900"/>
        <v>1</v>
      </c>
      <c r="J2309" s="121">
        <f t="shared" si="901"/>
        <v>1</v>
      </c>
      <c r="K2309" s="120">
        <f t="shared" si="902"/>
        <v>0</v>
      </c>
      <c r="L2309" s="120">
        <f t="shared" si="903"/>
        <v>0</v>
      </c>
      <c r="M2309" s="246">
        <f t="shared" si="904"/>
        <v>0</v>
      </c>
      <c r="N2309" s="121">
        <f t="shared" si="905"/>
        <v>1</v>
      </c>
      <c r="O2309" s="246">
        <f t="shared" si="906"/>
        <v>0.98699124726477028</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87">
        <v>18</v>
      </c>
      <c r="B2310" s="242">
        <f t="shared" si="913"/>
        <v>46174</v>
      </c>
      <c r="C2310" s="243">
        <f t="shared" si="894"/>
        <v>46203</v>
      </c>
      <c r="D2310" s="120">
        <f t="shared" si="895"/>
        <v>30</v>
      </c>
      <c r="E2310" s="120">
        <f t="shared" si="896"/>
        <v>6</v>
      </c>
      <c r="F2310" s="275">
        <f t="shared" si="897"/>
        <v>46189</v>
      </c>
      <c r="G2310" s="120">
        <f t="shared" si="898"/>
        <v>24317</v>
      </c>
      <c r="H2310" s="245">
        <f t="shared" si="899"/>
        <v>1</v>
      </c>
      <c r="I2310" s="121">
        <f t="shared" si="900"/>
        <v>1</v>
      </c>
      <c r="J2310" s="121">
        <f t="shared" si="901"/>
        <v>1</v>
      </c>
      <c r="K2310" s="120">
        <f t="shared" si="902"/>
        <v>0</v>
      </c>
      <c r="L2310" s="120">
        <f t="shared" si="903"/>
        <v>0</v>
      </c>
      <c r="M2310" s="246">
        <f t="shared" si="904"/>
        <v>0</v>
      </c>
      <c r="N2310" s="121">
        <f t="shared" si="905"/>
        <v>1</v>
      </c>
      <c r="O2310" s="246">
        <f t="shared" si="906"/>
        <v>0.98765864332603936</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87">
        <v>19</v>
      </c>
      <c r="B2311" s="242">
        <f t="shared" si="913"/>
        <v>46204</v>
      </c>
      <c r="C2311" s="243">
        <f t="shared" si="894"/>
        <v>46234</v>
      </c>
      <c r="D2311" s="120">
        <f t="shared" si="895"/>
        <v>31</v>
      </c>
      <c r="E2311" s="120">
        <f t="shared" si="896"/>
        <v>7</v>
      </c>
      <c r="F2311" s="275">
        <f t="shared" si="897"/>
        <v>46219.5</v>
      </c>
      <c r="G2311" s="120">
        <f t="shared" si="898"/>
        <v>24318</v>
      </c>
      <c r="H2311" s="245">
        <f t="shared" si="899"/>
        <v>1</v>
      </c>
      <c r="I2311" s="121">
        <f t="shared" si="900"/>
        <v>1</v>
      </c>
      <c r="J2311" s="121">
        <f t="shared" si="901"/>
        <v>1</v>
      </c>
      <c r="K2311" s="120">
        <f t="shared" si="902"/>
        <v>0</v>
      </c>
      <c r="L2311" s="120">
        <f t="shared" si="903"/>
        <v>0</v>
      </c>
      <c r="M2311" s="246">
        <f t="shared" si="904"/>
        <v>0</v>
      </c>
      <c r="N2311" s="121">
        <f t="shared" si="905"/>
        <v>1</v>
      </c>
      <c r="O2311" s="246">
        <f t="shared" si="906"/>
        <v>0.98832603938730856</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87">
        <v>20</v>
      </c>
      <c r="B2312" s="242">
        <f t="shared" si="913"/>
        <v>46235</v>
      </c>
      <c r="C2312" s="243">
        <f t="shared" si="894"/>
        <v>46265</v>
      </c>
      <c r="D2312" s="120">
        <f t="shared" si="895"/>
        <v>31</v>
      </c>
      <c r="E2312" s="120">
        <f t="shared" si="896"/>
        <v>8</v>
      </c>
      <c r="F2312" s="275">
        <f t="shared" si="897"/>
        <v>46250.5</v>
      </c>
      <c r="G2312" s="120">
        <f t="shared" si="898"/>
        <v>24319</v>
      </c>
      <c r="H2312" s="245">
        <f t="shared" si="899"/>
        <v>1</v>
      </c>
      <c r="I2312" s="121">
        <f t="shared" si="900"/>
        <v>1</v>
      </c>
      <c r="J2312" s="121">
        <f t="shared" si="901"/>
        <v>1</v>
      </c>
      <c r="K2312" s="120">
        <f t="shared" si="902"/>
        <v>0</v>
      </c>
      <c r="L2312" s="120">
        <f t="shared" si="903"/>
        <v>0</v>
      </c>
      <c r="M2312" s="246">
        <f t="shared" si="904"/>
        <v>0</v>
      </c>
      <c r="N2312" s="121">
        <f t="shared" si="905"/>
        <v>1</v>
      </c>
      <c r="O2312" s="246">
        <f t="shared" si="906"/>
        <v>0.98900437636761485</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87">
        <v>21</v>
      </c>
      <c r="B2313" s="242">
        <f t="shared" si="913"/>
        <v>46266</v>
      </c>
      <c r="C2313" s="243">
        <f t="shared" si="894"/>
        <v>46295</v>
      </c>
      <c r="D2313" s="120">
        <f t="shared" si="895"/>
        <v>30</v>
      </c>
      <c r="E2313" s="120">
        <f t="shared" si="896"/>
        <v>9</v>
      </c>
      <c r="F2313" s="275">
        <f t="shared" si="897"/>
        <v>46281</v>
      </c>
      <c r="G2313" s="120">
        <f t="shared" si="898"/>
        <v>24320</v>
      </c>
      <c r="H2313" s="245">
        <f t="shared" si="899"/>
        <v>1</v>
      </c>
      <c r="I2313" s="121">
        <f t="shared" si="900"/>
        <v>1</v>
      </c>
      <c r="J2313" s="121">
        <f t="shared" si="901"/>
        <v>1</v>
      </c>
      <c r="K2313" s="120">
        <f t="shared" si="902"/>
        <v>0</v>
      </c>
      <c r="L2313" s="120">
        <f t="shared" si="903"/>
        <v>0</v>
      </c>
      <c r="M2313" s="246">
        <f t="shared" si="904"/>
        <v>0</v>
      </c>
      <c r="N2313" s="121">
        <f t="shared" si="905"/>
        <v>1</v>
      </c>
      <c r="O2313" s="246">
        <f t="shared" si="906"/>
        <v>0.98967177242888404</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87">
        <v>22</v>
      </c>
      <c r="B2314" s="242">
        <f t="shared" si="913"/>
        <v>46296</v>
      </c>
      <c r="C2314" s="243">
        <f t="shared" si="894"/>
        <v>46326</v>
      </c>
      <c r="D2314" s="120">
        <f t="shared" si="895"/>
        <v>31</v>
      </c>
      <c r="E2314" s="120">
        <f t="shared" si="896"/>
        <v>10</v>
      </c>
      <c r="F2314" s="275">
        <f t="shared" si="897"/>
        <v>46311.5</v>
      </c>
      <c r="G2314" s="120">
        <f t="shared" si="898"/>
        <v>24321</v>
      </c>
      <c r="H2314" s="245">
        <f t="shared" si="899"/>
        <v>1</v>
      </c>
      <c r="I2314" s="121">
        <f t="shared" si="900"/>
        <v>1</v>
      </c>
      <c r="J2314" s="121">
        <f t="shared" si="901"/>
        <v>1</v>
      </c>
      <c r="K2314" s="120">
        <f t="shared" si="902"/>
        <v>0</v>
      </c>
      <c r="L2314" s="120">
        <f t="shared" si="903"/>
        <v>0</v>
      </c>
      <c r="M2314" s="246">
        <f t="shared" si="904"/>
        <v>0</v>
      </c>
      <c r="N2314" s="121">
        <f t="shared" si="905"/>
        <v>1</v>
      </c>
      <c r="O2314" s="246">
        <f t="shared" si="906"/>
        <v>0.99033916849015313</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87">
        <v>23</v>
      </c>
      <c r="B2315" s="242">
        <f t="shared" si="913"/>
        <v>46327</v>
      </c>
      <c r="C2315" s="243">
        <f t="shared" si="894"/>
        <v>46356</v>
      </c>
      <c r="D2315" s="120">
        <f t="shared" si="895"/>
        <v>30</v>
      </c>
      <c r="E2315" s="120">
        <f t="shared" si="896"/>
        <v>11</v>
      </c>
      <c r="F2315" s="275">
        <f t="shared" si="897"/>
        <v>46342</v>
      </c>
      <c r="G2315" s="120">
        <f t="shared" si="898"/>
        <v>24322</v>
      </c>
      <c r="H2315" s="245">
        <f t="shared" si="899"/>
        <v>1</v>
      </c>
      <c r="I2315" s="121">
        <f t="shared" si="900"/>
        <v>1</v>
      </c>
      <c r="J2315" s="121">
        <f t="shared" si="901"/>
        <v>1</v>
      </c>
      <c r="K2315" s="120">
        <f t="shared" si="902"/>
        <v>0</v>
      </c>
      <c r="L2315" s="120">
        <f t="shared" si="903"/>
        <v>0</v>
      </c>
      <c r="M2315" s="246">
        <f t="shared" si="904"/>
        <v>0</v>
      </c>
      <c r="N2315" s="121">
        <f t="shared" si="905"/>
        <v>1</v>
      </c>
      <c r="O2315" s="246">
        <f t="shared" si="906"/>
        <v>0.99100656455142233</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87">
        <v>24</v>
      </c>
      <c r="B2316" s="242">
        <f t="shared" si="913"/>
        <v>46357</v>
      </c>
      <c r="C2316" s="243">
        <f t="shared" si="894"/>
        <v>46387</v>
      </c>
      <c r="D2316" s="120">
        <f t="shared" si="895"/>
        <v>31</v>
      </c>
      <c r="E2316" s="120">
        <f t="shared" si="896"/>
        <v>12</v>
      </c>
      <c r="F2316" s="275">
        <f t="shared" si="897"/>
        <v>46372.5</v>
      </c>
      <c r="G2316" s="120">
        <f t="shared" si="898"/>
        <v>24323</v>
      </c>
      <c r="H2316" s="245">
        <f t="shared" si="899"/>
        <v>1</v>
      </c>
      <c r="I2316" s="121">
        <f t="shared" si="900"/>
        <v>1</v>
      </c>
      <c r="J2316" s="121">
        <f t="shared" si="901"/>
        <v>1</v>
      </c>
      <c r="K2316" s="120">
        <f t="shared" si="902"/>
        <v>0</v>
      </c>
      <c r="L2316" s="120">
        <f t="shared" si="903"/>
        <v>0</v>
      </c>
      <c r="M2316" s="246">
        <f t="shared" si="904"/>
        <v>0</v>
      </c>
      <c r="N2316" s="121">
        <f t="shared" si="905"/>
        <v>1</v>
      </c>
      <c r="O2316" s="246">
        <f t="shared" si="906"/>
        <v>0.99167396061269142</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87">
        <v>25</v>
      </c>
      <c r="B2317" s="242">
        <f t="shared" si="913"/>
        <v>46388</v>
      </c>
      <c r="C2317" s="243">
        <f t="shared" si="894"/>
        <v>46418</v>
      </c>
      <c r="D2317" s="120">
        <f t="shared" si="895"/>
        <v>31</v>
      </c>
      <c r="E2317" s="120">
        <f t="shared" si="896"/>
        <v>1</v>
      </c>
      <c r="F2317" s="275">
        <f t="shared" si="897"/>
        <v>46403.5</v>
      </c>
      <c r="G2317" s="120">
        <f t="shared" si="898"/>
        <v>24324</v>
      </c>
      <c r="H2317" s="245">
        <f t="shared" si="899"/>
        <v>1</v>
      </c>
      <c r="I2317" s="121">
        <f t="shared" si="900"/>
        <v>1</v>
      </c>
      <c r="J2317" s="121">
        <f t="shared" si="901"/>
        <v>1</v>
      </c>
      <c r="K2317" s="120">
        <f t="shared" si="902"/>
        <v>0</v>
      </c>
      <c r="L2317" s="120">
        <f t="shared" si="903"/>
        <v>0</v>
      </c>
      <c r="M2317" s="246">
        <f t="shared" si="904"/>
        <v>0</v>
      </c>
      <c r="N2317" s="121">
        <f t="shared" si="905"/>
        <v>1</v>
      </c>
      <c r="O2317" s="246">
        <f t="shared" si="906"/>
        <v>0.99235229759299781</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87">
        <v>26</v>
      </c>
      <c r="B2318" s="242">
        <f t="shared" si="913"/>
        <v>46419</v>
      </c>
      <c r="C2318" s="243">
        <f t="shared" si="894"/>
        <v>46446</v>
      </c>
      <c r="D2318" s="120">
        <f t="shared" si="895"/>
        <v>28</v>
      </c>
      <c r="E2318" s="120">
        <f t="shared" si="896"/>
        <v>2</v>
      </c>
      <c r="F2318" s="275">
        <f t="shared" si="897"/>
        <v>46433</v>
      </c>
      <c r="G2318" s="120">
        <f t="shared" si="898"/>
        <v>24325</v>
      </c>
      <c r="H2318" s="245">
        <f t="shared" si="899"/>
        <v>1</v>
      </c>
      <c r="I2318" s="121">
        <f t="shared" si="900"/>
        <v>1</v>
      </c>
      <c r="J2318" s="121">
        <f t="shared" si="901"/>
        <v>1.04</v>
      </c>
      <c r="K2318" s="120">
        <f t="shared" si="902"/>
        <v>1</v>
      </c>
      <c r="L2318" s="120">
        <f t="shared" si="903"/>
        <v>28</v>
      </c>
      <c r="M2318" s="246">
        <f t="shared" si="904"/>
        <v>1</v>
      </c>
      <c r="N2318" s="121">
        <f t="shared" si="905"/>
        <v>1.04</v>
      </c>
      <c r="O2318" s="246">
        <f t="shared" si="906"/>
        <v>0.99299781181619251</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87">
        <v>27</v>
      </c>
      <c r="B2319" s="242">
        <f t="shared" si="913"/>
        <v>46447</v>
      </c>
      <c r="C2319" s="243">
        <f t="shared" si="894"/>
        <v>46477</v>
      </c>
      <c r="D2319" s="120">
        <f t="shared" si="895"/>
        <v>31</v>
      </c>
      <c r="E2319" s="120">
        <f t="shared" si="896"/>
        <v>3</v>
      </c>
      <c r="F2319" s="275">
        <f t="shared" si="897"/>
        <v>46462.5</v>
      </c>
      <c r="G2319" s="120">
        <f t="shared" si="898"/>
        <v>24326</v>
      </c>
      <c r="H2319" s="245">
        <f t="shared" si="899"/>
        <v>1</v>
      </c>
      <c r="I2319" s="121">
        <f t="shared" si="900"/>
        <v>1.04</v>
      </c>
      <c r="J2319" s="121">
        <f t="shared" si="901"/>
        <v>1.04</v>
      </c>
      <c r="K2319" s="120">
        <f t="shared" si="902"/>
        <v>0</v>
      </c>
      <c r="L2319" s="120">
        <f t="shared" si="903"/>
        <v>0</v>
      </c>
      <c r="M2319" s="246">
        <f t="shared" si="904"/>
        <v>0</v>
      </c>
      <c r="N2319" s="121">
        <f t="shared" si="905"/>
        <v>1.04</v>
      </c>
      <c r="O2319" s="246">
        <f t="shared" si="906"/>
        <v>0.99364332603938732</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87">
        <v>28</v>
      </c>
      <c r="B2320" s="242">
        <f t="shared" si="913"/>
        <v>46478</v>
      </c>
      <c r="C2320" s="243">
        <f t="shared" si="894"/>
        <v>46507</v>
      </c>
      <c r="D2320" s="120">
        <f t="shared" si="895"/>
        <v>30</v>
      </c>
      <c r="E2320" s="120">
        <f t="shared" si="896"/>
        <v>4</v>
      </c>
      <c r="F2320" s="275">
        <f t="shared" si="897"/>
        <v>46493</v>
      </c>
      <c r="G2320" s="120">
        <f t="shared" si="898"/>
        <v>24327</v>
      </c>
      <c r="H2320" s="245">
        <f t="shared" si="899"/>
        <v>1</v>
      </c>
      <c r="I2320" s="121">
        <f t="shared" si="900"/>
        <v>1.04</v>
      </c>
      <c r="J2320" s="121">
        <f t="shared" si="901"/>
        <v>1.04</v>
      </c>
      <c r="K2320" s="120">
        <f t="shared" si="902"/>
        <v>0</v>
      </c>
      <c r="L2320" s="120">
        <f t="shared" si="903"/>
        <v>0</v>
      </c>
      <c r="M2320" s="246">
        <f t="shared" si="904"/>
        <v>0</v>
      </c>
      <c r="N2320" s="121">
        <f t="shared" si="905"/>
        <v>1.04</v>
      </c>
      <c r="O2320" s="246">
        <f t="shared" si="906"/>
        <v>0.99431072210065641</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87">
        <v>29</v>
      </c>
      <c r="B2321" s="242">
        <f t="shared" si="913"/>
        <v>46508</v>
      </c>
      <c r="C2321" s="243">
        <f t="shared" si="894"/>
        <v>46538</v>
      </c>
      <c r="D2321" s="120">
        <f t="shared" si="895"/>
        <v>31</v>
      </c>
      <c r="E2321" s="120">
        <f t="shared" si="896"/>
        <v>5</v>
      </c>
      <c r="F2321" s="275">
        <f t="shared" si="897"/>
        <v>46523.5</v>
      </c>
      <c r="G2321" s="120">
        <f t="shared" si="898"/>
        <v>24328</v>
      </c>
      <c r="H2321" s="245">
        <f t="shared" si="899"/>
        <v>1</v>
      </c>
      <c r="I2321" s="121">
        <f t="shared" si="900"/>
        <v>1.04</v>
      </c>
      <c r="J2321" s="121">
        <f t="shared" si="901"/>
        <v>1.04</v>
      </c>
      <c r="K2321" s="120">
        <f t="shared" si="902"/>
        <v>0</v>
      </c>
      <c r="L2321" s="120">
        <f t="shared" si="903"/>
        <v>0</v>
      </c>
      <c r="M2321" s="246">
        <f t="shared" si="904"/>
        <v>0</v>
      </c>
      <c r="N2321" s="121">
        <f t="shared" si="905"/>
        <v>1.04</v>
      </c>
      <c r="O2321" s="246">
        <f t="shared" si="906"/>
        <v>0.99497811816192561</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87">
        <v>30</v>
      </c>
      <c r="B2322" s="242">
        <f t="shared" si="913"/>
        <v>46539</v>
      </c>
      <c r="C2322" s="243">
        <f t="shared" si="894"/>
        <v>46568</v>
      </c>
      <c r="D2322" s="120">
        <f t="shared" si="895"/>
        <v>30</v>
      </c>
      <c r="E2322" s="120">
        <f t="shared" si="896"/>
        <v>6</v>
      </c>
      <c r="F2322" s="275">
        <f t="shared" si="897"/>
        <v>46554</v>
      </c>
      <c r="G2322" s="120">
        <f t="shared" si="898"/>
        <v>24329</v>
      </c>
      <c r="H2322" s="245">
        <f t="shared" si="899"/>
        <v>1</v>
      </c>
      <c r="I2322" s="121">
        <f t="shared" si="900"/>
        <v>1.04</v>
      </c>
      <c r="J2322" s="121">
        <f t="shared" si="901"/>
        <v>1.04</v>
      </c>
      <c r="K2322" s="120">
        <f t="shared" si="902"/>
        <v>0</v>
      </c>
      <c r="L2322" s="120">
        <f t="shared" si="903"/>
        <v>0</v>
      </c>
      <c r="M2322" s="246">
        <f t="shared" si="904"/>
        <v>0</v>
      </c>
      <c r="N2322" s="121">
        <f t="shared" si="905"/>
        <v>1.04</v>
      </c>
      <c r="O2322" s="246">
        <f t="shared" si="906"/>
        <v>0.99564551422319469</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87">
        <v>31</v>
      </c>
      <c r="B2323" s="242">
        <f t="shared" si="913"/>
        <v>46569</v>
      </c>
      <c r="C2323" s="243">
        <f t="shared" si="894"/>
        <v>46599</v>
      </c>
      <c r="D2323" s="120">
        <f t="shared" si="895"/>
        <v>31</v>
      </c>
      <c r="E2323" s="120">
        <f t="shared" si="896"/>
        <v>7</v>
      </c>
      <c r="F2323" s="275">
        <f t="shared" si="897"/>
        <v>46584.5</v>
      </c>
      <c r="G2323" s="120">
        <f t="shared" si="898"/>
        <v>24330</v>
      </c>
      <c r="H2323" s="245">
        <f t="shared" si="899"/>
        <v>1</v>
      </c>
      <c r="I2323" s="121">
        <f t="shared" si="900"/>
        <v>1.04</v>
      </c>
      <c r="J2323" s="121">
        <f t="shared" si="901"/>
        <v>1.04</v>
      </c>
      <c r="K2323" s="120">
        <f t="shared" si="902"/>
        <v>0</v>
      </c>
      <c r="L2323" s="120">
        <f t="shared" si="903"/>
        <v>0</v>
      </c>
      <c r="M2323" s="246">
        <f t="shared" si="904"/>
        <v>0</v>
      </c>
      <c r="N2323" s="121">
        <f t="shared" si="905"/>
        <v>1.04</v>
      </c>
      <c r="O2323" s="246">
        <f t="shared" si="906"/>
        <v>0.99631291028446389</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87">
        <v>32</v>
      </c>
      <c r="B2324" s="242">
        <f t="shared" si="913"/>
        <v>46600</v>
      </c>
      <c r="C2324" s="243">
        <f t="shared" si="894"/>
        <v>46630</v>
      </c>
      <c r="D2324" s="120">
        <f t="shared" si="895"/>
        <v>31</v>
      </c>
      <c r="E2324" s="120">
        <f t="shared" si="896"/>
        <v>8</v>
      </c>
      <c r="F2324" s="275">
        <f t="shared" si="897"/>
        <v>46615.5</v>
      </c>
      <c r="G2324" s="120">
        <f t="shared" si="898"/>
        <v>24331</v>
      </c>
      <c r="H2324" s="245">
        <f t="shared" si="899"/>
        <v>1</v>
      </c>
      <c r="I2324" s="121">
        <f t="shared" si="900"/>
        <v>1.04</v>
      </c>
      <c r="J2324" s="121">
        <f t="shared" si="901"/>
        <v>1.04</v>
      </c>
      <c r="K2324" s="120">
        <f t="shared" si="902"/>
        <v>0</v>
      </c>
      <c r="L2324" s="120">
        <f t="shared" si="903"/>
        <v>0</v>
      </c>
      <c r="M2324" s="246">
        <f t="shared" si="904"/>
        <v>0</v>
      </c>
      <c r="N2324" s="121">
        <f t="shared" si="905"/>
        <v>1.04</v>
      </c>
      <c r="O2324" s="246">
        <f t="shared" si="906"/>
        <v>0.99699124726477029</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87">
        <v>33</v>
      </c>
      <c r="B2325" s="242">
        <f t="shared" si="913"/>
        <v>46631</v>
      </c>
      <c r="C2325" s="243">
        <f t="shared" si="894"/>
        <v>46660</v>
      </c>
      <c r="D2325" s="120">
        <f t="shared" si="895"/>
        <v>30</v>
      </c>
      <c r="E2325" s="120">
        <f t="shared" si="896"/>
        <v>9</v>
      </c>
      <c r="F2325" s="275">
        <f t="shared" si="897"/>
        <v>46646</v>
      </c>
      <c r="G2325" s="120">
        <f t="shared" si="898"/>
        <v>24332</v>
      </c>
      <c r="H2325" s="245">
        <f t="shared" si="899"/>
        <v>1</v>
      </c>
      <c r="I2325" s="121">
        <f t="shared" si="900"/>
        <v>1.04</v>
      </c>
      <c r="J2325" s="121">
        <f t="shared" si="901"/>
        <v>1.04</v>
      </c>
      <c r="K2325" s="120">
        <f t="shared" si="902"/>
        <v>0</v>
      </c>
      <c r="L2325" s="120">
        <f t="shared" si="903"/>
        <v>0</v>
      </c>
      <c r="M2325" s="246">
        <f t="shared" si="904"/>
        <v>0</v>
      </c>
      <c r="N2325" s="121">
        <f t="shared" si="905"/>
        <v>1.04</v>
      </c>
      <c r="O2325" s="246">
        <f t="shared" si="906"/>
        <v>0.99765864332603937</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87">
        <v>34</v>
      </c>
      <c r="B2326" s="242">
        <f t="shared" si="913"/>
        <v>46661</v>
      </c>
      <c r="C2326" s="243">
        <f t="shared" si="894"/>
        <v>46691</v>
      </c>
      <c r="D2326" s="120">
        <f t="shared" si="895"/>
        <v>31</v>
      </c>
      <c r="E2326" s="120">
        <f t="shared" si="896"/>
        <v>10</v>
      </c>
      <c r="F2326" s="275">
        <f t="shared" si="897"/>
        <v>46676.5</v>
      </c>
      <c r="G2326" s="120">
        <f t="shared" si="898"/>
        <v>24333</v>
      </c>
      <c r="H2326" s="245">
        <f t="shared" si="899"/>
        <v>1</v>
      </c>
      <c r="I2326" s="121">
        <f t="shared" si="900"/>
        <v>1.04</v>
      </c>
      <c r="J2326" s="121">
        <f t="shared" si="901"/>
        <v>1.04</v>
      </c>
      <c r="K2326" s="120">
        <f t="shared" si="902"/>
        <v>0</v>
      </c>
      <c r="L2326" s="120">
        <f t="shared" si="903"/>
        <v>0</v>
      </c>
      <c r="M2326" s="246">
        <f t="shared" si="904"/>
        <v>0</v>
      </c>
      <c r="N2326" s="121">
        <f t="shared" si="905"/>
        <v>1.04</v>
      </c>
      <c r="O2326" s="246">
        <f t="shared" si="906"/>
        <v>0.99832603938730857</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87">
        <v>35</v>
      </c>
      <c r="B2327" s="242">
        <f t="shared" si="913"/>
        <v>46692</v>
      </c>
      <c r="C2327" s="243">
        <f t="shared" si="894"/>
        <v>46721</v>
      </c>
      <c r="D2327" s="120">
        <f t="shared" si="895"/>
        <v>30</v>
      </c>
      <c r="E2327" s="120">
        <f t="shared" si="896"/>
        <v>11</v>
      </c>
      <c r="F2327" s="275">
        <f t="shared" si="897"/>
        <v>46707</v>
      </c>
      <c r="G2327" s="120">
        <f t="shared" si="898"/>
        <v>24334</v>
      </c>
      <c r="H2327" s="245">
        <f t="shared" si="899"/>
        <v>1</v>
      </c>
      <c r="I2327" s="121">
        <f t="shared" si="900"/>
        <v>1.04</v>
      </c>
      <c r="J2327" s="121">
        <f t="shared" si="901"/>
        <v>1.04</v>
      </c>
      <c r="K2327" s="120">
        <f t="shared" si="902"/>
        <v>0</v>
      </c>
      <c r="L2327" s="120">
        <f t="shared" si="903"/>
        <v>0</v>
      </c>
      <c r="M2327" s="246">
        <f t="shared" si="904"/>
        <v>0</v>
      </c>
      <c r="N2327" s="121">
        <f t="shared" si="905"/>
        <v>1.04</v>
      </c>
      <c r="O2327" s="246">
        <f t="shared" si="906"/>
        <v>0.99899343544857766</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87">
        <v>36</v>
      </c>
      <c r="B2328" s="242">
        <f t="shared" si="913"/>
        <v>46722</v>
      </c>
      <c r="C2328" s="243">
        <f t="shared" si="894"/>
        <v>46752</v>
      </c>
      <c r="D2328" s="120">
        <f t="shared" si="895"/>
        <v>31</v>
      </c>
      <c r="E2328" s="120">
        <f t="shared" si="896"/>
        <v>12</v>
      </c>
      <c r="F2328" s="275">
        <f t="shared" si="897"/>
        <v>46737.5</v>
      </c>
      <c r="G2328" s="120">
        <f t="shared" si="898"/>
        <v>24335</v>
      </c>
      <c r="H2328" s="245">
        <f t="shared" si="899"/>
        <v>1</v>
      </c>
      <c r="I2328" s="121">
        <f t="shared" si="900"/>
        <v>1.04</v>
      </c>
      <c r="J2328" s="121">
        <f t="shared" si="901"/>
        <v>1.04</v>
      </c>
      <c r="K2328" s="120">
        <f t="shared" si="902"/>
        <v>0</v>
      </c>
      <c r="L2328" s="120">
        <f t="shared" si="903"/>
        <v>0</v>
      </c>
      <c r="M2328" s="246">
        <f t="shared" si="904"/>
        <v>0</v>
      </c>
      <c r="N2328" s="121">
        <f t="shared" si="905"/>
        <v>1.04</v>
      </c>
      <c r="O2328" s="246">
        <f t="shared" si="906"/>
        <v>0.99966083150984686</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87">
        <v>37</v>
      </c>
      <c r="B2329" s="242">
        <f t="shared" si="913"/>
        <v>46753</v>
      </c>
      <c r="C2329" s="243">
        <f t="shared" si="894"/>
        <v>46783</v>
      </c>
      <c r="D2329" s="120">
        <f t="shared" si="895"/>
        <v>31</v>
      </c>
      <c r="E2329" s="120">
        <f t="shared" si="896"/>
        <v>1</v>
      </c>
      <c r="F2329" s="275">
        <f t="shared" si="897"/>
        <v>46768.5</v>
      </c>
      <c r="G2329" s="120">
        <f t="shared" si="898"/>
        <v>24336</v>
      </c>
      <c r="H2329" s="245">
        <f t="shared" si="899"/>
        <v>1</v>
      </c>
      <c r="I2329" s="121">
        <f t="shared" si="900"/>
        <v>1.04</v>
      </c>
      <c r="J2329" s="121">
        <f t="shared" si="901"/>
        <v>1.04</v>
      </c>
      <c r="K2329" s="120">
        <f t="shared" si="902"/>
        <v>0</v>
      </c>
      <c r="L2329" s="120">
        <f t="shared" si="903"/>
        <v>0</v>
      </c>
      <c r="M2329" s="246">
        <f t="shared" si="904"/>
        <v>0</v>
      </c>
      <c r="N2329" s="121">
        <f t="shared" si="905"/>
        <v>1.04</v>
      </c>
      <c r="O2329" s="246">
        <f t="shared" si="906"/>
        <v>1</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87">
        <v>38</v>
      </c>
      <c r="B2330" s="242">
        <f t="shared" si="913"/>
        <v>46784</v>
      </c>
      <c r="C2330" s="243">
        <f t="shared" si="894"/>
        <v>46812</v>
      </c>
      <c r="D2330" s="120">
        <f t="shared" si="895"/>
        <v>29</v>
      </c>
      <c r="E2330" s="120">
        <f t="shared" si="896"/>
        <v>2</v>
      </c>
      <c r="F2330" s="275">
        <f t="shared" si="897"/>
        <v>46798.5</v>
      </c>
      <c r="G2330" s="120">
        <f t="shared" si="898"/>
        <v>24337</v>
      </c>
      <c r="H2330" s="245">
        <f t="shared" si="899"/>
        <v>1</v>
      </c>
      <c r="I2330" s="121">
        <f t="shared" si="900"/>
        <v>1.04</v>
      </c>
      <c r="J2330" s="121">
        <f t="shared" si="901"/>
        <v>1.04</v>
      </c>
      <c r="K2330" s="120">
        <f t="shared" si="902"/>
        <v>0</v>
      </c>
      <c r="L2330" s="120">
        <f t="shared" si="903"/>
        <v>0</v>
      </c>
      <c r="M2330" s="246">
        <f t="shared" si="904"/>
        <v>0</v>
      </c>
      <c r="N2330" s="121">
        <f t="shared" si="905"/>
        <v>1.04</v>
      </c>
      <c r="O2330" s="246">
        <f t="shared" si="906"/>
        <v>1</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87">
        <v>39</v>
      </c>
      <c r="B2331" s="242">
        <f t="shared" si="913"/>
        <v>46813</v>
      </c>
      <c r="C2331" s="243">
        <f t="shared" si="894"/>
        <v>46843</v>
      </c>
      <c r="D2331" s="120">
        <f t="shared" si="895"/>
        <v>31</v>
      </c>
      <c r="E2331" s="120">
        <f t="shared" si="896"/>
        <v>3</v>
      </c>
      <c r="F2331" s="275">
        <f t="shared" si="897"/>
        <v>46828.5</v>
      </c>
      <c r="G2331" s="120">
        <f t="shared" si="898"/>
        <v>24338</v>
      </c>
      <c r="H2331" s="245">
        <f t="shared" si="899"/>
        <v>1</v>
      </c>
      <c r="I2331" s="121">
        <f t="shared" si="900"/>
        <v>1.04</v>
      </c>
      <c r="J2331" s="121">
        <f t="shared" si="901"/>
        <v>1.04</v>
      </c>
      <c r="K2331" s="120">
        <f t="shared" si="902"/>
        <v>0</v>
      </c>
      <c r="L2331" s="120">
        <f t="shared" si="903"/>
        <v>0</v>
      </c>
      <c r="M2331" s="246">
        <f t="shared" si="904"/>
        <v>0</v>
      </c>
      <c r="N2331" s="121">
        <f t="shared" si="905"/>
        <v>1.04</v>
      </c>
      <c r="O2331" s="246">
        <f t="shared" si="906"/>
        <v>1</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87">
        <v>40</v>
      </c>
      <c r="B2332" s="242">
        <f t="shared" si="913"/>
        <v>46844</v>
      </c>
      <c r="C2332" s="243">
        <f t="shared" si="894"/>
        <v>46873</v>
      </c>
      <c r="D2332" s="120">
        <f t="shared" si="895"/>
        <v>30</v>
      </c>
      <c r="E2332" s="120">
        <f t="shared" si="896"/>
        <v>4</v>
      </c>
      <c r="F2332" s="275">
        <f t="shared" si="897"/>
        <v>46859</v>
      </c>
      <c r="G2332" s="120">
        <f t="shared" si="898"/>
        <v>24339</v>
      </c>
      <c r="H2332" s="245">
        <f t="shared" si="899"/>
        <v>1</v>
      </c>
      <c r="I2332" s="121">
        <f t="shared" si="900"/>
        <v>1.04</v>
      </c>
      <c r="J2332" s="121">
        <f t="shared" si="901"/>
        <v>1.04</v>
      </c>
      <c r="K2332" s="120">
        <f t="shared" si="902"/>
        <v>0</v>
      </c>
      <c r="L2332" s="120">
        <f t="shared" si="903"/>
        <v>0</v>
      </c>
      <c r="M2332" s="246">
        <f t="shared" si="904"/>
        <v>0</v>
      </c>
      <c r="N2332" s="121">
        <f t="shared" si="905"/>
        <v>1.04</v>
      </c>
      <c r="O2332" s="246">
        <f t="shared" si="906"/>
        <v>1</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87">
        <v>41</v>
      </c>
      <c r="B2333" s="242">
        <f t="shared" si="913"/>
        <v>46874</v>
      </c>
      <c r="C2333" s="243">
        <f t="shared" si="894"/>
        <v>46904</v>
      </c>
      <c r="D2333" s="120">
        <f t="shared" si="895"/>
        <v>31</v>
      </c>
      <c r="E2333" s="120">
        <f t="shared" si="896"/>
        <v>5</v>
      </c>
      <c r="F2333" s="275">
        <f t="shared" si="897"/>
        <v>46889.5</v>
      </c>
      <c r="G2333" s="120">
        <f t="shared" si="898"/>
        <v>24340</v>
      </c>
      <c r="H2333" s="245">
        <f t="shared" si="899"/>
        <v>1</v>
      </c>
      <c r="I2333" s="121">
        <f t="shared" si="900"/>
        <v>1.04</v>
      </c>
      <c r="J2333" s="121">
        <f t="shared" si="901"/>
        <v>1.04</v>
      </c>
      <c r="K2333" s="120">
        <f t="shared" si="902"/>
        <v>0</v>
      </c>
      <c r="L2333" s="120">
        <f t="shared" si="903"/>
        <v>0</v>
      </c>
      <c r="M2333" s="246">
        <f t="shared" si="904"/>
        <v>0</v>
      </c>
      <c r="N2333" s="121">
        <f t="shared" si="905"/>
        <v>1.04</v>
      </c>
      <c r="O2333" s="246">
        <f t="shared" si="906"/>
        <v>1</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87">
        <v>42</v>
      </c>
      <c r="B2334" s="242">
        <f t="shared" si="913"/>
        <v>46905</v>
      </c>
      <c r="C2334" s="243">
        <f t="shared" si="894"/>
        <v>46934</v>
      </c>
      <c r="D2334" s="120">
        <f t="shared" si="895"/>
        <v>30</v>
      </c>
      <c r="E2334" s="120">
        <f t="shared" si="896"/>
        <v>6</v>
      </c>
      <c r="F2334" s="275">
        <f t="shared" si="897"/>
        <v>46920</v>
      </c>
      <c r="G2334" s="120">
        <f t="shared" si="898"/>
        <v>24341</v>
      </c>
      <c r="H2334" s="245">
        <f t="shared" si="899"/>
        <v>1</v>
      </c>
      <c r="I2334" s="121">
        <f t="shared" si="900"/>
        <v>1.04</v>
      </c>
      <c r="J2334" s="121">
        <f t="shared" si="901"/>
        <v>1.04</v>
      </c>
      <c r="K2334" s="120">
        <f t="shared" si="902"/>
        <v>0</v>
      </c>
      <c r="L2334" s="120">
        <f t="shared" si="903"/>
        <v>0</v>
      </c>
      <c r="M2334" s="246">
        <f t="shared" si="904"/>
        <v>0</v>
      </c>
      <c r="N2334" s="121">
        <f t="shared" si="905"/>
        <v>1.04</v>
      </c>
      <c r="O2334" s="246">
        <f t="shared" si="906"/>
        <v>1</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87">
        <v>43</v>
      </c>
      <c r="B2335" s="242">
        <f t="shared" si="913"/>
        <v>46935</v>
      </c>
      <c r="C2335" s="243">
        <f t="shared" si="894"/>
        <v>46965</v>
      </c>
      <c r="D2335" s="120">
        <f t="shared" si="895"/>
        <v>31</v>
      </c>
      <c r="E2335" s="120">
        <f t="shared" si="896"/>
        <v>7</v>
      </c>
      <c r="F2335" s="275">
        <f t="shared" si="897"/>
        <v>46950.5</v>
      </c>
      <c r="G2335" s="120">
        <f t="shared" si="898"/>
        <v>24342</v>
      </c>
      <c r="H2335" s="245">
        <f t="shared" si="899"/>
        <v>1</v>
      </c>
      <c r="I2335" s="121">
        <f t="shared" si="900"/>
        <v>1.04</v>
      </c>
      <c r="J2335" s="121">
        <f t="shared" si="901"/>
        <v>1.04</v>
      </c>
      <c r="K2335" s="120">
        <f t="shared" si="902"/>
        <v>0</v>
      </c>
      <c r="L2335" s="120">
        <f t="shared" si="903"/>
        <v>0</v>
      </c>
      <c r="M2335" s="246">
        <f t="shared" si="904"/>
        <v>0</v>
      </c>
      <c r="N2335" s="121">
        <f t="shared" si="905"/>
        <v>1.04</v>
      </c>
      <c r="O2335" s="246">
        <f t="shared" si="906"/>
        <v>1</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87">
        <v>44</v>
      </c>
      <c r="B2336" s="242">
        <f t="shared" si="913"/>
        <v>46966</v>
      </c>
      <c r="C2336" s="243">
        <f t="shared" si="894"/>
        <v>46996</v>
      </c>
      <c r="D2336" s="120">
        <f t="shared" si="895"/>
        <v>31</v>
      </c>
      <c r="E2336" s="120">
        <f t="shared" si="896"/>
        <v>8</v>
      </c>
      <c r="F2336" s="275">
        <f t="shared" si="897"/>
        <v>46981.5</v>
      </c>
      <c r="G2336" s="120">
        <f t="shared" si="898"/>
        <v>24343</v>
      </c>
      <c r="H2336" s="245">
        <f t="shared" si="899"/>
        <v>1</v>
      </c>
      <c r="I2336" s="121">
        <f t="shared" si="900"/>
        <v>1.04</v>
      </c>
      <c r="J2336" s="121">
        <f t="shared" si="901"/>
        <v>1.04</v>
      </c>
      <c r="K2336" s="120">
        <f t="shared" si="902"/>
        <v>0</v>
      </c>
      <c r="L2336" s="120">
        <f t="shared" si="903"/>
        <v>0</v>
      </c>
      <c r="M2336" s="246">
        <f t="shared" si="904"/>
        <v>0</v>
      </c>
      <c r="N2336" s="121">
        <f t="shared" si="905"/>
        <v>1.04</v>
      </c>
      <c r="O2336" s="246">
        <f t="shared" si="906"/>
        <v>1</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87">
        <v>45</v>
      </c>
      <c r="B2337" s="242">
        <f t="shared" si="913"/>
        <v>46997</v>
      </c>
      <c r="C2337" s="243">
        <f t="shared" si="894"/>
        <v>47026</v>
      </c>
      <c r="D2337" s="120">
        <f t="shared" si="895"/>
        <v>30</v>
      </c>
      <c r="E2337" s="120">
        <f t="shared" si="896"/>
        <v>9</v>
      </c>
      <c r="F2337" s="275">
        <f t="shared" si="897"/>
        <v>47012</v>
      </c>
      <c r="G2337" s="120">
        <f t="shared" si="898"/>
        <v>24344</v>
      </c>
      <c r="H2337" s="245">
        <f t="shared" si="899"/>
        <v>1</v>
      </c>
      <c r="I2337" s="121">
        <f t="shared" si="900"/>
        <v>1.04</v>
      </c>
      <c r="J2337" s="121">
        <f t="shared" si="901"/>
        <v>1.04</v>
      </c>
      <c r="K2337" s="120">
        <f t="shared" si="902"/>
        <v>0</v>
      </c>
      <c r="L2337" s="120">
        <f t="shared" si="903"/>
        <v>0</v>
      </c>
      <c r="M2337" s="246">
        <f t="shared" si="904"/>
        <v>0</v>
      </c>
      <c r="N2337" s="121">
        <f t="shared" si="905"/>
        <v>1.04</v>
      </c>
      <c r="O2337" s="246">
        <f t="shared" si="906"/>
        <v>1</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87">
        <v>46</v>
      </c>
      <c r="B2338" s="242">
        <f t="shared" si="913"/>
        <v>47027</v>
      </c>
      <c r="C2338" s="243">
        <f t="shared" si="894"/>
        <v>47057</v>
      </c>
      <c r="D2338" s="120">
        <f t="shared" si="895"/>
        <v>31</v>
      </c>
      <c r="E2338" s="120">
        <f t="shared" si="896"/>
        <v>10</v>
      </c>
      <c r="F2338" s="275">
        <f t="shared" si="897"/>
        <v>47042.5</v>
      </c>
      <c r="G2338" s="120">
        <f t="shared" si="898"/>
        <v>24345</v>
      </c>
      <c r="H2338" s="245">
        <f t="shared" si="899"/>
        <v>1</v>
      </c>
      <c r="I2338" s="121">
        <f t="shared" si="900"/>
        <v>1.04</v>
      </c>
      <c r="J2338" s="121">
        <f t="shared" si="901"/>
        <v>1.04</v>
      </c>
      <c r="K2338" s="120">
        <f t="shared" si="902"/>
        <v>0</v>
      </c>
      <c r="L2338" s="120">
        <f t="shared" si="903"/>
        <v>0</v>
      </c>
      <c r="M2338" s="246">
        <f t="shared" si="904"/>
        <v>0</v>
      </c>
      <c r="N2338" s="121">
        <f t="shared" si="905"/>
        <v>1.04</v>
      </c>
      <c r="O2338" s="246">
        <f t="shared" si="906"/>
        <v>1</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87">
        <v>47</v>
      </c>
      <c r="B2339" s="242">
        <f t="shared" si="913"/>
        <v>47058</v>
      </c>
      <c r="C2339" s="243">
        <f t="shared" si="894"/>
        <v>47087</v>
      </c>
      <c r="D2339" s="120">
        <f t="shared" si="895"/>
        <v>30</v>
      </c>
      <c r="E2339" s="120">
        <f t="shared" si="896"/>
        <v>11</v>
      </c>
      <c r="F2339" s="275">
        <f t="shared" si="897"/>
        <v>47073</v>
      </c>
      <c r="G2339" s="120">
        <f t="shared" si="898"/>
        <v>24346</v>
      </c>
      <c r="H2339" s="245">
        <f t="shared" si="899"/>
        <v>1</v>
      </c>
      <c r="I2339" s="121">
        <f t="shared" si="900"/>
        <v>1.04</v>
      </c>
      <c r="J2339" s="121">
        <f t="shared" si="901"/>
        <v>1.04</v>
      </c>
      <c r="K2339" s="120">
        <f t="shared" si="902"/>
        <v>0</v>
      </c>
      <c r="L2339" s="120">
        <f t="shared" si="903"/>
        <v>0</v>
      </c>
      <c r="M2339" s="246">
        <f t="shared" si="904"/>
        <v>0</v>
      </c>
      <c r="N2339" s="121">
        <f t="shared" si="905"/>
        <v>1.04</v>
      </c>
      <c r="O2339" s="246">
        <f t="shared" si="906"/>
        <v>1</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87">
        <v>48</v>
      </c>
      <c r="B2340" s="242">
        <f t="shared" si="913"/>
        <v>47088</v>
      </c>
      <c r="C2340" s="243">
        <f t="shared" si="894"/>
        <v>47118</v>
      </c>
      <c r="D2340" s="120">
        <f t="shared" si="895"/>
        <v>31</v>
      </c>
      <c r="E2340" s="120">
        <f t="shared" si="896"/>
        <v>12</v>
      </c>
      <c r="F2340" s="275">
        <f t="shared" si="897"/>
        <v>47103.5</v>
      </c>
      <c r="G2340" s="120">
        <f t="shared" si="898"/>
        <v>24347</v>
      </c>
      <c r="H2340" s="245">
        <f t="shared" si="899"/>
        <v>1</v>
      </c>
      <c r="I2340" s="121">
        <f t="shared" si="900"/>
        <v>1.04</v>
      </c>
      <c r="J2340" s="121">
        <f t="shared" si="901"/>
        <v>1.04</v>
      </c>
      <c r="K2340" s="120">
        <f t="shared" si="902"/>
        <v>0</v>
      </c>
      <c r="L2340" s="120">
        <f t="shared" si="903"/>
        <v>0</v>
      </c>
      <c r="M2340" s="246">
        <f t="shared" si="904"/>
        <v>0</v>
      </c>
      <c r="N2340" s="121">
        <f t="shared" si="905"/>
        <v>1.04</v>
      </c>
      <c r="O2340" s="246">
        <f t="shared" si="906"/>
        <v>1</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1651</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24">
        <f>SUMPRODUCT($H$2293:$H$2340,$Q$2293:$Q$2340,$O$2293:$O$2340)/SUMPRODUCT($H$2293:$H$2340,$Q$2293:$Q$2340)</f>
        <v>0.99199580598103554</v>
      </c>
      <c r="G2341" s="224">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24">
        <f>IF(N(INDEX(lr_mind,43))=0,1,INDEX(lr_mind,43))</f>
        <v>1</v>
      </c>
      <c r="G2344" s="224">
        <f>IF(N(INDEX(lr_m0,43))=0,1,INDEX(lr_m0,43))</f>
        <v>0.99</v>
      </c>
      <c r="H2344" s="74">
        <f>IF(N(INDEX(lr_m0asof,43))=0,DATE(nr_PlanYear-1,10,1),INDEX(lr_m0asof,43))</f>
        <v>46295</v>
      </c>
      <c r="I2344" s="224">
        <f>IF(N(INDEX(lr_m1,43))=0,1,INDEX(lr_m1,43))</f>
        <v>0.98</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914">EOMONTH($B2347,0)</f>
        <v>45688</v>
      </c>
      <c r="D2347" s="120">
        <f t="shared" ref="D2347:D2394" si="915">$C2347-$B2347+1</f>
        <v>31</v>
      </c>
      <c r="E2347" s="120">
        <f t="shared" ref="E2347:E2394" si="916">MONTH($B2347)</f>
        <v>1</v>
      </c>
      <c r="F2347" s="275">
        <f t="shared" ref="F2347:F2394" si="917">($B2347+$C2347+1)/2</f>
        <v>45673.5</v>
      </c>
      <c r="G2347" s="120">
        <f t="shared" ref="G2347:G2394" si="918">YEAR($B2347)*12+MONTH($B2347)-1</f>
        <v>24300</v>
      </c>
      <c r="H2347" s="245">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46">
        <f t="shared" ref="M2347:M2394" si="924">IF($K2347=0,0,MIN(1,$L2347/$D2347))</f>
        <v>0</v>
      </c>
      <c r="N2347" s="121">
        <f t="shared" ref="N2347:N2394" si="925">IF($K2347=0,$J2347,(1-$M2347)*$I2347+$M2347*$J2347)</f>
        <v>1</v>
      </c>
      <c r="O2347" s="246">
        <f t="shared" ref="O2347:O2394" si="926">IF($F2347&lt;$B$2345,$E$2345+$I$2345*($F2347-$A$2345),IF($F2347&lt;$C$2345,$F$2345+$J$2345*($F2347-$B$2345),$G$2345+$K$2345*($F2347-$C$2345)))</f>
        <v>1.0036214442013129</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87">
        <v>2</v>
      </c>
      <c r="B2348" s="242">
        <f t="shared" ref="B2348:B2394" si="933">EDATE($B2347,1)</f>
        <v>45689</v>
      </c>
      <c r="C2348" s="243">
        <f t="shared" si="914"/>
        <v>45716</v>
      </c>
      <c r="D2348" s="120">
        <f t="shared" si="915"/>
        <v>28</v>
      </c>
      <c r="E2348" s="120">
        <f t="shared" si="916"/>
        <v>2</v>
      </c>
      <c r="F2348" s="275">
        <f t="shared" si="917"/>
        <v>45703</v>
      </c>
      <c r="G2348" s="120">
        <f t="shared" si="918"/>
        <v>24301</v>
      </c>
      <c r="H2348" s="245">
        <f t="shared" si="919"/>
        <v>1</v>
      </c>
      <c r="I2348" s="121">
        <f t="shared" si="920"/>
        <v>1</v>
      </c>
      <c r="J2348" s="121">
        <f t="shared" si="921"/>
        <v>1</v>
      </c>
      <c r="K2348" s="120">
        <f t="shared" si="922"/>
        <v>0</v>
      </c>
      <c r="L2348" s="120">
        <f t="shared" si="923"/>
        <v>0</v>
      </c>
      <c r="M2348" s="246">
        <f t="shared" si="924"/>
        <v>0</v>
      </c>
      <c r="N2348" s="121">
        <f t="shared" si="925"/>
        <v>1</v>
      </c>
      <c r="O2348" s="246">
        <f t="shared" si="926"/>
        <v>1.002975929978118</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87">
        <v>3</v>
      </c>
      <c r="B2349" s="242">
        <f t="shared" si="933"/>
        <v>45717</v>
      </c>
      <c r="C2349" s="243">
        <f t="shared" si="914"/>
        <v>45747</v>
      </c>
      <c r="D2349" s="120">
        <f t="shared" si="915"/>
        <v>31</v>
      </c>
      <c r="E2349" s="120">
        <f t="shared" si="916"/>
        <v>3</v>
      </c>
      <c r="F2349" s="275">
        <f t="shared" si="917"/>
        <v>45732.5</v>
      </c>
      <c r="G2349" s="120">
        <f t="shared" si="918"/>
        <v>24302</v>
      </c>
      <c r="H2349" s="245">
        <f t="shared" si="919"/>
        <v>1</v>
      </c>
      <c r="I2349" s="121">
        <f t="shared" si="920"/>
        <v>1</v>
      </c>
      <c r="J2349" s="121">
        <f t="shared" si="921"/>
        <v>1</v>
      </c>
      <c r="K2349" s="120">
        <f t="shared" si="922"/>
        <v>0</v>
      </c>
      <c r="L2349" s="120">
        <f t="shared" si="923"/>
        <v>0</v>
      </c>
      <c r="M2349" s="246">
        <f t="shared" si="924"/>
        <v>0</v>
      </c>
      <c r="N2349" s="121">
        <f t="shared" si="925"/>
        <v>1</v>
      </c>
      <c r="O2349" s="246">
        <f t="shared" si="926"/>
        <v>1.0023304157549233</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87">
        <v>4</v>
      </c>
      <c r="B2350" s="242">
        <f t="shared" si="933"/>
        <v>45748</v>
      </c>
      <c r="C2350" s="243">
        <f t="shared" si="914"/>
        <v>45777</v>
      </c>
      <c r="D2350" s="120">
        <f t="shared" si="915"/>
        <v>30</v>
      </c>
      <c r="E2350" s="120">
        <f t="shared" si="916"/>
        <v>4</v>
      </c>
      <c r="F2350" s="275">
        <f t="shared" si="917"/>
        <v>45763</v>
      </c>
      <c r="G2350" s="120">
        <f t="shared" si="918"/>
        <v>24303</v>
      </c>
      <c r="H2350" s="245">
        <f t="shared" si="919"/>
        <v>1</v>
      </c>
      <c r="I2350" s="121">
        <f t="shared" si="920"/>
        <v>1</v>
      </c>
      <c r="J2350" s="121">
        <f t="shared" si="921"/>
        <v>1</v>
      </c>
      <c r="K2350" s="120">
        <f t="shared" si="922"/>
        <v>0</v>
      </c>
      <c r="L2350" s="120">
        <f t="shared" si="923"/>
        <v>0</v>
      </c>
      <c r="M2350" s="246">
        <f t="shared" si="924"/>
        <v>0</v>
      </c>
      <c r="N2350" s="121">
        <f t="shared" si="925"/>
        <v>1</v>
      </c>
      <c r="O2350" s="246">
        <f t="shared" si="926"/>
        <v>1.0016630196936542</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87">
        <v>5</v>
      </c>
      <c r="B2351" s="242">
        <f t="shared" si="933"/>
        <v>45778</v>
      </c>
      <c r="C2351" s="243">
        <f t="shared" si="914"/>
        <v>45808</v>
      </c>
      <c r="D2351" s="120">
        <f t="shared" si="915"/>
        <v>31</v>
      </c>
      <c r="E2351" s="120">
        <f t="shared" si="916"/>
        <v>5</v>
      </c>
      <c r="F2351" s="275">
        <f t="shared" si="917"/>
        <v>45793.5</v>
      </c>
      <c r="G2351" s="120">
        <f t="shared" si="918"/>
        <v>24304</v>
      </c>
      <c r="H2351" s="245">
        <f t="shared" si="919"/>
        <v>1</v>
      </c>
      <c r="I2351" s="121">
        <f t="shared" si="920"/>
        <v>1</v>
      </c>
      <c r="J2351" s="121">
        <f t="shared" si="921"/>
        <v>1</v>
      </c>
      <c r="K2351" s="120">
        <f t="shared" si="922"/>
        <v>0</v>
      </c>
      <c r="L2351" s="120">
        <f t="shared" si="923"/>
        <v>0</v>
      </c>
      <c r="M2351" s="246">
        <f t="shared" si="924"/>
        <v>0</v>
      </c>
      <c r="N2351" s="121">
        <f t="shared" si="925"/>
        <v>1</v>
      </c>
      <c r="O2351" s="246">
        <f t="shared" si="926"/>
        <v>1.0009956236323851</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87">
        <v>6</v>
      </c>
      <c r="B2352" s="242">
        <f t="shared" si="933"/>
        <v>45809</v>
      </c>
      <c r="C2352" s="243">
        <f t="shared" si="914"/>
        <v>45838</v>
      </c>
      <c r="D2352" s="120">
        <f t="shared" si="915"/>
        <v>30</v>
      </c>
      <c r="E2352" s="120">
        <f t="shared" si="916"/>
        <v>6</v>
      </c>
      <c r="F2352" s="275">
        <f t="shared" si="917"/>
        <v>45824</v>
      </c>
      <c r="G2352" s="120">
        <f t="shared" si="918"/>
        <v>24305</v>
      </c>
      <c r="H2352" s="245">
        <f t="shared" si="919"/>
        <v>1</v>
      </c>
      <c r="I2352" s="121">
        <f t="shared" si="920"/>
        <v>1</v>
      </c>
      <c r="J2352" s="121">
        <f t="shared" si="921"/>
        <v>1</v>
      </c>
      <c r="K2352" s="120">
        <f t="shared" si="922"/>
        <v>0</v>
      </c>
      <c r="L2352" s="120">
        <f t="shared" si="923"/>
        <v>0</v>
      </c>
      <c r="M2352" s="246">
        <f t="shared" si="924"/>
        <v>0</v>
      </c>
      <c r="N2352" s="121">
        <f t="shared" si="925"/>
        <v>1</v>
      </c>
      <c r="O2352" s="246">
        <f t="shared" si="926"/>
        <v>1.0003282275711158</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87">
        <v>7</v>
      </c>
      <c r="B2353" s="242">
        <f t="shared" si="933"/>
        <v>45839</v>
      </c>
      <c r="C2353" s="243">
        <f t="shared" si="914"/>
        <v>45869</v>
      </c>
      <c r="D2353" s="120">
        <f t="shared" si="915"/>
        <v>31</v>
      </c>
      <c r="E2353" s="120">
        <f t="shared" si="916"/>
        <v>7</v>
      </c>
      <c r="F2353" s="275">
        <f t="shared" si="917"/>
        <v>45854.5</v>
      </c>
      <c r="G2353" s="120">
        <f t="shared" si="918"/>
        <v>24306</v>
      </c>
      <c r="H2353" s="245">
        <f t="shared" si="919"/>
        <v>1</v>
      </c>
      <c r="I2353" s="121">
        <f t="shared" si="920"/>
        <v>1</v>
      </c>
      <c r="J2353" s="121">
        <f t="shared" si="921"/>
        <v>1</v>
      </c>
      <c r="K2353" s="120">
        <f t="shared" si="922"/>
        <v>0</v>
      </c>
      <c r="L2353" s="120">
        <f t="shared" si="923"/>
        <v>0</v>
      </c>
      <c r="M2353" s="246">
        <f t="shared" si="924"/>
        <v>0</v>
      </c>
      <c r="N2353" s="121">
        <f t="shared" si="925"/>
        <v>1</v>
      </c>
      <c r="O2353" s="246">
        <f t="shared" si="926"/>
        <v>0.99966083150984675</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87">
        <v>8</v>
      </c>
      <c r="B2354" s="242">
        <f t="shared" si="933"/>
        <v>45870</v>
      </c>
      <c r="C2354" s="243">
        <f t="shared" si="914"/>
        <v>45900</v>
      </c>
      <c r="D2354" s="120">
        <f t="shared" si="915"/>
        <v>31</v>
      </c>
      <c r="E2354" s="120">
        <f t="shared" si="916"/>
        <v>8</v>
      </c>
      <c r="F2354" s="275">
        <f t="shared" si="917"/>
        <v>45885.5</v>
      </c>
      <c r="G2354" s="120">
        <f t="shared" si="918"/>
        <v>24307</v>
      </c>
      <c r="H2354" s="245">
        <f t="shared" si="919"/>
        <v>1</v>
      </c>
      <c r="I2354" s="121">
        <f t="shared" si="920"/>
        <v>1</v>
      </c>
      <c r="J2354" s="121">
        <f t="shared" si="921"/>
        <v>1</v>
      </c>
      <c r="K2354" s="120">
        <f t="shared" si="922"/>
        <v>0</v>
      </c>
      <c r="L2354" s="120">
        <f t="shared" si="923"/>
        <v>0</v>
      </c>
      <c r="M2354" s="246">
        <f t="shared" si="924"/>
        <v>0</v>
      </c>
      <c r="N2354" s="121">
        <f t="shared" si="925"/>
        <v>1</v>
      </c>
      <c r="O2354" s="246">
        <f t="shared" si="926"/>
        <v>0.99898249452954047</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87">
        <v>9</v>
      </c>
      <c r="B2355" s="242">
        <f t="shared" si="933"/>
        <v>45901</v>
      </c>
      <c r="C2355" s="243">
        <f t="shared" si="914"/>
        <v>45930</v>
      </c>
      <c r="D2355" s="120">
        <f t="shared" si="915"/>
        <v>30</v>
      </c>
      <c r="E2355" s="120">
        <f t="shared" si="916"/>
        <v>9</v>
      </c>
      <c r="F2355" s="275">
        <f t="shared" si="917"/>
        <v>45916</v>
      </c>
      <c r="G2355" s="120">
        <f t="shared" si="918"/>
        <v>24308</v>
      </c>
      <c r="H2355" s="245">
        <f t="shared" si="919"/>
        <v>1</v>
      </c>
      <c r="I2355" s="121">
        <f t="shared" si="920"/>
        <v>1</v>
      </c>
      <c r="J2355" s="121">
        <f t="shared" si="921"/>
        <v>1</v>
      </c>
      <c r="K2355" s="120">
        <f t="shared" si="922"/>
        <v>0</v>
      </c>
      <c r="L2355" s="120">
        <f t="shared" si="923"/>
        <v>0</v>
      </c>
      <c r="M2355" s="246">
        <f t="shared" si="924"/>
        <v>0</v>
      </c>
      <c r="N2355" s="121">
        <f t="shared" si="925"/>
        <v>1</v>
      </c>
      <c r="O2355" s="246">
        <f t="shared" si="926"/>
        <v>0.99831509846827127</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87">
        <v>10</v>
      </c>
      <c r="B2356" s="242">
        <f t="shared" si="933"/>
        <v>45931</v>
      </c>
      <c r="C2356" s="243">
        <f t="shared" si="914"/>
        <v>45961</v>
      </c>
      <c r="D2356" s="120">
        <f t="shared" si="915"/>
        <v>31</v>
      </c>
      <c r="E2356" s="120">
        <f t="shared" si="916"/>
        <v>10</v>
      </c>
      <c r="F2356" s="275">
        <f t="shared" si="917"/>
        <v>45946.5</v>
      </c>
      <c r="G2356" s="120">
        <f t="shared" si="918"/>
        <v>24309</v>
      </c>
      <c r="H2356" s="245">
        <f t="shared" si="919"/>
        <v>1</v>
      </c>
      <c r="I2356" s="121">
        <f t="shared" si="920"/>
        <v>1</v>
      </c>
      <c r="J2356" s="121">
        <f t="shared" si="921"/>
        <v>1</v>
      </c>
      <c r="K2356" s="120">
        <f t="shared" si="922"/>
        <v>0</v>
      </c>
      <c r="L2356" s="120">
        <f t="shared" si="923"/>
        <v>0</v>
      </c>
      <c r="M2356" s="246">
        <f t="shared" si="924"/>
        <v>0</v>
      </c>
      <c r="N2356" s="121">
        <f t="shared" si="925"/>
        <v>1</v>
      </c>
      <c r="O2356" s="246">
        <f t="shared" si="926"/>
        <v>0.99764770240700218</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87">
        <v>11</v>
      </c>
      <c r="B2357" s="242">
        <f t="shared" si="933"/>
        <v>45962</v>
      </c>
      <c r="C2357" s="243">
        <f t="shared" si="914"/>
        <v>45991</v>
      </c>
      <c r="D2357" s="120">
        <f t="shared" si="915"/>
        <v>30</v>
      </c>
      <c r="E2357" s="120">
        <f t="shared" si="916"/>
        <v>11</v>
      </c>
      <c r="F2357" s="275">
        <f t="shared" si="917"/>
        <v>45977</v>
      </c>
      <c r="G2357" s="120">
        <f t="shared" si="918"/>
        <v>24310</v>
      </c>
      <c r="H2357" s="245">
        <f t="shared" si="919"/>
        <v>1</v>
      </c>
      <c r="I2357" s="121">
        <f t="shared" si="920"/>
        <v>1</v>
      </c>
      <c r="J2357" s="121">
        <f t="shared" si="921"/>
        <v>1</v>
      </c>
      <c r="K2357" s="120">
        <f t="shared" si="922"/>
        <v>0</v>
      </c>
      <c r="L2357" s="120">
        <f t="shared" si="923"/>
        <v>0</v>
      </c>
      <c r="M2357" s="246">
        <f t="shared" si="924"/>
        <v>0</v>
      </c>
      <c r="N2357" s="121">
        <f t="shared" si="925"/>
        <v>1</v>
      </c>
      <c r="O2357" s="246">
        <f t="shared" si="926"/>
        <v>0.99698030634573298</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87">
        <v>12</v>
      </c>
      <c r="B2358" s="242">
        <f t="shared" si="933"/>
        <v>45992</v>
      </c>
      <c r="C2358" s="243">
        <f t="shared" si="914"/>
        <v>46022</v>
      </c>
      <c r="D2358" s="120">
        <f t="shared" si="915"/>
        <v>31</v>
      </c>
      <c r="E2358" s="120">
        <f t="shared" si="916"/>
        <v>12</v>
      </c>
      <c r="F2358" s="275">
        <f t="shared" si="917"/>
        <v>46007.5</v>
      </c>
      <c r="G2358" s="120">
        <f t="shared" si="918"/>
        <v>24311</v>
      </c>
      <c r="H2358" s="245">
        <f t="shared" si="919"/>
        <v>1</v>
      </c>
      <c r="I2358" s="121">
        <f t="shared" si="920"/>
        <v>1</v>
      </c>
      <c r="J2358" s="121">
        <f t="shared" si="921"/>
        <v>1</v>
      </c>
      <c r="K2358" s="120">
        <f t="shared" si="922"/>
        <v>0</v>
      </c>
      <c r="L2358" s="120">
        <f t="shared" si="923"/>
        <v>0</v>
      </c>
      <c r="M2358" s="246">
        <f t="shared" si="924"/>
        <v>0</v>
      </c>
      <c r="N2358" s="121">
        <f t="shared" si="925"/>
        <v>1</v>
      </c>
      <c r="O2358" s="246">
        <f t="shared" si="926"/>
        <v>0.99631291028446389</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87">
        <v>13</v>
      </c>
      <c r="B2359" s="242">
        <f t="shared" si="933"/>
        <v>46023</v>
      </c>
      <c r="C2359" s="243">
        <f t="shared" si="914"/>
        <v>46053</v>
      </c>
      <c r="D2359" s="120">
        <f t="shared" si="915"/>
        <v>31</v>
      </c>
      <c r="E2359" s="120">
        <f t="shared" si="916"/>
        <v>1</v>
      </c>
      <c r="F2359" s="275">
        <f t="shared" si="917"/>
        <v>46038.5</v>
      </c>
      <c r="G2359" s="120">
        <f t="shared" si="918"/>
        <v>24312</v>
      </c>
      <c r="H2359" s="245">
        <f t="shared" si="919"/>
        <v>1</v>
      </c>
      <c r="I2359" s="121">
        <f t="shared" si="920"/>
        <v>1</v>
      </c>
      <c r="J2359" s="121">
        <f t="shared" si="921"/>
        <v>1</v>
      </c>
      <c r="K2359" s="120">
        <f t="shared" si="922"/>
        <v>0</v>
      </c>
      <c r="L2359" s="120">
        <f t="shared" si="923"/>
        <v>0</v>
      </c>
      <c r="M2359" s="246">
        <f t="shared" si="924"/>
        <v>0</v>
      </c>
      <c r="N2359" s="121">
        <f t="shared" si="925"/>
        <v>1</v>
      </c>
      <c r="O2359" s="246">
        <f t="shared" si="926"/>
        <v>0.9956345733041575</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87">
        <v>14</v>
      </c>
      <c r="B2360" s="242">
        <f t="shared" si="933"/>
        <v>46054</v>
      </c>
      <c r="C2360" s="243">
        <f t="shared" si="914"/>
        <v>46081</v>
      </c>
      <c r="D2360" s="120">
        <f t="shared" si="915"/>
        <v>28</v>
      </c>
      <c r="E2360" s="120">
        <f t="shared" si="916"/>
        <v>2</v>
      </c>
      <c r="F2360" s="275">
        <f t="shared" si="917"/>
        <v>46068</v>
      </c>
      <c r="G2360" s="120">
        <f t="shared" si="918"/>
        <v>24313</v>
      </c>
      <c r="H2360" s="245">
        <f t="shared" si="919"/>
        <v>1</v>
      </c>
      <c r="I2360" s="121">
        <f t="shared" si="920"/>
        <v>1</v>
      </c>
      <c r="J2360" s="121">
        <f t="shared" si="921"/>
        <v>1</v>
      </c>
      <c r="K2360" s="120">
        <f t="shared" si="922"/>
        <v>0</v>
      </c>
      <c r="L2360" s="120">
        <f t="shared" si="923"/>
        <v>0</v>
      </c>
      <c r="M2360" s="246">
        <f t="shared" si="924"/>
        <v>0</v>
      </c>
      <c r="N2360" s="121">
        <f t="shared" si="925"/>
        <v>1</v>
      </c>
      <c r="O2360" s="246">
        <f t="shared" si="926"/>
        <v>0.9949890590809628</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87">
        <v>15</v>
      </c>
      <c r="B2361" s="242">
        <f t="shared" si="933"/>
        <v>46082</v>
      </c>
      <c r="C2361" s="243">
        <f t="shared" si="914"/>
        <v>46112</v>
      </c>
      <c r="D2361" s="120">
        <f t="shared" si="915"/>
        <v>31</v>
      </c>
      <c r="E2361" s="120">
        <f t="shared" si="916"/>
        <v>3</v>
      </c>
      <c r="F2361" s="275">
        <f t="shared" si="917"/>
        <v>46097.5</v>
      </c>
      <c r="G2361" s="120">
        <f t="shared" si="918"/>
        <v>24314</v>
      </c>
      <c r="H2361" s="245">
        <f t="shared" si="919"/>
        <v>1</v>
      </c>
      <c r="I2361" s="121">
        <f t="shared" si="920"/>
        <v>1</v>
      </c>
      <c r="J2361" s="121">
        <f t="shared" si="921"/>
        <v>1</v>
      </c>
      <c r="K2361" s="120">
        <f t="shared" si="922"/>
        <v>0</v>
      </c>
      <c r="L2361" s="120">
        <f t="shared" si="923"/>
        <v>0</v>
      </c>
      <c r="M2361" s="246">
        <f t="shared" si="924"/>
        <v>0</v>
      </c>
      <c r="N2361" s="121">
        <f t="shared" si="925"/>
        <v>1</v>
      </c>
      <c r="O2361" s="246">
        <f t="shared" si="926"/>
        <v>0.99434354485776799</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87">
        <v>16</v>
      </c>
      <c r="B2362" s="242">
        <f t="shared" si="933"/>
        <v>46113</v>
      </c>
      <c r="C2362" s="243">
        <f t="shared" si="914"/>
        <v>46142</v>
      </c>
      <c r="D2362" s="120">
        <f t="shared" si="915"/>
        <v>30</v>
      </c>
      <c r="E2362" s="120">
        <f t="shared" si="916"/>
        <v>4</v>
      </c>
      <c r="F2362" s="275">
        <f t="shared" si="917"/>
        <v>46128</v>
      </c>
      <c r="G2362" s="120">
        <f t="shared" si="918"/>
        <v>24315</v>
      </c>
      <c r="H2362" s="245">
        <f t="shared" si="919"/>
        <v>1</v>
      </c>
      <c r="I2362" s="121">
        <f t="shared" si="920"/>
        <v>1</v>
      </c>
      <c r="J2362" s="121">
        <f t="shared" si="921"/>
        <v>1</v>
      </c>
      <c r="K2362" s="120">
        <f t="shared" si="922"/>
        <v>0</v>
      </c>
      <c r="L2362" s="120">
        <f t="shared" si="923"/>
        <v>0</v>
      </c>
      <c r="M2362" s="246">
        <f t="shared" si="924"/>
        <v>0</v>
      </c>
      <c r="N2362" s="121">
        <f t="shared" si="925"/>
        <v>1</v>
      </c>
      <c r="O2362" s="246">
        <f t="shared" si="926"/>
        <v>0.9936761487964989</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87">
        <v>17</v>
      </c>
      <c r="B2363" s="242">
        <f t="shared" si="933"/>
        <v>46143</v>
      </c>
      <c r="C2363" s="243">
        <f t="shared" si="914"/>
        <v>46173</v>
      </c>
      <c r="D2363" s="120">
        <f t="shared" si="915"/>
        <v>31</v>
      </c>
      <c r="E2363" s="120">
        <f t="shared" si="916"/>
        <v>5</v>
      </c>
      <c r="F2363" s="275">
        <f t="shared" si="917"/>
        <v>46158.5</v>
      </c>
      <c r="G2363" s="120">
        <f t="shared" si="918"/>
        <v>24316</v>
      </c>
      <c r="H2363" s="245">
        <f t="shared" si="919"/>
        <v>1</v>
      </c>
      <c r="I2363" s="121">
        <f t="shared" si="920"/>
        <v>1</v>
      </c>
      <c r="J2363" s="121">
        <f t="shared" si="921"/>
        <v>1</v>
      </c>
      <c r="K2363" s="120">
        <f t="shared" si="922"/>
        <v>0</v>
      </c>
      <c r="L2363" s="120">
        <f t="shared" si="923"/>
        <v>0</v>
      </c>
      <c r="M2363" s="246">
        <f t="shared" si="924"/>
        <v>0</v>
      </c>
      <c r="N2363" s="121">
        <f t="shared" si="925"/>
        <v>1</v>
      </c>
      <c r="O2363" s="246">
        <f t="shared" si="926"/>
        <v>0.9930087527352297</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87">
        <v>18</v>
      </c>
      <c r="B2364" s="242">
        <f t="shared" si="933"/>
        <v>46174</v>
      </c>
      <c r="C2364" s="243">
        <f t="shared" si="914"/>
        <v>46203</v>
      </c>
      <c r="D2364" s="120">
        <f t="shared" si="915"/>
        <v>30</v>
      </c>
      <c r="E2364" s="120">
        <f t="shared" si="916"/>
        <v>6</v>
      </c>
      <c r="F2364" s="275">
        <f t="shared" si="917"/>
        <v>46189</v>
      </c>
      <c r="G2364" s="120">
        <f t="shared" si="918"/>
        <v>24317</v>
      </c>
      <c r="H2364" s="245">
        <f t="shared" si="919"/>
        <v>1</v>
      </c>
      <c r="I2364" s="121">
        <f t="shared" si="920"/>
        <v>1</v>
      </c>
      <c r="J2364" s="121">
        <f t="shared" si="921"/>
        <v>1</v>
      </c>
      <c r="K2364" s="120">
        <f t="shared" si="922"/>
        <v>0</v>
      </c>
      <c r="L2364" s="120">
        <f t="shared" si="923"/>
        <v>0</v>
      </c>
      <c r="M2364" s="246">
        <f t="shared" si="924"/>
        <v>0</v>
      </c>
      <c r="N2364" s="121">
        <f t="shared" si="925"/>
        <v>1</v>
      </c>
      <c r="O2364" s="246">
        <f t="shared" si="926"/>
        <v>0.99234135667396062</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87">
        <v>19</v>
      </c>
      <c r="B2365" s="242">
        <f t="shared" si="933"/>
        <v>46204</v>
      </c>
      <c r="C2365" s="243">
        <f t="shared" si="914"/>
        <v>46234</v>
      </c>
      <c r="D2365" s="120">
        <f t="shared" si="915"/>
        <v>31</v>
      </c>
      <c r="E2365" s="120">
        <f t="shared" si="916"/>
        <v>7</v>
      </c>
      <c r="F2365" s="275">
        <f t="shared" si="917"/>
        <v>46219.5</v>
      </c>
      <c r="G2365" s="120">
        <f t="shared" si="918"/>
        <v>24318</v>
      </c>
      <c r="H2365" s="245">
        <f t="shared" si="919"/>
        <v>1</v>
      </c>
      <c r="I2365" s="121">
        <f t="shared" si="920"/>
        <v>1</v>
      </c>
      <c r="J2365" s="121">
        <f t="shared" si="921"/>
        <v>1.04</v>
      </c>
      <c r="K2365" s="120">
        <f t="shared" si="922"/>
        <v>1</v>
      </c>
      <c r="L2365" s="120">
        <f t="shared" si="923"/>
        <v>31</v>
      </c>
      <c r="M2365" s="246">
        <f t="shared" si="924"/>
        <v>1</v>
      </c>
      <c r="N2365" s="121">
        <f t="shared" si="925"/>
        <v>1.04</v>
      </c>
      <c r="O2365" s="246">
        <f t="shared" si="926"/>
        <v>0.99167396061269142</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87">
        <v>20</v>
      </c>
      <c r="B2366" s="242">
        <f t="shared" si="933"/>
        <v>46235</v>
      </c>
      <c r="C2366" s="243">
        <f t="shared" si="914"/>
        <v>46265</v>
      </c>
      <c r="D2366" s="120">
        <f t="shared" si="915"/>
        <v>31</v>
      </c>
      <c r="E2366" s="120">
        <f t="shared" si="916"/>
        <v>8</v>
      </c>
      <c r="F2366" s="275">
        <f t="shared" si="917"/>
        <v>46250.5</v>
      </c>
      <c r="G2366" s="120">
        <f t="shared" si="918"/>
        <v>24319</v>
      </c>
      <c r="H2366" s="245">
        <f t="shared" si="919"/>
        <v>1</v>
      </c>
      <c r="I2366" s="121">
        <f t="shared" si="920"/>
        <v>1.04</v>
      </c>
      <c r="J2366" s="121">
        <f t="shared" si="921"/>
        <v>1.04</v>
      </c>
      <c r="K2366" s="120">
        <f t="shared" si="922"/>
        <v>0</v>
      </c>
      <c r="L2366" s="120">
        <f t="shared" si="923"/>
        <v>0</v>
      </c>
      <c r="M2366" s="246">
        <f t="shared" si="924"/>
        <v>0</v>
      </c>
      <c r="N2366" s="121">
        <f t="shared" si="925"/>
        <v>1.04</v>
      </c>
      <c r="O2366" s="246">
        <f t="shared" si="926"/>
        <v>0.99099562363238514</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87">
        <v>21</v>
      </c>
      <c r="B2367" s="242">
        <f t="shared" si="933"/>
        <v>46266</v>
      </c>
      <c r="C2367" s="243">
        <f t="shared" si="914"/>
        <v>46295</v>
      </c>
      <c r="D2367" s="120">
        <f t="shared" si="915"/>
        <v>30</v>
      </c>
      <c r="E2367" s="120">
        <f t="shared" si="916"/>
        <v>9</v>
      </c>
      <c r="F2367" s="275">
        <f t="shared" si="917"/>
        <v>46281</v>
      </c>
      <c r="G2367" s="120">
        <f t="shared" si="918"/>
        <v>24320</v>
      </c>
      <c r="H2367" s="245">
        <f t="shared" si="919"/>
        <v>1</v>
      </c>
      <c r="I2367" s="121">
        <f t="shared" si="920"/>
        <v>1.04</v>
      </c>
      <c r="J2367" s="121">
        <f t="shared" si="921"/>
        <v>1.04</v>
      </c>
      <c r="K2367" s="120">
        <f t="shared" si="922"/>
        <v>0</v>
      </c>
      <c r="L2367" s="120">
        <f t="shared" si="923"/>
        <v>0</v>
      </c>
      <c r="M2367" s="246">
        <f t="shared" si="924"/>
        <v>0</v>
      </c>
      <c r="N2367" s="121">
        <f t="shared" si="925"/>
        <v>1.04</v>
      </c>
      <c r="O2367" s="246">
        <f t="shared" si="926"/>
        <v>0.99032822757111594</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87">
        <v>22</v>
      </c>
      <c r="B2368" s="242">
        <f t="shared" si="933"/>
        <v>46296</v>
      </c>
      <c r="C2368" s="243">
        <f t="shared" si="914"/>
        <v>46326</v>
      </c>
      <c r="D2368" s="120">
        <f t="shared" si="915"/>
        <v>31</v>
      </c>
      <c r="E2368" s="120">
        <f t="shared" si="916"/>
        <v>10</v>
      </c>
      <c r="F2368" s="275">
        <f t="shared" si="917"/>
        <v>46311.5</v>
      </c>
      <c r="G2368" s="120">
        <f t="shared" si="918"/>
        <v>24321</v>
      </c>
      <c r="H2368" s="245">
        <f t="shared" si="919"/>
        <v>1</v>
      </c>
      <c r="I2368" s="121">
        <f t="shared" si="920"/>
        <v>1.04</v>
      </c>
      <c r="J2368" s="121">
        <f t="shared" si="921"/>
        <v>1.04</v>
      </c>
      <c r="K2368" s="120">
        <f t="shared" si="922"/>
        <v>0</v>
      </c>
      <c r="L2368" s="120">
        <f t="shared" si="923"/>
        <v>0</v>
      </c>
      <c r="M2368" s="246">
        <f t="shared" si="924"/>
        <v>0</v>
      </c>
      <c r="N2368" s="121">
        <f t="shared" si="925"/>
        <v>1.04</v>
      </c>
      <c r="O2368" s="246">
        <f t="shared" si="926"/>
        <v>0.98966083150984685</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87">
        <v>23</v>
      </c>
      <c r="B2369" s="242">
        <f t="shared" si="933"/>
        <v>46327</v>
      </c>
      <c r="C2369" s="243">
        <f t="shared" si="914"/>
        <v>46356</v>
      </c>
      <c r="D2369" s="120">
        <f t="shared" si="915"/>
        <v>30</v>
      </c>
      <c r="E2369" s="120">
        <f t="shared" si="916"/>
        <v>11</v>
      </c>
      <c r="F2369" s="275">
        <f t="shared" si="917"/>
        <v>46342</v>
      </c>
      <c r="G2369" s="120">
        <f t="shared" si="918"/>
        <v>24322</v>
      </c>
      <c r="H2369" s="245">
        <f t="shared" si="919"/>
        <v>1</v>
      </c>
      <c r="I2369" s="121">
        <f t="shared" si="920"/>
        <v>1.04</v>
      </c>
      <c r="J2369" s="121">
        <f t="shared" si="921"/>
        <v>1.04</v>
      </c>
      <c r="K2369" s="120">
        <f t="shared" si="922"/>
        <v>0</v>
      </c>
      <c r="L2369" s="120">
        <f t="shared" si="923"/>
        <v>0</v>
      </c>
      <c r="M2369" s="246">
        <f t="shared" si="924"/>
        <v>0</v>
      </c>
      <c r="N2369" s="121">
        <f t="shared" si="925"/>
        <v>1.04</v>
      </c>
      <c r="O2369" s="246">
        <f t="shared" si="926"/>
        <v>0.98899343544857765</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87">
        <v>24</v>
      </c>
      <c r="B2370" s="242">
        <f t="shared" si="933"/>
        <v>46357</v>
      </c>
      <c r="C2370" s="243">
        <f t="shared" si="914"/>
        <v>46387</v>
      </c>
      <c r="D2370" s="120">
        <f t="shared" si="915"/>
        <v>31</v>
      </c>
      <c r="E2370" s="120">
        <f t="shared" si="916"/>
        <v>12</v>
      </c>
      <c r="F2370" s="275">
        <f t="shared" si="917"/>
        <v>46372.5</v>
      </c>
      <c r="G2370" s="120">
        <f t="shared" si="918"/>
        <v>24323</v>
      </c>
      <c r="H2370" s="245">
        <f t="shared" si="919"/>
        <v>1</v>
      </c>
      <c r="I2370" s="121">
        <f t="shared" si="920"/>
        <v>1.04</v>
      </c>
      <c r="J2370" s="121">
        <f t="shared" si="921"/>
        <v>1.04</v>
      </c>
      <c r="K2370" s="120">
        <f t="shared" si="922"/>
        <v>0</v>
      </c>
      <c r="L2370" s="120">
        <f t="shared" si="923"/>
        <v>0</v>
      </c>
      <c r="M2370" s="246">
        <f t="shared" si="924"/>
        <v>0</v>
      </c>
      <c r="N2370" s="121">
        <f t="shared" si="925"/>
        <v>1.04</v>
      </c>
      <c r="O2370" s="246">
        <f t="shared" si="926"/>
        <v>0.98832603938730856</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87">
        <v>25</v>
      </c>
      <c r="B2371" s="242">
        <f t="shared" si="933"/>
        <v>46388</v>
      </c>
      <c r="C2371" s="243">
        <f t="shared" si="914"/>
        <v>46418</v>
      </c>
      <c r="D2371" s="120">
        <f t="shared" si="915"/>
        <v>31</v>
      </c>
      <c r="E2371" s="120">
        <f t="shared" si="916"/>
        <v>1</v>
      </c>
      <c r="F2371" s="275">
        <f t="shared" si="917"/>
        <v>46403.5</v>
      </c>
      <c r="G2371" s="120">
        <f t="shared" si="918"/>
        <v>24324</v>
      </c>
      <c r="H2371" s="245">
        <f t="shared" si="919"/>
        <v>1</v>
      </c>
      <c r="I2371" s="121">
        <f t="shared" si="920"/>
        <v>1.04</v>
      </c>
      <c r="J2371" s="121">
        <f t="shared" si="921"/>
        <v>1.04</v>
      </c>
      <c r="K2371" s="120">
        <f t="shared" si="922"/>
        <v>0</v>
      </c>
      <c r="L2371" s="120">
        <f t="shared" si="923"/>
        <v>0</v>
      </c>
      <c r="M2371" s="246">
        <f t="shared" si="924"/>
        <v>0</v>
      </c>
      <c r="N2371" s="121">
        <f t="shared" si="925"/>
        <v>1.04</v>
      </c>
      <c r="O2371" s="246">
        <f t="shared" si="926"/>
        <v>0.98764770240700217</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87">
        <v>26</v>
      </c>
      <c r="B2372" s="242">
        <f t="shared" si="933"/>
        <v>46419</v>
      </c>
      <c r="C2372" s="243">
        <f t="shared" si="914"/>
        <v>46446</v>
      </c>
      <c r="D2372" s="120">
        <f t="shared" si="915"/>
        <v>28</v>
      </c>
      <c r="E2372" s="120">
        <f t="shared" si="916"/>
        <v>2</v>
      </c>
      <c r="F2372" s="275">
        <f t="shared" si="917"/>
        <v>46433</v>
      </c>
      <c r="G2372" s="120">
        <f t="shared" si="918"/>
        <v>24325</v>
      </c>
      <c r="H2372" s="245">
        <f t="shared" si="919"/>
        <v>1</v>
      </c>
      <c r="I2372" s="121">
        <f t="shared" si="920"/>
        <v>1.04</v>
      </c>
      <c r="J2372" s="121">
        <f t="shared" si="921"/>
        <v>1.04</v>
      </c>
      <c r="K2372" s="120">
        <f t="shared" si="922"/>
        <v>0</v>
      </c>
      <c r="L2372" s="120">
        <f t="shared" si="923"/>
        <v>0</v>
      </c>
      <c r="M2372" s="246">
        <f t="shared" si="924"/>
        <v>0</v>
      </c>
      <c r="N2372" s="121">
        <f t="shared" si="925"/>
        <v>1.04</v>
      </c>
      <c r="O2372" s="246">
        <f t="shared" si="926"/>
        <v>0.98700218818380747</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87">
        <v>27</v>
      </c>
      <c r="B2373" s="242">
        <f t="shared" si="933"/>
        <v>46447</v>
      </c>
      <c r="C2373" s="243">
        <f t="shared" si="914"/>
        <v>46477</v>
      </c>
      <c r="D2373" s="120">
        <f t="shared" si="915"/>
        <v>31</v>
      </c>
      <c r="E2373" s="120">
        <f t="shared" si="916"/>
        <v>3</v>
      </c>
      <c r="F2373" s="275">
        <f t="shared" si="917"/>
        <v>46462.5</v>
      </c>
      <c r="G2373" s="120">
        <f t="shared" si="918"/>
        <v>24326</v>
      </c>
      <c r="H2373" s="245">
        <f t="shared" si="919"/>
        <v>1</v>
      </c>
      <c r="I2373" s="121">
        <f t="shared" si="920"/>
        <v>1.04</v>
      </c>
      <c r="J2373" s="121">
        <f t="shared" si="921"/>
        <v>1.04</v>
      </c>
      <c r="K2373" s="120">
        <f t="shared" si="922"/>
        <v>0</v>
      </c>
      <c r="L2373" s="120">
        <f t="shared" si="923"/>
        <v>0</v>
      </c>
      <c r="M2373" s="246">
        <f t="shared" si="924"/>
        <v>0</v>
      </c>
      <c r="N2373" s="121">
        <f t="shared" si="925"/>
        <v>1.04</v>
      </c>
      <c r="O2373" s="246">
        <f t="shared" si="926"/>
        <v>0.98635667396061266</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87">
        <v>28</v>
      </c>
      <c r="B2374" s="242">
        <f t="shared" si="933"/>
        <v>46478</v>
      </c>
      <c r="C2374" s="243">
        <f t="shared" si="914"/>
        <v>46507</v>
      </c>
      <c r="D2374" s="120">
        <f t="shared" si="915"/>
        <v>30</v>
      </c>
      <c r="E2374" s="120">
        <f t="shared" si="916"/>
        <v>4</v>
      </c>
      <c r="F2374" s="275">
        <f t="shared" si="917"/>
        <v>46493</v>
      </c>
      <c r="G2374" s="120">
        <f t="shared" si="918"/>
        <v>24327</v>
      </c>
      <c r="H2374" s="245">
        <f t="shared" si="919"/>
        <v>1</v>
      </c>
      <c r="I2374" s="121">
        <f t="shared" si="920"/>
        <v>1.04</v>
      </c>
      <c r="J2374" s="121">
        <f t="shared" si="921"/>
        <v>1.04</v>
      </c>
      <c r="K2374" s="120">
        <f t="shared" si="922"/>
        <v>0</v>
      </c>
      <c r="L2374" s="120">
        <f t="shared" si="923"/>
        <v>0</v>
      </c>
      <c r="M2374" s="246">
        <f t="shared" si="924"/>
        <v>0</v>
      </c>
      <c r="N2374" s="121">
        <f t="shared" si="925"/>
        <v>1.04</v>
      </c>
      <c r="O2374" s="246">
        <f t="shared" si="926"/>
        <v>0.98568927789934357</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87">
        <v>29</v>
      </c>
      <c r="B2375" s="242">
        <f t="shared" si="933"/>
        <v>46508</v>
      </c>
      <c r="C2375" s="243">
        <f t="shared" si="914"/>
        <v>46538</v>
      </c>
      <c r="D2375" s="120">
        <f t="shared" si="915"/>
        <v>31</v>
      </c>
      <c r="E2375" s="120">
        <f t="shared" si="916"/>
        <v>5</v>
      </c>
      <c r="F2375" s="275">
        <f t="shared" si="917"/>
        <v>46523.5</v>
      </c>
      <c r="G2375" s="120">
        <f t="shared" si="918"/>
        <v>24328</v>
      </c>
      <c r="H2375" s="245">
        <f t="shared" si="919"/>
        <v>1</v>
      </c>
      <c r="I2375" s="121">
        <f t="shared" si="920"/>
        <v>1.04</v>
      </c>
      <c r="J2375" s="121">
        <f t="shared" si="921"/>
        <v>1.04</v>
      </c>
      <c r="K2375" s="120">
        <f t="shared" si="922"/>
        <v>0</v>
      </c>
      <c r="L2375" s="120">
        <f t="shared" si="923"/>
        <v>0</v>
      </c>
      <c r="M2375" s="246">
        <f t="shared" si="924"/>
        <v>0</v>
      </c>
      <c r="N2375" s="121">
        <f t="shared" si="925"/>
        <v>1.04</v>
      </c>
      <c r="O2375" s="246">
        <f t="shared" si="926"/>
        <v>0.98502188183807438</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87">
        <v>30</v>
      </c>
      <c r="B2376" s="242">
        <f t="shared" si="933"/>
        <v>46539</v>
      </c>
      <c r="C2376" s="243">
        <f t="shared" si="914"/>
        <v>46568</v>
      </c>
      <c r="D2376" s="120">
        <f t="shared" si="915"/>
        <v>30</v>
      </c>
      <c r="E2376" s="120">
        <f t="shared" si="916"/>
        <v>6</v>
      </c>
      <c r="F2376" s="275">
        <f t="shared" si="917"/>
        <v>46554</v>
      </c>
      <c r="G2376" s="120">
        <f t="shared" si="918"/>
        <v>24329</v>
      </c>
      <c r="H2376" s="245">
        <f t="shared" si="919"/>
        <v>1</v>
      </c>
      <c r="I2376" s="121">
        <f t="shared" si="920"/>
        <v>1.04</v>
      </c>
      <c r="J2376" s="121">
        <f t="shared" si="921"/>
        <v>1.04</v>
      </c>
      <c r="K2376" s="120">
        <f t="shared" si="922"/>
        <v>0</v>
      </c>
      <c r="L2376" s="120">
        <f t="shared" si="923"/>
        <v>0</v>
      </c>
      <c r="M2376" s="246">
        <f t="shared" si="924"/>
        <v>0</v>
      </c>
      <c r="N2376" s="121">
        <f t="shared" si="925"/>
        <v>1.04</v>
      </c>
      <c r="O2376" s="246">
        <f t="shared" si="926"/>
        <v>0.98435448577680529</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87">
        <v>31</v>
      </c>
      <c r="B2377" s="242">
        <f t="shared" si="933"/>
        <v>46569</v>
      </c>
      <c r="C2377" s="243">
        <f t="shared" si="914"/>
        <v>46599</v>
      </c>
      <c r="D2377" s="120">
        <f t="shared" si="915"/>
        <v>31</v>
      </c>
      <c r="E2377" s="120">
        <f t="shared" si="916"/>
        <v>7</v>
      </c>
      <c r="F2377" s="275">
        <f t="shared" si="917"/>
        <v>46584.5</v>
      </c>
      <c r="G2377" s="120">
        <f t="shared" si="918"/>
        <v>24330</v>
      </c>
      <c r="H2377" s="245">
        <f t="shared" si="919"/>
        <v>1</v>
      </c>
      <c r="I2377" s="121">
        <f t="shared" si="920"/>
        <v>1.04</v>
      </c>
      <c r="J2377" s="121">
        <f t="shared" si="921"/>
        <v>1.04</v>
      </c>
      <c r="K2377" s="120">
        <f t="shared" si="922"/>
        <v>0</v>
      </c>
      <c r="L2377" s="120">
        <f t="shared" si="923"/>
        <v>0</v>
      </c>
      <c r="M2377" s="246">
        <f t="shared" si="924"/>
        <v>0</v>
      </c>
      <c r="N2377" s="121">
        <f t="shared" si="925"/>
        <v>1.04</v>
      </c>
      <c r="O2377" s="246">
        <f t="shared" si="926"/>
        <v>0.98368708971553609</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87">
        <v>32</v>
      </c>
      <c r="B2378" s="242">
        <f t="shared" si="933"/>
        <v>46600</v>
      </c>
      <c r="C2378" s="243">
        <f t="shared" si="914"/>
        <v>46630</v>
      </c>
      <c r="D2378" s="120">
        <f t="shared" si="915"/>
        <v>31</v>
      </c>
      <c r="E2378" s="120">
        <f t="shared" si="916"/>
        <v>8</v>
      </c>
      <c r="F2378" s="275">
        <f t="shared" si="917"/>
        <v>46615.5</v>
      </c>
      <c r="G2378" s="120">
        <f t="shared" si="918"/>
        <v>24331</v>
      </c>
      <c r="H2378" s="245">
        <f t="shared" si="919"/>
        <v>1</v>
      </c>
      <c r="I2378" s="121">
        <f t="shared" si="920"/>
        <v>1.04</v>
      </c>
      <c r="J2378" s="121">
        <f t="shared" si="921"/>
        <v>1.04</v>
      </c>
      <c r="K2378" s="120">
        <f t="shared" si="922"/>
        <v>0</v>
      </c>
      <c r="L2378" s="120">
        <f t="shared" si="923"/>
        <v>0</v>
      </c>
      <c r="M2378" s="246">
        <f t="shared" si="924"/>
        <v>0</v>
      </c>
      <c r="N2378" s="121">
        <f t="shared" si="925"/>
        <v>1.04</v>
      </c>
      <c r="O2378" s="246">
        <f t="shared" si="926"/>
        <v>0.9830087527352297</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87">
        <v>33</v>
      </c>
      <c r="B2379" s="242">
        <f t="shared" si="933"/>
        <v>46631</v>
      </c>
      <c r="C2379" s="243">
        <f t="shared" si="914"/>
        <v>46660</v>
      </c>
      <c r="D2379" s="120">
        <f t="shared" si="915"/>
        <v>30</v>
      </c>
      <c r="E2379" s="120">
        <f t="shared" si="916"/>
        <v>9</v>
      </c>
      <c r="F2379" s="275">
        <f t="shared" si="917"/>
        <v>46646</v>
      </c>
      <c r="G2379" s="120">
        <f t="shared" si="918"/>
        <v>24332</v>
      </c>
      <c r="H2379" s="245">
        <f t="shared" si="919"/>
        <v>1</v>
      </c>
      <c r="I2379" s="121">
        <f t="shared" si="920"/>
        <v>1.04</v>
      </c>
      <c r="J2379" s="121">
        <f t="shared" si="921"/>
        <v>1.04</v>
      </c>
      <c r="K2379" s="120">
        <f t="shared" si="922"/>
        <v>0</v>
      </c>
      <c r="L2379" s="120">
        <f t="shared" si="923"/>
        <v>0</v>
      </c>
      <c r="M2379" s="246">
        <f t="shared" si="924"/>
        <v>0</v>
      </c>
      <c r="N2379" s="121">
        <f t="shared" si="925"/>
        <v>1.04</v>
      </c>
      <c r="O2379" s="246">
        <f t="shared" si="926"/>
        <v>0.98234135667396061</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87">
        <v>34</v>
      </c>
      <c r="B2380" s="242">
        <f t="shared" si="933"/>
        <v>46661</v>
      </c>
      <c r="C2380" s="243">
        <f t="shared" si="914"/>
        <v>46691</v>
      </c>
      <c r="D2380" s="120">
        <f t="shared" si="915"/>
        <v>31</v>
      </c>
      <c r="E2380" s="120">
        <f t="shared" si="916"/>
        <v>10</v>
      </c>
      <c r="F2380" s="275">
        <f t="shared" si="917"/>
        <v>46676.5</v>
      </c>
      <c r="G2380" s="120">
        <f t="shared" si="918"/>
        <v>24333</v>
      </c>
      <c r="H2380" s="245">
        <f t="shared" si="919"/>
        <v>1</v>
      </c>
      <c r="I2380" s="121">
        <f t="shared" si="920"/>
        <v>1.04</v>
      </c>
      <c r="J2380" s="121">
        <f t="shared" si="921"/>
        <v>1.04</v>
      </c>
      <c r="K2380" s="120">
        <f t="shared" si="922"/>
        <v>0</v>
      </c>
      <c r="L2380" s="120">
        <f t="shared" si="923"/>
        <v>0</v>
      </c>
      <c r="M2380" s="246">
        <f t="shared" si="924"/>
        <v>0</v>
      </c>
      <c r="N2380" s="121">
        <f t="shared" si="925"/>
        <v>1.04</v>
      </c>
      <c r="O2380" s="246">
        <f t="shared" si="926"/>
        <v>0.98167396061269141</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87">
        <v>35</v>
      </c>
      <c r="B2381" s="242">
        <f t="shared" si="933"/>
        <v>46692</v>
      </c>
      <c r="C2381" s="243">
        <f t="shared" si="914"/>
        <v>46721</v>
      </c>
      <c r="D2381" s="120">
        <f t="shared" si="915"/>
        <v>30</v>
      </c>
      <c r="E2381" s="120">
        <f t="shared" si="916"/>
        <v>11</v>
      </c>
      <c r="F2381" s="275">
        <f t="shared" si="917"/>
        <v>46707</v>
      </c>
      <c r="G2381" s="120">
        <f t="shared" si="918"/>
        <v>24334</v>
      </c>
      <c r="H2381" s="245">
        <f t="shared" si="919"/>
        <v>1</v>
      </c>
      <c r="I2381" s="121">
        <f t="shared" si="920"/>
        <v>1.04</v>
      </c>
      <c r="J2381" s="121">
        <f t="shared" si="921"/>
        <v>1.04</v>
      </c>
      <c r="K2381" s="120">
        <f t="shared" si="922"/>
        <v>0</v>
      </c>
      <c r="L2381" s="120">
        <f t="shared" si="923"/>
        <v>0</v>
      </c>
      <c r="M2381" s="246">
        <f t="shared" si="924"/>
        <v>0</v>
      </c>
      <c r="N2381" s="121">
        <f t="shared" si="925"/>
        <v>1.04</v>
      </c>
      <c r="O2381" s="246">
        <f t="shared" si="926"/>
        <v>0.98100656455142232</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87">
        <v>36</v>
      </c>
      <c r="B2382" s="242">
        <f t="shared" si="933"/>
        <v>46722</v>
      </c>
      <c r="C2382" s="243">
        <f t="shared" si="914"/>
        <v>46752</v>
      </c>
      <c r="D2382" s="120">
        <f t="shared" si="915"/>
        <v>31</v>
      </c>
      <c r="E2382" s="120">
        <f t="shared" si="916"/>
        <v>12</v>
      </c>
      <c r="F2382" s="275">
        <f t="shared" si="917"/>
        <v>46737.5</v>
      </c>
      <c r="G2382" s="120">
        <f t="shared" si="918"/>
        <v>24335</v>
      </c>
      <c r="H2382" s="245">
        <f t="shared" si="919"/>
        <v>1</v>
      </c>
      <c r="I2382" s="121">
        <f t="shared" si="920"/>
        <v>1.04</v>
      </c>
      <c r="J2382" s="121">
        <f t="shared" si="921"/>
        <v>1.04</v>
      </c>
      <c r="K2382" s="120">
        <f t="shared" si="922"/>
        <v>0</v>
      </c>
      <c r="L2382" s="120">
        <f t="shared" si="923"/>
        <v>0</v>
      </c>
      <c r="M2382" s="246">
        <f t="shared" si="924"/>
        <v>0</v>
      </c>
      <c r="N2382" s="121">
        <f t="shared" si="925"/>
        <v>1.04</v>
      </c>
      <c r="O2382" s="246">
        <f t="shared" si="926"/>
        <v>0.98033916849015312</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87">
        <v>37</v>
      </c>
      <c r="B2383" s="242">
        <f t="shared" si="933"/>
        <v>46753</v>
      </c>
      <c r="C2383" s="243">
        <f t="shared" si="914"/>
        <v>46783</v>
      </c>
      <c r="D2383" s="120">
        <f t="shared" si="915"/>
        <v>31</v>
      </c>
      <c r="E2383" s="120">
        <f t="shared" si="916"/>
        <v>1</v>
      </c>
      <c r="F2383" s="275">
        <f t="shared" si="917"/>
        <v>46768.5</v>
      </c>
      <c r="G2383" s="120">
        <f t="shared" si="918"/>
        <v>24336</v>
      </c>
      <c r="H2383" s="245">
        <f t="shared" si="919"/>
        <v>1</v>
      </c>
      <c r="I2383" s="121">
        <f t="shared" si="920"/>
        <v>1.04</v>
      </c>
      <c r="J2383" s="121">
        <f t="shared" si="921"/>
        <v>1.04</v>
      </c>
      <c r="K2383" s="120">
        <f t="shared" si="922"/>
        <v>0</v>
      </c>
      <c r="L2383" s="120">
        <f t="shared" si="923"/>
        <v>0</v>
      </c>
      <c r="M2383" s="246">
        <f t="shared" si="924"/>
        <v>0</v>
      </c>
      <c r="N2383" s="121">
        <f t="shared" si="925"/>
        <v>1.04</v>
      </c>
      <c r="O2383" s="246">
        <f t="shared" si="926"/>
        <v>0.98</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87">
        <v>38</v>
      </c>
      <c r="B2384" s="242">
        <f t="shared" si="933"/>
        <v>46784</v>
      </c>
      <c r="C2384" s="243">
        <f t="shared" si="914"/>
        <v>46812</v>
      </c>
      <c r="D2384" s="120">
        <f t="shared" si="915"/>
        <v>29</v>
      </c>
      <c r="E2384" s="120">
        <f t="shared" si="916"/>
        <v>2</v>
      </c>
      <c r="F2384" s="275">
        <f t="shared" si="917"/>
        <v>46798.5</v>
      </c>
      <c r="G2384" s="120">
        <f t="shared" si="918"/>
        <v>24337</v>
      </c>
      <c r="H2384" s="245">
        <f t="shared" si="919"/>
        <v>1</v>
      </c>
      <c r="I2384" s="121">
        <f t="shared" si="920"/>
        <v>1.04</v>
      </c>
      <c r="J2384" s="121">
        <f t="shared" si="921"/>
        <v>1.04</v>
      </c>
      <c r="K2384" s="120">
        <f t="shared" si="922"/>
        <v>0</v>
      </c>
      <c r="L2384" s="120">
        <f t="shared" si="923"/>
        <v>0</v>
      </c>
      <c r="M2384" s="246">
        <f t="shared" si="924"/>
        <v>0</v>
      </c>
      <c r="N2384" s="121">
        <f t="shared" si="925"/>
        <v>1.04</v>
      </c>
      <c r="O2384" s="246">
        <f t="shared" si="926"/>
        <v>0.98</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87">
        <v>39</v>
      </c>
      <c r="B2385" s="242">
        <f t="shared" si="933"/>
        <v>46813</v>
      </c>
      <c r="C2385" s="243">
        <f t="shared" si="914"/>
        <v>46843</v>
      </c>
      <c r="D2385" s="120">
        <f t="shared" si="915"/>
        <v>31</v>
      </c>
      <c r="E2385" s="120">
        <f t="shared" si="916"/>
        <v>3</v>
      </c>
      <c r="F2385" s="275">
        <f t="shared" si="917"/>
        <v>46828.5</v>
      </c>
      <c r="G2385" s="120">
        <f t="shared" si="918"/>
        <v>24338</v>
      </c>
      <c r="H2385" s="245">
        <f t="shared" si="919"/>
        <v>1</v>
      </c>
      <c r="I2385" s="121">
        <f t="shared" si="920"/>
        <v>1.04</v>
      </c>
      <c r="J2385" s="121">
        <f t="shared" si="921"/>
        <v>1.04</v>
      </c>
      <c r="K2385" s="120">
        <f t="shared" si="922"/>
        <v>0</v>
      </c>
      <c r="L2385" s="120">
        <f t="shared" si="923"/>
        <v>0</v>
      </c>
      <c r="M2385" s="246">
        <f t="shared" si="924"/>
        <v>0</v>
      </c>
      <c r="N2385" s="121">
        <f t="shared" si="925"/>
        <v>1.04</v>
      </c>
      <c r="O2385" s="246">
        <f t="shared" si="926"/>
        <v>0.98</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87">
        <v>40</v>
      </c>
      <c r="B2386" s="242">
        <f t="shared" si="933"/>
        <v>46844</v>
      </c>
      <c r="C2386" s="243">
        <f t="shared" si="914"/>
        <v>46873</v>
      </c>
      <c r="D2386" s="120">
        <f t="shared" si="915"/>
        <v>30</v>
      </c>
      <c r="E2386" s="120">
        <f t="shared" si="916"/>
        <v>4</v>
      </c>
      <c r="F2386" s="275">
        <f t="shared" si="917"/>
        <v>46859</v>
      </c>
      <c r="G2386" s="120">
        <f t="shared" si="918"/>
        <v>24339</v>
      </c>
      <c r="H2386" s="245">
        <f t="shared" si="919"/>
        <v>1</v>
      </c>
      <c r="I2386" s="121">
        <f t="shared" si="920"/>
        <v>1.04</v>
      </c>
      <c r="J2386" s="121">
        <f t="shared" si="921"/>
        <v>1.04</v>
      </c>
      <c r="K2386" s="120">
        <f t="shared" si="922"/>
        <v>0</v>
      </c>
      <c r="L2386" s="120">
        <f t="shared" si="923"/>
        <v>0</v>
      </c>
      <c r="M2386" s="246">
        <f t="shared" si="924"/>
        <v>0</v>
      </c>
      <c r="N2386" s="121">
        <f t="shared" si="925"/>
        <v>1.04</v>
      </c>
      <c r="O2386" s="246">
        <f t="shared" si="926"/>
        <v>0.98</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87">
        <v>41</v>
      </c>
      <c r="B2387" s="242">
        <f t="shared" si="933"/>
        <v>46874</v>
      </c>
      <c r="C2387" s="243">
        <f t="shared" si="914"/>
        <v>46904</v>
      </c>
      <c r="D2387" s="120">
        <f t="shared" si="915"/>
        <v>31</v>
      </c>
      <c r="E2387" s="120">
        <f t="shared" si="916"/>
        <v>5</v>
      </c>
      <c r="F2387" s="275">
        <f t="shared" si="917"/>
        <v>46889.5</v>
      </c>
      <c r="G2387" s="120">
        <f t="shared" si="918"/>
        <v>24340</v>
      </c>
      <c r="H2387" s="245">
        <f t="shared" si="919"/>
        <v>1</v>
      </c>
      <c r="I2387" s="121">
        <f t="shared" si="920"/>
        <v>1.04</v>
      </c>
      <c r="J2387" s="121">
        <f t="shared" si="921"/>
        <v>1.04</v>
      </c>
      <c r="K2387" s="120">
        <f t="shared" si="922"/>
        <v>0</v>
      </c>
      <c r="L2387" s="120">
        <f t="shared" si="923"/>
        <v>0</v>
      </c>
      <c r="M2387" s="246">
        <f t="shared" si="924"/>
        <v>0</v>
      </c>
      <c r="N2387" s="121">
        <f t="shared" si="925"/>
        <v>1.04</v>
      </c>
      <c r="O2387" s="246">
        <f t="shared" si="926"/>
        <v>0.98</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87">
        <v>42</v>
      </c>
      <c r="B2388" s="242">
        <f t="shared" si="933"/>
        <v>46905</v>
      </c>
      <c r="C2388" s="243">
        <f t="shared" si="914"/>
        <v>46934</v>
      </c>
      <c r="D2388" s="120">
        <f t="shared" si="915"/>
        <v>30</v>
      </c>
      <c r="E2388" s="120">
        <f t="shared" si="916"/>
        <v>6</v>
      </c>
      <c r="F2388" s="275">
        <f t="shared" si="917"/>
        <v>46920</v>
      </c>
      <c r="G2388" s="120">
        <f t="shared" si="918"/>
        <v>24341</v>
      </c>
      <c r="H2388" s="245">
        <f t="shared" si="919"/>
        <v>1</v>
      </c>
      <c r="I2388" s="121">
        <f t="shared" si="920"/>
        <v>1.04</v>
      </c>
      <c r="J2388" s="121">
        <f t="shared" si="921"/>
        <v>1.04</v>
      </c>
      <c r="K2388" s="120">
        <f t="shared" si="922"/>
        <v>0</v>
      </c>
      <c r="L2388" s="120">
        <f t="shared" si="923"/>
        <v>0</v>
      </c>
      <c r="M2388" s="246">
        <f t="shared" si="924"/>
        <v>0</v>
      </c>
      <c r="N2388" s="121">
        <f t="shared" si="925"/>
        <v>1.04</v>
      </c>
      <c r="O2388" s="246">
        <f t="shared" si="926"/>
        <v>0.98</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87">
        <v>43</v>
      </c>
      <c r="B2389" s="242">
        <f t="shared" si="933"/>
        <v>46935</v>
      </c>
      <c r="C2389" s="243">
        <f t="shared" si="914"/>
        <v>46965</v>
      </c>
      <c r="D2389" s="120">
        <f t="shared" si="915"/>
        <v>31</v>
      </c>
      <c r="E2389" s="120">
        <f t="shared" si="916"/>
        <v>7</v>
      </c>
      <c r="F2389" s="275">
        <f t="shared" si="917"/>
        <v>46950.5</v>
      </c>
      <c r="G2389" s="120">
        <f t="shared" si="918"/>
        <v>24342</v>
      </c>
      <c r="H2389" s="245">
        <f t="shared" si="919"/>
        <v>1</v>
      </c>
      <c r="I2389" s="121">
        <f t="shared" si="920"/>
        <v>1.04</v>
      </c>
      <c r="J2389" s="121">
        <f t="shared" si="921"/>
        <v>1.04</v>
      </c>
      <c r="K2389" s="120">
        <f t="shared" si="922"/>
        <v>0</v>
      </c>
      <c r="L2389" s="120">
        <f t="shared" si="923"/>
        <v>0</v>
      </c>
      <c r="M2389" s="246">
        <f t="shared" si="924"/>
        <v>0</v>
      </c>
      <c r="N2389" s="121">
        <f t="shared" si="925"/>
        <v>1.04</v>
      </c>
      <c r="O2389" s="246">
        <f t="shared" si="926"/>
        <v>0.98</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87">
        <v>44</v>
      </c>
      <c r="B2390" s="242">
        <f t="shared" si="933"/>
        <v>46966</v>
      </c>
      <c r="C2390" s="243">
        <f t="shared" si="914"/>
        <v>46996</v>
      </c>
      <c r="D2390" s="120">
        <f t="shared" si="915"/>
        <v>31</v>
      </c>
      <c r="E2390" s="120">
        <f t="shared" si="916"/>
        <v>8</v>
      </c>
      <c r="F2390" s="275">
        <f t="shared" si="917"/>
        <v>46981.5</v>
      </c>
      <c r="G2390" s="120">
        <f t="shared" si="918"/>
        <v>24343</v>
      </c>
      <c r="H2390" s="245">
        <f t="shared" si="919"/>
        <v>1</v>
      </c>
      <c r="I2390" s="121">
        <f t="shared" si="920"/>
        <v>1.04</v>
      </c>
      <c r="J2390" s="121">
        <f t="shared" si="921"/>
        <v>1.04</v>
      </c>
      <c r="K2390" s="120">
        <f t="shared" si="922"/>
        <v>0</v>
      </c>
      <c r="L2390" s="120">
        <f t="shared" si="923"/>
        <v>0</v>
      </c>
      <c r="M2390" s="246">
        <f t="shared" si="924"/>
        <v>0</v>
      </c>
      <c r="N2390" s="121">
        <f t="shared" si="925"/>
        <v>1.04</v>
      </c>
      <c r="O2390" s="246">
        <f t="shared" si="926"/>
        <v>0.98</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87">
        <v>45</v>
      </c>
      <c r="B2391" s="242">
        <f t="shared" si="933"/>
        <v>46997</v>
      </c>
      <c r="C2391" s="243">
        <f t="shared" si="914"/>
        <v>47026</v>
      </c>
      <c r="D2391" s="120">
        <f t="shared" si="915"/>
        <v>30</v>
      </c>
      <c r="E2391" s="120">
        <f t="shared" si="916"/>
        <v>9</v>
      </c>
      <c r="F2391" s="275">
        <f t="shared" si="917"/>
        <v>47012</v>
      </c>
      <c r="G2391" s="120">
        <f t="shared" si="918"/>
        <v>24344</v>
      </c>
      <c r="H2391" s="245">
        <f t="shared" si="919"/>
        <v>1</v>
      </c>
      <c r="I2391" s="121">
        <f t="shared" si="920"/>
        <v>1.04</v>
      </c>
      <c r="J2391" s="121">
        <f t="shared" si="921"/>
        <v>1.04</v>
      </c>
      <c r="K2391" s="120">
        <f t="shared" si="922"/>
        <v>0</v>
      </c>
      <c r="L2391" s="120">
        <f t="shared" si="923"/>
        <v>0</v>
      </c>
      <c r="M2391" s="246">
        <f t="shared" si="924"/>
        <v>0</v>
      </c>
      <c r="N2391" s="121">
        <f t="shared" si="925"/>
        <v>1.04</v>
      </c>
      <c r="O2391" s="246">
        <f t="shared" si="926"/>
        <v>0.98</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87">
        <v>46</v>
      </c>
      <c r="B2392" s="242">
        <f t="shared" si="933"/>
        <v>47027</v>
      </c>
      <c r="C2392" s="243">
        <f t="shared" si="914"/>
        <v>47057</v>
      </c>
      <c r="D2392" s="120">
        <f t="shared" si="915"/>
        <v>31</v>
      </c>
      <c r="E2392" s="120">
        <f t="shared" si="916"/>
        <v>10</v>
      </c>
      <c r="F2392" s="275">
        <f t="shared" si="917"/>
        <v>47042.5</v>
      </c>
      <c r="G2392" s="120">
        <f t="shared" si="918"/>
        <v>24345</v>
      </c>
      <c r="H2392" s="245">
        <f t="shared" si="919"/>
        <v>1</v>
      </c>
      <c r="I2392" s="121">
        <f t="shared" si="920"/>
        <v>1.04</v>
      </c>
      <c r="J2392" s="121">
        <f t="shared" si="921"/>
        <v>1.04</v>
      </c>
      <c r="K2392" s="120">
        <f t="shared" si="922"/>
        <v>0</v>
      </c>
      <c r="L2392" s="120">
        <f t="shared" si="923"/>
        <v>0</v>
      </c>
      <c r="M2392" s="246">
        <f t="shared" si="924"/>
        <v>0</v>
      </c>
      <c r="N2392" s="121">
        <f t="shared" si="925"/>
        <v>1.04</v>
      </c>
      <c r="O2392" s="246">
        <f t="shared" si="926"/>
        <v>0.98</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87">
        <v>47</v>
      </c>
      <c r="B2393" s="242">
        <f t="shared" si="933"/>
        <v>47058</v>
      </c>
      <c r="C2393" s="243">
        <f t="shared" si="914"/>
        <v>47087</v>
      </c>
      <c r="D2393" s="120">
        <f t="shared" si="915"/>
        <v>30</v>
      </c>
      <c r="E2393" s="120">
        <f t="shared" si="916"/>
        <v>11</v>
      </c>
      <c r="F2393" s="275">
        <f t="shared" si="917"/>
        <v>47073</v>
      </c>
      <c r="G2393" s="120">
        <f t="shared" si="918"/>
        <v>24346</v>
      </c>
      <c r="H2393" s="245">
        <f t="shared" si="919"/>
        <v>1</v>
      </c>
      <c r="I2393" s="121">
        <f t="shared" si="920"/>
        <v>1.04</v>
      </c>
      <c r="J2393" s="121">
        <f t="shared" si="921"/>
        <v>1.04</v>
      </c>
      <c r="K2393" s="120">
        <f t="shared" si="922"/>
        <v>0</v>
      </c>
      <c r="L2393" s="120">
        <f t="shared" si="923"/>
        <v>0</v>
      </c>
      <c r="M2393" s="246">
        <f t="shared" si="924"/>
        <v>0</v>
      </c>
      <c r="N2393" s="121">
        <f t="shared" si="925"/>
        <v>1.04</v>
      </c>
      <c r="O2393" s="246">
        <f t="shared" si="926"/>
        <v>0.98</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87">
        <v>48</v>
      </c>
      <c r="B2394" s="242">
        <f t="shared" si="933"/>
        <v>47088</v>
      </c>
      <c r="C2394" s="243">
        <f t="shared" si="914"/>
        <v>47118</v>
      </c>
      <c r="D2394" s="120">
        <f t="shared" si="915"/>
        <v>31</v>
      </c>
      <c r="E2394" s="120">
        <f t="shared" si="916"/>
        <v>12</v>
      </c>
      <c r="F2394" s="275">
        <f t="shared" si="917"/>
        <v>47103.5</v>
      </c>
      <c r="G2394" s="120">
        <f t="shared" si="918"/>
        <v>24347</v>
      </c>
      <c r="H2394" s="245">
        <f t="shared" si="919"/>
        <v>1</v>
      </c>
      <c r="I2394" s="121">
        <f t="shared" si="920"/>
        <v>1.04</v>
      </c>
      <c r="J2394" s="121">
        <f t="shared" si="921"/>
        <v>1.04</v>
      </c>
      <c r="K2394" s="120">
        <f t="shared" si="922"/>
        <v>0</v>
      </c>
      <c r="L2394" s="120">
        <f t="shared" si="923"/>
        <v>0</v>
      </c>
      <c r="M2394" s="246">
        <f t="shared" si="924"/>
        <v>0</v>
      </c>
      <c r="N2394" s="121">
        <f t="shared" si="925"/>
        <v>1.04</v>
      </c>
      <c r="O2394" s="246">
        <f t="shared" si="926"/>
        <v>0.98</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1651</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24">
        <f>SUMPRODUCT($H$2347:$H$2394,$Q$2347:$Q$2394,$O$2347:$O$2394)/SUMPRODUCT($H$2347:$H$2394,$Q$2347:$Q$2394)</f>
        <v>0.98800419401896411</v>
      </c>
      <c r="G2395" s="224">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24">
        <f>IF(N(INDEX(lr_mind,44))=0,1,INDEX(lr_mind,44))</f>
        <v>1</v>
      </c>
      <c r="G2398" s="224">
        <f>IF(N(INDEX(lr_m0,44))=0,1,INDEX(lr_m0,44))</f>
        <v>0.99</v>
      </c>
      <c r="H2398" s="74">
        <f>IF(N(INDEX(lr_m0asof,44))=0,DATE(nr_PlanYear-1,10,1),INDEX(lr_m0asof,44))</f>
        <v>46295</v>
      </c>
      <c r="I2398" s="224">
        <f>IF(N(INDEX(lr_m1,44))=0,1,INDEX(lr_m1,44))</f>
        <v>0.995</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34">EOMONTH($B2401,0)</f>
        <v>45688</v>
      </c>
      <c r="D2401" s="120">
        <f t="shared" ref="D2401:D2448" si="935">$C2401-$B2401+1</f>
        <v>31</v>
      </c>
      <c r="E2401" s="120">
        <f t="shared" ref="E2401:E2448" si="936">MONTH($B2401)</f>
        <v>1</v>
      </c>
      <c r="F2401" s="275">
        <f t="shared" ref="F2401:F2448" si="937">($B2401+$C2401+1)/2</f>
        <v>45673.5</v>
      </c>
      <c r="G2401" s="120">
        <f t="shared" ref="G2401:G2448" si="938">YEAR($B2401)*12+MONTH($B2401)-1</f>
        <v>24300</v>
      </c>
      <c r="H2401" s="245">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46">
        <f t="shared" ref="M2401:M2448" si="944">IF($K2401=0,0,MIN(1,$L2401/$D2401))</f>
        <v>0</v>
      </c>
      <c r="N2401" s="121">
        <f t="shared" ref="N2401:N2448" si="945">IF($K2401=0,$J2401,(1-$M2401)*$I2401+$M2401*$J2401)</f>
        <v>1</v>
      </c>
      <c r="O2401" s="246">
        <f t="shared" ref="O2401:O2448" si="946">IF($F2401&lt;$B$2399,$E$2399+$I$2399*($F2401-$A$2399),IF($F2401&lt;$C$2399,$F$2399+$J$2399*($F2401-$B$2399),$G$2399+$K$2399*($F2401-$C$2399)))</f>
        <v>0.98318927789934352</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87">
        <v>2</v>
      </c>
      <c r="B2402" s="242">
        <f t="shared" ref="B2402:B2448" si="953">EDATE($B2401,1)</f>
        <v>45689</v>
      </c>
      <c r="C2402" s="243">
        <f t="shared" si="934"/>
        <v>45716</v>
      </c>
      <c r="D2402" s="120">
        <f t="shared" si="935"/>
        <v>28</v>
      </c>
      <c r="E2402" s="120">
        <f t="shared" si="936"/>
        <v>2</v>
      </c>
      <c r="F2402" s="275">
        <f t="shared" si="937"/>
        <v>45703</v>
      </c>
      <c r="G2402" s="120">
        <f t="shared" si="938"/>
        <v>24301</v>
      </c>
      <c r="H2402" s="245">
        <f t="shared" si="939"/>
        <v>1</v>
      </c>
      <c r="I2402" s="121">
        <f t="shared" si="940"/>
        <v>1</v>
      </c>
      <c r="J2402" s="121">
        <f t="shared" si="941"/>
        <v>1</v>
      </c>
      <c r="K2402" s="120">
        <f t="shared" si="942"/>
        <v>0</v>
      </c>
      <c r="L2402" s="120">
        <f t="shared" si="943"/>
        <v>0</v>
      </c>
      <c r="M2402" s="246">
        <f t="shared" si="944"/>
        <v>0</v>
      </c>
      <c r="N2402" s="121">
        <f t="shared" si="945"/>
        <v>1</v>
      </c>
      <c r="O2402" s="246">
        <f t="shared" si="946"/>
        <v>0.98351203501094098</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87">
        <v>3</v>
      </c>
      <c r="B2403" s="242">
        <f t="shared" si="953"/>
        <v>45717</v>
      </c>
      <c r="C2403" s="243">
        <f t="shared" si="934"/>
        <v>45747</v>
      </c>
      <c r="D2403" s="120">
        <f t="shared" si="935"/>
        <v>31</v>
      </c>
      <c r="E2403" s="120">
        <f t="shared" si="936"/>
        <v>3</v>
      </c>
      <c r="F2403" s="275">
        <f t="shared" si="937"/>
        <v>45732.5</v>
      </c>
      <c r="G2403" s="120">
        <f t="shared" si="938"/>
        <v>24302</v>
      </c>
      <c r="H2403" s="245">
        <f t="shared" si="939"/>
        <v>1</v>
      </c>
      <c r="I2403" s="121">
        <f t="shared" si="940"/>
        <v>1</v>
      </c>
      <c r="J2403" s="121">
        <f t="shared" si="941"/>
        <v>1</v>
      </c>
      <c r="K2403" s="120">
        <f t="shared" si="942"/>
        <v>0</v>
      </c>
      <c r="L2403" s="120">
        <f t="shared" si="943"/>
        <v>0</v>
      </c>
      <c r="M2403" s="246">
        <f t="shared" si="944"/>
        <v>0</v>
      </c>
      <c r="N2403" s="121">
        <f t="shared" si="945"/>
        <v>1</v>
      </c>
      <c r="O2403" s="246">
        <f t="shared" si="946"/>
        <v>0.98383479212253833</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87">
        <v>4</v>
      </c>
      <c r="B2404" s="242">
        <f t="shared" si="953"/>
        <v>45748</v>
      </c>
      <c r="C2404" s="243">
        <f t="shared" si="934"/>
        <v>45777</v>
      </c>
      <c r="D2404" s="120">
        <f t="shared" si="935"/>
        <v>30</v>
      </c>
      <c r="E2404" s="120">
        <f t="shared" si="936"/>
        <v>4</v>
      </c>
      <c r="F2404" s="275">
        <f t="shared" si="937"/>
        <v>45763</v>
      </c>
      <c r="G2404" s="120">
        <f t="shared" si="938"/>
        <v>24303</v>
      </c>
      <c r="H2404" s="245">
        <f t="shared" si="939"/>
        <v>1</v>
      </c>
      <c r="I2404" s="121">
        <f t="shared" si="940"/>
        <v>1</v>
      </c>
      <c r="J2404" s="121">
        <f t="shared" si="941"/>
        <v>1</v>
      </c>
      <c r="K2404" s="120">
        <f t="shared" si="942"/>
        <v>0</v>
      </c>
      <c r="L2404" s="120">
        <f t="shared" si="943"/>
        <v>0</v>
      </c>
      <c r="M2404" s="246">
        <f t="shared" si="944"/>
        <v>0</v>
      </c>
      <c r="N2404" s="121">
        <f t="shared" si="945"/>
        <v>1</v>
      </c>
      <c r="O2404" s="246">
        <f t="shared" si="946"/>
        <v>0.98416849015317287</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87">
        <v>5</v>
      </c>
      <c r="B2405" s="242">
        <f t="shared" si="953"/>
        <v>45778</v>
      </c>
      <c r="C2405" s="243">
        <f t="shared" si="934"/>
        <v>45808</v>
      </c>
      <c r="D2405" s="120">
        <f t="shared" si="935"/>
        <v>31</v>
      </c>
      <c r="E2405" s="120">
        <f t="shared" si="936"/>
        <v>5</v>
      </c>
      <c r="F2405" s="275">
        <f t="shared" si="937"/>
        <v>45793.5</v>
      </c>
      <c r="G2405" s="120">
        <f t="shared" si="938"/>
        <v>24304</v>
      </c>
      <c r="H2405" s="245">
        <f t="shared" si="939"/>
        <v>1</v>
      </c>
      <c r="I2405" s="121">
        <f t="shared" si="940"/>
        <v>1</v>
      </c>
      <c r="J2405" s="121">
        <f t="shared" si="941"/>
        <v>1</v>
      </c>
      <c r="K2405" s="120">
        <f t="shared" si="942"/>
        <v>0</v>
      </c>
      <c r="L2405" s="120">
        <f t="shared" si="943"/>
        <v>0</v>
      </c>
      <c r="M2405" s="246">
        <f t="shared" si="944"/>
        <v>0</v>
      </c>
      <c r="N2405" s="121">
        <f t="shared" si="945"/>
        <v>1</v>
      </c>
      <c r="O2405" s="246">
        <f t="shared" si="946"/>
        <v>0.98450218818380741</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87">
        <v>6</v>
      </c>
      <c r="B2406" s="242">
        <f t="shared" si="953"/>
        <v>45809</v>
      </c>
      <c r="C2406" s="243">
        <f t="shared" si="934"/>
        <v>45838</v>
      </c>
      <c r="D2406" s="120">
        <f t="shared" si="935"/>
        <v>30</v>
      </c>
      <c r="E2406" s="120">
        <f t="shared" si="936"/>
        <v>6</v>
      </c>
      <c r="F2406" s="275">
        <f t="shared" si="937"/>
        <v>45824</v>
      </c>
      <c r="G2406" s="120">
        <f t="shared" si="938"/>
        <v>24305</v>
      </c>
      <c r="H2406" s="245">
        <f t="shared" si="939"/>
        <v>1</v>
      </c>
      <c r="I2406" s="121">
        <f t="shared" si="940"/>
        <v>1</v>
      </c>
      <c r="J2406" s="121">
        <f t="shared" si="941"/>
        <v>1</v>
      </c>
      <c r="K2406" s="120">
        <f t="shared" si="942"/>
        <v>0</v>
      </c>
      <c r="L2406" s="120">
        <f t="shared" si="943"/>
        <v>0</v>
      </c>
      <c r="M2406" s="246">
        <f t="shared" si="944"/>
        <v>0</v>
      </c>
      <c r="N2406" s="121">
        <f t="shared" si="945"/>
        <v>1</v>
      </c>
      <c r="O2406" s="246">
        <f t="shared" si="946"/>
        <v>0.98483588621444207</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87">
        <v>7</v>
      </c>
      <c r="B2407" s="242">
        <f t="shared" si="953"/>
        <v>45839</v>
      </c>
      <c r="C2407" s="243">
        <f t="shared" si="934"/>
        <v>45869</v>
      </c>
      <c r="D2407" s="120">
        <f t="shared" si="935"/>
        <v>31</v>
      </c>
      <c r="E2407" s="120">
        <f t="shared" si="936"/>
        <v>7</v>
      </c>
      <c r="F2407" s="275">
        <f t="shared" si="937"/>
        <v>45854.5</v>
      </c>
      <c r="G2407" s="120">
        <f t="shared" si="938"/>
        <v>24306</v>
      </c>
      <c r="H2407" s="245">
        <f t="shared" si="939"/>
        <v>1</v>
      </c>
      <c r="I2407" s="121">
        <f t="shared" si="940"/>
        <v>1</v>
      </c>
      <c r="J2407" s="121">
        <f t="shared" si="941"/>
        <v>1</v>
      </c>
      <c r="K2407" s="120">
        <f t="shared" si="942"/>
        <v>0</v>
      </c>
      <c r="L2407" s="120">
        <f t="shared" si="943"/>
        <v>0</v>
      </c>
      <c r="M2407" s="246">
        <f t="shared" si="944"/>
        <v>0</v>
      </c>
      <c r="N2407" s="121">
        <f t="shared" si="945"/>
        <v>1</v>
      </c>
      <c r="O2407" s="246">
        <f t="shared" si="946"/>
        <v>0.98516958424507661</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87">
        <v>8</v>
      </c>
      <c r="B2408" s="242">
        <f t="shared" si="953"/>
        <v>45870</v>
      </c>
      <c r="C2408" s="243">
        <f t="shared" si="934"/>
        <v>45900</v>
      </c>
      <c r="D2408" s="120">
        <f t="shared" si="935"/>
        <v>31</v>
      </c>
      <c r="E2408" s="120">
        <f t="shared" si="936"/>
        <v>8</v>
      </c>
      <c r="F2408" s="275">
        <f t="shared" si="937"/>
        <v>45885.5</v>
      </c>
      <c r="G2408" s="120">
        <f t="shared" si="938"/>
        <v>24307</v>
      </c>
      <c r="H2408" s="245">
        <f t="shared" si="939"/>
        <v>1</v>
      </c>
      <c r="I2408" s="121">
        <f t="shared" si="940"/>
        <v>1</v>
      </c>
      <c r="J2408" s="121">
        <f t="shared" si="941"/>
        <v>1</v>
      </c>
      <c r="K2408" s="120">
        <f t="shared" si="942"/>
        <v>0</v>
      </c>
      <c r="L2408" s="120">
        <f t="shared" si="943"/>
        <v>0</v>
      </c>
      <c r="M2408" s="246">
        <f t="shared" si="944"/>
        <v>0</v>
      </c>
      <c r="N2408" s="121">
        <f t="shared" si="945"/>
        <v>1</v>
      </c>
      <c r="O2408" s="246">
        <f t="shared" si="946"/>
        <v>0.98550875273522975</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87">
        <v>9</v>
      </c>
      <c r="B2409" s="242">
        <f t="shared" si="953"/>
        <v>45901</v>
      </c>
      <c r="C2409" s="243">
        <f t="shared" si="934"/>
        <v>45930</v>
      </c>
      <c r="D2409" s="120">
        <f t="shared" si="935"/>
        <v>30</v>
      </c>
      <c r="E2409" s="120">
        <f t="shared" si="936"/>
        <v>9</v>
      </c>
      <c r="F2409" s="275">
        <f t="shared" si="937"/>
        <v>45916</v>
      </c>
      <c r="G2409" s="120">
        <f t="shared" si="938"/>
        <v>24308</v>
      </c>
      <c r="H2409" s="245">
        <f t="shared" si="939"/>
        <v>1</v>
      </c>
      <c r="I2409" s="121">
        <f t="shared" si="940"/>
        <v>1</v>
      </c>
      <c r="J2409" s="121">
        <f t="shared" si="941"/>
        <v>1</v>
      </c>
      <c r="K2409" s="120">
        <f t="shared" si="942"/>
        <v>0</v>
      </c>
      <c r="L2409" s="120">
        <f t="shared" si="943"/>
        <v>0</v>
      </c>
      <c r="M2409" s="246">
        <f t="shared" si="944"/>
        <v>0</v>
      </c>
      <c r="N2409" s="121">
        <f t="shared" si="945"/>
        <v>1</v>
      </c>
      <c r="O2409" s="246">
        <f t="shared" si="946"/>
        <v>0.9858424507658643</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87">
        <v>10</v>
      </c>
      <c r="B2410" s="242">
        <f t="shared" si="953"/>
        <v>45931</v>
      </c>
      <c r="C2410" s="243">
        <f t="shared" si="934"/>
        <v>45961</v>
      </c>
      <c r="D2410" s="120">
        <f t="shared" si="935"/>
        <v>31</v>
      </c>
      <c r="E2410" s="120">
        <f t="shared" si="936"/>
        <v>10</v>
      </c>
      <c r="F2410" s="275">
        <f t="shared" si="937"/>
        <v>45946.5</v>
      </c>
      <c r="G2410" s="120">
        <f t="shared" si="938"/>
        <v>24309</v>
      </c>
      <c r="H2410" s="245">
        <f t="shared" si="939"/>
        <v>1</v>
      </c>
      <c r="I2410" s="121">
        <f t="shared" si="940"/>
        <v>1</v>
      </c>
      <c r="J2410" s="121">
        <f t="shared" si="941"/>
        <v>1</v>
      </c>
      <c r="K2410" s="120">
        <f t="shared" si="942"/>
        <v>0</v>
      </c>
      <c r="L2410" s="120">
        <f t="shared" si="943"/>
        <v>0</v>
      </c>
      <c r="M2410" s="246">
        <f t="shared" si="944"/>
        <v>0</v>
      </c>
      <c r="N2410" s="121">
        <f t="shared" si="945"/>
        <v>1</v>
      </c>
      <c r="O2410" s="246">
        <f t="shared" si="946"/>
        <v>0.98617614879649895</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87">
        <v>11</v>
      </c>
      <c r="B2411" s="242">
        <f t="shared" si="953"/>
        <v>45962</v>
      </c>
      <c r="C2411" s="243">
        <f t="shared" si="934"/>
        <v>45991</v>
      </c>
      <c r="D2411" s="120">
        <f t="shared" si="935"/>
        <v>30</v>
      </c>
      <c r="E2411" s="120">
        <f t="shared" si="936"/>
        <v>11</v>
      </c>
      <c r="F2411" s="275">
        <f t="shared" si="937"/>
        <v>45977</v>
      </c>
      <c r="G2411" s="120">
        <f t="shared" si="938"/>
        <v>24310</v>
      </c>
      <c r="H2411" s="245">
        <f t="shared" si="939"/>
        <v>1</v>
      </c>
      <c r="I2411" s="121">
        <f t="shared" si="940"/>
        <v>1</v>
      </c>
      <c r="J2411" s="121">
        <f t="shared" si="941"/>
        <v>1</v>
      </c>
      <c r="K2411" s="120">
        <f t="shared" si="942"/>
        <v>0</v>
      </c>
      <c r="L2411" s="120">
        <f t="shared" si="943"/>
        <v>0</v>
      </c>
      <c r="M2411" s="246">
        <f t="shared" si="944"/>
        <v>0</v>
      </c>
      <c r="N2411" s="121">
        <f t="shared" si="945"/>
        <v>1</v>
      </c>
      <c r="O2411" s="246">
        <f t="shared" si="946"/>
        <v>0.9865098468271335</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87">
        <v>12</v>
      </c>
      <c r="B2412" s="242">
        <f t="shared" si="953"/>
        <v>45992</v>
      </c>
      <c r="C2412" s="243">
        <f t="shared" si="934"/>
        <v>46022</v>
      </c>
      <c r="D2412" s="120">
        <f t="shared" si="935"/>
        <v>31</v>
      </c>
      <c r="E2412" s="120">
        <f t="shared" si="936"/>
        <v>12</v>
      </c>
      <c r="F2412" s="275">
        <f t="shared" si="937"/>
        <v>46007.5</v>
      </c>
      <c r="G2412" s="120">
        <f t="shared" si="938"/>
        <v>24311</v>
      </c>
      <c r="H2412" s="245">
        <f t="shared" si="939"/>
        <v>1</v>
      </c>
      <c r="I2412" s="121">
        <f t="shared" si="940"/>
        <v>1</v>
      </c>
      <c r="J2412" s="121">
        <f t="shared" si="941"/>
        <v>1</v>
      </c>
      <c r="K2412" s="120">
        <f t="shared" si="942"/>
        <v>0</v>
      </c>
      <c r="L2412" s="120">
        <f t="shared" si="943"/>
        <v>0</v>
      </c>
      <c r="M2412" s="246">
        <f t="shared" si="944"/>
        <v>0</v>
      </c>
      <c r="N2412" s="121">
        <f t="shared" si="945"/>
        <v>1</v>
      </c>
      <c r="O2412" s="246">
        <f t="shared" si="946"/>
        <v>0.98684354485776804</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87">
        <v>13</v>
      </c>
      <c r="B2413" s="242">
        <f t="shared" si="953"/>
        <v>46023</v>
      </c>
      <c r="C2413" s="243">
        <f t="shared" si="934"/>
        <v>46053</v>
      </c>
      <c r="D2413" s="120">
        <f t="shared" si="935"/>
        <v>31</v>
      </c>
      <c r="E2413" s="120">
        <f t="shared" si="936"/>
        <v>1</v>
      </c>
      <c r="F2413" s="275">
        <f t="shared" si="937"/>
        <v>46038.5</v>
      </c>
      <c r="G2413" s="120">
        <f t="shared" si="938"/>
        <v>24312</v>
      </c>
      <c r="H2413" s="245">
        <f t="shared" si="939"/>
        <v>1</v>
      </c>
      <c r="I2413" s="121">
        <f t="shared" si="940"/>
        <v>1</v>
      </c>
      <c r="J2413" s="121">
        <f t="shared" si="941"/>
        <v>1</v>
      </c>
      <c r="K2413" s="120">
        <f t="shared" si="942"/>
        <v>0</v>
      </c>
      <c r="L2413" s="120">
        <f t="shared" si="943"/>
        <v>0</v>
      </c>
      <c r="M2413" s="246">
        <f t="shared" si="944"/>
        <v>0</v>
      </c>
      <c r="N2413" s="121">
        <f t="shared" si="945"/>
        <v>1</v>
      </c>
      <c r="O2413" s="246">
        <f t="shared" si="946"/>
        <v>0.98718271334792118</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87">
        <v>14</v>
      </c>
      <c r="B2414" s="242">
        <f t="shared" si="953"/>
        <v>46054</v>
      </c>
      <c r="C2414" s="243">
        <f t="shared" si="934"/>
        <v>46081</v>
      </c>
      <c r="D2414" s="120">
        <f t="shared" si="935"/>
        <v>28</v>
      </c>
      <c r="E2414" s="120">
        <f t="shared" si="936"/>
        <v>2</v>
      </c>
      <c r="F2414" s="275">
        <f t="shared" si="937"/>
        <v>46068</v>
      </c>
      <c r="G2414" s="120">
        <f t="shared" si="938"/>
        <v>24313</v>
      </c>
      <c r="H2414" s="245">
        <f t="shared" si="939"/>
        <v>1</v>
      </c>
      <c r="I2414" s="121">
        <f t="shared" si="940"/>
        <v>1</v>
      </c>
      <c r="J2414" s="121">
        <f t="shared" si="941"/>
        <v>1</v>
      </c>
      <c r="K2414" s="120">
        <f t="shared" si="942"/>
        <v>0</v>
      </c>
      <c r="L2414" s="120">
        <f t="shared" si="943"/>
        <v>0</v>
      </c>
      <c r="M2414" s="246">
        <f t="shared" si="944"/>
        <v>0</v>
      </c>
      <c r="N2414" s="121">
        <f t="shared" si="945"/>
        <v>1</v>
      </c>
      <c r="O2414" s="246">
        <f t="shared" si="946"/>
        <v>0.98750547045951864</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87">
        <v>15</v>
      </c>
      <c r="B2415" s="242">
        <f t="shared" si="953"/>
        <v>46082</v>
      </c>
      <c r="C2415" s="243">
        <f t="shared" si="934"/>
        <v>46112</v>
      </c>
      <c r="D2415" s="120">
        <f t="shared" si="935"/>
        <v>31</v>
      </c>
      <c r="E2415" s="120">
        <f t="shared" si="936"/>
        <v>3</v>
      </c>
      <c r="F2415" s="275">
        <f t="shared" si="937"/>
        <v>46097.5</v>
      </c>
      <c r="G2415" s="120">
        <f t="shared" si="938"/>
        <v>24314</v>
      </c>
      <c r="H2415" s="245">
        <f t="shared" si="939"/>
        <v>1</v>
      </c>
      <c r="I2415" s="121">
        <f t="shared" si="940"/>
        <v>1</v>
      </c>
      <c r="J2415" s="121">
        <f t="shared" si="941"/>
        <v>1</v>
      </c>
      <c r="K2415" s="120">
        <f t="shared" si="942"/>
        <v>0</v>
      </c>
      <c r="L2415" s="120">
        <f t="shared" si="943"/>
        <v>0</v>
      </c>
      <c r="M2415" s="246">
        <f t="shared" si="944"/>
        <v>0</v>
      </c>
      <c r="N2415" s="121">
        <f t="shared" si="945"/>
        <v>1</v>
      </c>
      <c r="O2415" s="246">
        <f t="shared" si="946"/>
        <v>0.98782822757111599</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87">
        <v>16</v>
      </c>
      <c r="B2416" s="242">
        <f t="shared" si="953"/>
        <v>46113</v>
      </c>
      <c r="C2416" s="243">
        <f t="shared" si="934"/>
        <v>46142</v>
      </c>
      <c r="D2416" s="120">
        <f t="shared" si="935"/>
        <v>30</v>
      </c>
      <c r="E2416" s="120">
        <f t="shared" si="936"/>
        <v>4</v>
      </c>
      <c r="F2416" s="275">
        <f t="shared" si="937"/>
        <v>46128</v>
      </c>
      <c r="G2416" s="120">
        <f t="shared" si="938"/>
        <v>24315</v>
      </c>
      <c r="H2416" s="245">
        <f t="shared" si="939"/>
        <v>1</v>
      </c>
      <c r="I2416" s="121">
        <f t="shared" si="940"/>
        <v>1</v>
      </c>
      <c r="J2416" s="121">
        <f t="shared" si="941"/>
        <v>1</v>
      </c>
      <c r="K2416" s="120">
        <f t="shared" si="942"/>
        <v>0</v>
      </c>
      <c r="L2416" s="120">
        <f t="shared" si="943"/>
        <v>0</v>
      </c>
      <c r="M2416" s="246">
        <f t="shared" si="944"/>
        <v>0</v>
      </c>
      <c r="N2416" s="121">
        <f t="shared" si="945"/>
        <v>1</v>
      </c>
      <c r="O2416" s="246">
        <f t="shared" si="946"/>
        <v>0.98816192560175053</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87">
        <v>17</v>
      </c>
      <c r="B2417" s="242">
        <f t="shared" si="953"/>
        <v>46143</v>
      </c>
      <c r="C2417" s="243">
        <f t="shared" si="934"/>
        <v>46173</v>
      </c>
      <c r="D2417" s="120">
        <f t="shared" si="935"/>
        <v>31</v>
      </c>
      <c r="E2417" s="120">
        <f t="shared" si="936"/>
        <v>5</v>
      </c>
      <c r="F2417" s="275">
        <f t="shared" si="937"/>
        <v>46158.5</v>
      </c>
      <c r="G2417" s="120">
        <f t="shared" si="938"/>
        <v>24316</v>
      </c>
      <c r="H2417" s="245">
        <f t="shared" si="939"/>
        <v>1</v>
      </c>
      <c r="I2417" s="121">
        <f t="shared" si="940"/>
        <v>1</v>
      </c>
      <c r="J2417" s="121">
        <f t="shared" si="941"/>
        <v>1</v>
      </c>
      <c r="K2417" s="120">
        <f t="shared" si="942"/>
        <v>0</v>
      </c>
      <c r="L2417" s="120">
        <f t="shared" si="943"/>
        <v>0</v>
      </c>
      <c r="M2417" s="246">
        <f t="shared" si="944"/>
        <v>0</v>
      </c>
      <c r="N2417" s="121">
        <f t="shared" si="945"/>
        <v>1</v>
      </c>
      <c r="O2417" s="246">
        <f t="shared" si="946"/>
        <v>0.98849562363238508</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87">
        <v>18</v>
      </c>
      <c r="B2418" s="242">
        <f t="shared" si="953"/>
        <v>46174</v>
      </c>
      <c r="C2418" s="243">
        <f t="shared" si="934"/>
        <v>46203</v>
      </c>
      <c r="D2418" s="120">
        <f t="shared" si="935"/>
        <v>30</v>
      </c>
      <c r="E2418" s="120">
        <f t="shared" si="936"/>
        <v>6</v>
      </c>
      <c r="F2418" s="275">
        <f t="shared" si="937"/>
        <v>46189</v>
      </c>
      <c r="G2418" s="120">
        <f t="shared" si="938"/>
        <v>24317</v>
      </c>
      <c r="H2418" s="245">
        <f t="shared" si="939"/>
        <v>1</v>
      </c>
      <c r="I2418" s="121">
        <f t="shared" si="940"/>
        <v>1</v>
      </c>
      <c r="J2418" s="121">
        <f t="shared" si="941"/>
        <v>1</v>
      </c>
      <c r="K2418" s="120">
        <f t="shared" si="942"/>
        <v>0</v>
      </c>
      <c r="L2418" s="120">
        <f t="shared" si="943"/>
        <v>0</v>
      </c>
      <c r="M2418" s="246">
        <f t="shared" si="944"/>
        <v>0</v>
      </c>
      <c r="N2418" s="121">
        <f t="shared" si="945"/>
        <v>1</v>
      </c>
      <c r="O2418" s="246">
        <f t="shared" si="946"/>
        <v>0.98882932166301973</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87">
        <v>19</v>
      </c>
      <c r="B2419" s="242">
        <f t="shared" si="953"/>
        <v>46204</v>
      </c>
      <c r="C2419" s="243">
        <f t="shared" si="934"/>
        <v>46234</v>
      </c>
      <c r="D2419" s="120">
        <f t="shared" si="935"/>
        <v>31</v>
      </c>
      <c r="E2419" s="120">
        <f t="shared" si="936"/>
        <v>7</v>
      </c>
      <c r="F2419" s="275">
        <f t="shared" si="937"/>
        <v>46219.5</v>
      </c>
      <c r="G2419" s="120">
        <f t="shared" si="938"/>
        <v>24318</v>
      </c>
      <c r="H2419" s="245">
        <f t="shared" si="939"/>
        <v>1</v>
      </c>
      <c r="I2419" s="121">
        <f t="shared" si="940"/>
        <v>1</v>
      </c>
      <c r="J2419" s="121">
        <f t="shared" si="941"/>
        <v>1</v>
      </c>
      <c r="K2419" s="120">
        <f t="shared" si="942"/>
        <v>0</v>
      </c>
      <c r="L2419" s="120">
        <f t="shared" si="943"/>
        <v>0</v>
      </c>
      <c r="M2419" s="246">
        <f t="shared" si="944"/>
        <v>0</v>
      </c>
      <c r="N2419" s="121">
        <f t="shared" si="945"/>
        <v>1</v>
      </c>
      <c r="O2419" s="246">
        <f t="shared" si="946"/>
        <v>0.98916301969365428</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87">
        <v>20</v>
      </c>
      <c r="B2420" s="242">
        <f t="shared" si="953"/>
        <v>46235</v>
      </c>
      <c r="C2420" s="243">
        <f t="shared" si="934"/>
        <v>46265</v>
      </c>
      <c r="D2420" s="120">
        <f t="shared" si="935"/>
        <v>31</v>
      </c>
      <c r="E2420" s="120">
        <f t="shared" si="936"/>
        <v>8</v>
      </c>
      <c r="F2420" s="275">
        <f t="shared" si="937"/>
        <v>46250.5</v>
      </c>
      <c r="G2420" s="120">
        <f t="shared" si="938"/>
        <v>24319</v>
      </c>
      <c r="H2420" s="245">
        <f t="shared" si="939"/>
        <v>1</v>
      </c>
      <c r="I2420" s="121">
        <f t="shared" si="940"/>
        <v>1</v>
      </c>
      <c r="J2420" s="121">
        <f t="shared" si="941"/>
        <v>1.05</v>
      </c>
      <c r="K2420" s="120">
        <f t="shared" si="942"/>
        <v>1</v>
      </c>
      <c r="L2420" s="120">
        <f t="shared" si="943"/>
        <v>31</v>
      </c>
      <c r="M2420" s="246">
        <f t="shared" si="944"/>
        <v>1</v>
      </c>
      <c r="N2420" s="121">
        <f t="shared" si="945"/>
        <v>1.05</v>
      </c>
      <c r="O2420" s="246">
        <f t="shared" si="946"/>
        <v>0.98950218818380742</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87">
        <v>21</v>
      </c>
      <c r="B2421" s="242">
        <f t="shared" si="953"/>
        <v>46266</v>
      </c>
      <c r="C2421" s="243">
        <f t="shared" si="934"/>
        <v>46295</v>
      </c>
      <c r="D2421" s="120">
        <f t="shared" si="935"/>
        <v>30</v>
      </c>
      <c r="E2421" s="120">
        <f t="shared" si="936"/>
        <v>9</v>
      </c>
      <c r="F2421" s="275">
        <f t="shared" si="937"/>
        <v>46281</v>
      </c>
      <c r="G2421" s="120">
        <f t="shared" si="938"/>
        <v>24320</v>
      </c>
      <c r="H2421" s="245">
        <f t="shared" si="939"/>
        <v>1</v>
      </c>
      <c r="I2421" s="121">
        <f t="shared" si="940"/>
        <v>1.05</v>
      </c>
      <c r="J2421" s="121">
        <f t="shared" si="941"/>
        <v>1.05</v>
      </c>
      <c r="K2421" s="120">
        <f t="shared" si="942"/>
        <v>0</v>
      </c>
      <c r="L2421" s="120">
        <f t="shared" si="943"/>
        <v>0</v>
      </c>
      <c r="M2421" s="246">
        <f t="shared" si="944"/>
        <v>0</v>
      </c>
      <c r="N2421" s="121">
        <f t="shared" si="945"/>
        <v>1.05</v>
      </c>
      <c r="O2421" s="246">
        <f t="shared" si="946"/>
        <v>0.98983588621444196</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87">
        <v>22</v>
      </c>
      <c r="B2422" s="242">
        <f t="shared" si="953"/>
        <v>46296</v>
      </c>
      <c r="C2422" s="243">
        <f t="shared" si="934"/>
        <v>46326</v>
      </c>
      <c r="D2422" s="120">
        <f t="shared" si="935"/>
        <v>31</v>
      </c>
      <c r="E2422" s="120">
        <f t="shared" si="936"/>
        <v>10</v>
      </c>
      <c r="F2422" s="275">
        <f t="shared" si="937"/>
        <v>46311.5</v>
      </c>
      <c r="G2422" s="120">
        <f t="shared" si="938"/>
        <v>24321</v>
      </c>
      <c r="H2422" s="245">
        <f t="shared" si="939"/>
        <v>1</v>
      </c>
      <c r="I2422" s="121">
        <f t="shared" si="940"/>
        <v>1.05</v>
      </c>
      <c r="J2422" s="121">
        <f t="shared" si="941"/>
        <v>1.05</v>
      </c>
      <c r="K2422" s="120">
        <f t="shared" si="942"/>
        <v>0</v>
      </c>
      <c r="L2422" s="120">
        <f t="shared" si="943"/>
        <v>0</v>
      </c>
      <c r="M2422" s="246">
        <f t="shared" si="944"/>
        <v>0</v>
      </c>
      <c r="N2422" s="121">
        <f t="shared" si="945"/>
        <v>1.05</v>
      </c>
      <c r="O2422" s="246">
        <f t="shared" si="946"/>
        <v>0.99016958424507662</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87">
        <v>23</v>
      </c>
      <c r="B2423" s="242">
        <f t="shared" si="953"/>
        <v>46327</v>
      </c>
      <c r="C2423" s="243">
        <f t="shared" si="934"/>
        <v>46356</v>
      </c>
      <c r="D2423" s="120">
        <f t="shared" si="935"/>
        <v>30</v>
      </c>
      <c r="E2423" s="120">
        <f t="shared" si="936"/>
        <v>11</v>
      </c>
      <c r="F2423" s="275">
        <f t="shared" si="937"/>
        <v>46342</v>
      </c>
      <c r="G2423" s="120">
        <f t="shared" si="938"/>
        <v>24322</v>
      </c>
      <c r="H2423" s="245">
        <f t="shared" si="939"/>
        <v>1</v>
      </c>
      <c r="I2423" s="121">
        <f t="shared" si="940"/>
        <v>1.05</v>
      </c>
      <c r="J2423" s="121">
        <f t="shared" si="941"/>
        <v>1.05</v>
      </c>
      <c r="K2423" s="120">
        <f t="shared" si="942"/>
        <v>0</v>
      </c>
      <c r="L2423" s="120">
        <f t="shared" si="943"/>
        <v>0</v>
      </c>
      <c r="M2423" s="246">
        <f t="shared" si="944"/>
        <v>0</v>
      </c>
      <c r="N2423" s="121">
        <f t="shared" si="945"/>
        <v>1.05</v>
      </c>
      <c r="O2423" s="246">
        <f t="shared" si="946"/>
        <v>0.99050328227571116</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87">
        <v>24</v>
      </c>
      <c r="B2424" s="242">
        <f t="shared" si="953"/>
        <v>46357</v>
      </c>
      <c r="C2424" s="243">
        <f t="shared" si="934"/>
        <v>46387</v>
      </c>
      <c r="D2424" s="120">
        <f t="shared" si="935"/>
        <v>31</v>
      </c>
      <c r="E2424" s="120">
        <f t="shared" si="936"/>
        <v>12</v>
      </c>
      <c r="F2424" s="275">
        <f t="shared" si="937"/>
        <v>46372.5</v>
      </c>
      <c r="G2424" s="120">
        <f t="shared" si="938"/>
        <v>24323</v>
      </c>
      <c r="H2424" s="245">
        <f t="shared" si="939"/>
        <v>1</v>
      </c>
      <c r="I2424" s="121">
        <f t="shared" si="940"/>
        <v>1.05</v>
      </c>
      <c r="J2424" s="121">
        <f t="shared" si="941"/>
        <v>1.05</v>
      </c>
      <c r="K2424" s="120">
        <f t="shared" si="942"/>
        <v>0</v>
      </c>
      <c r="L2424" s="120">
        <f t="shared" si="943"/>
        <v>0</v>
      </c>
      <c r="M2424" s="246">
        <f t="shared" si="944"/>
        <v>0</v>
      </c>
      <c r="N2424" s="121">
        <f t="shared" si="945"/>
        <v>1.05</v>
      </c>
      <c r="O2424" s="246">
        <f t="shared" si="946"/>
        <v>0.9908369803063457</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87">
        <v>25</v>
      </c>
      <c r="B2425" s="242">
        <f t="shared" si="953"/>
        <v>46388</v>
      </c>
      <c r="C2425" s="243">
        <f t="shared" si="934"/>
        <v>46418</v>
      </c>
      <c r="D2425" s="120">
        <f t="shared" si="935"/>
        <v>31</v>
      </c>
      <c r="E2425" s="120">
        <f t="shared" si="936"/>
        <v>1</v>
      </c>
      <c r="F2425" s="275">
        <f t="shared" si="937"/>
        <v>46403.5</v>
      </c>
      <c r="G2425" s="120">
        <f t="shared" si="938"/>
        <v>24324</v>
      </c>
      <c r="H2425" s="245">
        <f t="shared" si="939"/>
        <v>1</v>
      </c>
      <c r="I2425" s="121">
        <f t="shared" si="940"/>
        <v>1.05</v>
      </c>
      <c r="J2425" s="121">
        <f t="shared" si="941"/>
        <v>1.05</v>
      </c>
      <c r="K2425" s="120">
        <f t="shared" si="942"/>
        <v>0</v>
      </c>
      <c r="L2425" s="120">
        <f t="shared" si="943"/>
        <v>0</v>
      </c>
      <c r="M2425" s="246">
        <f t="shared" si="944"/>
        <v>0</v>
      </c>
      <c r="N2425" s="121">
        <f t="shared" si="945"/>
        <v>1.05</v>
      </c>
      <c r="O2425" s="246">
        <f t="shared" si="946"/>
        <v>0.99117614879649885</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87">
        <v>26</v>
      </c>
      <c r="B2426" s="242">
        <f t="shared" si="953"/>
        <v>46419</v>
      </c>
      <c r="C2426" s="243">
        <f t="shared" si="934"/>
        <v>46446</v>
      </c>
      <c r="D2426" s="120">
        <f t="shared" si="935"/>
        <v>28</v>
      </c>
      <c r="E2426" s="120">
        <f t="shared" si="936"/>
        <v>2</v>
      </c>
      <c r="F2426" s="275">
        <f t="shared" si="937"/>
        <v>46433</v>
      </c>
      <c r="G2426" s="120">
        <f t="shared" si="938"/>
        <v>24325</v>
      </c>
      <c r="H2426" s="245">
        <f t="shared" si="939"/>
        <v>1</v>
      </c>
      <c r="I2426" s="121">
        <f t="shared" si="940"/>
        <v>1.05</v>
      </c>
      <c r="J2426" s="121">
        <f t="shared" si="941"/>
        <v>1.05</v>
      </c>
      <c r="K2426" s="120">
        <f t="shared" si="942"/>
        <v>0</v>
      </c>
      <c r="L2426" s="120">
        <f t="shared" si="943"/>
        <v>0</v>
      </c>
      <c r="M2426" s="246">
        <f t="shared" si="944"/>
        <v>0</v>
      </c>
      <c r="N2426" s="121">
        <f t="shared" si="945"/>
        <v>1.05</v>
      </c>
      <c r="O2426" s="246">
        <f t="shared" si="946"/>
        <v>0.99149890590809631</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87">
        <v>27</v>
      </c>
      <c r="B2427" s="242">
        <f t="shared" si="953"/>
        <v>46447</v>
      </c>
      <c r="C2427" s="243">
        <f t="shared" si="934"/>
        <v>46477</v>
      </c>
      <c r="D2427" s="120">
        <f t="shared" si="935"/>
        <v>31</v>
      </c>
      <c r="E2427" s="120">
        <f t="shared" si="936"/>
        <v>3</v>
      </c>
      <c r="F2427" s="275">
        <f t="shared" si="937"/>
        <v>46462.5</v>
      </c>
      <c r="G2427" s="120">
        <f t="shared" si="938"/>
        <v>24326</v>
      </c>
      <c r="H2427" s="245">
        <f t="shared" si="939"/>
        <v>1</v>
      </c>
      <c r="I2427" s="121">
        <f t="shared" si="940"/>
        <v>1.05</v>
      </c>
      <c r="J2427" s="121">
        <f t="shared" si="941"/>
        <v>1.05</v>
      </c>
      <c r="K2427" s="120">
        <f t="shared" si="942"/>
        <v>0</v>
      </c>
      <c r="L2427" s="120">
        <f t="shared" si="943"/>
        <v>0</v>
      </c>
      <c r="M2427" s="246">
        <f t="shared" si="944"/>
        <v>0</v>
      </c>
      <c r="N2427" s="121">
        <f t="shared" si="945"/>
        <v>1.05</v>
      </c>
      <c r="O2427" s="246">
        <f t="shared" si="946"/>
        <v>0.99182166301969366</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87">
        <v>28</v>
      </c>
      <c r="B2428" s="242">
        <f t="shared" si="953"/>
        <v>46478</v>
      </c>
      <c r="C2428" s="243">
        <f t="shared" si="934"/>
        <v>46507</v>
      </c>
      <c r="D2428" s="120">
        <f t="shared" si="935"/>
        <v>30</v>
      </c>
      <c r="E2428" s="120">
        <f t="shared" si="936"/>
        <v>4</v>
      </c>
      <c r="F2428" s="275">
        <f t="shared" si="937"/>
        <v>46493</v>
      </c>
      <c r="G2428" s="120">
        <f t="shared" si="938"/>
        <v>24327</v>
      </c>
      <c r="H2428" s="245">
        <f t="shared" si="939"/>
        <v>1</v>
      </c>
      <c r="I2428" s="121">
        <f t="shared" si="940"/>
        <v>1.05</v>
      </c>
      <c r="J2428" s="121">
        <f t="shared" si="941"/>
        <v>1.05</v>
      </c>
      <c r="K2428" s="120">
        <f t="shared" si="942"/>
        <v>0</v>
      </c>
      <c r="L2428" s="120">
        <f t="shared" si="943"/>
        <v>0</v>
      </c>
      <c r="M2428" s="246">
        <f t="shared" si="944"/>
        <v>0</v>
      </c>
      <c r="N2428" s="121">
        <f t="shared" si="945"/>
        <v>1.05</v>
      </c>
      <c r="O2428" s="246">
        <f t="shared" si="946"/>
        <v>0.9921553610503282</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87">
        <v>29</v>
      </c>
      <c r="B2429" s="242">
        <f t="shared" si="953"/>
        <v>46508</v>
      </c>
      <c r="C2429" s="243">
        <f t="shared" si="934"/>
        <v>46538</v>
      </c>
      <c r="D2429" s="120">
        <f t="shared" si="935"/>
        <v>31</v>
      </c>
      <c r="E2429" s="120">
        <f t="shared" si="936"/>
        <v>5</v>
      </c>
      <c r="F2429" s="275">
        <f t="shared" si="937"/>
        <v>46523.5</v>
      </c>
      <c r="G2429" s="120">
        <f t="shared" si="938"/>
        <v>24328</v>
      </c>
      <c r="H2429" s="245">
        <f t="shared" si="939"/>
        <v>1</v>
      </c>
      <c r="I2429" s="121">
        <f t="shared" si="940"/>
        <v>1.05</v>
      </c>
      <c r="J2429" s="121">
        <f t="shared" si="941"/>
        <v>1.05</v>
      </c>
      <c r="K2429" s="120">
        <f t="shared" si="942"/>
        <v>0</v>
      </c>
      <c r="L2429" s="120">
        <f t="shared" si="943"/>
        <v>0</v>
      </c>
      <c r="M2429" s="246">
        <f t="shared" si="944"/>
        <v>0</v>
      </c>
      <c r="N2429" s="121">
        <f t="shared" si="945"/>
        <v>1.05</v>
      </c>
      <c r="O2429" s="246">
        <f t="shared" si="946"/>
        <v>0.99248905908096274</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87">
        <v>30</v>
      </c>
      <c r="B2430" s="242">
        <f t="shared" si="953"/>
        <v>46539</v>
      </c>
      <c r="C2430" s="243">
        <f t="shared" si="934"/>
        <v>46568</v>
      </c>
      <c r="D2430" s="120">
        <f t="shared" si="935"/>
        <v>30</v>
      </c>
      <c r="E2430" s="120">
        <f t="shared" si="936"/>
        <v>6</v>
      </c>
      <c r="F2430" s="275">
        <f t="shared" si="937"/>
        <v>46554</v>
      </c>
      <c r="G2430" s="120">
        <f t="shared" si="938"/>
        <v>24329</v>
      </c>
      <c r="H2430" s="245">
        <f t="shared" si="939"/>
        <v>1</v>
      </c>
      <c r="I2430" s="121">
        <f t="shared" si="940"/>
        <v>1.05</v>
      </c>
      <c r="J2430" s="121">
        <f t="shared" si="941"/>
        <v>1.05</v>
      </c>
      <c r="K2430" s="120">
        <f t="shared" si="942"/>
        <v>0</v>
      </c>
      <c r="L2430" s="120">
        <f t="shared" si="943"/>
        <v>0</v>
      </c>
      <c r="M2430" s="246">
        <f t="shared" si="944"/>
        <v>0</v>
      </c>
      <c r="N2430" s="121">
        <f t="shared" si="945"/>
        <v>1.05</v>
      </c>
      <c r="O2430" s="246">
        <f t="shared" si="946"/>
        <v>0.9928227571115974</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87">
        <v>31</v>
      </c>
      <c r="B2431" s="242">
        <f t="shared" si="953"/>
        <v>46569</v>
      </c>
      <c r="C2431" s="243">
        <f t="shared" si="934"/>
        <v>46599</v>
      </c>
      <c r="D2431" s="120">
        <f t="shared" si="935"/>
        <v>31</v>
      </c>
      <c r="E2431" s="120">
        <f t="shared" si="936"/>
        <v>7</v>
      </c>
      <c r="F2431" s="275">
        <f t="shared" si="937"/>
        <v>46584.5</v>
      </c>
      <c r="G2431" s="120">
        <f t="shared" si="938"/>
        <v>24330</v>
      </c>
      <c r="H2431" s="245">
        <f t="shared" si="939"/>
        <v>1</v>
      </c>
      <c r="I2431" s="121">
        <f t="shared" si="940"/>
        <v>1.05</v>
      </c>
      <c r="J2431" s="121">
        <f t="shared" si="941"/>
        <v>1.05</v>
      </c>
      <c r="K2431" s="120">
        <f t="shared" si="942"/>
        <v>0</v>
      </c>
      <c r="L2431" s="120">
        <f t="shared" si="943"/>
        <v>0</v>
      </c>
      <c r="M2431" s="246">
        <f t="shared" si="944"/>
        <v>0</v>
      </c>
      <c r="N2431" s="121">
        <f t="shared" si="945"/>
        <v>1.05</v>
      </c>
      <c r="O2431" s="246">
        <f t="shared" si="946"/>
        <v>0.99315645514223194</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87">
        <v>32</v>
      </c>
      <c r="B2432" s="242">
        <f t="shared" si="953"/>
        <v>46600</v>
      </c>
      <c r="C2432" s="243">
        <f t="shared" si="934"/>
        <v>46630</v>
      </c>
      <c r="D2432" s="120">
        <f t="shared" si="935"/>
        <v>31</v>
      </c>
      <c r="E2432" s="120">
        <f t="shared" si="936"/>
        <v>8</v>
      </c>
      <c r="F2432" s="275">
        <f t="shared" si="937"/>
        <v>46615.5</v>
      </c>
      <c r="G2432" s="120">
        <f t="shared" si="938"/>
        <v>24331</v>
      </c>
      <c r="H2432" s="245">
        <f t="shared" si="939"/>
        <v>1</v>
      </c>
      <c r="I2432" s="121">
        <f t="shared" si="940"/>
        <v>1.05</v>
      </c>
      <c r="J2432" s="121">
        <f t="shared" si="941"/>
        <v>1.05</v>
      </c>
      <c r="K2432" s="120">
        <f t="shared" si="942"/>
        <v>0</v>
      </c>
      <c r="L2432" s="120">
        <f t="shared" si="943"/>
        <v>0</v>
      </c>
      <c r="M2432" s="246">
        <f t="shared" si="944"/>
        <v>0</v>
      </c>
      <c r="N2432" s="121">
        <f t="shared" si="945"/>
        <v>1.05</v>
      </c>
      <c r="O2432" s="246">
        <f t="shared" si="946"/>
        <v>0.99349562363238508</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87">
        <v>33</v>
      </c>
      <c r="B2433" s="242">
        <f t="shared" si="953"/>
        <v>46631</v>
      </c>
      <c r="C2433" s="243">
        <f t="shared" si="934"/>
        <v>46660</v>
      </c>
      <c r="D2433" s="120">
        <f t="shared" si="935"/>
        <v>30</v>
      </c>
      <c r="E2433" s="120">
        <f t="shared" si="936"/>
        <v>9</v>
      </c>
      <c r="F2433" s="275">
        <f t="shared" si="937"/>
        <v>46646</v>
      </c>
      <c r="G2433" s="120">
        <f t="shared" si="938"/>
        <v>24332</v>
      </c>
      <c r="H2433" s="245">
        <f t="shared" si="939"/>
        <v>1</v>
      </c>
      <c r="I2433" s="121">
        <f t="shared" si="940"/>
        <v>1.05</v>
      </c>
      <c r="J2433" s="121">
        <f t="shared" si="941"/>
        <v>1.05</v>
      </c>
      <c r="K2433" s="120">
        <f t="shared" si="942"/>
        <v>0</v>
      </c>
      <c r="L2433" s="120">
        <f t="shared" si="943"/>
        <v>0</v>
      </c>
      <c r="M2433" s="246">
        <f t="shared" si="944"/>
        <v>0</v>
      </c>
      <c r="N2433" s="121">
        <f t="shared" si="945"/>
        <v>1.05</v>
      </c>
      <c r="O2433" s="246">
        <f t="shared" si="946"/>
        <v>0.99382932166301974</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87">
        <v>34</v>
      </c>
      <c r="B2434" s="242">
        <f t="shared" si="953"/>
        <v>46661</v>
      </c>
      <c r="C2434" s="243">
        <f t="shared" si="934"/>
        <v>46691</v>
      </c>
      <c r="D2434" s="120">
        <f t="shared" si="935"/>
        <v>31</v>
      </c>
      <c r="E2434" s="120">
        <f t="shared" si="936"/>
        <v>10</v>
      </c>
      <c r="F2434" s="275">
        <f t="shared" si="937"/>
        <v>46676.5</v>
      </c>
      <c r="G2434" s="120">
        <f t="shared" si="938"/>
        <v>24333</v>
      </c>
      <c r="H2434" s="245">
        <f t="shared" si="939"/>
        <v>1</v>
      </c>
      <c r="I2434" s="121">
        <f t="shared" si="940"/>
        <v>1.05</v>
      </c>
      <c r="J2434" s="121">
        <f t="shared" si="941"/>
        <v>1.05</v>
      </c>
      <c r="K2434" s="120">
        <f t="shared" si="942"/>
        <v>0</v>
      </c>
      <c r="L2434" s="120">
        <f t="shared" si="943"/>
        <v>0</v>
      </c>
      <c r="M2434" s="246">
        <f t="shared" si="944"/>
        <v>0</v>
      </c>
      <c r="N2434" s="121">
        <f t="shared" si="945"/>
        <v>1.05</v>
      </c>
      <c r="O2434" s="246">
        <f t="shared" si="946"/>
        <v>0.99416301969365428</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87">
        <v>35</v>
      </c>
      <c r="B2435" s="242">
        <f t="shared" si="953"/>
        <v>46692</v>
      </c>
      <c r="C2435" s="243">
        <f t="shared" si="934"/>
        <v>46721</v>
      </c>
      <c r="D2435" s="120">
        <f t="shared" si="935"/>
        <v>30</v>
      </c>
      <c r="E2435" s="120">
        <f t="shared" si="936"/>
        <v>11</v>
      </c>
      <c r="F2435" s="275">
        <f t="shared" si="937"/>
        <v>46707</v>
      </c>
      <c r="G2435" s="120">
        <f t="shared" si="938"/>
        <v>24334</v>
      </c>
      <c r="H2435" s="245">
        <f t="shared" si="939"/>
        <v>1</v>
      </c>
      <c r="I2435" s="121">
        <f t="shared" si="940"/>
        <v>1.05</v>
      </c>
      <c r="J2435" s="121">
        <f t="shared" si="941"/>
        <v>1.05</v>
      </c>
      <c r="K2435" s="120">
        <f t="shared" si="942"/>
        <v>0</v>
      </c>
      <c r="L2435" s="120">
        <f t="shared" si="943"/>
        <v>0</v>
      </c>
      <c r="M2435" s="246">
        <f t="shared" si="944"/>
        <v>0</v>
      </c>
      <c r="N2435" s="121">
        <f t="shared" si="945"/>
        <v>1.05</v>
      </c>
      <c r="O2435" s="246">
        <f t="shared" si="946"/>
        <v>0.99449671772428883</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87">
        <v>36</v>
      </c>
      <c r="B2436" s="242">
        <f t="shared" si="953"/>
        <v>46722</v>
      </c>
      <c r="C2436" s="243">
        <f t="shared" si="934"/>
        <v>46752</v>
      </c>
      <c r="D2436" s="120">
        <f t="shared" si="935"/>
        <v>31</v>
      </c>
      <c r="E2436" s="120">
        <f t="shared" si="936"/>
        <v>12</v>
      </c>
      <c r="F2436" s="275">
        <f t="shared" si="937"/>
        <v>46737.5</v>
      </c>
      <c r="G2436" s="120">
        <f t="shared" si="938"/>
        <v>24335</v>
      </c>
      <c r="H2436" s="245">
        <f t="shared" si="939"/>
        <v>1</v>
      </c>
      <c r="I2436" s="121">
        <f t="shared" si="940"/>
        <v>1.05</v>
      </c>
      <c r="J2436" s="121">
        <f t="shared" si="941"/>
        <v>1.05</v>
      </c>
      <c r="K2436" s="120">
        <f t="shared" si="942"/>
        <v>0</v>
      </c>
      <c r="L2436" s="120">
        <f t="shared" si="943"/>
        <v>0</v>
      </c>
      <c r="M2436" s="246">
        <f t="shared" si="944"/>
        <v>0</v>
      </c>
      <c r="N2436" s="121">
        <f t="shared" si="945"/>
        <v>1.05</v>
      </c>
      <c r="O2436" s="246">
        <f t="shared" si="946"/>
        <v>0.99483041575492337</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87">
        <v>37</v>
      </c>
      <c r="B2437" s="242">
        <f t="shared" si="953"/>
        <v>46753</v>
      </c>
      <c r="C2437" s="243">
        <f t="shared" si="934"/>
        <v>46783</v>
      </c>
      <c r="D2437" s="120">
        <f t="shared" si="935"/>
        <v>31</v>
      </c>
      <c r="E2437" s="120">
        <f t="shared" si="936"/>
        <v>1</v>
      </c>
      <c r="F2437" s="275">
        <f t="shared" si="937"/>
        <v>46768.5</v>
      </c>
      <c r="G2437" s="120">
        <f t="shared" si="938"/>
        <v>24336</v>
      </c>
      <c r="H2437" s="245">
        <f t="shared" si="939"/>
        <v>1</v>
      </c>
      <c r="I2437" s="121">
        <f t="shared" si="940"/>
        <v>1.05</v>
      </c>
      <c r="J2437" s="121">
        <f t="shared" si="941"/>
        <v>1.05</v>
      </c>
      <c r="K2437" s="120">
        <f t="shared" si="942"/>
        <v>0</v>
      </c>
      <c r="L2437" s="120">
        <f t="shared" si="943"/>
        <v>0</v>
      </c>
      <c r="M2437" s="246">
        <f t="shared" si="944"/>
        <v>0</v>
      </c>
      <c r="N2437" s="121">
        <f t="shared" si="945"/>
        <v>1.05</v>
      </c>
      <c r="O2437" s="246">
        <f t="shared" si="946"/>
        <v>0.995</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87">
        <v>38</v>
      </c>
      <c r="B2438" s="242">
        <f t="shared" si="953"/>
        <v>46784</v>
      </c>
      <c r="C2438" s="243">
        <f t="shared" si="934"/>
        <v>46812</v>
      </c>
      <c r="D2438" s="120">
        <f t="shared" si="935"/>
        <v>29</v>
      </c>
      <c r="E2438" s="120">
        <f t="shared" si="936"/>
        <v>2</v>
      </c>
      <c r="F2438" s="275">
        <f t="shared" si="937"/>
        <v>46798.5</v>
      </c>
      <c r="G2438" s="120">
        <f t="shared" si="938"/>
        <v>24337</v>
      </c>
      <c r="H2438" s="245">
        <f t="shared" si="939"/>
        <v>1</v>
      </c>
      <c r="I2438" s="121">
        <f t="shared" si="940"/>
        <v>1.05</v>
      </c>
      <c r="J2438" s="121">
        <f t="shared" si="941"/>
        <v>1.05</v>
      </c>
      <c r="K2438" s="120">
        <f t="shared" si="942"/>
        <v>0</v>
      </c>
      <c r="L2438" s="120">
        <f t="shared" si="943"/>
        <v>0</v>
      </c>
      <c r="M2438" s="246">
        <f t="shared" si="944"/>
        <v>0</v>
      </c>
      <c r="N2438" s="121">
        <f t="shared" si="945"/>
        <v>1.05</v>
      </c>
      <c r="O2438" s="246">
        <f t="shared" si="946"/>
        <v>0.995</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87">
        <v>39</v>
      </c>
      <c r="B2439" s="242">
        <f t="shared" si="953"/>
        <v>46813</v>
      </c>
      <c r="C2439" s="243">
        <f t="shared" si="934"/>
        <v>46843</v>
      </c>
      <c r="D2439" s="120">
        <f t="shared" si="935"/>
        <v>31</v>
      </c>
      <c r="E2439" s="120">
        <f t="shared" si="936"/>
        <v>3</v>
      </c>
      <c r="F2439" s="275">
        <f t="shared" si="937"/>
        <v>46828.5</v>
      </c>
      <c r="G2439" s="120">
        <f t="shared" si="938"/>
        <v>24338</v>
      </c>
      <c r="H2439" s="245">
        <f t="shared" si="939"/>
        <v>1</v>
      </c>
      <c r="I2439" s="121">
        <f t="shared" si="940"/>
        <v>1.05</v>
      </c>
      <c r="J2439" s="121">
        <f t="shared" si="941"/>
        <v>1.05</v>
      </c>
      <c r="K2439" s="120">
        <f t="shared" si="942"/>
        <v>0</v>
      </c>
      <c r="L2439" s="120">
        <f t="shared" si="943"/>
        <v>0</v>
      </c>
      <c r="M2439" s="246">
        <f t="shared" si="944"/>
        <v>0</v>
      </c>
      <c r="N2439" s="121">
        <f t="shared" si="945"/>
        <v>1.05</v>
      </c>
      <c r="O2439" s="246">
        <f t="shared" si="946"/>
        <v>0.995</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87">
        <v>40</v>
      </c>
      <c r="B2440" s="242">
        <f t="shared" si="953"/>
        <v>46844</v>
      </c>
      <c r="C2440" s="243">
        <f t="shared" si="934"/>
        <v>46873</v>
      </c>
      <c r="D2440" s="120">
        <f t="shared" si="935"/>
        <v>30</v>
      </c>
      <c r="E2440" s="120">
        <f t="shared" si="936"/>
        <v>4</v>
      </c>
      <c r="F2440" s="275">
        <f t="shared" si="937"/>
        <v>46859</v>
      </c>
      <c r="G2440" s="120">
        <f t="shared" si="938"/>
        <v>24339</v>
      </c>
      <c r="H2440" s="245">
        <f t="shared" si="939"/>
        <v>1</v>
      </c>
      <c r="I2440" s="121">
        <f t="shared" si="940"/>
        <v>1.05</v>
      </c>
      <c r="J2440" s="121">
        <f t="shared" si="941"/>
        <v>1.05</v>
      </c>
      <c r="K2440" s="120">
        <f t="shared" si="942"/>
        <v>0</v>
      </c>
      <c r="L2440" s="120">
        <f t="shared" si="943"/>
        <v>0</v>
      </c>
      <c r="M2440" s="246">
        <f t="shared" si="944"/>
        <v>0</v>
      </c>
      <c r="N2440" s="121">
        <f t="shared" si="945"/>
        <v>1.05</v>
      </c>
      <c r="O2440" s="246">
        <f t="shared" si="946"/>
        <v>0.995</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87">
        <v>41</v>
      </c>
      <c r="B2441" s="242">
        <f t="shared" si="953"/>
        <v>46874</v>
      </c>
      <c r="C2441" s="243">
        <f t="shared" si="934"/>
        <v>46904</v>
      </c>
      <c r="D2441" s="120">
        <f t="shared" si="935"/>
        <v>31</v>
      </c>
      <c r="E2441" s="120">
        <f t="shared" si="936"/>
        <v>5</v>
      </c>
      <c r="F2441" s="275">
        <f t="shared" si="937"/>
        <v>46889.5</v>
      </c>
      <c r="G2441" s="120">
        <f t="shared" si="938"/>
        <v>24340</v>
      </c>
      <c r="H2441" s="245">
        <f t="shared" si="939"/>
        <v>1</v>
      </c>
      <c r="I2441" s="121">
        <f t="shared" si="940"/>
        <v>1.05</v>
      </c>
      <c r="J2441" s="121">
        <f t="shared" si="941"/>
        <v>1.05</v>
      </c>
      <c r="K2441" s="120">
        <f t="shared" si="942"/>
        <v>0</v>
      </c>
      <c r="L2441" s="120">
        <f t="shared" si="943"/>
        <v>0</v>
      </c>
      <c r="M2441" s="246">
        <f t="shared" si="944"/>
        <v>0</v>
      </c>
      <c r="N2441" s="121">
        <f t="shared" si="945"/>
        <v>1.05</v>
      </c>
      <c r="O2441" s="246">
        <f t="shared" si="946"/>
        <v>0.995</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87">
        <v>42</v>
      </c>
      <c r="B2442" s="242">
        <f t="shared" si="953"/>
        <v>46905</v>
      </c>
      <c r="C2442" s="243">
        <f t="shared" si="934"/>
        <v>46934</v>
      </c>
      <c r="D2442" s="120">
        <f t="shared" si="935"/>
        <v>30</v>
      </c>
      <c r="E2442" s="120">
        <f t="shared" si="936"/>
        <v>6</v>
      </c>
      <c r="F2442" s="275">
        <f t="shared" si="937"/>
        <v>46920</v>
      </c>
      <c r="G2442" s="120">
        <f t="shared" si="938"/>
        <v>24341</v>
      </c>
      <c r="H2442" s="245">
        <f t="shared" si="939"/>
        <v>1</v>
      </c>
      <c r="I2442" s="121">
        <f t="shared" si="940"/>
        <v>1.05</v>
      </c>
      <c r="J2442" s="121">
        <f t="shared" si="941"/>
        <v>1.05</v>
      </c>
      <c r="K2442" s="120">
        <f t="shared" si="942"/>
        <v>0</v>
      </c>
      <c r="L2442" s="120">
        <f t="shared" si="943"/>
        <v>0</v>
      </c>
      <c r="M2442" s="246">
        <f t="shared" si="944"/>
        <v>0</v>
      </c>
      <c r="N2442" s="121">
        <f t="shared" si="945"/>
        <v>1.05</v>
      </c>
      <c r="O2442" s="246">
        <f t="shared" si="946"/>
        <v>0.995</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87">
        <v>43</v>
      </c>
      <c r="B2443" s="242">
        <f t="shared" si="953"/>
        <v>46935</v>
      </c>
      <c r="C2443" s="243">
        <f t="shared" si="934"/>
        <v>46965</v>
      </c>
      <c r="D2443" s="120">
        <f t="shared" si="935"/>
        <v>31</v>
      </c>
      <c r="E2443" s="120">
        <f t="shared" si="936"/>
        <v>7</v>
      </c>
      <c r="F2443" s="275">
        <f t="shared" si="937"/>
        <v>46950.5</v>
      </c>
      <c r="G2443" s="120">
        <f t="shared" si="938"/>
        <v>24342</v>
      </c>
      <c r="H2443" s="245">
        <f t="shared" si="939"/>
        <v>1</v>
      </c>
      <c r="I2443" s="121">
        <f t="shared" si="940"/>
        <v>1.05</v>
      </c>
      <c r="J2443" s="121">
        <f t="shared" si="941"/>
        <v>1.05</v>
      </c>
      <c r="K2443" s="120">
        <f t="shared" si="942"/>
        <v>0</v>
      </c>
      <c r="L2443" s="120">
        <f t="shared" si="943"/>
        <v>0</v>
      </c>
      <c r="M2443" s="246">
        <f t="shared" si="944"/>
        <v>0</v>
      </c>
      <c r="N2443" s="121">
        <f t="shared" si="945"/>
        <v>1.05</v>
      </c>
      <c r="O2443" s="246">
        <f t="shared" si="946"/>
        <v>0.995</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87">
        <v>44</v>
      </c>
      <c r="B2444" s="242">
        <f t="shared" si="953"/>
        <v>46966</v>
      </c>
      <c r="C2444" s="243">
        <f t="shared" si="934"/>
        <v>46996</v>
      </c>
      <c r="D2444" s="120">
        <f t="shared" si="935"/>
        <v>31</v>
      </c>
      <c r="E2444" s="120">
        <f t="shared" si="936"/>
        <v>8</v>
      </c>
      <c r="F2444" s="275">
        <f t="shared" si="937"/>
        <v>46981.5</v>
      </c>
      <c r="G2444" s="120">
        <f t="shared" si="938"/>
        <v>24343</v>
      </c>
      <c r="H2444" s="245">
        <f t="shared" si="939"/>
        <v>1</v>
      </c>
      <c r="I2444" s="121">
        <f t="shared" si="940"/>
        <v>1.05</v>
      </c>
      <c r="J2444" s="121">
        <f t="shared" si="941"/>
        <v>1.05</v>
      </c>
      <c r="K2444" s="120">
        <f t="shared" si="942"/>
        <v>0</v>
      </c>
      <c r="L2444" s="120">
        <f t="shared" si="943"/>
        <v>0</v>
      </c>
      <c r="M2444" s="246">
        <f t="shared" si="944"/>
        <v>0</v>
      </c>
      <c r="N2444" s="121">
        <f t="shared" si="945"/>
        <v>1.05</v>
      </c>
      <c r="O2444" s="246">
        <f t="shared" si="946"/>
        <v>0.995</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87">
        <v>45</v>
      </c>
      <c r="B2445" s="242">
        <f t="shared" si="953"/>
        <v>46997</v>
      </c>
      <c r="C2445" s="243">
        <f t="shared" si="934"/>
        <v>47026</v>
      </c>
      <c r="D2445" s="120">
        <f t="shared" si="935"/>
        <v>30</v>
      </c>
      <c r="E2445" s="120">
        <f t="shared" si="936"/>
        <v>9</v>
      </c>
      <c r="F2445" s="275">
        <f t="shared" si="937"/>
        <v>47012</v>
      </c>
      <c r="G2445" s="120">
        <f t="shared" si="938"/>
        <v>24344</v>
      </c>
      <c r="H2445" s="245">
        <f t="shared" si="939"/>
        <v>1</v>
      </c>
      <c r="I2445" s="121">
        <f t="shared" si="940"/>
        <v>1.05</v>
      </c>
      <c r="J2445" s="121">
        <f t="shared" si="941"/>
        <v>1.05</v>
      </c>
      <c r="K2445" s="120">
        <f t="shared" si="942"/>
        <v>0</v>
      </c>
      <c r="L2445" s="120">
        <f t="shared" si="943"/>
        <v>0</v>
      </c>
      <c r="M2445" s="246">
        <f t="shared" si="944"/>
        <v>0</v>
      </c>
      <c r="N2445" s="121">
        <f t="shared" si="945"/>
        <v>1.05</v>
      </c>
      <c r="O2445" s="246">
        <f t="shared" si="946"/>
        <v>0.995</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87">
        <v>46</v>
      </c>
      <c r="B2446" s="242">
        <f t="shared" si="953"/>
        <v>47027</v>
      </c>
      <c r="C2446" s="243">
        <f t="shared" si="934"/>
        <v>47057</v>
      </c>
      <c r="D2446" s="120">
        <f t="shared" si="935"/>
        <v>31</v>
      </c>
      <c r="E2446" s="120">
        <f t="shared" si="936"/>
        <v>10</v>
      </c>
      <c r="F2446" s="275">
        <f t="shared" si="937"/>
        <v>47042.5</v>
      </c>
      <c r="G2446" s="120">
        <f t="shared" si="938"/>
        <v>24345</v>
      </c>
      <c r="H2446" s="245">
        <f t="shared" si="939"/>
        <v>1</v>
      </c>
      <c r="I2446" s="121">
        <f t="shared" si="940"/>
        <v>1.05</v>
      </c>
      <c r="J2446" s="121">
        <f t="shared" si="941"/>
        <v>1.05</v>
      </c>
      <c r="K2446" s="120">
        <f t="shared" si="942"/>
        <v>0</v>
      </c>
      <c r="L2446" s="120">
        <f t="shared" si="943"/>
        <v>0</v>
      </c>
      <c r="M2446" s="246">
        <f t="shared" si="944"/>
        <v>0</v>
      </c>
      <c r="N2446" s="121">
        <f t="shared" si="945"/>
        <v>1.05</v>
      </c>
      <c r="O2446" s="246">
        <f t="shared" si="946"/>
        <v>0.995</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87">
        <v>47</v>
      </c>
      <c r="B2447" s="242">
        <f t="shared" si="953"/>
        <v>47058</v>
      </c>
      <c r="C2447" s="243">
        <f t="shared" si="934"/>
        <v>47087</v>
      </c>
      <c r="D2447" s="120">
        <f t="shared" si="935"/>
        <v>30</v>
      </c>
      <c r="E2447" s="120">
        <f t="shared" si="936"/>
        <v>11</v>
      </c>
      <c r="F2447" s="275">
        <f t="shared" si="937"/>
        <v>47073</v>
      </c>
      <c r="G2447" s="120">
        <f t="shared" si="938"/>
        <v>24346</v>
      </c>
      <c r="H2447" s="245">
        <f t="shared" si="939"/>
        <v>1</v>
      </c>
      <c r="I2447" s="121">
        <f t="shared" si="940"/>
        <v>1.05</v>
      </c>
      <c r="J2447" s="121">
        <f t="shared" si="941"/>
        <v>1.05</v>
      </c>
      <c r="K2447" s="120">
        <f t="shared" si="942"/>
        <v>0</v>
      </c>
      <c r="L2447" s="120">
        <f t="shared" si="943"/>
        <v>0</v>
      </c>
      <c r="M2447" s="246">
        <f t="shared" si="944"/>
        <v>0</v>
      </c>
      <c r="N2447" s="121">
        <f t="shared" si="945"/>
        <v>1.05</v>
      </c>
      <c r="O2447" s="246">
        <f t="shared" si="946"/>
        <v>0.995</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87">
        <v>48</v>
      </c>
      <c r="B2448" s="242">
        <f t="shared" si="953"/>
        <v>47088</v>
      </c>
      <c r="C2448" s="243">
        <f t="shared" si="934"/>
        <v>47118</v>
      </c>
      <c r="D2448" s="120">
        <f t="shared" si="935"/>
        <v>31</v>
      </c>
      <c r="E2448" s="120">
        <f t="shared" si="936"/>
        <v>12</v>
      </c>
      <c r="F2448" s="275">
        <f t="shared" si="937"/>
        <v>47103.5</v>
      </c>
      <c r="G2448" s="120">
        <f t="shared" si="938"/>
        <v>24347</v>
      </c>
      <c r="H2448" s="245">
        <f t="shared" si="939"/>
        <v>1</v>
      </c>
      <c r="I2448" s="121">
        <f t="shared" si="940"/>
        <v>1.05</v>
      </c>
      <c r="J2448" s="121">
        <f t="shared" si="941"/>
        <v>1.05</v>
      </c>
      <c r="K2448" s="120">
        <f t="shared" si="942"/>
        <v>0</v>
      </c>
      <c r="L2448" s="120">
        <f t="shared" si="943"/>
        <v>0</v>
      </c>
      <c r="M2448" s="246">
        <f t="shared" si="944"/>
        <v>0</v>
      </c>
      <c r="N2448" s="121">
        <f t="shared" si="945"/>
        <v>1.05</v>
      </c>
      <c r="O2448" s="246">
        <f t="shared" si="946"/>
        <v>0.995</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1651</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24">
        <f>SUMPRODUCT($H$2401:$H$2448,$Q$2401:$Q$2448,$O$2401:$O$2448)/SUMPRODUCT($H$2401:$H$2448,$Q$2401:$Q$2448)</f>
        <v>0.99099790299051793</v>
      </c>
      <c r="G2449" s="224">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24">
        <f>IF(N(INDEX(lr_mind,45))=0,1,INDEX(lr_mind,45))</f>
        <v>1</v>
      </c>
      <c r="G2452" s="224">
        <f>IF(N(INDEX(lr_m0,45))=0,1,INDEX(lr_m0,45))</f>
        <v>0.99</v>
      </c>
      <c r="H2452" s="74">
        <f>IF(N(INDEX(lr_m0asof,45))=0,DATE(nr_PlanYear-1,10,1),INDEX(lr_m0asof,45))</f>
        <v>46295</v>
      </c>
      <c r="I2452" s="224">
        <f>IF(N(INDEX(lr_m1,45))=0,1,INDEX(lr_m1,45))</f>
        <v>1.01</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54">EOMONTH($B2455,0)</f>
        <v>45688</v>
      </c>
      <c r="D2455" s="120">
        <f t="shared" ref="D2455:D2502" si="955">$C2455-$B2455+1</f>
        <v>31</v>
      </c>
      <c r="E2455" s="120">
        <f t="shared" ref="E2455:E2502" si="956">MONTH($B2455)</f>
        <v>1</v>
      </c>
      <c r="F2455" s="275">
        <f t="shared" ref="F2455:F2502" si="957">($B2455+$C2455+1)/2</f>
        <v>45673.5</v>
      </c>
      <c r="G2455" s="120">
        <f t="shared" ref="G2455:G2502" si="958">YEAR($B2455)*12+MONTH($B2455)-1</f>
        <v>24300</v>
      </c>
      <c r="H2455" s="245">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46">
        <f t="shared" ref="M2455:M2502" si="964">IF($K2455=0,0,MIN(1,$L2455/$D2455))</f>
        <v>0</v>
      </c>
      <c r="N2455" s="121">
        <f t="shared" ref="N2455:N2502" si="965">IF($K2455=0,$J2455,(1-$M2455)*$I2455+$M2455*$J2455)</f>
        <v>1</v>
      </c>
      <c r="O2455" s="246">
        <f t="shared" ref="O2455:O2502" si="966">IF($F2455&lt;$B$2453,$E$2453+$I$2453*($F2455-$A$2453),IF($F2455&lt;$C$2453,$F$2453+$J$2453*($F2455-$B$2453),$G$2453+$K$2453*($F2455-$C$2453)))</f>
        <v>0.96275711159737409</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87">
        <v>2</v>
      </c>
      <c r="B2456" s="242">
        <f t="shared" ref="B2456:B2502" si="973">EDATE($B2455,1)</f>
        <v>45689</v>
      </c>
      <c r="C2456" s="243">
        <f t="shared" si="954"/>
        <v>45716</v>
      </c>
      <c r="D2456" s="120">
        <f t="shared" si="955"/>
        <v>28</v>
      </c>
      <c r="E2456" s="120">
        <f t="shared" si="956"/>
        <v>2</v>
      </c>
      <c r="F2456" s="275">
        <f t="shared" si="957"/>
        <v>45703</v>
      </c>
      <c r="G2456" s="120">
        <f t="shared" si="958"/>
        <v>24301</v>
      </c>
      <c r="H2456" s="245">
        <f t="shared" si="959"/>
        <v>1</v>
      </c>
      <c r="I2456" s="121">
        <f t="shared" si="960"/>
        <v>1</v>
      </c>
      <c r="J2456" s="121">
        <f t="shared" si="961"/>
        <v>1</v>
      </c>
      <c r="K2456" s="120">
        <f t="shared" si="962"/>
        <v>0</v>
      </c>
      <c r="L2456" s="120">
        <f t="shared" si="963"/>
        <v>0</v>
      </c>
      <c r="M2456" s="246">
        <f t="shared" si="964"/>
        <v>0</v>
      </c>
      <c r="N2456" s="121">
        <f t="shared" si="965"/>
        <v>1</v>
      </c>
      <c r="O2456" s="246">
        <f t="shared" si="966"/>
        <v>0.9640481400437636</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87">
        <v>3</v>
      </c>
      <c r="B2457" s="242">
        <f t="shared" si="973"/>
        <v>45717</v>
      </c>
      <c r="C2457" s="243">
        <f t="shared" si="954"/>
        <v>45747</v>
      </c>
      <c r="D2457" s="120">
        <f t="shared" si="955"/>
        <v>31</v>
      </c>
      <c r="E2457" s="120">
        <f t="shared" si="956"/>
        <v>3</v>
      </c>
      <c r="F2457" s="275">
        <f t="shared" si="957"/>
        <v>45732.5</v>
      </c>
      <c r="G2457" s="120">
        <f t="shared" si="958"/>
        <v>24302</v>
      </c>
      <c r="H2457" s="245">
        <f t="shared" si="959"/>
        <v>1</v>
      </c>
      <c r="I2457" s="121">
        <f t="shared" si="960"/>
        <v>1</v>
      </c>
      <c r="J2457" s="121">
        <f t="shared" si="961"/>
        <v>1</v>
      </c>
      <c r="K2457" s="120">
        <f t="shared" si="962"/>
        <v>0</v>
      </c>
      <c r="L2457" s="120">
        <f t="shared" si="963"/>
        <v>0</v>
      </c>
      <c r="M2457" s="246">
        <f t="shared" si="964"/>
        <v>0</v>
      </c>
      <c r="N2457" s="121">
        <f t="shared" si="965"/>
        <v>1</v>
      </c>
      <c r="O2457" s="246">
        <f t="shared" si="966"/>
        <v>0.96533916849015311</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87">
        <v>4</v>
      </c>
      <c r="B2458" s="242">
        <f t="shared" si="973"/>
        <v>45748</v>
      </c>
      <c r="C2458" s="243">
        <f t="shared" si="954"/>
        <v>45777</v>
      </c>
      <c r="D2458" s="120">
        <f t="shared" si="955"/>
        <v>30</v>
      </c>
      <c r="E2458" s="120">
        <f t="shared" si="956"/>
        <v>4</v>
      </c>
      <c r="F2458" s="275">
        <f t="shared" si="957"/>
        <v>45763</v>
      </c>
      <c r="G2458" s="120">
        <f t="shared" si="958"/>
        <v>24303</v>
      </c>
      <c r="H2458" s="245">
        <f t="shared" si="959"/>
        <v>1</v>
      </c>
      <c r="I2458" s="121">
        <f t="shared" si="960"/>
        <v>1</v>
      </c>
      <c r="J2458" s="121">
        <f t="shared" si="961"/>
        <v>1</v>
      </c>
      <c r="K2458" s="120">
        <f t="shared" si="962"/>
        <v>0</v>
      </c>
      <c r="L2458" s="120">
        <f t="shared" si="963"/>
        <v>0</v>
      </c>
      <c r="M2458" s="246">
        <f t="shared" si="964"/>
        <v>0</v>
      </c>
      <c r="N2458" s="121">
        <f t="shared" si="965"/>
        <v>1</v>
      </c>
      <c r="O2458" s="246">
        <f t="shared" si="966"/>
        <v>0.9666739606126914</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87">
        <v>5</v>
      </c>
      <c r="B2459" s="242">
        <f t="shared" si="973"/>
        <v>45778</v>
      </c>
      <c r="C2459" s="243">
        <f t="shared" si="954"/>
        <v>45808</v>
      </c>
      <c r="D2459" s="120">
        <f t="shared" si="955"/>
        <v>31</v>
      </c>
      <c r="E2459" s="120">
        <f t="shared" si="956"/>
        <v>5</v>
      </c>
      <c r="F2459" s="275">
        <f t="shared" si="957"/>
        <v>45793.5</v>
      </c>
      <c r="G2459" s="120">
        <f t="shared" si="958"/>
        <v>24304</v>
      </c>
      <c r="H2459" s="245">
        <f t="shared" si="959"/>
        <v>1</v>
      </c>
      <c r="I2459" s="121">
        <f t="shared" si="960"/>
        <v>1</v>
      </c>
      <c r="J2459" s="121">
        <f t="shared" si="961"/>
        <v>1</v>
      </c>
      <c r="K2459" s="120">
        <f t="shared" si="962"/>
        <v>0</v>
      </c>
      <c r="L2459" s="120">
        <f t="shared" si="963"/>
        <v>0</v>
      </c>
      <c r="M2459" s="246">
        <f t="shared" si="964"/>
        <v>0</v>
      </c>
      <c r="N2459" s="121">
        <f t="shared" si="965"/>
        <v>1</v>
      </c>
      <c r="O2459" s="246">
        <f t="shared" si="966"/>
        <v>0.96800875273522968</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87">
        <v>6</v>
      </c>
      <c r="B2460" s="242">
        <f t="shared" si="973"/>
        <v>45809</v>
      </c>
      <c r="C2460" s="243">
        <f t="shared" si="954"/>
        <v>45838</v>
      </c>
      <c r="D2460" s="120">
        <f t="shared" si="955"/>
        <v>30</v>
      </c>
      <c r="E2460" s="120">
        <f t="shared" si="956"/>
        <v>6</v>
      </c>
      <c r="F2460" s="275">
        <f t="shared" si="957"/>
        <v>45824</v>
      </c>
      <c r="G2460" s="120">
        <f t="shared" si="958"/>
        <v>24305</v>
      </c>
      <c r="H2460" s="245">
        <f t="shared" si="959"/>
        <v>1</v>
      </c>
      <c r="I2460" s="121">
        <f t="shared" si="960"/>
        <v>1</v>
      </c>
      <c r="J2460" s="121">
        <f t="shared" si="961"/>
        <v>1</v>
      </c>
      <c r="K2460" s="120">
        <f t="shared" si="962"/>
        <v>0</v>
      </c>
      <c r="L2460" s="120">
        <f t="shared" si="963"/>
        <v>0</v>
      </c>
      <c r="M2460" s="246">
        <f t="shared" si="964"/>
        <v>0</v>
      </c>
      <c r="N2460" s="121">
        <f t="shared" si="965"/>
        <v>1</v>
      </c>
      <c r="O2460" s="246">
        <f t="shared" si="966"/>
        <v>0.96934354485776797</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87">
        <v>7</v>
      </c>
      <c r="B2461" s="242">
        <f t="shared" si="973"/>
        <v>45839</v>
      </c>
      <c r="C2461" s="243">
        <f t="shared" si="954"/>
        <v>45869</v>
      </c>
      <c r="D2461" s="120">
        <f t="shared" si="955"/>
        <v>31</v>
      </c>
      <c r="E2461" s="120">
        <f t="shared" si="956"/>
        <v>7</v>
      </c>
      <c r="F2461" s="275">
        <f t="shared" si="957"/>
        <v>45854.5</v>
      </c>
      <c r="G2461" s="120">
        <f t="shared" si="958"/>
        <v>24306</v>
      </c>
      <c r="H2461" s="245">
        <f t="shared" si="959"/>
        <v>1</v>
      </c>
      <c r="I2461" s="121">
        <f t="shared" si="960"/>
        <v>1</v>
      </c>
      <c r="J2461" s="121">
        <f t="shared" si="961"/>
        <v>1</v>
      </c>
      <c r="K2461" s="120">
        <f t="shared" si="962"/>
        <v>0</v>
      </c>
      <c r="L2461" s="120">
        <f t="shared" si="963"/>
        <v>0</v>
      </c>
      <c r="M2461" s="246">
        <f t="shared" si="964"/>
        <v>0</v>
      </c>
      <c r="N2461" s="121">
        <f t="shared" si="965"/>
        <v>1</v>
      </c>
      <c r="O2461" s="246">
        <f t="shared" si="966"/>
        <v>0.97067833698030626</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87">
        <v>8</v>
      </c>
      <c r="B2462" s="242">
        <f t="shared" si="973"/>
        <v>45870</v>
      </c>
      <c r="C2462" s="243">
        <f t="shared" si="954"/>
        <v>45900</v>
      </c>
      <c r="D2462" s="120">
        <f t="shared" si="955"/>
        <v>31</v>
      </c>
      <c r="E2462" s="120">
        <f t="shared" si="956"/>
        <v>8</v>
      </c>
      <c r="F2462" s="275">
        <f t="shared" si="957"/>
        <v>45885.5</v>
      </c>
      <c r="G2462" s="120">
        <f t="shared" si="958"/>
        <v>24307</v>
      </c>
      <c r="H2462" s="245">
        <f t="shared" si="959"/>
        <v>1</v>
      </c>
      <c r="I2462" s="121">
        <f t="shared" si="960"/>
        <v>1</v>
      </c>
      <c r="J2462" s="121">
        <f t="shared" si="961"/>
        <v>1</v>
      </c>
      <c r="K2462" s="120">
        <f t="shared" si="962"/>
        <v>0</v>
      </c>
      <c r="L2462" s="120">
        <f t="shared" si="963"/>
        <v>0</v>
      </c>
      <c r="M2462" s="246">
        <f t="shared" si="964"/>
        <v>0</v>
      </c>
      <c r="N2462" s="121">
        <f t="shared" si="965"/>
        <v>1</v>
      </c>
      <c r="O2462" s="246">
        <f t="shared" si="966"/>
        <v>0.97203501094091893</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87">
        <v>9</v>
      </c>
      <c r="B2463" s="242">
        <f t="shared" si="973"/>
        <v>45901</v>
      </c>
      <c r="C2463" s="243">
        <f t="shared" si="954"/>
        <v>45930</v>
      </c>
      <c r="D2463" s="120">
        <f t="shared" si="955"/>
        <v>30</v>
      </c>
      <c r="E2463" s="120">
        <f t="shared" si="956"/>
        <v>9</v>
      </c>
      <c r="F2463" s="275">
        <f t="shared" si="957"/>
        <v>45916</v>
      </c>
      <c r="G2463" s="120">
        <f t="shared" si="958"/>
        <v>24308</v>
      </c>
      <c r="H2463" s="245">
        <f t="shared" si="959"/>
        <v>1</v>
      </c>
      <c r="I2463" s="121">
        <f t="shared" si="960"/>
        <v>1</v>
      </c>
      <c r="J2463" s="121">
        <f t="shared" si="961"/>
        <v>1</v>
      </c>
      <c r="K2463" s="120">
        <f t="shared" si="962"/>
        <v>0</v>
      </c>
      <c r="L2463" s="120">
        <f t="shared" si="963"/>
        <v>0</v>
      </c>
      <c r="M2463" s="246">
        <f t="shared" si="964"/>
        <v>0</v>
      </c>
      <c r="N2463" s="121">
        <f t="shared" si="965"/>
        <v>1</v>
      </c>
      <c r="O2463" s="246">
        <f t="shared" si="966"/>
        <v>0.97336980306345722</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87">
        <v>10</v>
      </c>
      <c r="B2464" s="242">
        <f t="shared" si="973"/>
        <v>45931</v>
      </c>
      <c r="C2464" s="243">
        <f t="shared" si="954"/>
        <v>45961</v>
      </c>
      <c r="D2464" s="120">
        <f t="shared" si="955"/>
        <v>31</v>
      </c>
      <c r="E2464" s="120">
        <f t="shared" si="956"/>
        <v>10</v>
      </c>
      <c r="F2464" s="275">
        <f t="shared" si="957"/>
        <v>45946.5</v>
      </c>
      <c r="G2464" s="120">
        <f t="shared" si="958"/>
        <v>24309</v>
      </c>
      <c r="H2464" s="245">
        <f t="shared" si="959"/>
        <v>1</v>
      </c>
      <c r="I2464" s="121">
        <f t="shared" si="960"/>
        <v>1</v>
      </c>
      <c r="J2464" s="121">
        <f t="shared" si="961"/>
        <v>1</v>
      </c>
      <c r="K2464" s="120">
        <f t="shared" si="962"/>
        <v>0</v>
      </c>
      <c r="L2464" s="120">
        <f t="shared" si="963"/>
        <v>0</v>
      </c>
      <c r="M2464" s="246">
        <f t="shared" si="964"/>
        <v>0</v>
      </c>
      <c r="N2464" s="121">
        <f t="shared" si="965"/>
        <v>1</v>
      </c>
      <c r="O2464" s="246">
        <f t="shared" si="966"/>
        <v>0.97470459518599561</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87">
        <v>11</v>
      </c>
      <c r="B2465" s="242">
        <f t="shared" si="973"/>
        <v>45962</v>
      </c>
      <c r="C2465" s="243">
        <f t="shared" si="954"/>
        <v>45991</v>
      </c>
      <c r="D2465" s="120">
        <f t="shared" si="955"/>
        <v>30</v>
      </c>
      <c r="E2465" s="120">
        <f t="shared" si="956"/>
        <v>11</v>
      </c>
      <c r="F2465" s="275">
        <f t="shared" si="957"/>
        <v>45977</v>
      </c>
      <c r="G2465" s="120">
        <f t="shared" si="958"/>
        <v>24310</v>
      </c>
      <c r="H2465" s="245">
        <f t="shared" si="959"/>
        <v>1</v>
      </c>
      <c r="I2465" s="121">
        <f t="shared" si="960"/>
        <v>1</v>
      </c>
      <c r="J2465" s="121">
        <f t="shared" si="961"/>
        <v>1</v>
      </c>
      <c r="K2465" s="120">
        <f t="shared" si="962"/>
        <v>0</v>
      </c>
      <c r="L2465" s="120">
        <f t="shared" si="963"/>
        <v>0</v>
      </c>
      <c r="M2465" s="246">
        <f t="shared" si="964"/>
        <v>0</v>
      </c>
      <c r="N2465" s="121">
        <f t="shared" si="965"/>
        <v>1</v>
      </c>
      <c r="O2465" s="246">
        <f t="shared" si="966"/>
        <v>0.9760393873085339</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87">
        <v>12</v>
      </c>
      <c r="B2466" s="242">
        <f t="shared" si="973"/>
        <v>45992</v>
      </c>
      <c r="C2466" s="243">
        <f t="shared" si="954"/>
        <v>46022</v>
      </c>
      <c r="D2466" s="120">
        <f t="shared" si="955"/>
        <v>31</v>
      </c>
      <c r="E2466" s="120">
        <f t="shared" si="956"/>
        <v>12</v>
      </c>
      <c r="F2466" s="275">
        <f t="shared" si="957"/>
        <v>46007.5</v>
      </c>
      <c r="G2466" s="120">
        <f t="shared" si="958"/>
        <v>24311</v>
      </c>
      <c r="H2466" s="245">
        <f t="shared" si="959"/>
        <v>1</v>
      </c>
      <c r="I2466" s="121">
        <f t="shared" si="960"/>
        <v>1</v>
      </c>
      <c r="J2466" s="121">
        <f t="shared" si="961"/>
        <v>1</v>
      </c>
      <c r="K2466" s="120">
        <f t="shared" si="962"/>
        <v>0</v>
      </c>
      <c r="L2466" s="120">
        <f t="shared" si="963"/>
        <v>0</v>
      </c>
      <c r="M2466" s="246">
        <f t="shared" si="964"/>
        <v>0</v>
      </c>
      <c r="N2466" s="121">
        <f t="shared" si="965"/>
        <v>1</v>
      </c>
      <c r="O2466" s="246">
        <f t="shared" si="966"/>
        <v>0.97737417943107219</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87">
        <v>13</v>
      </c>
      <c r="B2467" s="242">
        <f t="shared" si="973"/>
        <v>46023</v>
      </c>
      <c r="C2467" s="243">
        <f t="shared" si="954"/>
        <v>46053</v>
      </c>
      <c r="D2467" s="120">
        <f t="shared" si="955"/>
        <v>31</v>
      </c>
      <c r="E2467" s="120">
        <f t="shared" si="956"/>
        <v>1</v>
      </c>
      <c r="F2467" s="275">
        <f t="shared" si="957"/>
        <v>46038.5</v>
      </c>
      <c r="G2467" s="120">
        <f t="shared" si="958"/>
        <v>24312</v>
      </c>
      <c r="H2467" s="245">
        <f t="shared" si="959"/>
        <v>1</v>
      </c>
      <c r="I2467" s="121">
        <f t="shared" si="960"/>
        <v>1</v>
      </c>
      <c r="J2467" s="121">
        <f t="shared" si="961"/>
        <v>1</v>
      </c>
      <c r="K2467" s="120">
        <f t="shared" si="962"/>
        <v>0</v>
      </c>
      <c r="L2467" s="120">
        <f t="shared" si="963"/>
        <v>0</v>
      </c>
      <c r="M2467" s="246">
        <f t="shared" si="964"/>
        <v>0</v>
      </c>
      <c r="N2467" s="121">
        <f t="shared" si="965"/>
        <v>1</v>
      </c>
      <c r="O2467" s="246">
        <f t="shared" si="966"/>
        <v>0.97873085339168486</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87">
        <v>14</v>
      </c>
      <c r="B2468" s="242">
        <f t="shared" si="973"/>
        <v>46054</v>
      </c>
      <c r="C2468" s="243">
        <f t="shared" si="954"/>
        <v>46081</v>
      </c>
      <c r="D2468" s="120">
        <f t="shared" si="955"/>
        <v>28</v>
      </c>
      <c r="E2468" s="120">
        <f t="shared" si="956"/>
        <v>2</v>
      </c>
      <c r="F2468" s="275">
        <f t="shared" si="957"/>
        <v>46068</v>
      </c>
      <c r="G2468" s="120">
        <f t="shared" si="958"/>
        <v>24313</v>
      </c>
      <c r="H2468" s="245">
        <f t="shared" si="959"/>
        <v>1</v>
      </c>
      <c r="I2468" s="121">
        <f t="shared" si="960"/>
        <v>1</v>
      </c>
      <c r="J2468" s="121">
        <f t="shared" si="961"/>
        <v>1</v>
      </c>
      <c r="K2468" s="120">
        <f t="shared" si="962"/>
        <v>0</v>
      </c>
      <c r="L2468" s="120">
        <f t="shared" si="963"/>
        <v>0</v>
      </c>
      <c r="M2468" s="246">
        <f t="shared" si="964"/>
        <v>0</v>
      </c>
      <c r="N2468" s="121">
        <f t="shared" si="965"/>
        <v>1</v>
      </c>
      <c r="O2468" s="246">
        <f t="shared" si="966"/>
        <v>0.98002188183807437</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87">
        <v>15</v>
      </c>
      <c r="B2469" s="242">
        <f t="shared" si="973"/>
        <v>46082</v>
      </c>
      <c r="C2469" s="243">
        <f t="shared" si="954"/>
        <v>46112</v>
      </c>
      <c r="D2469" s="120">
        <f t="shared" si="955"/>
        <v>31</v>
      </c>
      <c r="E2469" s="120">
        <f t="shared" si="956"/>
        <v>3</v>
      </c>
      <c r="F2469" s="275">
        <f t="shared" si="957"/>
        <v>46097.5</v>
      </c>
      <c r="G2469" s="120">
        <f t="shared" si="958"/>
        <v>24314</v>
      </c>
      <c r="H2469" s="245">
        <f t="shared" si="959"/>
        <v>1</v>
      </c>
      <c r="I2469" s="121">
        <f t="shared" si="960"/>
        <v>1</v>
      </c>
      <c r="J2469" s="121">
        <f t="shared" si="961"/>
        <v>1</v>
      </c>
      <c r="K2469" s="120">
        <f t="shared" si="962"/>
        <v>0</v>
      </c>
      <c r="L2469" s="120">
        <f t="shared" si="963"/>
        <v>0</v>
      </c>
      <c r="M2469" s="246">
        <f t="shared" si="964"/>
        <v>0</v>
      </c>
      <c r="N2469" s="121">
        <f t="shared" si="965"/>
        <v>1</v>
      </c>
      <c r="O2469" s="246">
        <f t="shared" si="966"/>
        <v>0.98131291028446388</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87">
        <v>16</v>
      </c>
      <c r="B2470" s="242">
        <f t="shared" si="973"/>
        <v>46113</v>
      </c>
      <c r="C2470" s="243">
        <f t="shared" si="954"/>
        <v>46142</v>
      </c>
      <c r="D2470" s="120">
        <f t="shared" si="955"/>
        <v>30</v>
      </c>
      <c r="E2470" s="120">
        <f t="shared" si="956"/>
        <v>4</v>
      </c>
      <c r="F2470" s="275">
        <f t="shared" si="957"/>
        <v>46128</v>
      </c>
      <c r="G2470" s="120">
        <f t="shared" si="958"/>
        <v>24315</v>
      </c>
      <c r="H2470" s="245">
        <f t="shared" si="959"/>
        <v>1</v>
      </c>
      <c r="I2470" s="121">
        <f t="shared" si="960"/>
        <v>1</v>
      </c>
      <c r="J2470" s="121">
        <f t="shared" si="961"/>
        <v>1</v>
      </c>
      <c r="K2470" s="120">
        <f t="shared" si="962"/>
        <v>0</v>
      </c>
      <c r="L2470" s="120">
        <f t="shared" si="963"/>
        <v>0</v>
      </c>
      <c r="M2470" s="246">
        <f t="shared" si="964"/>
        <v>0</v>
      </c>
      <c r="N2470" s="121">
        <f t="shared" si="965"/>
        <v>1</v>
      </c>
      <c r="O2470" s="246">
        <f t="shared" si="966"/>
        <v>0.98264770240700217</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87">
        <v>17</v>
      </c>
      <c r="B2471" s="242">
        <f t="shared" si="973"/>
        <v>46143</v>
      </c>
      <c r="C2471" s="243">
        <f t="shared" si="954"/>
        <v>46173</v>
      </c>
      <c r="D2471" s="120">
        <f t="shared" si="955"/>
        <v>31</v>
      </c>
      <c r="E2471" s="120">
        <f t="shared" si="956"/>
        <v>5</v>
      </c>
      <c r="F2471" s="275">
        <f t="shared" si="957"/>
        <v>46158.5</v>
      </c>
      <c r="G2471" s="120">
        <f t="shared" si="958"/>
        <v>24316</v>
      </c>
      <c r="H2471" s="245">
        <f t="shared" si="959"/>
        <v>1</v>
      </c>
      <c r="I2471" s="121">
        <f t="shared" si="960"/>
        <v>1</v>
      </c>
      <c r="J2471" s="121">
        <f t="shared" si="961"/>
        <v>1</v>
      </c>
      <c r="K2471" s="120">
        <f t="shared" si="962"/>
        <v>0</v>
      </c>
      <c r="L2471" s="120">
        <f t="shared" si="963"/>
        <v>0</v>
      </c>
      <c r="M2471" s="246">
        <f t="shared" si="964"/>
        <v>0</v>
      </c>
      <c r="N2471" s="121">
        <f t="shared" si="965"/>
        <v>1</v>
      </c>
      <c r="O2471" s="246">
        <f t="shared" si="966"/>
        <v>0.98398249452954045</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87">
        <v>18</v>
      </c>
      <c r="B2472" s="242">
        <f t="shared" si="973"/>
        <v>46174</v>
      </c>
      <c r="C2472" s="243">
        <f t="shared" si="954"/>
        <v>46203</v>
      </c>
      <c r="D2472" s="120">
        <f t="shared" si="955"/>
        <v>30</v>
      </c>
      <c r="E2472" s="120">
        <f t="shared" si="956"/>
        <v>6</v>
      </c>
      <c r="F2472" s="275">
        <f t="shared" si="957"/>
        <v>46189</v>
      </c>
      <c r="G2472" s="120">
        <f t="shared" si="958"/>
        <v>24317</v>
      </c>
      <c r="H2472" s="245">
        <f t="shared" si="959"/>
        <v>1</v>
      </c>
      <c r="I2472" s="121">
        <f t="shared" si="960"/>
        <v>1</v>
      </c>
      <c r="J2472" s="121">
        <f t="shared" si="961"/>
        <v>1</v>
      </c>
      <c r="K2472" s="120">
        <f t="shared" si="962"/>
        <v>0</v>
      </c>
      <c r="L2472" s="120">
        <f t="shared" si="963"/>
        <v>0</v>
      </c>
      <c r="M2472" s="246">
        <f t="shared" si="964"/>
        <v>0</v>
      </c>
      <c r="N2472" s="121">
        <f t="shared" si="965"/>
        <v>1</v>
      </c>
      <c r="O2472" s="246">
        <f t="shared" si="966"/>
        <v>0.98531728665207874</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87">
        <v>19</v>
      </c>
      <c r="B2473" s="242">
        <f t="shared" si="973"/>
        <v>46204</v>
      </c>
      <c r="C2473" s="243">
        <f t="shared" si="954"/>
        <v>46234</v>
      </c>
      <c r="D2473" s="120">
        <f t="shared" si="955"/>
        <v>31</v>
      </c>
      <c r="E2473" s="120">
        <f t="shared" si="956"/>
        <v>7</v>
      </c>
      <c r="F2473" s="275">
        <f t="shared" si="957"/>
        <v>46219.5</v>
      </c>
      <c r="G2473" s="120">
        <f t="shared" si="958"/>
        <v>24318</v>
      </c>
      <c r="H2473" s="245">
        <f t="shared" si="959"/>
        <v>1</v>
      </c>
      <c r="I2473" s="121">
        <f t="shared" si="960"/>
        <v>1</v>
      </c>
      <c r="J2473" s="121">
        <f t="shared" si="961"/>
        <v>1</v>
      </c>
      <c r="K2473" s="120">
        <f t="shared" si="962"/>
        <v>0</v>
      </c>
      <c r="L2473" s="120">
        <f t="shared" si="963"/>
        <v>0</v>
      </c>
      <c r="M2473" s="246">
        <f t="shared" si="964"/>
        <v>0</v>
      </c>
      <c r="N2473" s="121">
        <f t="shared" si="965"/>
        <v>1</v>
      </c>
      <c r="O2473" s="246">
        <f t="shared" si="966"/>
        <v>0.98665207877461703</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87">
        <v>20</v>
      </c>
      <c r="B2474" s="242">
        <f t="shared" si="973"/>
        <v>46235</v>
      </c>
      <c r="C2474" s="243">
        <f t="shared" si="954"/>
        <v>46265</v>
      </c>
      <c r="D2474" s="120">
        <f t="shared" si="955"/>
        <v>31</v>
      </c>
      <c r="E2474" s="120">
        <f t="shared" si="956"/>
        <v>8</v>
      </c>
      <c r="F2474" s="275">
        <f t="shared" si="957"/>
        <v>46250.5</v>
      </c>
      <c r="G2474" s="120">
        <f t="shared" si="958"/>
        <v>24319</v>
      </c>
      <c r="H2474" s="245">
        <f t="shared" si="959"/>
        <v>1</v>
      </c>
      <c r="I2474" s="121">
        <f t="shared" si="960"/>
        <v>1</v>
      </c>
      <c r="J2474" s="121">
        <f t="shared" si="961"/>
        <v>1</v>
      </c>
      <c r="K2474" s="120">
        <f t="shared" si="962"/>
        <v>0</v>
      </c>
      <c r="L2474" s="120">
        <f t="shared" si="963"/>
        <v>0</v>
      </c>
      <c r="M2474" s="246">
        <f t="shared" si="964"/>
        <v>0</v>
      </c>
      <c r="N2474" s="121">
        <f t="shared" si="965"/>
        <v>1</v>
      </c>
      <c r="O2474" s="246">
        <f t="shared" si="966"/>
        <v>0.9880087527352297</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87">
        <v>21</v>
      </c>
      <c r="B2475" s="242">
        <f t="shared" si="973"/>
        <v>46266</v>
      </c>
      <c r="C2475" s="243">
        <f t="shared" si="954"/>
        <v>46295</v>
      </c>
      <c r="D2475" s="120">
        <f t="shared" si="955"/>
        <v>30</v>
      </c>
      <c r="E2475" s="120">
        <f t="shared" si="956"/>
        <v>9</v>
      </c>
      <c r="F2475" s="275">
        <f t="shared" si="957"/>
        <v>46281</v>
      </c>
      <c r="G2475" s="120">
        <f t="shared" si="958"/>
        <v>24320</v>
      </c>
      <c r="H2475" s="245">
        <f t="shared" si="959"/>
        <v>1</v>
      </c>
      <c r="I2475" s="121">
        <f t="shared" si="960"/>
        <v>1</v>
      </c>
      <c r="J2475" s="121">
        <f t="shared" si="961"/>
        <v>1</v>
      </c>
      <c r="K2475" s="120">
        <f t="shared" si="962"/>
        <v>0</v>
      </c>
      <c r="L2475" s="120">
        <f t="shared" si="963"/>
        <v>0</v>
      </c>
      <c r="M2475" s="246">
        <f t="shared" si="964"/>
        <v>0</v>
      </c>
      <c r="N2475" s="121">
        <f t="shared" si="965"/>
        <v>1</v>
      </c>
      <c r="O2475" s="246">
        <f t="shared" si="966"/>
        <v>0.98934354485776799</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87">
        <v>22</v>
      </c>
      <c r="B2476" s="242">
        <f t="shared" si="973"/>
        <v>46296</v>
      </c>
      <c r="C2476" s="243">
        <f t="shared" si="954"/>
        <v>46326</v>
      </c>
      <c r="D2476" s="120">
        <f t="shared" si="955"/>
        <v>31</v>
      </c>
      <c r="E2476" s="120">
        <f t="shared" si="956"/>
        <v>10</v>
      </c>
      <c r="F2476" s="275">
        <f t="shared" si="957"/>
        <v>46311.5</v>
      </c>
      <c r="G2476" s="120">
        <f t="shared" si="958"/>
        <v>24321</v>
      </c>
      <c r="H2476" s="245">
        <f t="shared" si="959"/>
        <v>1</v>
      </c>
      <c r="I2476" s="121">
        <f t="shared" si="960"/>
        <v>1</v>
      </c>
      <c r="J2476" s="121">
        <f t="shared" si="961"/>
        <v>1</v>
      </c>
      <c r="K2476" s="120">
        <f t="shared" si="962"/>
        <v>0</v>
      </c>
      <c r="L2476" s="120">
        <f t="shared" si="963"/>
        <v>0</v>
      </c>
      <c r="M2476" s="246">
        <f t="shared" si="964"/>
        <v>0</v>
      </c>
      <c r="N2476" s="121">
        <f t="shared" si="965"/>
        <v>1</v>
      </c>
      <c r="O2476" s="246">
        <f t="shared" si="966"/>
        <v>0.99067833698030638</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87">
        <v>23</v>
      </c>
      <c r="B2477" s="242">
        <f t="shared" si="973"/>
        <v>46327</v>
      </c>
      <c r="C2477" s="243">
        <f t="shared" si="954"/>
        <v>46356</v>
      </c>
      <c r="D2477" s="120">
        <f t="shared" si="955"/>
        <v>30</v>
      </c>
      <c r="E2477" s="120">
        <f t="shared" si="956"/>
        <v>11</v>
      </c>
      <c r="F2477" s="275">
        <f t="shared" si="957"/>
        <v>46342</v>
      </c>
      <c r="G2477" s="120">
        <f t="shared" si="958"/>
        <v>24322</v>
      </c>
      <c r="H2477" s="245">
        <f t="shared" si="959"/>
        <v>1</v>
      </c>
      <c r="I2477" s="121">
        <f t="shared" si="960"/>
        <v>1</v>
      </c>
      <c r="J2477" s="121">
        <f t="shared" si="961"/>
        <v>1</v>
      </c>
      <c r="K2477" s="120">
        <f t="shared" si="962"/>
        <v>0</v>
      </c>
      <c r="L2477" s="120">
        <f t="shared" si="963"/>
        <v>0</v>
      </c>
      <c r="M2477" s="246">
        <f t="shared" si="964"/>
        <v>0</v>
      </c>
      <c r="N2477" s="121">
        <f t="shared" si="965"/>
        <v>1</v>
      </c>
      <c r="O2477" s="246">
        <f t="shared" si="966"/>
        <v>0.99201312910284467</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87">
        <v>24</v>
      </c>
      <c r="B2478" s="242">
        <f t="shared" si="973"/>
        <v>46357</v>
      </c>
      <c r="C2478" s="243">
        <f t="shared" si="954"/>
        <v>46387</v>
      </c>
      <c r="D2478" s="120">
        <f t="shared" si="955"/>
        <v>31</v>
      </c>
      <c r="E2478" s="120">
        <f t="shared" si="956"/>
        <v>12</v>
      </c>
      <c r="F2478" s="275">
        <f t="shared" si="957"/>
        <v>46372.5</v>
      </c>
      <c r="G2478" s="120">
        <f t="shared" si="958"/>
        <v>24323</v>
      </c>
      <c r="H2478" s="245">
        <f t="shared" si="959"/>
        <v>1</v>
      </c>
      <c r="I2478" s="121">
        <f t="shared" si="960"/>
        <v>1</v>
      </c>
      <c r="J2478" s="121">
        <f t="shared" si="961"/>
        <v>1</v>
      </c>
      <c r="K2478" s="120">
        <f t="shared" si="962"/>
        <v>0</v>
      </c>
      <c r="L2478" s="120">
        <f t="shared" si="963"/>
        <v>0</v>
      </c>
      <c r="M2478" s="246">
        <f t="shared" si="964"/>
        <v>0</v>
      </c>
      <c r="N2478" s="121">
        <f t="shared" si="965"/>
        <v>1</v>
      </c>
      <c r="O2478" s="246">
        <f t="shared" si="966"/>
        <v>0.99334792122538296</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87">
        <v>25</v>
      </c>
      <c r="B2479" s="242">
        <f t="shared" si="973"/>
        <v>46388</v>
      </c>
      <c r="C2479" s="243">
        <f t="shared" si="954"/>
        <v>46418</v>
      </c>
      <c r="D2479" s="120">
        <f t="shared" si="955"/>
        <v>31</v>
      </c>
      <c r="E2479" s="120">
        <f t="shared" si="956"/>
        <v>1</v>
      </c>
      <c r="F2479" s="275">
        <f t="shared" si="957"/>
        <v>46403.5</v>
      </c>
      <c r="G2479" s="120">
        <f t="shared" si="958"/>
        <v>24324</v>
      </c>
      <c r="H2479" s="245">
        <f t="shared" si="959"/>
        <v>1</v>
      </c>
      <c r="I2479" s="121">
        <f t="shared" si="960"/>
        <v>1</v>
      </c>
      <c r="J2479" s="121">
        <f t="shared" si="961"/>
        <v>1</v>
      </c>
      <c r="K2479" s="120">
        <f t="shared" si="962"/>
        <v>0</v>
      </c>
      <c r="L2479" s="120">
        <f t="shared" si="963"/>
        <v>0</v>
      </c>
      <c r="M2479" s="246">
        <f t="shared" si="964"/>
        <v>0</v>
      </c>
      <c r="N2479" s="121">
        <f t="shared" si="965"/>
        <v>1</v>
      </c>
      <c r="O2479" s="246">
        <f t="shared" si="966"/>
        <v>0.99470459518599563</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87">
        <v>26</v>
      </c>
      <c r="B2480" s="242">
        <f t="shared" si="973"/>
        <v>46419</v>
      </c>
      <c r="C2480" s="243">
        <f t="shared" si="954"/>
        <v>46446</v>
      </c>
      <c r="D2480" s="120">
        <f t="shared" si="955"/>
        <v>28</v>
      </c>
      <c r="E2480" s="120">
        <f t="shared" si="956"/>
        <v>2</v>
      </c>
      <c r="F2480" s="275">
        <f t="shared" si="957"/>
        <v>46433</v>
      </c>
      <c r="G2480" s="120">
        <f t="shared" si="958"/>
        <v>24325</v>
      </c>
      <c r="H2480" s="245">
        <f t="shared" si="959"/>
        <v>1</v>
      </c>
      <c r="I2480" s="121">
        <f t="shared" si="960"/>
        <v>1</v>
      </c>
      <c r="J2480" s="121">
        <f t="shared" si="961"/>
        <v>1</v>
      </c>
      <c r="K2480" s="120">
        <f t="shared" si="962"/>
        <v>0</v>
      </c>
      <c r="L2480" s="120">
        <f t="shared" si="963"/>
        <v>0</v>
      </c>
      <c r="M2480" s="246">
        <f t="shared" si="964"/>
        <v>0</v>
      </c>
      <c r="N2480" s="121">
        <f t="shared" si="965"/>
        <v>1</v>
      </c>
      <c r="O2480" s="246">
        <f t="shared" si="966"/>
        <v>0.99599562363238514</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87">
        <v>27</v>
      </c>
      <c r="B2481" s="242">
        <f t="shared" si="973"/>
        <v>46447</v>
      </c>
      <c r="C2481" s="243">
        <f t="shared" si="954"/>
        <v>46477</v>
      </c>
      <c r="D2481" s="120">
        <f t="shared" si="955"/>
        <v>31</v>
      </c>
      <c r="E2481" s="120">
        <f t="shared" si="956"/>
        <v>3</v>
      </c>
      <c r="F2481" s="275">
        <f t="shared" si="957"/>
        <v>46462.5</v>
      </c>
      <c r="G2481" s="120">
        <f t="shared" si="958"/>
        <v>24326</v>
      </c>
      <c r="H2481" s="245">
        <f t="shared" si="959"/>
        <v>1</v>
      </c>
      <c r="I2481" s="121">
        <f t="shared" si="960"/>
        <v>1</v>
      </c>
      <c r="J2481" s="121">
        <f t="shared" si="961"/>
        <v>1</v>
      </c>
      <c r="K2481" s="120">
        <f t="shared" si="962"/>
        <v>0</v>
      </c>
      <c r="L2481" s="120">
        <f t="shared" si="963"/>
        <v>0</v>
      </c>
      <c r="M2481" s="246">
        <f t="shared" si="964"/>
        <v>0</v>
      </c>
      <c r="N2481" s="121">
        <f t="shared" si="965"/>
        <v>1</v>
      </c>
      <c r="O2481" s="246">
        <f t="shared" si="966"/>
        <v>0.99728665207877465</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87">
        <v>28</v>
      </c>
      <c r="B2482" s="242">
        <f t="shared" si="973"/>
        <v>46478</v>
      </c>
      <c r="C2482" s="243">
        <f t="shared" si="954"/>
        <v>46507</v>
      </c>
      <c r="D2482" s="120">
        <f t="shared" si="955"/>
        <v>30</v>
      </c>
      <c r="E2482" s="120">
        <f t="shared" si="956"/>
        <v>4</v>
      </c>
      <c r="F2482" s="275">
        <f t="shared" si="957"/>
        <v>46493</v>
      </c>
      <c r="G2482" s="120">
        <f t="shared" si="958"/>
        <v>24327</v>
      </c>
      <c r="H2482" s="245">
        <f t="shared" si="959"/>
        <v>1</v>
      </c>
      <c r="I2482" s="121">
        <f t="shared" si="960"/>
        <v>1</v>
      </c>
      <c r="J2482" s="121">
        <f t="shared" si="961"/>
        <v>1</v>
      </c>
      <c r="K2482" s="120">
        <f t="shared" si="962"/>
        <v>0</v>
      </c>
      <c r="L2482" s="120">
        <f t="shared" si="963"/>
        <v>0</v>
      </c>
      <c r="M2482" s="246">
        <f t="shared" si="964"/>
        <v>0</v>
      </c>
      <c r="N2482" s="121">
        <f t="shared" si="965"/>
        <v>1</v>
      </c>
      <c r="O2482" s="246">
        <f t="shared" si="966"/>
        <v>0.99862144420131294</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87">
        <v>29</v>
      </c>
      <c r="B2483" s="242">
        <f t="shared" si="973"/>
        <v>46508</v>
      </c>
      <c r="C2483" s="243">
        <f t="shared" si="954"/>
        <v>46538</v>
      </c>
      <c r="D2483" s="120">
        <f t="shared" si="955"/>
        <v>31</v>
      </c>
      <c r="E2483" s="120">
        <f t="shared" si="956"/>
        <v>5</v>
      </c>
      <c r="F2483" s="275">
        <f t="shared" si="957"/>
        <v>46523.5</v>
      </c>
      <c r="G2483" s="120">
        <f t="shared" si="958"/>
        <v>24328</v>
      </c>
      <c r="H2483" s="245">
        <f t="shared" si="959"/>
        <v>1</v>
      </c>
      <c r="I2483" s="121">
        <f t="shared" si="960"/>
        <v>1</v>
      </c>
      <c r="J2483" s="121">
        <f t="shared" si="961"/>
        <v>1</v>
      </c>
      <c r="K2483" s="120">
        <f t="shared" si="962"/>
        <v>0</v>
      </c>
      <c r="L2483" s="120">
        <f t="shared" si="963"/>
        <v>0</v>
      </c>
      <c r="M2483" s="246">
        <f t="shared" si="964"/>
        <v>0</v>
      </c>
      <c r="N2483" s="121">
        <f t="shared" si="965"/>
        <v>1</v>
      </c>
      <c r="O2483" s="246">
        <f t="shared" si="966"/>
        <v>0.99995623632385122</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87">
        <v>30</v>
      </c>
      <c r="B2484" s="242">
        <f t="shared" si="973"/>
        <v>46539</v>
      </c>
      <c r="C2484" s="243">
        <f t="shared" si="954"/>
        <v>46568</v>
      </c>
      <c r="D2484" s="120">
        <f t="shared" si="955"/>
        <v>30</v>
      </c>
      <c r="E2484" s="120">
        <f t="shared" si="956"/>
        <v>6</v>
      </c>
      <c r="F2484" s="275">
        <f t="shared" si="957"/>
        <v>46554</v>
      </c>
      <c r="G2484" s="120">
        <f t="shared" si="958"/>
        <v>24329</v>
      </c>
      <c r="H2484" s="245">
        <f t="shared" si="959"/>
        <v>1</v>
      </c>
      <c r="I2484" s="121">
        <f t="shared" si="960"/>
        <v>1</v>
      </c>
      <c r="J2484" s="121">
        <f t="shared" si="961"/>
        <v>1</v>
      </c>
      <c r="K2484" s="120">
        <f t="shared" si="962"/>
        <v>0</v>
      </c>
      <c r="L2484" s="120">
        <f t="shared" si="963"/>
        <v>0</v>
      </c>
      <c r="M2484" s="246">
        <f t="shared" si="964"/>
        <v>0</v>
      </c>
      <c r="N2484" s="121">
        <f t="shared" si="965"/>
        <v>1</v>
      </c>
      <c r="O2484" s="246">
        <f t="shared" si="966"/>
        <v>1.0012910284463894</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87">
        <v>31</v>
      </c>
      <c r="B2485" s="242">
        <f t="shared" si="973"/>
        <v>46569</v>
      </c>
      <c r="C2485" s="243">
        <f t="shared" si="954"/>
        <v>46599</v>
      </c>
      <c r="D2485" s="120">
        <f t="shared" si="955"/>
        <v>31</v>
      </c>
      <c r="E2485" s="120">
        <f t="shared" si="956"/>
        <v>7</v>
      </c>
      <c r="F2485" s="275">
        <f t="shared" si="957"/>
        <v>46584.5</v>
      </c>
      <c r="G2485" s="120">
        <f t="shared" si="958"/>
        <v>24330</v>
      </c>
      <c r="H2485" s="245">
        <f t="shared" si="959"/>
        <v>1</v>
      </c>
      <c r="I2485" s="121">
        <f t="shared" si="960"/>
        <v>1</v>
      </c>
      <c r="J2485" s="121">
        <f t="shared" si="961"/>
        <v>1</v>
      </c>
      <c r="K2485" s="120">
        <f t="shared" si="962"/>
        <v>0</v>
      </c>
      <c r="L2485" s="120">
        <f t="shared" si="963"/>
        <v>0</v>
      </c>
      <c r="M2485" s="246">
        <f t="shared" si="964"/>
        <v>0</v>
      </c>
      <c r="N2485" s="121">
        <f t="shared" si="965"/>
        <v>1</v>
      </c>
      <c r="O2485" s="246">
        <f t="shared" si="966"/>
        <v>1.0026258205689278</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87">
        <v>32</v>
      </c>
      <c r="B2486" s="242">
        <f t="shared" si="973"/>
        <v>46600</v>
      </c>
      <c r="C2486" s="243">
        <f t="shared" si="954"/>
        <v>46630</v>
      </c>
      <c r="D2486" s="120">
        <f t="shared" si="955"/>
        <v>31</v>
      </c>
      <c r="E2486" s="120">
        <f t="shared" si="956"/>
        <v>8</v>
      </c>
      <c r="F2486" s="275">
        <f t="shared" si="957"/>
        <v>46615.5</v>
      </c>
      <c r="G2486" s="120">
        <f t="shared" si="958"/>
        <v>24331</v>
      </c>
      <c r="H2486" s="245">
        <f t="shared" si="959"/>
        <v>1</v>
      </c>
      <c r="I2486" s="121">
        <f t="shared" si="960"/>
        <v>1</v>
      </c>
      <c r="J2486" s="121">
        <f t="shared" si="961"/>
        <v>1</v>
      </c>
      <c r="K2486" s="120">
        <f t="shared" si="962"/>
        <v>0</v>
      </c>
      <c r="L2486" s="120">
        <f t="shared" si="963"/>
        <v>0</v>
      </c>
      <c r="M2486" s="246">
        <f t="shared" si="964"/>
        <v>0</v>
      </c>
      <c r="N2486" s="121">
        <f t="shared" si="965"/>
        <v>1</v>
      </c>
      <c r="O2486" s="246">
        <f t="shared" si="966"/>
        <v>1.0039824945295406</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87">
        <v>33</v>
      </c>
      <c r="B2487" s="242">
        <f t="shared" si="973"/>
        <v>46631</v>
      </c>
      <c r="C2487" s="243">
        <f t="shared" si="954"/>
        <v>46660</v>
      </c>
      <c r="D2487" s="120">
        <f t="shared" si="955"/>
        <v>30</v>
      </c>
      <c r="E2487" s="120">
        <f t="shared" si="956"/>
        <v>9</v>
      </c>
      <c r="F2487" s="275">
        <f t="shared" si="957"/>
        <v>46646</v>
      </c>
      <c r="G2487" s="120">
        <f t="shared" si="958"/>
        <v>24332</v>
      </c>
      <c r="H2487" s="245">
        <f t="shared" si="959"/>
        <v>1</v>
      </c>
      <c r="I2487" s="121">
        <f t="shared" si="960"/>
        <v>1</v>
      </c>
      <c r="J2487" s="121">
        <f t="shared" si="961"/>
        <v>1</v>
      </c>
      <c r="K2487" s="120">
        <f t="shared" si="962"/>
        <v>0</v>
      </c>
      <c r="L2487" s="120">
        <f t="shared" si="963"/>
        <v>0</v>
      </c>
      <c r="M2487" s="246">
        <f t="shared" si="964"/>
        <v>0</v>
      </c>
      <c r="N2487" s="121">
        <f t="shared" si="965"/>
        <v>1</v>
      </c>
      <c r="O2487" s="246">
        <f t="shared" si="966"/>
        <v>1.0053172866520788</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87">
        <v>34</v>
      </c>
      <c r="B2488" s="242">
        <f t="shared" si="973"/>
        <v>46661</v>
      </c>
      <c r="C2488" s="243">
        <f t="shared" si="954"/>
        <v>46691</v>
      </c>
      <c r="D2488" s="120">
        <f t="shared" si="955"/>
        <v>31</v>
      </c>
      <c r="E2488" s="120">
        <f t="shared" si="956"/>
        <v>10</v>
      </c>
      <c r="F2488" s="275">
        <f t="shared" si="957"/>
        <v>46676.5</v>
      </c>
      <c r="G2488" s="120">
        <f t="shared" si="958"/>
        <v>24333</v>
      </c>
      <c r="H2488" s="245">
        <f t="shared" si="959"/>
        <v>1</v>
      </c>
      <c r="I2488" s="121">
        <f t="shared" si="960"/>
        <v>1</v>
      </c>
      <c r="J2488" s="121">
        <f t="shared" si="961"/>
        <v>1</v>
      </c>
      <c r="K2488" s="120">
        <f t="shared" si="962"/>
        <v>0</v>
      </c>
      <c r="L2488" s="120">
        <f t="shared" si="963"/>
        <v>0</v>
      </c>
      <c r="M2488" s="246">
        <f t="shared" si="964"/>
        <v>0</v>
      </c>
      <c r="N2488" s="121">
        <f t="shared" si="965"/>
        <v>1</v>
      </c>
      <c r="O2488" s="246">
        <f t="shared" si="966"/>
        <v>1.0066520787746172</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87">
        <v>35</v>
      </c>
      <c r="B2489" s="242">
        <f t="shared" si="973"/>
        <v>46692</v>
      </c>
      <c r="C2489" s="243">
        <f t="shared" si="954"/>
        <v>46721</v>
      </c>
      <c r="D2489" s="120">
        <f t="shared" si="955"/>
        <v>30</v>
      </c>
      <c r="E2489" s="120">
        <f t="shared" si="956"/>
        <v>11</v>
      </c>
      <c r="F2489" s="275">
        <f t="shared" si="957"/>
        <v>46707</v>
      </c>
      <c r="G2489" s="120">
        <f t="shared" si="958"/>
        <v>24334</v>
      </c>
      <c r="H2489" s="245">
        <f t="shared" si="959"/>
        <v>1</v>
      </c>
      <c r="I2489" s="121">
        <f t="shared" si="960"/>
        <v>1</v>
      </c>
      <c r="J2489" s="121">
        <f t="shared" si="961"/>
        <v>1</v>
      </c>
      <c r="K2489" s="120">
        <f t="shared" si="962"/>
        <v>0</v>
      </c>
      <c r="L2489" s="120">
        <f t="shared" si="963"/>
        <v>0</v>
      </c>
      <c r="M2489" s="246">
        <f t="shared" si="964"/>
        <v>0</v>
      </c>
      <c r="N2489" s="121">
        <f t="shared" si="965"/>
        <v>1</v>
      </c>
      <c r="O2489" s="246">
        <f t="shared" si="966"/>
        <v>1.0079868708971553</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87">
        <v>36</v>
      </c>
      <c r="B2490" s="242">
        <f t="shared" si="973"/>
        <v>46722</v>
      </c>
      <c r="C2490" s="243">
        <f t="shared" si="954"/>
        <v>46752</v>
      </c>
      <c r="D2490" s="120">
        <f t="shared" si="955"/>
        <v>31</v>
      </c>
      <c r="E2490" s="120">
        <f t="shared" si="956"/>
        <v>12</v>
      </c>
      <c r="F2490" s="275">
        <f t="shared" si="957"/>
        <v>46737.5</v>
      </c>
      <c r="G2490" s="120">
        <f t="shared" si="958"/>
        <v>24335</v>
      </c>
      <c r="H2490" s="245">
        <f t="shared" si="959"/>
        <v>1</v>
      </c>
      <c r="I2490" s="121">
        <f t="shared" si="960"/>
        <v>1</v>
      </c>
      <c r="J2490" s="121">
        <f t="shared" si="961"/>
        <v>1</v>
      </c>
      <c r="K2490" s="120">
        <f t="shared" si="962"/>
        <v>0</v>
      </c>
      <c r="L2490" s="120">
        <f t="shared" si="963"/>
        <v>0</v>
      </c>
      <c r="M2490" s="246">
        <f t="shared" si="964"/>
        <v>0</v>
      </c>
      <c r="N2490" s="121">
        <f t="shared" si="965"/>
        <v>1</v>
      </c>
      <c r="O2490" s="246">
        <f t="shared" si="966"/>
        <v>1.0093216630196937</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87">
        <v>37</v>
      </c>
      <c r="B2491" s="242">
        <f t="shared" si="973"/>
        <v>46753</v>
      </c>
      <c r="C2491" s="243">
        <f t="shared" si="954"/>
        <v>46783</v>
      </c>
      <c r="D2491" s="120">
        <f t="shared" si="955"/>
        <v>31</v>
      </c>
      <c r="E2491" s="120">
        <f t="shared" si="956"/>
        <v>1</v>
      </c>
      <c r="F2491" s="275">
        <f t="shared" si="957"/>
        <v>46768.5</v>
      </c>
      <c r="G2491" s="120">
        <f t="shared" si="958"/>
        <v>24336</v>
      </c>
      <c r="H2491" s="245">
        <f t="shared" si="959"/>
        <v>1</v>
      </c>
      <c r="I2491" s="121">
        <f t="shared" si="960"/>
        <v>1</v>
      </c>
      <c r="J2491" s="121">
        <f t="shared" si="961"/>
        <v>1</v>
      </c>
      <c r="K2491" s="120">
        <f t="shared" si="962"/>
        <v>0</v>
      </c>
      <c r="L2491" s="120">
        <f t="shared" si="963"/>
        <v>0</v>
      </c>
      <c r="M2491" s="246">
        <f t="shared" si="964"/>
        <v>0</v>
      </c>
      <c r="N2491" s="121">
        <f t="shared" si="965"/>
        <v>1</v>
      </c>
      <c r="O2491" s="246">
        <f t="shared" si="966"/>
        <v>1.01</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87">
        <v>38</v>
      </c>
      <c r="B2492" s="242">
        <f t="shared" si="973"/>
        <v>46784</v>
      </c>
      <c r="C2492" s="243">
        <f t="shared" si="954"/>
        <v>46812</v>
      </c>
      <c r="D2492" s="120">
        <f t="shared" si="955"/>
        <v>29</v>
      </c>
      <c r="E2492" s="120">
        <f t="shared" si="956"/>
        <v>2</v>
      </c>
      <c r="F2492" s="275">
        <f t="shared" si="957"/>
        <v>46798.5</v>
      </c>
      <c r="G2492" s="120">
        <f t="shared" si="958"/>
        <v>24337</v>
      </c>
      <c r="H2492" s="245">
        <f t="shared" si="959"/>
        <v>1</v>
      </c>
      <c r="I2492" s="121">
        <f t="shared" si="960"/>
        <v>1</v>
      </c>
      <c r="J2492" s="121">
        <f t="shared" si="961"/>
        <v>1</v>
      </c>
      <c r="K2492" s="120">
        <f t="shared" si="962"/>
        <v>0</v>
      </c>
      <c r="L2492" s="120">
        <f t="shared" si="963"/>
        <v>0</v>
      </c>
      <c r="M2492" s="246">
        <f t="shared" si="964"/>
        <v>0</v>
      </c>
      <c r="N2492" s="121">
        <f t="shared" si="965"/>
        <v>1</v>
      </c>
      <c r="O2492" s="246">
        <f t="shared" si="966"/>
        <v>1.01</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87">
        <v>39</v>
      </c>
      <c r="B2493" s="242">
        <f t="shared" si="973"/>
        <v>46813</v>
      </c>
      <c r="C2493" s="243">
        <f t="shared" si="954"/>
        <v>46843</v>
      </c>
      <c r="D2493" s="120">
        <f t="shared" si="955"/>
        <v>31</v>
      </c>
      <c r="E2493" s="120">
        <f t="shared" si="956"/>
        <v>3</v>
      </c>
      <c r="F2493" s="275">
        <f t="shared" si="957"/>
        <v>46828.5</v>
      </c>
      <c r="G2493" s="120">
        <f t="shared" si="958"/>
        <v>24338</v>
      </c>
      <c r="H2493" s="245">
        <f t="shared" si="959"/>
        <v>1</v>
      </c>
      <c r="I2493" s="121">
        <f t="shared" si="960"/>
        <v>1</v>
      </c>
      <c r="J2493" s="121">
        <f t="shared" si="961"/>
        <v>1</v>
      </c>
      <c r="K2493" s="120">
        <f t="shared" si="962"/>
        <v>0</v>
      </c>
      <c r="L2493" s="120">
        <f t="shared" si="963"/>
        <v>0</v>
      </c>
      <c r="M2493" s="246">
        <f t="shared" si="964"/>
        <v>0</v>
      </c>
      <c r="N2493" s="121">
        <f t="shared" si="965"/>
        <v>1</v>
      </c>
      <c r="O2493" s="246">
        <f t="shared" si="966"/>
        <v>1.01</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87">
        <v>40</v>
      </c>
      <c r="B2494" s="242">
        <f t="shared" si="973"/>
        <v>46844</v>
      </c>
      <c r="C2494" s="243">
        <f t="shared" si="954"/>
        <v>46873</v>
      </c>
      <c r="D2494" s="120">
        <f t="shared" si="955"/>
        <v>30</v>
      </c>
      <c r="E2494" s="120">
        <f t="shared" si="956"/>
        <v>4</v>
      </c>
      <c r="F2494" s="275">
        <f t="shared" si="957"/>
        <v>46859</v>
      </c>
      <c r="G2494" s="120">
        <f t="shared" si="958"/>
        <v>24339</v>
      </c>
      <c r="H2494" s="245">
        <f t="shared" si="959"/>
        <v>1</v>
      </c>
      <c r="I2494" s="121">
        <f t="shared" si="960"/>
        <v>1</v>
      </c>
      <c r="J2494" s="121">
        <f t="shared" si="961"/>
        <v>1</v>
      </c>
      <c r="K2494" s="120">
        <f t="shared" si="962"/>
        <v>0</v>
      </c>
      <c r="L2494" s="120">
        <f t="shared" si="963"/>
        <v>0</v>
      </c>
      <c r="M2494" s="246">
        <f t="shared" si="964"/>
        <v>0</v>
      </c>
      <c r="N2494" s="121">
        <f t="shared" si="965"/>
        <v>1</v>
      </c>
      <c r="O2494" s="246">
        <f t="shared" si="966"/>
        <v>1.01</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87">
        <v>41</v>
      </c>
      <c r="B2495" s="242">
        <f t="shared" si="973"/>
        <v>46874</v>
      </c>
      <c r="C2495" s="243">
        <f t="shared" si="954"/>
        <v>46904</v>
      </c>
      <c r="D2495" s="120">
        <f t="shared" si="955"/>
        <v>31</v>
      </c>
      <c r="E2495" s="120">
        <f t="shared" si="956"/>
        <v>5</v>
      </c>
      <c r="F2495" s="275">
        <f t="shared" si="957"/>
        <v>46889.5</v>
      </c>
      <c r="G2495" s="120">
        <f t="shared" si="958"/>
        <v>24340</v>
      </c>
      <c r="H2495" s="245">
        <f t="shared" si="959"/>
        <v>1</v>
      </c>
      <c r="I2495" s="121">
        <f t="shared" si="960"/>
        <v>1</v>
      </c>
      <c r="J2495" s="121">
        <f t="shared" si="961"/>
        <v>1</v>
      </c>
      <c r="K2495" s="120">
        <f t="shared" si="962"/>
        <v>0</v>
      </c>
      <c r="L2495" s="120">
        <f t="shared" si="963"/>
        <v>0</v>
      </c>
      <c r="M2495" s="246">
        <f t="shared" si="964"/>
        <v>0</v>
      </c>
      <c r="N2495" s="121">
        <f t="shared" si="965"/>
        <v>1</v>
      </c>
      <c r="O2495" s="246">
        <f t="shared" si="966"/>
        <v>1.01</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87">
        <v>42</v>
      </c>
      <c r="B2496" s="242">
        <f t="shared" si="973"/>
        <v>46905</v>
      </c>
      <c r="C2496" s="243">
        <f t="shared" si="954"/>
        <v>46934</v>
      </c>
      <c r="D2496" s="120">
        <f t="shared" si="955"/>
        <v>30</v>
      </c>
      <c r="E2496" s="120">
        <f t="shared" si="956"/>
        <v>6</v>
      </c>
      <c r="F2496" s="275">
        <f t="shared" si="957"/>
        <v>46920</v>
      </c>
      <c r="G2496" s="120">
        <f t="shared" si="958"/>
        <v>24341</v>
      </c>
      <c r="H2496" s="245">
        <f t="shared" si="959"/>
        <v>1</v>
      </c>
      <c r="I2496" s="121">
        <f t="shared" si="960"/>
        <v>1</v>
      </c>
      <c r="J2496" s="121">
        <f t="shared" si="961"/>
        <v>1</v>
      </c>
      <c r="K2496" s="120">
        <f t="shared" si="962"/>
        <v>0</v>
      </c>
      <c r="L2496" s="120">
        <f t="shared" si="963"/>
        <v>0</v>
      </c>
      <c r="M2496" s="246">
        <f t="shared" si="964"/>
        <v>0</v>
      </c>
      <c r="N2496" s="121">
        <f t="shared" si="965"/>
        <v>1</v>
      </c>
      <c r="O2496" s="246">
        <f t="shared" si="966"/>
        <v>1.01</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87">
        <v>43</v>
      </c>
      <c r="B2497" s="242">
        <f t="shared" si="973"/>
        <v>46935</v>
      </c>
      <c r="C2497" s="243">
        <f t="shared" si="954"/>
        <v>46965</v>
      </c>
      <c r="D2497" s="120">
        <f t="shared" si="955"/>
        <v>31</v>
      </c>
      <c r="E2497" s="120">
        <f t="shared" si="956"/>
        <v>7</v>
      </c>
      <c r="F2497" s="275">
        <f t="shared" si="957"/>
        <v>46950.5</v>
      </c>
      <c r="G2497" s="120">
        <f t="shared" si="958"/>
        <v>24342</v>
      </c>
      <c r="H2497" s="245">
        <f t="shared" si="959"/>
        <v>1</v>
      </c>
      <c r="I2497" s="121">
        <f t="shared" si="960"/>
        <v>1</v>
      </c>
      <c r="J2497" s="121">
        <f t="shared" si="961"/>
        <v>1</v>
      </c>
      <c r="K2497" s="120">
        <f t="shared" si="962"/>
        <v>0</v>
      </c>
      <c r="L2497" s="120">
        <f t="shared" si="963"/>
        <v>0</v>
      </c>
      <c r="M2497" s="246">
        <f t="shared" si="964"/>
        <v>0</v>
      </c>
      <c r="N2497" s="121">
        <f t="shared" si="965"/>
        <v>1</v>
      </c>
      <c r="O2497" s="246">
        <f t="shared" si="966"/>
        <v>1.01</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87">
        <v>44</v>
      </c>
      <c r="B2498" s="242">
        <f t="shared" si="973"/>
        <v>46966</v>
      </c>
      <c r="C2498" s="243">
        <f t="shared" si="954"/>
        <v>46996</v>
      </c>
      <c r="D2498" s="120">
        <f t="shared" si="955"/>
        <v>31</v>
      </c>
      <c r="E2498" s="120">
        <f t="shared" si="956"/>
        <v>8</v>
      </c>
      <c r="F2498" s="275">
        <f t="shared" si="957"/>
        <v>46981.5</v>
      </c>
      <c r="G2498" s="120">
        <f t="shared" si="958"/>
        <v>24343</v>
      </c>
      <c r="H2498" s="245">
        <f t="shared" si="959"/>
        <v>1</v>
      </c>
      <c r="I2498" s="121">
        <f t="shared" si="960"/>
        <v>1</v>
      </c>
      <c r="J2498" s="121">
        <f t="shared" si="961"/>
        <v>1</v>
      </c>
      <c r="K2498" s="120">
        <f t="shared" si="962"/>
        <v>0</v>
      </c>
      <c r="L2498" s="120">
        <f t="shared" si="963"/>
        <v>0</v>
      </c>
      <c r="M2498" s="246">
        <f t="shared" si="964"/>
        <v>0</v>
      </c>
      <c r="N2498" s="121">
        <f t="shared" si="965"/>
        <v>1</v>
      </c>
      <c r="O2498" s="246">
        <f t="shared" si="966"/>
        <v>1.01</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87">
        <v>45</v>
      </c>
      <c r="B2499" s="242">
        <f t="shared" si="973"/>
        <v>46997</v>
      </c>
      <c r="C2499" s="243">
        <f t="shared" si="954"/>
        <v>47026</v>
      </c>
      <c r="D2499" s="120">
        <f t="shared" si="955"/>
        <v>30</v>
      </c>
      <c r="E2499" s="120">
        <f t="shared" si="956"/>
        <v>9</v>
      </c>
      <c r="F2499" s="275">
        <f t="shared" si="957"/>
        <v>47012</v>
      </c>
      <c r="G2499" s="120">
        <f t="shared" si="958"/>
        <v>24344</v>
      </c>
      <c r="H2499" s="245">
        <f t="shared" si="959"/>
        <v>1</v>
      </c>
      <c r="I2499" s="121">
        <f t="shared" si="960"/>
        <v>1</v>
      </c>
      <c r="J2499" s="121">
        <f t="shared" si="961"/>
        <v>1</v>
      </c>
      <c r="K2499" s="120">
        <f t="shared" si="962"/>
        <v>0</v>
      </c>
      <c r="L2499" s="120">
        <f t="shared" si="963"/>
        <v>0</v>
      </c>
      <c r="M2499" s="246">
        <f t="shared" si="964"/>
        <v>0</v>
      </c>
      <c r="N2499" s="121">
        <f t="shared" si="965"/>
        <v>1</v>
      </c>
      <c r="O2499" s="246">
        <f t="shared" si="966"/>
        <v>1.01</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87">
        <v>46</v>
      </c>
      <c r="B2500" s="242">
        <f t="shared" si="973"/>
        <v>47027</v>
      </c>
      <c r="C2500" s="243">
        <f t="shared" si="954"/>
        <v>47057</v>
      </c>
      <c r="D2500" s="120">
        <f t="shared" si="955"/>
        <v>31</v>
      </c>
      <c r="E2500" s="120">
        <f t="shared" si="956"/>
        <v>10</v>
      </c>
      <c r="F2500" s="275">
        <f t="shared" si="957"/>
        <v>47042.5</v>
      </c>
      <c r="G2500" s="120">
        <f t="shared" si="958"/>
        <v>24345</v>
      </c>
      <c r="H2500" s="245">
        <f t="shared" si="959"/>
        <v>1</v>
      </c>
      <c r="I2500" s="121">
        <f t="shared" si="960"/>
        <v>1</v>
      </c>
      <c r="J2500" s="121">
        <f t="shared" si="961"/>
        <v>1</v>
      </c>
      <c r="K2500" s="120">
        <f t="shared" si="962"/>
        <v>0</v>
      </c>
      <c r="L2500" s="120">
        <f t="shared" si="963"/>
        <v>0</v>
      </c>
      <c r="M2500" s="246">
        <f t="shared" si="964"/>
        <v>0</v>
      </c>
      <c r="N2500" s="121">
        <f t="shared" si="965"/>
        <v>1</v>
      </c>
      <c r="O2500" s="246">
        <f t="shared" si="966"/>
        <v>1.01</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87">
        <v>47</v>
      </c>
      <c r="B2501" s="242">
        <f t="shared" si="973"/>
        <v>47058</v>
      </c>
      <c r="C2501" s="243">
        <f t="shared" si="954"/>
        <v>47087</v>
      </c>
      <c r="D2501" s="120">
        <f t="shared" si="955"/>
        <v>30</v>
      </c>
      <c r="E2501" s="120">
        <f t="shared" si="956"/>
        <v>11</v>
      </c>
      <c r="F2501" s="275">
        <f t="shared" si="957"/>
        <v>47073</v>
      </c>
      <c r="G2501" s="120">
        <f t="shared" si="958"/>
        <v>24346</v>
      </c>
      <c r="H2501" s="245">
        <f t="shared" si="959"/>
        <v>1</v>
      </c>
      <c r="I2501" s="121">
        <f t="shared" si="960"/>
        <v>1</v>
      </c>
      <c r="J2501" s="121">
        <f t="shared" si="961"/>
        <v>1</v>
      </c>
      <c r="K2501" s="120">
        <f t="shared" si="962"/>
        <v>0</v>
      </c>
      <c r="L2501" s="120">
        <f t="shared" si="963"/>
        <v>0</v>
      </c>
      <c r="M2501" s="246">
        <f t="shared" si="964"/>
        <v>0</v>
      </c>
      <c r="N2501" s="121">
        <f t="shared" si="965"/>
        <v>1</v>
      </c>
      <c r="O2501" s="246">
        <f t="shared" si="966"/>
        <v>1.01</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87">
        <v>48</v>
      </c>
      <c r="B2502" s="242">
        <f t="shared" si="973"/>
        <v>47088</v>
      </c>
      <c r="C2502" s="243">
        <f t="shared" si="954"/>
        <v>47118</v>
      </c>
      <c r="D2502" s="120">
        <f t="shared" si="955"/>
        <v>31</v>
      </c>
      <c r="E2502" s="120">
        <f t="shared" si="956"/>
        <v>12</v>
      </c>
      <c r="F2502" s="275">
        <f t="shared" si="957"/>
        <v>47103.5</v>
      </c>
      <c r="G2502" s="120">
        <f t="shared" si="958"/>
        <v>24347</v>
      </c>
      <c r="H2502" s="245">
        <f t="shared" si="959"/>
        <v>1</v>
      </c>
      <c r="I2502" s="121">
        <f t="shared" si="960"/>
        <v>1</v>
      </c>
      <c r="J2502" s="121">
        <f t="shared" si="961"/>
        <v>1</v>
      </c>
      <c r="K2502" s="120">
        <f t="shared" si="962"/>
        <v>0</v>
      </c>
      <c r="L2502" s="120">
        <f t="shared" si="963"/>
        <v>0</v>
      </c>
      <c r="M2502" s="246">
        <f t="shared" si="964"/>
        <v>0</v>
      </c>
      <c r="N2502" s="121">
        <f t="shared" si="965"/>
        <v>1</v>
      </c>
      <c r="O2502" s="246">
        <f t="shared" si="966"/>
        <v>1.01</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1651</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0.99399161196207142</v>
      </c>
      <c r="G2503" s="224">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24">
        <f>IF(N(INDEX(lr_mind,46))=0,1,INDEX(lr_mind,46))</f>
        <v>1</v>
      </c>
      <c r="G2506" s="224">
        <f>IF(N(INDEX(lr_m0,46))=0,1,INDEX(lr_m0,46))</f>
        <v>0.99</v>
      </c>
      <c r="H2506" s="74">
        <f>IF(N(INDEX(lr_m0asof,46))=0,DATE(nr_PlanYear-1,10,1),INDEX(lr_m0asof,46))</f>
        <v>46295</v>
      </c>
      <c r="I2506" s="224">
        <f>IF(N(INDEX(lr_m1,46))=0,1,INDEX(lr_m1,46))</f>
        <v>0.99</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74">EOMONTH($B2509,0)</f>
        <v>45688</v>
      </c>
      <c r="D2509" s="120">
        <f t="shared" ref="D2509:D2556" si="975">$C2509-$B2509+1</f>
        <v>31</v>
      </c>
      <c r="E2509" s="120">
        <f t="shared" ref="E2509:E2556" si="976">MONTH($B2509)</f>
        <v>1</v>
      </c>
      <c r="F2509" s="275">
        <f t="shared" ref="F2509:F2556" si="977">($B2509+$C2509+1)/2</f>
        <v>45673.5</v>
      </c>
      <c r="G2509" s="120">
        <f t="shared" ref="G2509:G2556" si="978">YEAR($B2509)*12+MONTH($B2509)-1</f>
        <v>24300</v>
      </c>
      <c r="H2509" s="245">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46">
        <f t="shared" ref="M2509:M2556" si="984">IF($K2509=0,0,MIN(1,$L2509/$D2509))</f>
        <v>0</v>
      </c>
      <c r="N2509" s="121">
        <f t="shared" ref="N2509:N2556" si="985">IF($K2509=0,$J2509,(1-$M2509)*$I2509+$M2509*$J2509)</f>
        <v>1</v>
      </c>
      <c r="O2509" s="246">
        <f t="shared" ref="O2509:O2556" si="986">IF($F2509&lt;$B$2507,$E$2507+$I$2507*($F2509-$A$2507),IF($F2509&lt;$C$2507,$F$2507+$J$2507*($F2509-$B$2507),$G$2507+$K$2507*($F2509-$C$2507)))</f>
        <v>0.99</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87">
        <v>2</v>
      </c>
      <c r="B2510" s="242">
        <f t="shared" ref="B2510:B2556" si="993">EDATE($B2509,1)</f>
        <v>45689</v>
      </c>
      <c r="C2510" s="243">
        <f t="shared" si="974"/>
        <v>45716</v>
      </c>
      <c r="D2510" s="120">
        <f t="shared" si="975"/>
        <v>28</v>
      </c>
      <c r="E2510" s="120">
        <f t="shared" si="976"/>
        <v>2</v>
      </c>
      <c r="F2510" s="275">
        <f t="shared" si="977"/>
        <v>45703</v>
      </c>
      <c r="G2510" s="120">
        <f t="shared" si="978"/>
        <v>24301</v>
      </c>
      <c r="H2510" s="245">
        <f t="shared" si="979"/>
        <v>1</v>
      </c>
      <c r="I2510" s="121">
        <f t="shared" si="980"/>
        <v>1</v>
      </c>
      <c r="J2510" s="121">
        <f t="shared" si="981"/>
        <v>1</v>
      </c>
      <c r="K2510" s="120">
        <f t="shared" si="982"/>
        <v>0</v>
      </c>
      <c r="L2510" s="120">
        <f t="shared" si="983"/>
        <v>0</v>
      </c>
      <c r="M2510" s="246">
        <f t="shared" si="984"/>
        <v>0</v>
      </c>
      <c r="N2510" s="121">
        <f t="shared" si="985"/>
        <v>1</v>
      </c>
      <c r="O2510" s="246">
        <f t="shared" si="986"/>
        <v>0.99</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87">
        <v>3</v>
      </c>
      <c r="B2511" s="242">
        <f t="shared" si="993"/>
        <v>45717</v>
      </c>
      <c r="C2511" s="243">
        <f t="shared" si="974"/>
        <v>45747</v>
      </c>
      <c r="D2511" s="120">
        <f t="shared" si="975"/>
        <v>31</v>
      </c>
      <c r="E2511" s="120">
        <f t="shared" si="976"/>
        <v>3</v>
      </c>
      <c r="F2511" s="275">
        <f t="shared" si="977"/>
        <v>45732.5</v>
      </c>
      <c r="G2511" s="120">
        <f t="shared" si="978"/>
        <v>24302</v>
      </c>
      <c r="H2511" s="245">
        <f t="shared" si="979"/>
        <v>1</v>
      </c>
      <c r="I2511" s="121">
        <f t="shared" si="980"/>
        <v>1</v>
      </c>
      <c r="J2511" s="121">
        <f t="shared" si="981"/>
        <v>1</v>
      </c>
      <c r="K2511" s="120">
        <f t="shared" si="982"/>
        <v>0</v>
      </c>
      <c r="L2511" s="120">
        <f t="shared" si="983"/>
        <v>0</v>
      </c>
      <c r="M2511" s="246">
        <f t="shared" si="984"/>
        <v>0</v>
      </c>
      <c r="N2511" s="121">
        <f t="shared" si="985"/>
        <v>1</v>
      </c>
      <c r="O2511" s="246">
        <f t="shared" si="986"/>
        <v>0.99</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87">
        <v>4</v>
      </c>
      <c r="B2512" s="242">
        <f t="shared" si="993"/>
        <v>45748</v>
      </c>
      <c r="C2512" s="243">
        <f t="shared" si="974"/>
        <v>45777</v>
      </c>
      <c r="D2512" s="120">
        <f t="shared" si="975"/>
        <v>30</v>
      </c>
      <c r="E2512" s="120">
        <f t="shared" si="976"/>
        <v>4</v>
      </c>
      <c r="F2512" s="275">
        <f t="shared" si="977"/>
        <v>45763</v>
      </c>
      <c r="G2512" s="120">
        <f t="shared" si="978"/>
        <v>24303</v>
      </c>
      <c r="H2512" s="245">
        <f t="shared" si="979"/>
        <v>1</v>
      </c>
      <c r="I2512" s="121">
        <f t="shared" si="980"/>
        <v>1</v>
      </c>
      <c r="J2512" s="121">
        <f t="shared" si="981"/>
        <v>1</v>
      </c>
      <c r="K2512" s="120">
        <f t="shared" si="982"/>
        <v>0</v>
      </c>
      <c r="L2512" s="120">
        <f t="shared" si="983"/>
        <v>0</v>
      </c>
      <c r="M2512" s="246">
        <f t="shared" si="984"/>
        <v>0</v>
      </c>
      <c r="N2512" s="121">
        <f t="shared" si="985"/>
        <v>1</v>
      </c>
      <c r="O2512" s="246">
        <f t="shared" si="986"/>
        <v>0.99</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87">
        <v>5</v>
      </c>
      <c r="B2513" s="242">
        <f t="shared" si="993"/>
        <v>45778</v>
      </c>
      <c r="C2513" s="243">
        <f t="shared" si="974"/>
        <v>45808</v>
      </c>
      <c r="D2513" s="120">
        <f t="shared" si="975"/>
        <v>31</v>
      </c>
      <c r="E2513" s="120">
        <f t="shared" si="976"/>
        <v>5</v>
      </c>
      <c r="F2513" s="275">
        <f t="shared" si="977"/>
        <v>45793.5</v>
      </c>
      <c r="G2513" s="120">
        <f t="shared" si="978"/>
        <v>24304</v>
      </c>
      <c r="H2513" s="245">
        <f t="shared" si="979"/>
        <v>1</v>
      </c>
      <c r="I2513" s="121">
        <f t="shared" si="980"/>
        <v>1</v>
      </c>
      <c r="J2513" s="121">
        <f t="shared" si="981"/>
        <v>1</v>
      </c>
      <c r="K2513" s="120">
        <f t="shared" si="982"/>
        <v>0</v>
      </c>
      <c r="L2513" s="120">
        <f t="shared" si="983"/>
        <v>0</v>
      </c>
      <c r="M2513" s="246">
        <f t="shared" si="984"/>
        <v>0</v>
      </c>
      <c r="N2513" s="121">
        <f t="shared" si="985"/>
        <v>1</v>
      </c>
      <c r="O2513" s="246">
        <f t="shared" si="986"/>
        <v>0.99</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87">
        <v>6</v>
      </c>
      <c r="B2514" s="242">
        <f t="shared" si="993"/>
        <v>45809</v>
      </c>
      <c r="C2514" s="243">
        <f t="shared" si="974"/>
        <v>45838</v>
      </c>
      <c r="D2514" s="120">
        <f t="shared" si="975"/>
        <v>30</v>
      </c>
      <c r="E2514" s="120">
        <f t="shared" si="976"/>
        <v>6</v>
      </c>
      <c r="F2514" s="275">
        <f t="shared" si="977"/>
        <v>45824</v>
      </c>
      <c r="G2514" s="120">
        <f t="shared" si="978"/>
        <v>24305</v>
      </c>
      <c r="H2514" s="245">
        <f t="shared" si="979"/>
        <v>1</v>
      </c>
      <c r="I2514" s="121">
        <f t="shared" si="980"/>
        <v>1</v>
      </c>
      <c r="J2514" s="121">
        <f t="shared" si="981"/>
        <v>1</v>
      </c>
      <c r="K2514" s="120">
        <f t="shared" si="982"/>
        <v>0</v>
      </c>
      <c r="L2514" s="120">
        <f t="shared" si="983"/>
        <v>0</v>
      </c>
      <c r="M2514" s="246">
        <f t="shared" si="984"/>
        <v>0</v>
      </c>
      <c r="N2514" s="121">
        <f t="shared" si="985"/>
        <v>1</v>
      </c>
      <c r="O2514" s="246">
        <f t="shared" si="986"/>
        <v>0.99</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87">
        <v>7</v>
      </c>
      <c r="B2515" s="242">
        <f t="shared" si="993"/>
        <v>45839</v>
      </c>
      <c r="C2515" s="243">
        <f t="shared" si="974"/>
        <v>45869</v>
      </c>
      <c r="D2515" s="120">
        <f t="shared" si="975"/>
        <v>31</v>
      </c>
      <c r="E2515" s="120">
        <f t="shared" si="976"/>
        <v>7</v>
      </c>
      <c r="F2515" s="275">
        <f t="shared" si="977"/>
        <v>45854.5</v>
      </c>
      <c r="G2515" s="120">
        <f t="shared" si="978"/>
        <v>24306</v>
      </c>
      <c r="H2515" s="245">
        <f t="shared" si="979"/>
        <v>1</v>
      </c>
      <c r="I2515" s="121">
        <f t="shared" si="980"/>
        <v>1</v>
      </c>
      <c r="J2515" s="121">
        <f t="shared" si="981"/>
        <v>1</v>
      </c>
      <c r="K2515" s="120">
        <f t="shared" si="982"/>
        <v>0</v>
      </c>
      <c r="L2515" s="120">
        <f t="shared" si="983"/>
        <v>0</v>
      </c>
      <c r="M2515" s="246">
        <f t="shared" si="984"/>
        <v>0</v>
      </c>
      <c r="N2515" s="121">
        <f t="shared" si="985"/>
        <v>1</v>
      </c>
      <c r="O2515" s="246">
        <f t="shared" si="986"/>
        <v>0.99</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87">
        <v>8</v>
      </c>
      <c r="B2516" s="242">
        <f t="shared" si="993"/>
        <v>45870</v>
      </c>
      <c r="C2516" s="243">
        <f t="shared" si="974"/>
        <v>45900</v>
      </c>
      <c r="D2516" s="120">
        <f t="shared" si="975"/>
        <v>31</v>
      </c>
      <c r="E2516" s="120">
        <f t="shared" si="976"/>
        <v>8</v>
      </c>
      <c r="F2516" s="275">
        <f t="shared" si="977"/>
        <v>45885.5</v>
      </c>
      <c r="G2516" s="120">
        <f t="shared" si="978"/>
        <v>24307</v>
      </c>
      <c r="H2516" s="245">
        <f t="shared" si="979"/>
        <v>1</v>
      </c>
      <c r="I2516" s="121">
        <f t="shared" si="980"/>
        <v>1</v>
      </c>
      <c r="J2516" s="121">
        <f t="shared" si="981"/>
        <v>1</v>
      </c>
      <c r="K2516" s="120">
        <f t="shared" si="982"/>
        <v>0</v>
      </c>
      <c r="L2516" s="120">
        <f t="shared" si="983"/>
        <v>0</v>
      </c>
      <c r="M2516" s="246">
        <f t="shared" si="984"/>
        <v>0</v>
      </c>
      <c r="N2516" s="121">
        <f t="shared" si="985"/>
        <v>1</v>
      </c>
      <c r="O2516" s="246">
        <f t="shared" si="986"/>
        <v>0.99</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87">
        <v>9</v>
      </c>
      <c r="B2517" s="242">
        <f t="shared" si="993"/>
        <v>45901</v>
      </c>
      <c r="C2517" s="243">
        <f t="shared" si="974"/>
        <v>45930</v>
      </c>
      <c r="D2517" s="120">
        <f t="shared" si="975"/>
        <v>30</v>
      </c>
      <c r="E2517" s="120">
        <f t="shared" si="976"/>
        <v>9</v>
      </c>
      <c r="F2517" s="275">
        <f t="shared" si="977"/>
        <v>45916</v>
      </c>
      <c r="G2517" s="120">
        <f t="shared" si="978"/>
        <v>24308</v>
      </c>
      <c r="H2517" s="245">
        <f t="shared" si="979"/>
        <v>1</v>
      </c>
      <c r="I2517" s="121">
        <f t="shared" si="980"/>
        <v>1</v>
      </c>
      <c r="J2517" s="121">
        <f t="shared" si="981"/>
        <v>1</v>
      </c>
      <c r="K2517" s="120">
        <f t="shared" si="982"/>
        <v>0</v>
      </c>
      <c r="L2517" s="120">
        <f t="shared" si="983"/>
        <v>0</v>
      </c>
      <c r="M2517" s="246">
        <f t="shared" si="984"/>
        <v>0</v>
      </c>
      <c r="N2517" s="121">
        <f t="shared" si="985"/>
        <v>1</v>
      </c>
      <c r="O2517" s="246">
        <f t="shared" si="986"/>
        <v>0.99</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87">
        <v>10</v>
      </c>
      <c r="B2518" s="242">
        <f t="shared" si="993"/>
        <v>45931</v>
      </c>
      <c r="C2518" s="243">
        <f t="shared" si="974"/>
        <v>45961</v>
      </c>
      <c r="D2518" s="120">
        <f t="shared" si="975"/>
        <v>31</v>
      </c>
      <c r="E2518" s="120">
        <f t="shared" si="976"/>
        <v>10</v>
      </c>
      <c r="F2518" s="275">
        <f t="shared" si="977"/>
        <v>45946.5</v>
      </c>
      <c r="G2518" s="120">
        <f t="shared" si="978"/>
        <v>24309</v>
      </c>
      <c r="H2518" s="245">
        <f t="shared" si="979"/>
        <v>1</v>
      </c>
      <c r="I2518" s="121">
        <f t="shared" si="980"/>
        <v>1</v>
      </c>
      <c r="J2518" s="121">
        <f t="shared" si="981"/>
        <v>1</v>
      </c>
      <c r="K2518" s="120">
        <f t="shared" si="982"/>
        <v>0</v>
      </c>
      <c r="L2518" s="120">
        <f t="shared" si="983"/>
        <v>0</v>
      </c>
      <c r="M2518" s="246">
        <f t="shared" si="984"/>
        <v>0</v>
      </c>
      <c r="N2518" s="121">
        <f t="shared" si="985"/>
        <v>1</v>
      </c>
      <c r="O2518" s="246">
        <f t="shared" si="986"/>
        <v>0.99</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87">
        <v>11</v>
      </c>
      <c r="B2519" s="242">
        <f t="shared" si="993"/>
        <v>45962</v>
      </c>
      <c r="C2519" s="243">
        <f t="shared" si="974"/>
        <v>45991</v>
      </c>
      <c r="D2519" s="120">
        <f t="shared" si="975"/>
        <v>30</v>
      </c>
      <c r="E2519" s="120">
        <f t="shared" si="976"/>
        <v>11</v>
      </c>
      <c r="F2519" s="275">
        <f t="shared" si="977"/>
        <v>45977</v>
      </c>
      <c r="G2519" s="120">
        <f t="shared" si="978"/>
        <v>24310</v>
      </c>
      <c r="H2519" s="245">
        <f t="shared" si="979"/>
        <v>1</v>
      </c>
      <c r="I2519" s="121">
        <f t="shared" si="980"/>
        <v>1</v>
      </c>
      <c r="J2519" s="121">
        <f t="shared" si="981"/>
        <v>1</v>
      </c>
      <c r="K2519" s="120">
        <f t="shared" si="982"/>
        <v>0</v>
      </c>
      <c r="L2519" s="120">
        <f t="shared" si="983"/>
        <v>0</v>
      </c>
      <c r="M2519" s="246">
        <f t="shared" si="984"/>
        <v>0</v>
      </c>
      <c r="N2519" s="121">
        <f t="shared" si="985"/>
        <v>1</v>
      </c>
      <c r="O2519" s="246">
        <f t="shared" si="986"/>
        <v>0.99</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87">
        <v>12</v>
      </c>
      <c r="B2520" s="242">
        <f t="shared" si="993"/>
        <v>45992</v>
      </c>
      <c r="C2520" s="243">
        <f t="shared" si="974"/>
        <v>46022</v>
      </c>
      <c r="D2520" s="120">
        <f t="shared" si="975"/>
        <v>31</v>
      </c>
      <c r="E2520" s="120">
        <f t="shared" si="976"/>
        <v>12</v>
      </c>
      <c r="F2520" s="275">
        <f t="shared" si="977"/>
        <v>46007.5</v>
      </c>
      <c r="G2520" s="120">
        <f t="shared" si="978"/>
        <v>24311</v>
      </c>
      <c r="H2520" s="245">
        <f t="shared" si="979"/>
        <v>1</v>
      </c>
      <c r="I2520" s="121">
        <f t="shared" si="980"/>
        <v>1</v>
      </c>
      <c r="J2520" s="121">
        <f t="shared" si="981"/>
        <v>1</v>
      </c>
      <c r="K2520" s="120">
        <f t="shared" si="982"/>
        <v>0</v>
      </c>
      <c r="L2520" s="120">
        <f t="shared" si="983"/>
        <v>0</v>
      </c>
      <c r="M2520" s="246">
        <f t="shared" si="984"/>
        <v>0</v>
      </c>
      <c r="N2520" s="121">
        <f t="shared" si="985"/>
        <v>1</v>
      </c>
      <c r="O2520" s="246">
        <f t="shared" si="986"/>
        <v>0.99</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87">
        <v>13</v>
      </c>
      <c r="B2521" s="242">
        <f t="shared" si="993"/>
        <v>46023</v>
      </c>
      <c r="C2521" s="243">
        <f t="shared" si="974"/>
        <v>46053</v>
      </c>
      <c r="D2521" s="120">
        <f t="shared" si="975"/>
        <v>31</v>
      </c>
      <c r="E2521" s="120">
        <f t="shared" si="976"/>
        <v>1</v>
      </c>
      <c r="F2521" s="275">
        <f t="shared" si="977"/>
        <v>46038.5</v>
      </c>
      <c r="G2521" s="120">
        <f t="shared" si="978"/>
        <v>24312</v>
      </c>
      <c r="H2521" s="245">
        <f t="shared" si="979"/>
        <v>1</v>
      </c>
      <c r="I2521" s="121">
        <f t="shared" si="980"/>
        <v>1</v>
      </c>
      <c r="J2521" s="121">
        <f t="shared" si="981"/>
        <v>1</v>
      </c>
      <c r="K2521" s="120">
        <f t="shared" si="982"/>
        <v>0</v>
      </c>
      <c r="L2521" s="120">
        <f t="shared" si="983"/>
        <v>0</v>
      </c>
      <c r="M2521" s="246">
        <f t="shared" si="984"/>
        <v>0</v>
      </c>
      <c r="N2521" s="121">
        <f t="shared" si="985"/>
        <v>1</v>
      </c>
      <c r="O2521" s="246">
        <f t="shared" si="986"/>
        <v>0.99</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87">
        <v>14</v>
      </c>
      <c r="B2522" s="242">
        <f t="shared" si="993"/>
        <v>46054</v>
      </c>
      <c r="C2522" s="243">
        <f t="shared" si="974"/>
        <v>46081</v>
      </c>
      <c r="D2522" s="120">
        <f t="shared" si="975"/>
        <v>28</v>
      </c>
      <c r="E2522" s="120">
        <f t="shared" si="976"/>
        <v>2</v>
      </c>
      <c r="F2522" s="275">
        <f t="shared" si="977"/>
        <v>46068</v>
      </c>
      <c r="G2522" s="120">
        <f t="shared" si="978"/>
        <v>24313</v>
      </c>
      <c r="H2522" s="245">
        <f t="shared" si="979"/>
        <v>1</v>
      </c>
      <c r="I2522" s="121">
        <f t="shared" si="980"/>
        <v>1</v>
      </c>
      <c r="J2522" s="121">
        <f t="shared" si="981"/>
        <v>1</v>
      </c>
      <c r="K2522" s="120">
        <f t="shared" si="982"/>
        <v>0</v>
      </c>
      <c r="L2522" s="120">
        <f t="shared" si="983"/>
        <v>0</v>
      </c>
      <c r="M2522" s="246">
        <f t="shared" si="984"/>
        <v>0</v>
      </c>
      <c r="N2522" s="121">
        <f t="shared" si="985"/>
        <v>1</v>
      </c>
      <c r="O2522" s="246">
        <f t="shared" si="986"/>
        <v>0.99</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87">
        <v>15</v>
      </c>
      <c r="B2523" s="242">
        <f t="shared" si="993"/>
        <v>46082</v>
      </c>
      <c r="C2523" s="243">
        <f t="shared" si="974"/>
        <v>46112</v>
      </c>
      <c r="D2523" s="120">
        <f t="shared" si="975"/>
        <v>31</v>
      </c>
      <c r="E2523" s="120">
        <f t="shared" si="976"/>
        <v>3</v>
      </c>
      <c r="F2523" s="275">
        <f t="shared" si="977"/>
        <v>46097.5</v>
      </c>
      <c r="G2523" s="120">
        <f t="shared" si="978"/>
        <v>24314</v>
      </c>
      <c r="H2523" s="245">
        <f t="shared" si="979"/>
        <v>1</v>
      </c>
      <c r="I2523" s="121">
        <f t="shared" si="980"/>
        <v>1</v>
      </c>
      <c r="J2523" s="121">
        <f t="shared" si="981"/>
        <v>1</v>
      </c>
      <c r="K2523" s="120">
        <f t="shared" si="982"/>
        <v>0</v>
      </c>
      <c r="L2523" s="120">
        <f t="shared" si="983"/>
        <v>0</v>
      </c>
      <c r="M2523" s="246">
        <f t="shared" si="984"/>
        <v>0</v>
      </c>
      <c r="N2523" s="121">
        <f t="shared" si="985"/>
        <v>1</v>
      </c>
      <c r="O2523" s="246">
        <f t="shared" si="986"/>
        <v>0.99</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87">
        <v>16</v>
      </c>
      <c r="B2524" s="242">
        <f t="shared" si="993"/>
        <v>46113</v>
      </c>
      <c r="C2524" s="243">
        <f t="shared" si="974"/>
        <v>46142</v>
      </c>
      <c r="D2524" s="120">
        <f t="shared" si="975"/>
        <v>30</v>
      </c>
      <c r="E2524" s="120">
        <f t="shared" si="976"/>
        <v>4</v>
      </c>
      <c r="F2524" s="275">
        <f t="shared" si="977"/>
        <v>46128</v>
      </c>
      <c r="G2524" s="120">
        <f t="shared" si="978"/>
        <v>24315</v>
      </c>
      <c r="H2524" s="245">
        <f t="shared" si="979"/>
        <v>1</v>
      </c>
      <c r="I2524" s="121">
        <f t="shared" si="980"/>
        <v>1</v>
      </c>
      <c r="J2524" s="121">
        <f t="shared" si="981"/>
        <v>1</v>
      </c>
      <c r="K2524" s="120">
        <f t="shared" si="982"/>
        <v>0</v>
      </c>
      <c r="L2524" s="120">
        <f t="shared" si="983"/>
        <v>0</v>
      </c>
      <c r="M2524" s="246">
        <f t="shared" si="984"/>
        <v>0</v>
      </c>
      <c r="N2524" s="121">
        <f t="shared" si="985"/>
        <v>1</v>
      </c>
      <c r="O2524" s="246">
        <f t="shared" si="986"/>
        <v>0.99</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87">
        <v>17</v>
      </c>
      <c r="B2525" s="242">
        <f t="shared" si="993"/>
        <v>46143</v>
      </c>
      <c r="C2525" s="243">
        <f t="shared" si="974"/>
        <v>46173</v>
      </c>
      <c r="D2525" s="120">
        <f t="shared" si="975"/>
        <v>31</v>
      </c>
      <c r="E2525" s="120">
        <f t="shared" si="976"/>
        <v>5</v>
      </c>
      <c r="F2525" s="275">
        <f t="shared" si="977"/>
        <v>46158.5</v>
      </c>
      <c r="G2525" s="120">
        <f t="shared" si="978"/>
        <v>24316</v>
      </c>
      <c r="H2525" s="245">
        <f t="shared" si="979"/>
        <v>1</v>
      </c>
      <c r="I2525" s="121">
        <f t="shared" si="980"/>
        <v>1</v>
      </c>
      <c r="J2525" s="121">
        <f t="shared" si="981"/>
        <v>1</v>
      </c>
      <c r="K2525" s="120">
        <f t="shared" si="982"/>
        <v>0</v>
      </c>
      <c r="L2525" s="120">
        <f t="shared" si="983"/>
        <v>0</v>
      </c>
      <c r="M2525" s="246">
        <f t="shared" si="984"/>
        <v>0</v>
      </c>
      <c r="N2525" s="121">
        <f t="shared" si="985"/>
        <v>1</v>
      </c>
      <c r="O2525" s="246">
        <f t="shared" si="986"/>
        <v>0.99</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87">
        <v>18</v>
      </c>
      <c r="B2526" s="242">
        <f t="shared" si="993"/>
        <v>46174</v>
      </c>
      <c r="C2526" s="243">
        <f t="shared" si="974"/>
        <v>46203</v>
      </c>
      <c r="D2526" s="120">
        <f t="shared" si="975"/>
        <v>30</v>
      </c>
      <c r="E2526" s="120">
        <f t="shared" si="976"/>
        <v>6</v>
      </c>
      <c r="F2526" s="275">
        <f t="shared" si="977"/>
        <v>46189</v>
      </c>
      <c r="G2526" s="120">
        <f t="shared" si="978"/>
        <v>24317</v>
      </c>
      <c r="H2526" s="245">
        <f t="shared" si="979"/>
        <v>1</v>
      </c>
      <c r="I2526" s="121">
        <f t="shared" si="980"/>
        <v>1</v>
      </c>
      <c r="J2526" s="121">
        <f t="shared" si="981"/>
        <v>1</v>
      </c>
      <c r="K2526" s="120">
        <f t="shared" si="982"/>
        <v>0</v>
      </c>
      <c r="L2526" s="120">
        <f t="shared" si="983"/>
        <v>0</v>
      </c>
      <c r="M2526" s="246">
        <f t="shared" si="984"/>
        <v>0</v>
      </c>
      <c r="N2526" s="121">
        <f t="shared" si="985"/>
        <v>1</v>
      </c>
      <c r="O2526" s="246">
        <f t="shared" si="986"/>
        <v>0.99</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87">
        <v>19</v>
      </c>
      <c r="B2527" s="242">
        <f t="shared" si="993"/>
        <v>46204</v>
      </c>
      <c r="C2527" s="243">
        <f t="shared" si="974"/>
        <v>46234</v>
      </c>
      <c r="D2527" s="120">
        <f t="shared" si="975"/>
        <v>31</v>
      </c>
      <c r="E2527" s="120">
        <f t="shared" si="976"/>
        <v>7</v>
      </c>
      <c r="F2527" s="275">
        <f t="shared" si="977"/>
        <v>46219.5</v>
      </c>
      <c r="G2527" s="120">
        <f t="shared" si="978"/>
        <v>24318</v>
      </c>
      <c r="H2527" s="245">
        <f t="shared" si="979"/>
        <v>1</v>
      </c>
      <c r="I2527" s="121">
        <f t="shared" si="980"/>
        <v>1</v>
      </c>
      <c r="J2527" s="121">
        <f t="shared" si="981"/>
        <v>1</v>
      </c>
      <c r="K2527" s="120">
        <f t="shared" si="982"/>
        <v>0</v>
      </c>
      <c r="L2527" s="120">
        <f t="shared" si="983"/>
        <v>0</v>
      </c>
      <c r="M2527" s="246">
        <f t="shared" si="984"/>
        <v>0</v>
      </c>
      <c r="N2527" s="121">
        <f t="shared" si="985"/>
        <v>1</v>
      </c>
      <c r="O2527" s="246">
        <f t="shared" si="986"/>
        <v>0.99</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87">
        <v>20</v>
      </c>
      <c r="B2528" s="242">
        <f t="shared" si="993"/>
        <v>46235</v>
      </c>
      <c r="C2528" s="243">
        <f t="shared" si="974"/>
        <v>46265</v>
      </c>
      <c r="D2528" s="120">
        <f t="shared" si="975"/>
        <v>31</v>
      </c>
      <c r="E2528" s="120">
        <f t="shared" si="976"/>
        <v>8</v>
      </c>
      <c r="F2528" s="275">
        <f t="shared" si="977"/>
        <v>46250.5</v>
      </c>
      <c r="G2528" s="120">
        <f t="shared" si="978"/>
        <v>24319</v>
      </c>
      <c r="H2528" s="245">
        <f t="shared" si="979"/>
        <v>1</v>
      </c>
      <c r="I2528" s="121">
        <f t="shared" si="980"/>
        <v>1</v>
      </c>
      <c r="J2528" s="121">
        <f t="shared" si="981"/>
        <v>1</v>
      </c>
      <c r="K2528" s="120">
        <f t="shared" si="982"/>
        <v>0</v>
      </c>
      <c r="L2528" s="120">
        <f t="shared" si="983"/>
        <v>0</v>
      </c>
      <c r="M2528" s="246">
        <f t="shared" si="984"/>
        <v>0</v>
      </c>
      <c r="N2528" s="121">
        <f t="shared" si="985"/>
        <v>1</v>
      </c>
      <c r="O2528" s="246">
        <f t="shared" si="986"/>
        <v>0.99</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87">
        <v>21</v>
      </c>
      <c r="B2529" s="242">
        <f t="shared" si="993"/>
        <v>46266</v>
      </c>
      <c r="C2529" s="243">
        <f t="shared" si="974"/>
        <v>46295</v>
      </c>
      <c r="D2529" s="120">
        <f t="shared" si="975"/>
        <v>30</v>
      </c>
      <c r="E2529" s="120">
        <f t="shared" si="976"/>
        <v>9</v>
      </c>
      <c r="F2529" s="275">
        <f t="shared" si="977"/>
        <v>46281</v>
      </c>
      <c r="G2529" s="120">
        <f t="shared" si="978"/>
        <v>24320</v>
      </c>
      <c r="H2529" s="245">
        <f t="shared" si="979"/>
        <v>1</v>
      </c>
      <c r="I2529" s="121">
        <f t="shared" si="980"/>
        <v>1</v>
      </c>
      <c r="J2529" s="121">
        <f t="shared" si="981"/>
        <v>1</v>
      </c>
      <c r="K2529" s="120">
        <f t="shared" si="982"/>
        <v>0</v>
      </c>
      <c r="L2529" s="120">
        <f t="shared" si="983"/>
        <v>0</v>
      </c>
      <c r="M2529" s="246">
        <f t="shared" si="984"/>
        <v>0</v>
      </c>
      <c r="N2529" s="121">
        <f t="shared" si="985"/>
        <v>1</v>
      </c>
      <c r="O2529" s="246">
        <f t="shared" si="986"/>
        <v>0.99</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87">
        <v>22</v>
      </c>
      <c r="B2530" s="242">
        <f t="shared" si="993"/>
        <v>46296</v>
      </c>
      <c r="C2530" s="243">
        <f t="shared" si="974"/>
        <v>46326</v>
      </c>
      <c r="D2530" s="120">
        <f t="shared" si="975"/>
        <v>31</v>
      </c>
      <c r="E2530" s="120">
        <f t="shared" si="976"/>
        <v>10</v>
      </c>
      <c r="F2530" s="275">
        <f t="shared" si="977"/>
        <v>46311.5</v>
      </c>
      <c r="G2530" s="120">
        <f t="shared" si="978"/>
        <v>24321</v>
      </c>
      <c r="H2530" s="245">
        <f t="shared" si="979"/>
        <v>1</v>
      </c>
      <c r="I2530" s="121">
        <f t="shared" si="980"/>
        <v>1</v>
      </c>
      <c r="J2530" s="121">
        <f t="shared" si="981"/>
        <v>1.02</v>
      </c>
      <c r="K2530" s="120">
        <f t="shared" si="982"/>
        <v>1</v>
      </c>
      <c r="L2530" s="120">
        <f t="shared" si="983"/>
        <v>31</v>
      </c>
      <c r="M2530" s="246">
        <f t="shared" si="984"/>
        <v>1</v>
      </c>
      <c r="N2530" s="121">
        <f t="shared" si="985"/>
        <v>1.02</v>
      </c>
      <c r="O2530" s="246">
        <f t="shared" si="986"/>
        <v>0.99</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87">
        <v>23</v>
      </c>
      <c r="B2531" s="242">
        <f t="shared" si="993"/>
        <v>46327</v>
      </c>
      <c r="C2531" s="243">
        <f t="shared" si="974"/>
        <v>46356</v>
      </c>
      <c r="D2531" s="120">
        <f t="shared" si="975"/>
        <v>30</v>
      </c>
      <c r="E2531" s="120">
        <f t="shared" si="976"/>
        <v>11</v>
      </c>
      <c r="F2531" s="275">
        <f t="shared" si="977"/>
        <v>46342</v>
      </c>
      <c r="G2531" s="120">
        <f t="shared" si="978"/>
        <v>24322</v>
      </c>
      <c r="H2531" s="245">
        <f t="shared" si="979"/>
        <v>1</v>
      </c>
      <c r="I2531" s="121">
        <f t="shared" si="980"/>
        <v>1.02</v>
      </c>
      <c r="J2531" s="121">
        <f t="shared" si="981"/>
        <v>1.02</v>
      </c>
      <c r="K2531" s="120">
        <f t="shared" si="982"/>
        <v>0</v>
      </c>
      <c r="L2531" s="120">
        <f t="shared" si="983"/>
        <v>0</v>
      </c>
      <c r="M2531" s="246">
        <f t="shared" si="984"/>
        <v>0</v>
      </c>
      <c r="N2531" s="121">
        <f t="shared" si="985"/>
        <v>1.02</v>
      </c>
      <c r="O2531" s="246">
        <f t="shared" si="986"/>
        <v>0.99</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87">
        <v>24</v>
      </c>
      <c r="B2532" s="242">
        <f t="shared" si="993"/>
        <v>46357</v>
      </c>
      <c r="C2532" s="243">
        <f t="shared" si="974"/>
        <v>46387</v>
      </c>
      <c r="D2532" s="120">
        <f t="shared" si="975"/>
        <v>31</v>
      </c>
      <c r="E2532" s="120">
        <f t="shared" si="976"/>
        <v>12</v>
      </c>
      <c r="F2532" s="275">
        <f t="shared" si="977"/>
        <v>46372.5</v>
      </c>
      <c r="G2532" s="120">
        <f t="shared" si="978"/>
        <v>24323</v>
      </c>
      <c r="H2532" s="245">
        <f t="shared" si="979"/>
        <v>1</v>
      </c>
      <c r="I2532" s="121">
        <f t="shared" si="980"/>
        <v>1.02</v>
      </c>
      <c r="J2532" s="121">
        <f t="shared" si="981"/>
        <v>1.02</v>
      </c>
      <c r="K2532" s="120">
        <f t="shared" si="982"/>
        <v>0</v>
      </c>
      <c r="L2532" s="120">
        <f t="shared" si="983"/>
        <v>0</v>
      </c>
      <c r="M2532" s="246">
        <f t="shared" si="984"/>
        <v>0</v>
      </c>
      <c r="N2532" s="121">
        <f t="shared" si="985"/>
        <v>1.02</v>
      </c>
      <c r="O2532" s="246">
        <f t="shared" si="986"/>
        <v>0.99</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87">
        <v>25</v>
      </c>
      <c r="B2533" s="242">
        <f t="shared" si="993"/>
        <v>46388</v>
      </c>
      <c r="C2533" s="243">
        <f t="shared" si="974"/>
        <v>46418</v>
      </c>
      <c r="D2533" s="120">
        <f t="shared" si="975"/>
        <v>31</v>
      </c>
      <c r="E2533" s="120">
        <f t="shared" si="976"/>
        <v>1</v>
      </c>
      <c r="F2533" s="275">
        <f t="shared" si="977"/>
        <v>46403.5</v>
      </c>
      <c r="G2533" s="120">
        <f t="shared" si="978"/>
        <v>24324</v>
      </c>
      <c r="H2533" s="245">
        <f t="shared" si="979"/>
        <v>1</v>
      </c>
      <c r="I2533" s="121">
        <f t="shared" si="980"/>
        <v>1.02</v>
      </c>
      <c r="J2533" s="121">
        <f t="shared" si="981"/>
        <v>1.02</v>
      </c>
      <c r="K2533" s="120">
        <f t="shared" si="982"/>
        <v>0</v>
      </c>
      <c r="L2533" s="120">
        <f t="shared" si="983"/>
        <v>0</v>
      </c>
      <c r="M2533" s="246">
        <f t="shared" si="984"/>
        <v>0</v>
      </c>
      <c r="N2533" s="121">
        <f t="shared" si="985"/>
        <v>1.02</v>
      </c>
      <c r="O2533" s="246">
        <f t="shared" si="986"/>
        <v>0.99</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87">
        <v>26</v>
      </c>
      <c r="B2534" s="242">
        <f t="shared" si="993"/>
        <v>46419</v>
      </c>
      <c r="C2534" s="243">
        <f t="shared" si="974"/>
        <v>46446</v>
      </c>
      <c r="D2534" s="120">
        <f t="shared" si="975"/>
        <v>28</v>
      </c>
      <c r="E2534" s="120">
        <f t="shared" si="976"/>
        <v>2</v>
      </c>
      <c r="F2534" s="275">
        <f t="shared" si="977"/>
        <v>46433</v>
      </c>
      <c r="G2534" s="120">
        <f t="shared" si="978"/>
        <v>24325</v>
      </c>
      <c r="H2534" s="245">
        <f t="shared" si="979"/>
        <v>1</v>
      </c>
      <c r="I2534" s="121">
        <f t="shared" si="980"/>
        <v>1.02</v>
      </c>
      <c r="J2534" s="121">
        <f t="shared" si="981"/>
        <v>1.02</v>
      </c>
      <c r="K2534" s="120">
        <f t="shared" si="982"/>
        <v>0</v>
      </c>
      <c r="L2534" s="120">
        <f t="shared" si="983"/>
        <v>0</v>
      </c>
      <c r="M2534" s="246">
        <f t="shared" si="984"/>
        <v>0</v>
      </c>
      <c r="N2534" s="121">
        <f t="shared" si="985"/>
        <v>1.02</v>
      </c>
      <c r="O2534" s="246">
        <f t="shared" si="986"/>
        <v>0.99</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87">
        <v>27</v>
      </c>
      <c r="B2535" s="242">
        <f t="shared" si="993"/>
        <v>46447</v>
      </c>
      <c r="C2535" s="243">
        <f t="shared" si="974"/>
        <v>46477</v>
      </c>
      <c r="D2535" s="120">
        <f t="shared" si="975"/>
        <v>31</v>
      </c>
      <c r="E2535" s="120">
        <f t="shared" si="976"/>
        <v>3</v>
      </c>
      <c r="F2535" s="275">
        <f t="shared" si="977"/>
        <v>46462.5</v>
      </c>
      <c r="G2535" s="120">
        <f t="shared" si="978"/>
        <v>24326</v>
      </c>
      <c r="H2535" s="245">
        <f t="shared" si="979"/>
        <v>1</v>
      </c>
      <c r="I2535" s="121">
        <f t="shared" si="980"/>
        <v>1.02</v>
      </c>
      <c r="J2535" s="121">
        <f t="shared" si="981"/>
        <v>1.02</v>
      </c>
      <c r="K2535" s="120">
        <f t="shared" si="982"/>
        <v>0</v>
      </c>
      <c r="L2535" s="120">
        <f t="shared" si="983"/>
        <v>0</v>
      </c>
      <c r="M2535" s="246">
        <f t="shared" si="984"/>
        <v>0</v>
      </c>
      <c r="N2535" s="121">
        <f t="shared" si="985"/>
        <v>1.02</v>
      </c>
      <c r="O2535" s="246">
        <f t="shared" si="986"/>
        <v>0.99</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87">
        <v>28</v>
      </c>
      <c r="B2536" s="242">
        <f t="shared" si="993"/>
        <v>46478</v>
      </c>
      <c r="C2536" s="243">
        <f t="shared" si="974"/>
        <v>46507</v>
      </c>
      <c r="D2536" s="120">
        <f t="shared" si="975"/>
        <v>30</v>
      </c>
      <c r="E2536" s="120">
        <f t="shared" si="976"/>
        <v>4</v>
      </c>
      <c r="F2536" s="275">
        <f t="shared" si="977"/>
        <v>46493</v>
      </c>
      <c r="G2536" s="120">
        <f t="shared" si="978"/>
        <v>24327</v>
      </c>
      <c r="H2536" s="245">
        <f t="shared" si="979"/>
        <v>1</v>
      </c>
      <c r="I2536" s="121">
        <f t="shared" si="980"/>
        <v>1.02</v>
      </c>
      <c r="J2536" s="121">
        <f t="shared" si="981"/>
        <v>1.02</v>
      </c>
      <c r="K2536" s="120">
        <f t="shared" si="982"/>
        <v>0</v>
      </c>
      <c r="L2536" s="120">
        <f t="shared" si="983"/>
        <v>0</v>
      </c>
      <c r="M2536" s="246">
        <f t="shared" si="984"/>
        <v>0</v>
      </c>
      <c r="N2536" s="121">
        <f t="shared" si="985"/>
        <v>1.02</v>
      </c>
      <c r="O2536" s="246">
        <f t="shared" si="986"/>
        <v>0.99</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87">
        <v>29</v>
      </c>
      <c r="B2537" s="242">
        <f t="shared" si="993"/>
        <v>46508</v>
      </c>
      <c r="C2537" s="243">
        <f t="shared" si="974"/>
        <v>46538</v>
      </c>
      <c r="D2537" s="120">
        <f t="shared" si="975"/>
        <v>31</v>
      </c>
      <c r="E2537" s="120">
        <f t="shared" si="976"/>
        <v>5</v>
      </c>
      <c r="F2537" s="275">
        <f t="shared" si="977"/>
        <v>46523.5</v>
      </c>
      <c r="G2537" s="120">
        <f t="shared" si="978"/>
        <v>24328</v>
      </c>
      <c r="H2537" s="245">
        <f t="shared" si="979"/>
        <v>1</v>
      </c>
      <c r="I2537" s="121">
        <f t="shared" si="980"/>
        <v>1.02</v>
      </c>
      <c r="J2537" s="121">
        <f t="shared" si="981"/>
        <v>1.02</v>
      </c>
      <c r="K2537" s="120">
        <f t="shared" si="982"/>
        <v>0</v>
      </c>
      <c r="L2537" s="120">
        <f t="shared" si="983"/>
        <v>0</v>
      </c>
      <c r="M2537" s="246">
        <f t="shared" si="984"/>
        <v>0</v>
      </c>
      <c r="N2537" s="121">
        <f t="shared" si="985"/>
        <v>1.02</v>
      </c>
      <c r="O2537" s="246">
        <f t="shared" si="986"/>
        <v>0.99</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87">
        <v>30</v>
      </c>
      <c r="B2538" s="242">
        <f t="shared" si="993"/>
        <v>46539</v>
      </c>
      <c r="C2538" s="243">
        <f t="shared" si="974"/>
        <v>46568</v>
      </c>
      <c r="D2538" s="120">
        <f t="shared" si="975"/>
        <v>30</v>
      </c>
      <c r="E2538" s="120">
        <f t="shared" si="976"/>
        <v>6</v>
      </c>
      <c r="F2538" s="275">
        <f t="shared" si="977"/>
        <v>46554</v>
      </c>
      <c r="G2538" s="120">
        <f t="shared" si="978"/>
        <v>24329</v>
      </c>
      <c r="H2538" s="245">
        <f t="shared" si="979"/>
        <v>1</v>
      </c>
      <c r="I2538" s="121">
        <f t="shared" si="980"/>
        <v>1.02</v>
      </c>
      <c r="J2538" s="121">
        <f t="shared" si="981"/>
        <v>1.0608</v>
      </c>
      <c r="K2538" s="120">
        <f t="shared" si="982"/>
        <v>1</v>
      </c>
      <c r="L2538" s="120">
        <f t="shared" si="983"/>
        <v>30</v>
      </c>
      <c r="M2538" s="246">
        <f t="shared" si="984"/>
        <v>1</v>
      </c>
      <c r="N2538" s="121">
        <f t="shared" si="985"/>
        <v>1.0608</v>
      </c>
      <c r="O2538" s="246">
        <f t="shared" si="986"/>
        <v>0.99</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87">
        <v>31</v>
      </c>
      <c r="B2539" s="242">
        <f t="shared" si="993"/>
        <v>46569</v>
      </c>
      <c r="C2539" s="243">
        <f t="shared" si="974"/>
        <v>46599</v>
      </c>
      <c r="D2539" s="120">
        <f t="shared" si="975"/>
        <v>31</v>
      </c>
      <c r="E2539" s="120">
        <f t="shared" si="976"/>
        <v>7</v>
      </c>
      <c r="F2539" s="275">
        <f t="shared" si="977"/>
        <v>46584.5</v>
      </c>
      <c r="G2539" s="120">
        <f t="shared" si="978"/>
        <v>24330</v>
      </c>
      <c r="H2539" s="245">
        <f t="shared" si="979"/>
        <v>1</v>
      </c>
      <c r="I2539" s="121">
        <f t="shared" si="980"/>
        <v>1.0608</v>
      </c>
      <c r="J2539" s="121">
        <f t="shared" si="981"/>
        <v>1.0608</v>
      </c>
      <c r="K2539" s="120">
        <f t="shared" si="982"/>
        <v>0</v>
      </c>
      <c r="L2539" s="120">
        <f t="shared" si="983"/>
        <v>0</v>
      </c>
      <c r="M2539" s="246">
        <f t="shared" si="984"/>
        <v>0</v>
      </c>
      <c r="N2539" s="121">
        <f t="shared" si="985"/>
        <v>1.0608</v>
      </c>
      <c r="O2539" s="246">
        <f t="shared" si="986"/>
        <v>0.99</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87">
        <v>32</v>
      </c>
      <c r="B2540" s="242">
        <f t="shared" si="993"/>
        <v>46600</v>
      </c>
      <c r="C2540" s="243">
        <f t="shared" si="974"/>
        <v>46630</v>
      </c>
      <c r="D2540" s="120">
        <f t="shared" si="975"/>
        <v>31</v>
      </c>
      <c r="E2540" s="120">
        <f t="shared" si="976"/>
        <v>8</v>
      </c>
      <c r="F2540" s="275">
        <f t="shared" si="977"/>
        <v>46615.5</v>
      </c>
      <c r="G2540" s="120">
        <f t="shared" si="978"/>
        <v>24331</v>
      </c>
      <c r="H2540" s="245">
        <f t="shared" si="979"/>
        <v>1</v>
      </c>
      <c r="I2540" s="121">
        <f t="shared" si="980"/>
        <v>1.0608</v>
      </c>
      <c r="J2540" s="121">
        <f t="shared" si="981"/>
        <v>1.0608</v>
      </c>
      <c r="K2540" s="120">
        <f t="shared" si="982"/>
        <v>0</v>
      </c>
      <c r="L2540" s="120">
        <f t="shared" si="983"/>
        <v>0</v>
      </c>
      <c r="M2540" s="246">
        <f t="shared" si="984"/>
        <v>0</v>
      </c>
      <c r="N2540" s="121">
        <f t="shared" si="985"/>
        <v>1.0608</v>
      </c>
      <c r="O2540" s="246">
        <f t="shared" si="986"/>
        <v>0.99</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87">
        <v>33</v>
      </c>
      <c r="B2541" s="242">
        <f t="shared" si="993"/>
        <v>46631</v>
      </c>
      <c r="C2541" s="243">
        <f t="shared" si="974"/>
        <v>46660</v>
      </c>
      <c r="D2541" s="120">
        <f t="shared" si="975"/>
        <v>30</v>
      </c>
      <c r="E2541" s="120">
        <f t="shared" si="976"/>
        <v>9</v>
      </c>
      <c r="F2541" s="275">
        <f t="shared" si="977"/>
        <v>46646</v>
      </c>
      <c r="G2541" s="120">
        <f t="shared" si="978"/>
        <v>24332</v>
      </c>
      <c r="H2541" s="245">
        <f t="shared" si="979"/>
        <v>1</v>
      </c>
      <c r="I2541" s="121">
        <f t="shared" si="980"/>
        <v>1.0608</v>
      </c>
      <c r="J2541" s="121">
        <f t="shared" si="981"/>
        <v>1.0608</v>
      </c>
      <c r="K2541" s="120">
        <f t="shared" si="982"/>
        <v>0</v>
      </c>
      <c r="L2541" s="120">
        <f t="shared" si="983"/>
        <v>0</v>
      </c>
      <c r="M2541" s="246">
        <f t="shared" si="984"/>
        <v>0</v>
      </c>
      <c r="N2541" s="121">
        <f t="shared" si="985"/>
        <v>1.0608</v>
      </c>
      <c r="O2541" s="246">
        <f t="shared" si="986"/>
        <v>0.99</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87">
        <v>34</v>
      </c>
      <c r="B2542" s="242">
        <f t="shared" si="993"/>
        <v>46661</v>
      </c>
      <c r="C2542" s="243">
        <f t="shared" si="974"/>
        <v>46691</v>
      </c>
      <c r="D2542" s="120">
        <f t="shared" si="975"/>
        <v>31</v>
      </c>
      <c r="E2542" s="120">
        <f t="shared" si="976"/>
        <v>10</v>
      </c>
      <c r="F2542" s="275">
        <f t="shared" si="977"/>
        <v>46676.5</v>
      </c>
      <c r="G2542" s="120">
        <f t="shared" si="978"/>
        <v>24333</v>
      </c>
      <c r="H2542" s="245">
        <f t="shared" si="979"/>
        <v>1</v>
      </c>
      <c r="I2542" s="121">
        <f t="shared" si="980"/>
        <v>1.0608</v>
      </c>
      <c r="J2542" s="121">
        <f t="shared" si="981"/>
        <v>1.0608</v>
      </c>
      <c r="K2542" s="120">
        <f t="shared" si="982"/>
        <v>0</v>
      </c>
      <c r="L2542" s="120">
        <f t="shared" si="983"/>
        <v>0</v>
      </c>
      <c r="M2542" s="246">
        <f t="shared" si="984"/>
        <v>0</v>
      </c>
      <c r="N2542" s="121">
        <f t="shared" si="985"/>
        <v>1.0608</v>
      </c>
      <c r="O2542" s="246">
        <f t="shared" si="986"/>
        <v>0.99</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87">
        <v>35</v>
      </c>
      <c r="B2543" s="242">
        <f t="shared" si="993"/>
        <v>46692</v>
      </c>
      <c r="C2543" s="243">
        <f t="shared" si="974"/>
        <v>46721</v>
      </c>
      <c r="D2543" s="120">
        <f t="shared" si="975"/>
        <v>30</v>
      </c>
      <c r="E2543" s="120">
        <f t="shared" si="976"/>
        <v>11</v>
      </c>
      <c r="F2543" s="275">
        <f t="shared" si="977"/>
        <v>46707</v>
      </c>
      <c r="G2543" s="120">
        <f t="shared" si="978"/>
        <v>24334</v>
      </c>
      <c r="H2543" s="245">
        <f t="shared" si="979"/>
        <v>1</v>
      </c>
      <c r="I2543" s="121">
        <f t="shared" si="980"/>
        <v>1.0608</v>
      </c>
      <c r="J2543" s="121">
        <f t="shared" si="981"/>
        <v>1.0608</v>
      </c>
      <c r="K2543" s="120">
        <f t="shared" si="982"/>
        <v>0</v>
      </c>
      <c r="L2543" s="120">
        <f t="shared" si="983"/>
        <v>0</v>
      </c>
      <c r="M2543" s="246">
        <f t="shared" si="984"/>
        <v>0</v>
      </c>
      <c r="N2543" s="121">
        <f t="shared" si="985"/>
        <v>1.0608</v>
      </c>
      <c r="O2543" s="246">
        <f t="shared" si="986"/>
        <v>0.99</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87">
        <v>36</v>
      </c>
      <c r="B2544" s="242">
        <f t="shared" si="993"/>
        <v>46722</v>
      </c>
      <c r="C2544" s="243">
        <f t="shared" si="974"/>
        <v>46752</v>
      </c>
      <c r="D2544" s="120">
        <f t="shared" si="975"/>
        <v>31</v>
      </c>
      <c r="E2544" s="120">
        <f t="shared" si="976"/>
        <v>12</v>
      </c>
      <c r="F2544" s="275">
        <f t="shared" si="977"/>
        <v>46737.5</v>
      </c>
      <c r="G2544" s="120">
        <f t="shared" si="978"/>
        <v>24335</v>
      </c>
      <c r="H2544" s="245">
        <f t="shared" si="979"/>
        <v>1</v>
      </c>
      <c r="I2544" s="121">
        <f t="shared" si="980"/>
        <v>1.0608</v>
      </c>
      <c r="J2544" s="121">
        <f t="shared" si="981"/>
        <v>1.0608</v>
      </c>
      <c r="K2544" s="120">
        <f t="shared" si="982"/>
        <v>0</v>
      </c>
      <c r="L2544" s="120">
        <f t="shared" si="983"/>
        <v>0</v>
      </c>
      <c r="M2544" s="246">
        <f t="shared" si="984"/>
        <v>0</v>
      </c>
      <c r="N2544" s="121">
        <f t="shared" si="985"/>
        <v>1.0608</v>
      </c>
      <c r="O2544" s="246">
        <f t="shared" si="986"/>
        <v>0.99</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87">
        <v>37</v>
      </c>
      <c r="B2545" s="242">
        <f t="shared" si="993"/>
        <v>46753</v>
      </c>
      <c r="C2545" s="243">
        <f t="shared" si="974"/>
        <v>46783</v>
      </c>
      <c r="D2545" s="120">
        <f t="shared" si="975"/>
        <v>31</v>
      </c>
      <c r="E2545" s="120">
        <f t="shared" si="976"/>
        <v>1</v>
      </c>
      <c r="F2545" s="275">
        <f t="shared" si="977"/>
        <v>46768.5</v>
      </c>
      <c r="G2545" s="120">
        <f t="shared" si="978"/>
        <v>24336</v>
      </c>
      <c r="H2545" s="245">
        <f t="shared" si="979"/>
        <v>1</v>
      </c>
      <c r="I2545" s="121">
        <f t="shared" si="980"/>
        <v>1.0608</v>
      </c>
      <c r="J2545" s="121">
        <f t="shared" si="981"/>
        <v>1.0608</v>
      </c>
      <c r="K2545" s="120">
        <f t="shared" si="982"/>
        <v>0</v>
      </c>
      <c r="L2545" s="120">
        <f t="shared" si="983"/>
        <v>0</v>
      </c>
      <c r="M2545" s="246">
        <f t="shared" si="984"/>
        <v>0</v>
      </c>
      <c r="N2545" s="121">
        <f t="shared" si="985"/>
        <v>1.0608</v>
      </c>
      <c r="O2545" s="246">
        <f t="shared" si="986"/>
        <v>0.99</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87">
        <v>38</v>
      </c>
      <c r="B2546" s="242">
        <f t="shared" si="993"/>
        <v>46784</v>
      </c>
      <c r="C2546" s="243">
        <f t="shared" si="974"/>
        <v>46812</v>
      </c>
      <c r="D2546" s="120">
        <f t="shared" si="975"/>
        <v>29</v>
      </c>
      <c r="E2546" s="120">
        <f t="shared" si="976"/>
        <v>2</v>
      </c>
      <c r="F2546" s="275">
        <f t="shared" si="977"/>
        <v>46798.5</v>
      </c>
      <c r="G2546" s="120">
        <f t="shared" si="978"/>
        <v>24337</v>
      </c>
      <c r="H2546" s="245">
        <f t="shared" si="979"/>
        <v>1</v>
      </c>
      <c r="I2546" s="121">
        <f t="shared" si="980"/>
        <v>1.0608</v>
      </c>
      <c r="J2546" s="121">
        <f t="shared" si="981"/>
        <v>1.0608</v>
      </c>
      <c r="K2546" s="120">
        <f t="shared" si="982"/>
        <v>0</v>
      </c>
      <c r="L2546" s="120">
        <f t="shared" si="983"/>
        <v>0</v>
      </c>
      <c r="M2546" s="246">
        <f t="shared" si="984"/>
        <v>0</v>
      </c>
      <c r="N2546" s="121">
        <f t="shared" si="985"/>
        <v>1.0608</v>
      </c>
      <c r="O2546" s="246">
        <f t="shared" si="986"/>
        <v>0.99</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87">
        <v>39</v>
      </c>
      <c r="B2547" s="242">
        <f t="shared" si="993"/>
        <v>46813</v>
      </c>
      <c r="C2547" s="243">
        <f t="shared" si="974"/>
        <v>46843</v>
      </c>
      <c r="D2547" s="120">
        <f t="shared" si="975"/>
        <v>31</v>
      </c>
      <c r="E2547" s="120">
        <f t="shared" si="976"/>
        <v>3</v>
      </c>
      <c r="F2547" s="275">
        <f t="shared" si="977"/>
        <v>46828.5</v>
      </c>
      <c r="G2547" s="120">
        <f t="shared" si="978"/>
        <v>24338</v>
      </c>
      <c r="H2547" s="245">
        <f t="shared" si="979"/>
        <v>1</v>
      </c>
      <c r="I2547" s="121">
        <f t="shared" si="980"/>
        <v>1.0608</v>
      </c>
      <c r="J2547" s="121">
        <f t="shared" si="981"/>
        <v>1.0608</v>
      </c>
      <c r="K2547" s="120">
        <f t="shared" si="982"/>
        <v>0</v>
      </c>
      <c r="L2547" s="120">
        <f t="shared" si="983"/>
        <v>0</v>
      </c>
      <c r="M2547" s="246">
        <f t="shared" si="984"/>
        <v>0</v>
      </c>
      <c r="N2547" s="121">
        <f t="shared" si="985"/>
        <v>1.0608</v>
      </c>
      <c r="O2547" s="246">
        <f t="shared" si="986"/>
        <v>0.99</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87">
        <v>40</v>
      </c>
      <c r="B2548" s="242">
        <f t="shared" si="993"/>
        <v>46844</v>
      </c>
      <c r="C2548" s="243">
        <f t="shared" si="974"/>
        <v>46873</v>
      </c>
      <c r="D2548" s="120">
        <f t="shared" si="975"/>
        <v>30</v>
      </c>
      <c r="E2548" s="120">
        <f t="shared" si="976"/>
        <v>4</v>
      </c>
      <c r="F2548" s="275">
        <f t="shared" si="977"/>
        <v>46859</v>
      </c>
      <c r="G2548" s="120">
        <f t="shared" si="978"/>
        <v>24339</v>
      </c>
      <c r="H2548" s="245">
        <f t="shared" si="979"/>
        <v>1</v>
      </c>
      <c r="I2548" s="121">
        <f t="shared" si="980"/>
        <v>1.0608</v>
      </c>
      <c r="J2548" s="121">
        <f t="shared" si="981"/>
        <v>1.0608</v>
      </c>
      <c r="K2548" s="120">
        <f t="shared" si="982"/>
        <v>0</v>
      </c>
      <c r="L2548" s="120">
        <f t="shared" si="983"/>
        <v>0</v>
      </c>
      <c r="M2548" s="246">
        <f t="shared" si="984"/>
        <v>0</v>
      </c>
      <c r="N2548" s="121">
        <f t="shared" si="985"/>
        <v>1.0608</v>
      </c>
      <c r="O2548" s="246">
        <f t="shared" si="986"/>
        <v>0.99</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87">
        <v>41</v>
      </c>
      <c r="B2549" s="242">
        <f t="shared" si="993"/>
        <v>46874</v>
      </c>
      <c r="C2549" s="243">
        <f t="shared" si="974"/>
        <v>46904</v>
      </c>
      <c r="D2549" s="120">
        <f t="shared" si="975"/>
        <v>31</v>
      </c>
      <c r="E2549" s="120">
        <f t="shared" si="976"/>
        <v>5</v>
      </c>
      <c r="F2549" s="275">
        <f t="shared" si="977"/>
        <v>46889.5</v>
      </c>
      <c r="G2549" s="120">
        <f t="shared" si="978"/>
        <v>24340</v>
      </c>
      <c r="H2549" s="245">
        <f t="shared" si="979"/>
        <v>1</v>
      </c>
      <c r="I2549" s="121">
        <f t="shared" si="980"/>
        <v>1.0608</v>
      </c>
      <c r="J2549" s="121">
        <f t="shared" si="981"/>
        <v>1.0608</v>
      </c>
      <c r="K2549" s="120">
        <f t="shared" si="982"/>
        <v>0</v>
      </c>
      <c r="L2549" s="120">
        <f t="shared" si="983"/>
        <v>0</v>
      </c>
      <c r="M2549" s="246">
        <f t="shared" si="984"/>
        <v>0</v>
      </c>
      <c r="N2549" s="121">
        <f t="shared" si="985"/>
        <v>1.0608</v>
      </c>
      <c r="O2549" s="246">
        <f t="shared" si="986"/>
        <v>0.99</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87">
        <v>42</v>
      </c>
      <c r="B2550" s="242">
        <f t="shared" si="993"/>
        <v>46905</v>
      </c>
      <c r="C2550" s="243">
        <f t="shared" si="974"/>
        <v>46934</v>
      </c>
      <c r="D2550" s="120">
        <f t="shared" si="975"/>
        <v>30</v>
      </c>
      <c r="E2550" s="120">
        <f t="shared" si="976"/>
        <v>6</v>
      </c>
      <c r="F2550" s="275">
        <f t="shared" si="977"/>
        <v>46920</v>
      </c>
      <c r="G2550" s="120">
        <f t="shared" si="978"/>
        <v>24341</v>
      </c>
      <c r="H2550" s="245">
        <f t="shared" si="979"/>
        <v>1</v>
      </c>
      <c r="I2550" s="121">
        <f t="shared" si="980"/>
        <v>1.0608</v>
      </c>
      <c r="J2550" s="121">
        <f t="shared" si="981"/>
        <v>1.0608</v>
      </c>
      <c r="K2550" s="120">
        <f t="shared" si="982"/>
        <v>0</v>
      </c>
      <c r="L2550" s="120">
        <f t="shared" si="983"/>
        <v>0</v>
      </c>
      <c r="M2550" s="246">
        <f t="shared" si="984"/>
        <v>0</v>
      </c>
      <c r="N2550" s="121">
        <f t="shared" si="985"/>
        <v>1.0608</v>
      </c>
      <c r="O2550" s="246">
        <f t="shared" si="986"/>
        <v>0.99</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87">
        <v>43</v>
      </c>
      <c r="B2551" s="242">
        <f t="shared" si="993"/>
        <v>46935</v>
      </c>
      <c r="C2551" s="243">
        <f t="shared" si="974"/>
        <v>46965</v>
      </c>
      <c r="D2551" s="120">
        <f t="shared" si="975"/>
        <v>31</v>
      </c>
      <c r="E2551" s="120">
        <f t="shared" si="976"/>
        <v>7</v>
      </c>
      <c r="F2551" s="275">
        <f t="shared" si="977"/>
        <v>46950.5</v>
      </c>
      <c r="G2551" s="120">
        <f t="shared" si="978"/>
        <v>24342</v>
      </c>
      <c r="H2551" s="245">
        <f t="shared" si="979"/>
        <v>1</v>
      </c>
      <c r="I2551" s="121">
        <f t="shared" si="980"/>
        <v>1.0608</v>
      </c>
      <c r="J2551" s="121">
        <f t="shared" si="981"/>
        <v>1.0608</v>
      </c>
      <c r="K2551" s="120">
        <f t="shared" si="982"/>
        <v>0</v>
      </c>
      <c r="L2551" s="120">
        <f t="shared" si="983"/>
        <v>0</v>
      </c>
      <c r="M2551" s="246">
        <f t="shared" si="984"/>
        <v>0</v>
      </c>
      <c r="N2551" s="121">
        <f t="shared" si="985"/>
        <v>1.0608</v>
      </c>
      <c r="O2551" s="246">
        <f t="shared" si="986"/>
        <v>0.99</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87">
        <v>44</v>
      </c>
      <c r="B2552" s="242">
        <f t="shared" si="993"/>
        <v>46966</v>
      </c>
      <c r="C2552" s="243">
        <f t="shared" si="974"/>
        <v>46996</v>
      </c>
      <c r="D2552" s="120">
        <f t="shared" si="975"/>
        <v>31</v>
      </c>
      <c r="E2552" s="120">
        <f t="shared" si="976"/>
        <v>8</v>
      </c>
      <c r="F2552" s="275">
        <f t="shared" si="977"/>
        <v>46981.5</v>
      </c>
      <c r="G2552" s="120">
        <f t="shared" si="978"/>
        <v>24343</v>
      </c>
      <c r="H2552" s="245">
        <f t="shared" si="979"/>
        <v>1</v>
      </c>
      <c r="I2552" s="121">
        <f t="shared" si="980"/>
        <v>1.0608</v>
      </c>
      <c r="J2552" s="121">
        <f t="shared" si="981"/>
        <v>1.0608</v>
      </c>
      <c r="K2552" s="120">
        <f t="shared" si="982"/>
        <v>0</v>
      </c>
      <c r="L2552" s="120">
        <f t="shared" si="983"/>
        <v>0</v>
      </c>
      <c r="M2552" s="246">
        <f t="shared" si="984"/>
        <v>0</v>
      </c>
      <c r="N2552" s="121">
        <f t="shared" si="985"/>
        <v>1.0608</v>
      </c>
      <c r="O2552" s="246">
        <f t="shared" si="986"/>
        <v>0.99</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87">
        <v>45</v>
      </c>
      <c r="B2553" s="242">
        <f t="shared" si="993"/>
        <v>46997</v>
      </c>
      <c r="C2553" s="243">
        <f t="shared" si="974"/>
        <v>47026</v>
      </c>
      <c r="D2553" s="120">
        <f t="shared" si="975"/>
        <v>30</v>
      </c>
      <c r="E2553" s="120">
        <f t="shared" si="976"/>
        <v>9</v>
      </c>
      <c r="F2553" s="275">
        <f t="shared" si="977"/>
        <v>47012</v>
      </c>
      <c r="G2553" s="120">
        <f t="shared" si="978"/>
        <v>24344</v>
      </c>
      <c r="H2553" s="245">
        <f t="shared" si="979"/>
        <v>1</v>
      </c>
      <c r="I2553" s="121">
        <f t="shared" si="980"/>
        <v>1.0608</v>
      </c>
      <c r="J2553" s="121">
        <f t="shared" si="981"/>
        <v>1.0608</v>
      </c>
      <c r="K2553" s="120">
        <f t="shared" si="982"/>
        <v>0</v>
      </c>
      <c r="L2553" s="120">
        <f t="shared" si="983"/>
        <v>0</v>
      </c>
      <c r="M2553" s="246">
        <f t="shared" si="984"/>
        <v>0</v>
      </c>
      <c r="N2553" s="121">
        <f t="shared" si="985"/>
        <v>1.0608</v>
      </c>
      <c r="O2553" s="246">
        <f t="shared" si="986"/>
        <v>0.99</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87">
        <v>46</v>
      </c>
      <c r="B2554" s="242">
        <f t="shared" si="993"/>
        <v>47027</v>
      </c>
      <c r="C2554" s="243">
        <f t="shared" si="974"/>
        <v>47057</v>
      </c>
      <c r="D2554" s="120">
        <f t="shared" si="975"/>
        <v>31</v>
      </c>
      <c r="E2554" s="120">
        <f t="shared" si="976"/>
        <v>10</v>
      </c>
      <c r="F2554" s="275">
        <f t="shared" si="977"/>
        <v>47042.5</v>
      </c>
      <c r="G2554" s="120">
        <f t="shared" si="978"/>
        <v>24345</v>
      </c>
      <c r="H2554" s="245">
        <f t="shared" si="979"/>
        <v>1</v>
      </c>
      <c r="I2554" s="121">
        <f t="shared" si="980"/>
        <v>1.0608</v>
      </c>
      <c r="J2554" s="121">
        <f t="shared" si="981"/>
        <v>1.0608</v>
      </c>
      <c r="K2554" s="120">
        <f t="shared" si="982"/>
        <v>0</v>
      </c>
      <c r="L2554" s="120">
        <f t="shared" si="983"/>
        <v>0</v>
      </c>
      <c r="M2554" s="246">
        <f t="shared" si="984"/>
        <v>0</v>
      </c>
      <c r="N2554" s="121">
        <f t="shared" si="985"/>
        <v>1.0608</v>
      </c>
      <c r="O2554" s="246">
        <f t="shared" si="986"/>
        <v>0.99</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87">
        <v>47</v>
      </c>
      <c r="B2555" s="242">
        <f t="shared" si="993"/>
        <v>47058</v>
      </c>
      <c r="C2555" s="243">
        <f t="shared" si="974"/>
        <v>47087</v>
      </c>
      <c r="D2555" s="120">
        <f t="shared" si="975"/>
        <v>30</v>
      </c>
      <c r="E2555" s="120">
        <f t="shared" si="976"/>
        <v>11</v>
      </c>
      <c r="F2555" s="275">
        <f t="shared" si="977"/>
        <v>47073</v>
      </c>
      <c r="G2555" s="120">
        <f t="shared" si="978"/>
        <v>24346</v>
      </c>
      <c r="H2555" s="245">
        <f t="shared" si="979"/>
        <v>1</v>
      </c>
      <c r="I2555" s="121">
        <f t="shared" si="980"/>
        <v>1.0608</v>
      </c>
      <c r="J2555" s="121">
        <f t="shared" si="981"/>
        <v>1.0608</v>
      </c>
      <c r="K2555" s="120">
        <f t="shared" si="982"/>
        <v>0</v>
      </c>
      <c r="L2555" s="120">
        <f t="shared" si="983"/>
        <v>0</v>
      </c>
      <c r="M2555" s="246">
        <f t="shared" si="984"/>
        <v>0</v>
      </c>
      <c r="N2555" s="121">
        <f t="shared" si="985"/>
        <v>1.0608</v>
      </c>
      <c r="O2555" s="246">
        <f t="shared" si="986"/>
        <v>0.99</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87">
        <v>48</v>
      </c>
      <c r="B2556" s="242">
        <f t="shared" si="993"/>
        <v>47088</v>
      </c>
      <c r="C2556" s="243">
        <f t="shared" si="974"/>
        <v>47118</v>
      </c>
      <c r="D2556" s="120">
        <f t="shared" si="975"/>
        <v>31</v>
      </c>
      <c r="E2556" s="120">
        <f t="shared" si="976"/>
        <v>12</v>
      </c>
      <c r="F2556" s="275">
        <f t="shared" si="977"/>
        <v>47103.5</v>
      </c>
      <c r="G2556" s="120">
        <f t="shared" si="978"/>
        <v>24347</v>
      </c>
      <c r="H2556" s="245">
        <f t="shared" si="979"/>
        <v>1</v>
      </c>
      <c r="I2556" s="121">
        <f t="shared" si="980"/>
        <v>1.0608</v>
      </c>
      <c r="J2556" s="121">
        <f t="shared" si="981"/>
        <v>1.0608</v>
      </c>
      <c r="K2556" s="120">
        <f t="shared" si="982"/>
        <v>0</v>
      </c>
      <c r="L2556" s="120">
        <f t="shared" si="983"/>
        <v>0</v>
      </c>
      <c r="M2556" s="246">
        <f t="shared" si="984"/>
        <v>0</v>
      </c>
      <c r="N2556" s="121">
        <f t="shared" si="985"/>
        <v>1.0608</v>
      </c>
      <c r="O2556" s="246">
        <f t="shared" si="986"/>
        <v>0.99</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1651</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24">
        <f>SUMPRODUCT($H$2509:$H$2556,$Q$2509:$Q$2556,$O$2509:$O$2556)/SUMPRODUCT($H$2509:$H$2556,$Q$2509:$Q$2556)</f>
        <v>0.9900000000000001</v>
      </c>
      <c r="G2557" s="224">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24">
        <f>IF(N(INDEX(lr_mind,47))=0,1,INDEX(lr_mind,47))</f>
        <v>1</v>
      </c>
      <c r="G2560" s="224">
        <f>IF(N(INDEX(lr_m0,47))=0,1,INDEX(lr_m0,47))</f>
        <v>0.99</v>
      </c>
      <c r="H2560" s="74">
        <f>IF(N(INDEX(lr_m0asof,47))=0,DATE(nr_PlanYear-1,10,1),INDEX(lr_m0asof,47))</f>
        <v>46295</v>
      </c>
      <c r="I2560" s="224">
        <f>IF(N(INDEX(lr_m1,47))=0,1,INDEX(lr_m1,47))</f>
        <v>1.0049999999999999</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94">EOMONTH($B2563,0)</f>
        <v>45688</v>
      </c>
      <c r="D2563" s="120">
        <f t="shared" ref="D2563:D2610" si="995">$C2563-$B2563+1</f>
        <v>31</v>
      </c>
      <c r="E2563" s="120">
        <f t="shared" ref="E2563:E2610" si="996">MONTH($B2563)</f>
        <v>1</v>
      </c>
      <c r="F2563" s="275">
        <f t="shared" ref="F2563:F2610" si="997">($B2563+$C2563+1)/2</f>
        <v>45673.5</v>
      </c>
      <c r="G2563" s="120">
        <f t="shared" ref="G2563:G2610" si="998">YEAR($B2563)*12+MONTH($B2563)-1</f>
        <v>24300</v>
      </c>
      <c r="H2563" s="245">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46">
        <f t="shared" ref="M2563:M2610" si="1004">IF($K2563=0,0,MIN(1,$L2563/$D2563))</f>
        <v>0</v>
      </c>
      <c r="N2563" s="121">
        <f t="shared" ref="N2563:N2610" si="1005">IF($K2563=0,$J2563,(1-$M2563)*$I2563+$M2563*$J2563)</f>
        <v>1</v>
      </c>
      <c r="O2563" s="246">
        <f t="shared" ref="O2563:O2610" si="1006">IF($F2563&lt;$B$2561,$E$2561+$I$2561*($F2563-$A$2561),IF($F2563&lt;$C$2561,$F$2561+$J$2561*($F2563-$B$2561),$G$2561+$K$2561*($F2563-$C$2561)))</f>
        <v>0.96956783369803068</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87">
        <v>2</v>
      </c>
      <c r="B2564" s="242">
        <f t="shared" ref="B2564:B2610" si="1013">EDATE($B2563,1)</f>
        <v>45689</v>
      </c>
      <c r="C2564" s="243">
        <f t="shared" si="994"/>
        <v>45716</v>
      </c>
      <c r="D2564" s="120">
        <f t="shared" si="995"/>
        <v>28</v>
      </c>
      <c r="E2564" s="120">
        <f t="shared" si="996"/>
        <v>2</v>
      </c>
      <c r="F2564" s="275">
        <f t="shared" si="997"/>
        <v>45703</v>
      </c>
      <c r="G2564" s="120">
        <f t="shared" si="998"/>
        <v>24301</v>
      </c>
      <c r="H2564" s="245">
        <f t="shared" si="999"/>
        <v>1</v>
      </c>
      <c r="I2564" s="121">
        <f t="shared" si="1000"/>
        <v>1</v>
      </c>
      <c r="J2564" s="121">
        <f t="shared" si="1001"/>
        <v>1</v>
      </c>
      <c r="K2564" s="120">
        <f t="shared" si="1002"/>
        <v>0</v>
      </c>
      <c r="L2564" s="120">
        <f t="shared" si="1003"/>
        <v>0</v>
      </c>
      <c r="M2564" s="246">
        <f t="shared" si="1004"/>
        <v>0</v>
      </c>
      <c r="N2564" s="121">
        <f t="shared" si="1005"/>
        <v>1</v>
      </c>
      <c r="O2564" s="246">
        <f t="shared" si="1006"/>
        <v>0.97053610503282284</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87">
        <v>3</v>
      </c>
      <c r="B2565" s="242">
        <f t="shared" si="1013"/>
        <v>45717</v>
      </c>
      <c r="C2565" s="243">
        <f t="shared" si="994"/>
        <v>45747</v>
      </c>
      <c r="D2565" s="120">
        <f t="shared" si="995"/>
        <v>31</v>
      </c>
      <c r="E2565" s="120">
        <f t="shared" si="996"/>
        <v>3</v>
      </c>
      <c r="F2565" s="275">
        <f t="shared" si="997"/>
        <v>45732.5</v>
      </c>
      <c r="G2565" s="120">
        <f t="shared" si="998"/>
        <v>24302</v>
      </c>
      <c r="H2565" s="245">
        <f t="shared" si="999"/>
        <v>1</v>
      </c>
      <c r="I2565" s="121">
        <f t="shared" si="1000"/>
        <v>1</v>
      </c>
      <c r="J2565" s="121">
        <f t="shared" si="1001"/>
        <v>1</v>
      </c>
      <c r="K2565" s="120">
        <f t="shared" si="1002"/>
        <v>0</v>
      </c>
      <c r="L2565" s="120">
        <f t="shared" si="1003"/>
        <v>0</v>
      </c>
      <c r="M2565" s="246">
        <f t="shared" si="1004"/>
        <v>0</v>
      </c>
      <c r="N2565" s="121">
        <f t="shared" si="1005"/>
        <v>1</v>
      </c>
      <c r="O2565" s="246">
        <f t="shared" si="1006"/>
        <v>0.971504376367615</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87">
        <v>4</v>
      </c>
      <c r="B2566" s="242">
        <f t="shared" si="1013"/>
        <v>45748</v>
      </c>
      <c r="C2566" s="243">
        <f t="shared" si="994"/>
        <v>45777</v>
      </c>
      <c r="D2566" s="120">
        <f t="shared" si="995"/>
        <v>30</v>
      </c>
      <c r="E2566" s="120">
        <f t="shared" si="996"/>
        <v>4</v>
      </c>
      <c r="F2566" s="275">
        <f t="shared" si="997"/>
        <v>45763</v>
      </c>
      <c r="G2566" s="120">
        <f t="shared" si="998"/>
        <v>24303</v>
      </c>
      <c r="H2566" s="245">
        <f t="shared" si="999"/>
        <v>1</v>
      </c>
      <c r="I2566" s="121">
        <f t="shared" si="1000"/>
        <v>1</v>
      </c>
      <c r="J2566" s="121">
        <f t="shared" si="1001"/>
        <v>1</v>
      </c>
      <c r="K2566" s="120">
        <f t="shared" si="1002"/>
        <v>0</v>
      </c>
      <c r="L2566" s="120">
        <f t="shared" si="1003"/>
        <v>0</v>
      </c>
      <c r="M2566" s="246">
        <f t="shared" si="1004"/>
        <v>0</v>
      </c>
      <c r="N2566" s="121">
        <f t="shared" si="1005"/>
        <v>1</v>
      </c>
      <c r="O2566" s="246">
        <f t="shared" si="1006"/>
        <v>0.97250547045951863</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87">
        <v>5</v>
      </c>
      <c r="B2567" s="242">
        <f t="shared" si="1013"/>
        <v>45778</v>
      </c>
      <c r="C2567" s="243">
        <f t="shared" si="994"/>
        <v>45808</v>
      </c>
      <c r="D2567" s="120">
        <f t="shared" si="995"/>
        <v>31</v>
      </c>
      <c r="E2567" s="120">
        <f t="shared" si="996"/>
        <v>5</v>
      </c>
      <c r="F2567" s="275">
        <f t="shared" si="997"/>
        <v>45793.5</v>
      </c>
      <c r="G2567" s="120">
        <f t="shared" si="998"/>
        <v>24304</v>
      </c>
      <c r="H2567" s="245">
        <f t="shared" si="999"/>
        <v>1</v>
      </c>
      <c r="I2567" s="121">
        <f t="shared" si="1000"/>
        <v>1</v>
      </c>
      <c r="J2567" s="121">
        <f t="shared" si="1001"/>
        <v>1</v>
      </c>
      <c r="K2567" s="120">
        <f t="shared" si="1002"/>
        <v>0</v>
      </c>
      <c r="L2567" s="120">
        <f t="shared" si="1003"/>
        <v>0</v>
      </c>
      <c r="M2567" s="246">
        <f t="shared" si="1004"/>
        <v>0</v>
      </c>
      <c r="N2567" s="121">
        <f t="shared" si="1005"/>
        <v>1</v>
      </c>
      <c r="O2567" s="246">
        <f t="shared" si="1006"/>
        <v>0.97350656455142237</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87">
        <v>6</v>
      </c>
      <c r="B2568" s="242">
        <f t="shared" si="1013"/>
        <v>45809</v>
      </c>
      <c r="C2568" s="243">
        <f t="shared" si="994"/>
        <v>45838</v>
      </c>
      <c r="D2568" s="120">
        <f t="shared" si="995"/>
        <v>30</v>
      </c>
      <c r="E2568" s="120">
        <f t="shared" si="996"/>
        <v>6</v>
      </c>
      <c r="F2568" s="275">
        <f t="shared" si="997"/>
        <v>45824</v>
      </c>
      <c r="G2568" s="120">
        <f t="shared" si="998"/>
        <v>24305</v>
      </c>
      <c r="H2568" s="245">
        <f t="shared" si="999"/>
        <v>1</v>
      </c>
      <c r="I2568" s="121">
        <f t="shared" si="1000"/>
        <v>1</v>
      </c>
      <c r="J2568" s="121">
        <f t="shared" si="1001"/>
        <v>1</v>
      </c>
      <c r="K2568" s="120">
        <f t="shared" si="1002"/>
        <v>0</v>
      </c>
      <c r="L2568" s="120">
        <f t="shared" si="1003"/>
        <v>0</v>
      </c>
      <c r="M2568" s="246">
        <f t="shared" si="1004"/>
        <v>0</v>
      </c>
      <c r="N2568" s="121">
        <f t="shared" si="1005"/>
        <v>1</v>
      </c>
      <c r="O2568" s="246">
        <f t="shared" si="1006"/>
        <v>0.97450765864332611</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87">
        <v>7</v>
      </c>
      <c r="B2569" s="242">
        <f t="shared" si="1013"/>
        <v>45839</v>
      </c>
      <c r="C2569" s="243">
        <f t="shared" si="994"/>
        <v>45869</v>
      </c>
      <c r="D2569" s="120">
        <f t="shared" si="995"/>
        <v>31</v>
      </c>
      <c r="E2569" s="120">
        <f t="shared" si="996"/>
        <v>7</v>
      </c>
      <c r="F2569" s="275">
        <f t="shared" si="997"/>
        <v>45854.5</v>
      </c>
      <c r="G2569" s="120">
        <f t="shared" si="998"/>
        <v>24306</v>
      </c>
      <c r="H2569" s="245">
        <f t="shared" si="999"/>
        <v>1</v>
      </c>
      <c r="I2569" s="121">
        <f t="shared" si="1000"/>
        <v>1</v>
      </c>
      <c r="J2569" s="121">
        <f t="shared" si="1001"/>
        <v>1</v>
      </c>
      <c r="K2569" s="120">
        <f t="shared" si="1002"/>
        <v>0</v>
      </c>
      <c r="L2569" s="120">
        <f t="shared" si="1003"/>
        <v>0</v>
      </c>
      <c r="M2569" s="246">
        <f t="shared" si="1004"/>
        <v>0</v>
      </c>
      <c r="N2569" s="121">
        <f t="shared" si="1005"/>
        <v>1</v>
      </c>
      <c r="O2569" s="246">
        <f t="shared" si="1006"/>
        <v>0.97550875273522986</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87">
        <v>8</v>
      </c>
      <c r="B2570" s="242">
        <f t="shared" si="1013"/>
        <v>45870</v>
      </c>
      <c r="C2570" s="243">
        <f t="shared" si="994"/>
        <v>45900</v>
      </c>
      <c r="D2570" s="120">
        <f t="shared" si="995"/>
        <v>31</v>
      </c>
      <c r="E2570" s="120">
        <f t="shared" si="996"/>
        <v>8</v>
      </c>
      <c r="F2570" s="275">
        <f t="shared" si="997"/>
        <v>45885.5</v>
      </c>
      <c r="G2570" s="120">
        <f t="shared" si="998"/>
        <v>24307</v>
      </c>
      <c r="H2570" s="245">
        <f t="shared" si="999"/>
        <v>1</v>
      </c>
      <c r="I2570" s="121">
        <f t="shared" si="1000"/>
        <v>1</v>
      </c>
      <c r="J2570" s="121">
        <f t="shared" si="1001"/>
        <v>1</v>
      </c>
      <c r="K2570" s="120">
        <f t="shared" si="1002"/>
        <v>0</v>
      </c>
      <c r="L2570" s="120">
        <f t="shared" si="1003"/>
        <v>0</v>
      </c>
      <c r="M2570" s="246">
        <f t="shared" si="1004"/>
        <v>0</v>
      </c>
      <c r="N2570" s="121">
        <f t="shared" si="1005"/>
        <v>1</v>
      </c>
      <c r="O2570" s="246">
        <f t="shared" si="1006"/>
        <v>0.97652625820568928</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87">
        <v>9</v>
      </c>
      <c r="B2571" s="242">
        <f t="shared" si="1013"/>
        <v>45901</v>
      </c>
      <c r="C2571" s="243">
        <f t="shared" si="994"/>
        <v>45930</v>
      </c>
      <c r="D2571" s="120">
        <f t="shared" si="995"/>
        <v>30</v>
      </c>
      <c r="E2571" s="120">
        <f t="shared" si="996"/>
        <v>9</v>
      </c>
      <c r="F2571" s="275">
        <f t="shared" si="997"/>
        <v>45916</v>
      </c>
      <c r="G2571" s="120">
        <f t="shared" si="998"/>
        <v>24308</v>
      </c>
      <c r="H2571" s="245">
        <f t="shared" si="999"/>
        <v>1</v>
      </c>
      <c r="I2571" s="121">
        <f t="shared" si="1000"/>
        <v>1</v>
      </c>
      <c r="J2571" s="121">
        <f t="shared" si="1001"/>
        <v>1</v>
      </c>
      <c r="K2571" s="120">
        <f t="shared" si="1002"/>
        <v>0</v>
      </c>
      <c r="L2571" s="120">
        <f t="shared" si="1003"/>
        <v>0</v>
      </c>
      <c r="M2571" s="246">
        <f t="shared" si="1004"/>
        <v>0</v>
      </c>
      <c r="N2571" s="121">
        <f t="shared" si="1005"/>
        <v>1</v>
      </c>
      <c r="O2571" s="246">
        <f t="shared" si="1006"/>
        <v>0.97752735229759302</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87">
        <v>10</v>
      </c>
      <c r="B2572" s="242">
        <f t="shared" si="1013"/>
        <v>45931</v>
      </c>
      <c r="C2572" s="243">
        <f t="shared" si="994"/>
        <v>45961</v>
      </c>
      <c r="D2572" s="120">
        <f t="shared" si="995"/>
        <v>31</v>
      </c>
      <c r="E2572" s="120">
        <f t="shared" si="996"/>
        <v>10</v>
      </c>
      <c r="F2572" s="275">
        <f t="shared" si="997"/>
        <v>45946.5</v>
      </c>
      <c r="G2572" s="120">
        <f t="shared" si="998"/>
        <v>24309</v>
      </c>
      <c r="H2572" s="245">
        <f t="shared" si="999"/>
        <v>1</v>
      </c>
      <c r="I2572" s="121">
        <f t="shared" si="1000"/>
        <v>1</v>
      </c>
      <c r="J2572" s="121">
        <f t="shared" si="1001"/>
        <v>1</v>
      </c>
      <c r="K2572" s="120">
        <f t="shared" si="1002"/>
        <v>0</v>
      </c>
      <c r="L2572" s="120">
        <f t="shared" si="1003"/>
        <v>0</v>
      </c>
      <c r="M2572" s="246">
        <f t="shared" si="1004"/>
        <v>0</v>
      </c>
      <c r="N2572" s="121">
        <f t="shared" si="1005"/>
        <v>1</v>
      </c>
      <c r="O2572" s="246">
        <f t="shared" si="1006"/>
        <v>0.97852844638949676</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87">
        <v>11</v>
      </c>
      <c r="B2573" s="242">
        <f t="shared" si="1013"/>
        <v>45962</v>
      </c>
      <c r="C2573" s="243">
        <f t="shared" si="994"/>
        <v>45991</v>
      </c>
      <c r="D2573" s="120">
        <f t="shared" si="995"/>
        <v>30</v>
      </c>
      <c r="E2573" s="120">
        <f t="shared" si="996"/>
        <v>11</v>
      </c>
      <c r="F2573" s="275">
        <f t="shared" si="997"/>
        <v>45977</v>
      </c>
      <c r="G2573" s="120">
        <f t="shared" si="998"/>
        <v>24310</v>
      </c>
      <c r="H2573" s="245">
        <f t="shared" si="999"/>
        <v>1</v>
      </c>
      <c r="I2573" s="121">
        <f t="shared" si="1000"/>
        <v>1</v>
      </c>
      <c r="J2573" s="121">
        <f t="shared" si="1001"/>
        <v>1</v>
      </c>
      <c r="K2573" s="120">
        <f t="shared" si="1002"/>
        <v>0</v>
      </c>
      <c r="L2573" s="120">
        <f t="shared" si="1003"/>
        <v>0</v>
      </c>
      <c r="M2573" s="246">
        <f t="shared" si="1004"/>
        <v>0</v>
      </c>
      <c r="N2573" s="121">
        <f t="shared" si="1005"/>
        <v>1</v>
      </c>
      <c r="O2573" s="246">
        <f t="shared" si="1006"/>
        <v>0.97952954048140051</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87">
        <v>12</v>
      </c>
      <c r="B2574" s="242">
        <f t="shared" si="1013"/>
        <v>45992</v>
      </c>
      <c r="C2574" s="243">
        <f t="shared" si="994"/>
        <v>46022</v>
      </c>
      <c r="D2574" s="120">
        <f t="shared" si="995"/>
        <v>31</v>
      </c>
      <c r="E2574" s="120">
        <f t="shared" si="996"/>
        <v>12</v>
      </c>
      <c r="F2574" s="275">
        <f t="shared" si="997"/>
        <v>46007.5</v>
      </c>
      <c r="G2574" s="120">
        <f t="shared" si="998"/>
        <v>24311</v>
      </c>
      <c r="H2574" s="245">
        <f t="shared" si="999"/>
        <v>1</v>
      </c>
      <c r="I2574" s="121">
        <f t="shared" si="1000"/>
        <v>1</v>
      </c>
      <c r="J2574" s="121">
        <f t="shared" si="1001"/>
        <v>1</v>
      </c>
      <c r="K2574" s="120">
        <f t="shared" si="1002"/>
        <v>0</v>
      </c>
      <c r="L2574" s="120">
        <f t="shared" si="1003"/>
        <v>0</v>
      </c>
      <c r="M2574" s="246">
        <f t="shared" si="1004"/>
        <v>0</v>
      </c>
      <c r="N2574" s="121">
        <f t="shared" si="1005"/>
        <v>1</v>
      </c>
      <c r="O2574" s="246">
        <f t="shared" si="1006"/>
        <v>0.98053063457330414</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87">
        <v>13</v>
      </c>
      <c r="B2575" s="242">
        <f t="shared" si="1013"/>
        <v>46023</v>
      </c>
      <c r="C2575" s="243">
        <f t="shared" si="994"/>
        <v>46053</v>
      </c>
      <c r="D2575" s="120">
        <f t="shared" si="995"/>
        <v>31</v>
      </c>
      <c r="E2575" s="120">
        <f t="shared" si="996"/>
        <v>1</v>
      </c>
      <c r="F2575" s="275">
        <f t="shared" si="997"/>
        <v>46038.5</v>
      </c>
      <c r="G2575" s="120">
        <f t="shared" si="998"/>
        <v>24312</v>
      </c>
      <c r="H2575" s="245">
        <f t="shared" si="999"/>
        <v>1</v>
      </c>
      <c r="I2575" s="121">
        <f t="shared" si="1000"/>
        <v>1</v>
      </c>
      <c r="J2575" s="121">
        <f t="shared" si="1001"/>
        <v>1</v>
      </c>
      <c r="K2575" s="120">
        <f t="shared" si="1002"/>
        <v>0</v>
      </c>
      <c r="L2575" s="120">
        <f t="shared" si="1003"/>
        <v>0</v>
      </c>
      <c r="M2575" s="246">
        <f t="shared" si="1004"/>
        <v>0</v>
      </c>
      <c r="N2575" s="121">
        <f t="shared" si="1005"/>
        <v>1</v>
      </c>
      <c r="O2575" s="246">
        <f t="shared" si="1006"/>
        <v>0.98154814004376367</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87">
        <v>14</v>
      </c>
      <c r="B2576" s="242">
        <f t="shared" si="1013"/>
        <v>46054</v>
      </c>
      <c r="C2576" s="243">
        <f t="shared" si="994"/>
        <v>46081</v>
      </c>
      <c r="D2576" s="120">
        <f t="shared" si="995"/>
        <v>28</v>
      </c>
      <c r="E2576" s="120">
        <f t="shared" si="996"/>
        <v>2</v>
      </c>
      <c r="F2576" s="275">
        <f t="shared" si="997"/>
        <v>46068</v>
      </c>
      <c r="G2576" s="120">
        <f t="shared" si="998"/>
        <v>24313</v>
      </c>
      <c r="H2576" s="245">
        <f t="shared" si="999"/>
        <v>1</v>
      </c>
      <c r="I2576" s="121">
        <f t="shared" si="1000"/>
        <v>1</v>
      </c>
      <c r="J2576" s="121">
        <f t="shared" si="1001"/>
        <v>1</v>
      </c>
      <c r="K2576" s="120">
        <f t="shared" si="1002"/>
        <v>0</v>
      </c>
      <c r="L2576" s="120">
        <f t="shared" si="1003"/>
        <v>0</v>
      </c>
      <c r="M2576" s="246">
        <f t="shared" si="1004"/>
        <v>0</v>
      </c>
      <c r="N2576" s="121">
        <f t="shared" si="1005"/>
        <v>1</v>
      </c>
      <c r="O2576" s="246">
        <f t="shared" si="1006"/>
        <v>0.98251641137855583</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87">
        <v>15</v>
      </c>
      <c r="B2577" s="242">
        <f t="shared" si="1013"/>
        <v>46082</v>
      </c>
      <c r="C2577" s="243">
        <f t="shared" si="994"/>
        <v>46112</v>
      </c>
      <c r="D2577" s="120">
        <f t="shared" si="995"/>
        <v>31</v>
      </c>
      <c r="E2577" s="120">
        <f t="shared" si="996"/>
        <v>3</v>
      </c>
      <c r="F2577" s="275">
        <f t="shared" si="997"/>
        <v>46097.5</v>
      </c>
      <c r="G2577" s="120">
        <f t="shared" si="998"/>
        <v>24314</v>
      </c>
      <c r="H2577" s="245">
        <f t="shared" si="999"/>
        <v>1</v>
      </c>
      <c r="I2577" s="121">
        <f t="shared" si="1000"/>
        <v>1</v>
      </c>
      <c r="J2577" s="121">
        <f t="shared" si="1001"/>
        <v>1</v>
      </c>
      <c r="K2577" s="120">
        <f t="shared" si="1002"/>
        <v>0</v>
      </c>
      <c r="L2577" s="120">
        <f t="shared" si="1003"/>
        <v>0</v>
      </c>
      <c r="M2577" s="246">
        <f t="shared" si="1004"/>
        <v>0</v>
      </c>
      <c r="N2577" s="121">
        <f t="shared" si="1005"/>
        <v>1</v>
      </c>
      <c r="O2577" s="246">
        <f t="shared" si="1006"/>
        <v>0.98348468271334799</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87">
        <v>16</v>
      </c>
      <c r="B2578" s="242">
        <f t="shared" si="1013"/>
        <v>46113</v>
      </c>
      <c r="C2578" s="243">
        <f t="shared" si="994"/>
        <v>46142</v>
      </c>
      <c r="D2578" s="120">
        <f t="shared" si="995"/>
        <v>30</v>
      </c>
      <c r="E2578" s="120">
        <f t="shared" si="996"/>
        <v>4</v>
      </c>
      <c r="F2578" s="275">
        <f t="shared" si="997"/>
        <v>46128</v>
      </c>
      <c r="G2578" s="120">
        <f t="shared" si="998"/>
        <v>24315</v>
      </c>
      <c r="H2578" s="245">
        <f t="shared" si="999"/>
        <v>1</v>
      </c>
      <c r="I2578" s="121">
        <f t="shared" si="1000"/>
        <v>1</v>
      </c>
      <c r="J2578" s="121">
        <f t="shared" si="1001"/>
        <v>1</v>
      </c>
      <c r="K2578" s="120">
        <f t="shared" si="1002"/>
        <v>0</v>
      </c>
      <c r="L2578" s="120">
        <f t="shared" si="1003"/>
        <v>0</v>
      </c>
      <c r="M2578" s="246">
        <f t="shared" si="1004"/>
        <v>0</v>
      </c>
      <c r="N2578" s="121">
        <f t="shared" si="1005"/>
        <v>1</v>
      </c>
      <c r="O2578" s="246">
        <f t="shared" si="1006"/>
        <v>0.98448577680525162</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87">
        <v>17</v>
      </c>
      <c r="B2579" s="242">
        <f t="shared" si="1013"/>
        <v>46143</v>
      </c>
      <c r="C2579" s="243">
        <f t="shared" si="994"/>
        <v>46173</v>
      </c>
      <c r="D2579" s="120">
        <f t="shared" si="995"/>
        <v>31</v>
      </c>
      <c r="E2579" s="120">
        <f t="shared" si="996"/>
        <v>5</v>
      </c>
      <c r="F2579" s="275">
        <f t="shared" si="997"/>
        <v>46158.5</v>
      </c>
      <c r="G2579" s="120">
        <f t="shared" si="998"/>
        <v>24316</v>
      </c>
      <c r="H2579" s="245">
        <f t="shared" si="999"/>
        <v>1</v>
      </c>
      <c r="I2579" s="121">
        <f t="shared" si="1000"/>
        <v>1</v>
      </c>
      <c r="J2579" s="121">
        <f t="shared" si="1001"/>
        <v>1</v>
      </c>
      <c r="K2579" s="120">
        <f t="shared" si="1002"/>
        <v>0</v>
      </c>
      <c r="L2579" s="120">
        <f t="shared" si="1003"/>
        <v>0</v>
      </c>
      <c r="M2579" s="246">
        <f t="shared" si="1004"/>
        <v>0</v>
      </c>
      <c r="N2579" s="121">
        <f t="shared" si="1005"/>
        <v>1</v>
      </c>
      <c r="O2579" s="246">
        <f t="shared" si="1006"/>
        <v>0.98548687089715536</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87">
        <v>18</v>
      </c>
      <c r="B2580" s="242">
        <f t="shared" si="1013"/>
        <v>46174</v>
      </c>
      <c r="C2580" s="243">
        <f t="shared" si="994"/>
        <v>46203</v>
      </c>
      <c r="D2580" s="120">
        <f t="shared" si="995"/>
        <v>30</v>
      </c>
      <c r="E2580" s="120">
        <f t="shared" si="996"/>
        <v>6</v>
      </c>
      <c r="F2580" s="275">
        <f t="shared" si="997"/>
        <v>46189</v>
      </c>
      <c r="G2580" s="120">
        <f t="shared" si="998"/>
        <v>24317</v>
      </c>
      <c r="H2580" s="245">
        <f t="shared" si="999"/>
        <v>1</v>
      </c>
      <c r="I2580" s="121">
        <f t="shared" si="1000"/>
        <v>1</v>
      </c>
      <c r="J2580" s="121">
        <f t="shared" si="1001"/>
        <v>1</v>
      </c>
      <c r="K2580" s="120">
        <f t="shared" si="1002"/>
        <v>0</v>
      </c>
      <c r="L2580" s="120">
        <f t="shared" si="1003"/>
        <v>0</v>
      </c>
      <c r="M2580" s="246">
        <f t="shared" si="1004"/>
        <v>0</v>
      </c>
      <c r="N2580" s="121">
        <f t="shared" si="1005"/>
        <v>1</v>
      </c>
      <c r="O2580" s="246">
        <f t="shared" si="1006"/>
        <v>0.98648796498905911</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87">
        <v>19</v>
      </c>
      <c r="B2581" s="242">
        <f t="shared" si="1013"/>
        <v>46204</v>
      </c>
      <c r="C2581" s="243">
        <f t="shared" si="994"/>
        <v>46234</v>
      </c>
      <c r="D2581" s="120">
        <f t="shared" si="995"/>
        <v>31</v>
      </c>
      <c r="E2581" s="120">
        <f t="shared" si="996"/>
        <v>7</v>
      </c>
      <c r="F2581" s="275">
        <f t="shared" si="997"/>
        <v>46219.5</v>
      </c>
      <c r="G2581" s="120">
        <f t="shared" si="998"/>
        <v>24318</v>
      </c>
      <c r="H2581" s="245">
        <f t="shared" si="999"/>
        <v>1</v>
      </c>
      <c r="I2581" s="121">
        <f t="shared" si="1000"/>
        <v>1</v>
      </c>
      <c r="J2581" s="121">
        <f t="shared" si="1001"/>
        <v>1</v>
      </c>
      <c r="K2581" s="120">
        <f t="shared" si="1002"/>
        <v>0</v>
      </c>
      <c r="L2581" s="120">
        <f t="shared" si="1003"/>
        <v>0</v>
      </c>
      <c r="M2581" s="246">
        <f t="shared" si="1004"/>
        <v>0</v>
      </c>
      <c r="N2581" s="121">
        <f t="shared" si="1005"/>
        <v>1</v>
      </c>
      <c r="O2581" s="246">
        <f t="shared" si="1006"/>
        <v>0.98748905908096285</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87">
        <v>20</v>
      </c>
      <c r="B2582" s="242">
        <f t="shared" si="1013"/>
        <v>46235</v>
      </c>
      <c r="C2582" s="243">
        <f t="shared" si="994"/>
        <v>46265</v>
      </c>
      <c r="D2582" s="120">
        <f t="shared" si="995"/>
        <v>31</v>
      </c>
      <c r="E2582" s="120">
        <f t="shared" si="996"/>
        <v>8</v>
      </c>
      <c r="F2582" s="275">
        <f t="shared" si="997"/>
        <v>46250.5</v>
      </c>
      <c r="G2582" s="120">
        <f t="shared" si="998"/>
        <v>24319</v>
      </c>
      <c r="H2582" s="245">
        <f t="shared" si="999"/>
        <v>1</v>
      </c>
      <c r="I2582" s="121">
        <f t="shared" si="1000"/>
        <v>1</v>
      </c>
      <c r="J2582" s="121">
        <f t="shared" si="1001"/>
        <v>1</v>
      </c>
      <c r="K2582" s="120">
        <f t="shared" si="1002"/>
        <v>0</v>
      </c>
      <c r="L2582" s="120">
        <f t="shared" si="1003"/>
        <v>0</v>
      </c>
      <c r="M2582" s="246">
        <f t="shared" si="1004"/>
        <v>0</v>
      </c>
      <c r="N2582" s="121">
        <f t="shared" si="1005"/>
        <v>1</v>
      </c>
      <c r="O2582" s="246">
        <f t="shared" si="1006"/>
        <v>0.98850656455142227</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87">
        <v>21</v>
      </c>
      <c r="B2583" s="242">
        <f t="shared" si="1013"/>
        <v>46266</v>
      </c>
      <c r="C2583" s="243">
        <f t="shared" si="994"/>
        <v>46295</v>
      </c>
      <c r="D2583" s="120">
        <f t="shared" si="995"/>
        <v>30</v>
      </c>
      <c r="E2583" s="120">
        <f t="shared" si="996"/>
        <v>9</v>
      </c>
      <c r="F2583" s="275">
        <f t="shared" si="997"/>
        <v>46281</v>
      </c>
      <c r="G2583" s="120">
        <f t="shared" si="998"/>
        <v>24320</v>
      </c>
      <c r="H2583" s="245">
        <f t="shared" si="999"/>
        <v>1</v>
      </c>
      <c r="I2583" s="121">
        <f t="shared" si="1000"/>
        <v>1</v>
      </c>
      <c r="J2583" s="121">
        <f t="shared" si="1001"/>
        <v>1</v>
      </c>
      <c r="K2583" s="120">
        <f t="shared" si="1002"/>
        <v>0</v>
      </c>
      <c r="L2583" s="120">
        <f t="shared" si="1003"/>
        <v>0</v>
      </c>
      <c r="M2583" s="246">
        <f t="shared" si="1004"/>
        <v>0</v>
      </c>
      <c r="N2583" s="121">
        <f t="shared" si="1005"/>
        <v>1</v>
      </c>
      <c r="O2583" s="246">
        <f t="shared" si="1006"/>
        <v>0.98950765864332602</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87">
        <v>22</v>
      </c>
      <c r="B2584" s="242">
        <f t="shared" si="1013"/>
        <v>46296</v>
      </c>
      <c r="C2584" s="243">
        <f t="shared" si="994"/>
        <v>46326</v>
      </c>
      <c r="D2584" s="120">
        <f t="shared" si="995"/>
        <v>31</v>
      </c>
      <c r="E2584" s="120">
        <f t="shared" si="996"/>
        <v>10</v>
      </c>
      <c r="F2584" s="275">
        <f t="shared" si="997"/>
        <v>46311.5</v>
      </c>
      <c r="G2584" s="120">
        <f t="shared" si="998"/>
        <v>24321</v>
      </c>
      <c r="H2584" s="245">
        <f t="shared" si="999"/>
        <v>1</v>
      </c>
      <c r="I2584" s="121">
        <f t="shared" si="1000"/>
        <v>1</v>
      </c>
      <c r="J2584" s="121">
        <f t="shared" si="1001"/>
        <v>1</v>
      </c>
      <c r="K2584" s="120">
        <f t="shared" si="1002"/>
        <v>0</v>
      </c>
      <c r="L2584" s="120">
        <f t="shared" si="1003"/>
        <v>0</v>
      </c>
      <c r="M2584" s="246">
        <f t="shared" si="1004"/>
        <v>0</v>
      </c>
      <c r="N2584" s="121">
        <f t="shared" si="1005"/>
        <v>1</v>
      </c>
      <c r="O2584" s="246">
        <f t="shared" si="1006"/>
        <v>0.99050875273522976</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87">
        <v>23</v>
      </c>
      <c r="B2585" s="242">
        <f t="shared" si="1013"/>
        <v>46327</v>
      </c>
      <c r="C2585" s="243">
        <f t="shared" si="994"/>
        <v>46356</v>
      </c>
      <c r="D2585" s="120">
        <f t="shared" si="995"/>
        <v>30</v>
      </c>
      <c r="E2585" s="120">
        <f t="shared" si="996"/>
        <v>11</v>
      </c>
      <c r="F2585" s="275">
        <f t="shared" si="997"/>
        <v>46342</v>
      </c>
      <c r="G2585" s="120">
        <f t="shared" si="998"/>
        <v>24322</v>
      </c>
      <c r="H2585" s="245">
        <f t="shared" si="999"/>
        <v>1</v>
      </c>
      <c r="I2585" s="121">
        <f t="shared" si="1000"/>
        <v>1</v>
      </c>
      <c r="J2585" s="121">
        <f t="shared" si="1001"/>
        <v>1</v>
      </c>
      <c r="K2585" s="120">
        <f t="shared" si="1002"/>
        <v>0</v>
      </c>
      <c r="L2585" s="120">
        <f t="shared" si="1003"/>
        <v>0</v>
      </c>
      <c r="M2585" s="246">
        <f t="shared" si="1004"/>
        <v>0</v>
      </c>
      <c r="N2585" s="121">
        <f t="shared" si="1005"/>
        <v>1</v>
      </c>
      <c r="O2585" s="246">
        <f t="shared" si="1006"/>
        <v>0.9915098468271335</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87">
        <v>24</v>
      </c>
      <c r="B2586" s="242">
        <f t="shared" si="1013"/>
        <v>46357</v>
      </c>
      <c r="C2586" s="243">
        <f t="shared" si="994"/>
        <v>46387</v>
      </c>
      <c r="D2586" s="120">
        <f t="shared" si="995"/>
        <v>31</v>
      </c>
      <c r="E2586" s="120">
        <f t="shared" si="996"/>
        <v>12</v>
      </c>
      <c r="F2586" s="275">
        <f t="shared" si="997"/>
        <v>46372.5</v>
      </c>
      <c r="G2586" s="120">
        <f t="shared" si="998"/>
        <v>24323</v>
      </c>
      <c r="H2586" s="245">
        <f t="shared" si="999"/>
        <v>1</v>
      </c>
      <c r="I2586" s="121">
        <f t="shared" si="1000"/>
        <v>1</v>
      </c>
      <c r="J2586" s="121">
        <f t="shared" si="1001"/>
        <v>1</v>
      </c>
      <c r="K2586" s="120">
        <f t="shared" si="1002"/>
        <v>0</v>
      </c>
      <c r="L2586" s="120">
        <f t="shared" si="1003"/>
        <v>0</v>
      </c>
      <c r="M2586" s="246">
        <f t="shared" si="1004"/>
        <v>0</v>
      </c>
      <c r="N2586" s="121">
        <f t="shared" si="1005"/>
        <v>1</v>
      </c>
      <c r="O2586" s="246">
        <f t="shared" si="1006"/>
        <v>0.99251094091903713</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87">
        <v>25</v>
      </c>
      <c r="B2587" s="242">
        <f t="shared" si="1013"/>
        <v>46388</v>
      </c>
      <c r="C2587" s="243">
        <f t="shared" si="994"/>
        <v>46418</v>
      </c>
      <c r="D2587" s="120">
        <f t="shared" si="995"/>
        <v>31</v>
      </c>
      <c r="E2587" s="120">
        <f t="shared" si="996"/>
        <v>1</v>
      </c>
      <c r="F2587" s="275">
        <f t="shared" si="997"/>
        <v>46403.5</v>
      </c>
      <c r="G2587" s="120">
        <f t="shared" si="998"/>
        <v>24324</v>
      </c>
      <c r="H2587" s="245">
        <f t="shared" si="999"/>
        <v>1</v>
      </c>
      <c r="I2587" s="121">
        <f t="shared" si="1000"/>
        <v>1</v>
      </c>
      <c r="J2587" s="121">
        <f t="shared" si="1001"/>
        <v>1</v>
      </c>
      <c r="K2587" s="120">
        <f t="shared" si="1002"/>
        <v>0</v>
      </c>
      <c r="L2587" s="120">
        <f t="shared" si="1003"/>
        <v>0</v>
      </c>
      <c r="M2587" s="246">
        <f t="shared" si="1004"/>
        <v>0</v>
      </c>
      <c r="N2587" s="121">
        <f t="shared" si="1005"/>
        <v>1</v>
      </c>
      <c r="O2587" s="246">
        <f t="shared" si="1006"/>
        <v>0.99352844638949667</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87">
        <v>26</v>
      </c>
      <c r="B2588" s="242">
        <f t="shared" si="1013"/>
        <v>46419</v>
      </c>
      <c r="C2588" s="243">
        <f t="shared" si="994"/>
        <v>46446</v>
      </c>
      <c r="D2588" s="120">
        <f t="shared" si="995"/>
        <v>28</v>
      </c>
      <c r="E2588" s="120">
        <f t="shared" si="996"/>
        <v>2</v>
      </c>
      <c r="F2588" s="275">
        <f t="shared" si="997"/>
        <v>46433</v>
      </c>
      <c r="G2588" s="120">
        <f t="shared" si="998"/>
        <v>24325</v>
      </c>
      <c r="H2588" s="245">
        <f t="shared" si="999"/>
        <v>1</v>
      </c>
      <c r="I2588" s="121">
        <f t="shared" si="1000"/>
        <v>1</v>
      </c>
      <c r="J2588" s="121">
        <f t="shared" si="1001"/>
        <v>1</v>
      </c>
      <c r="K2588" s="120">
        <f t="shared" si="1002"/>
        <v>0</v>
      </c>
      <c r="L2588" s="120">
        <f t="shared" si="1003"/>
        <v>0</v>
      </c>
      <c r="M2588" s="246">
        <f t="shared" si="1004"/>
        <v>0</v>
      </c>
      <c r="N2588" s="121">
        <f t="shared" si="1005"/>
        <v>1</v>
      </c>
      <c r="O2588" s="246">
        <f t="shared" si="1006"/>
        <v>0.99449671772428883</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87">
        <v>27</v>
      </c>
      <c r="B2589" s="242">
        <f t="shared" si="1013"/>
        <v>46447</v>
      </c>
      <c r="C2589" s="243">
        <f t="shared" si="994"/>
        <v>46477</v>
      </c>
      <c r="D2589" s="120">
        <f t="shared" si="995"/>
        <v>31</v>
      </c>
      <c r="E2589" s="120">
        <f t="shared" si="996"/>
        <v>3</v>
      </c>
      <c r="F2589" s="275">
        <f t="shared" si="997"/>
        <v>46462.5</v>
      </c>
      <c r="G2589" s="120">
        <f t="shared" si="998"/>
        <v>24326</v>
      </c>
      <c r="H2589" s="245">
        <f t="shared" si="999"/>
        <v>1</v>
      </c>
      <c r="I2589" s="121">
        <f t="shared" si="1000"/>
        <v>1</v>
      </c>
      <c r="J2589" s="121">
        <f t="shared" si="1001"/>
        <v>1</v>
      </c>
      <c r="K2589" s="120">
        <f t="shared" si="1002"/>
        <v>0</v>
      </c>
      <c r="L2589" s="120">
        <f t="shared" si="1003"/>
        <v>0</v>
      </c>
      <c r="M2589" s="246">
        <f t="shared" si="1004"/>
        <v>0</v>
      </c>
      <c r="N2589" s="121">
        <f t="shared" si="1005"/>
        <v>1</v>
      </c>
      <c r="O2589" s="246">
        <f t="shared" si="1006"/>
        <v>0.99546498905908087</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87">
        <v>28</v>
      </c>
      <c r="B2590" s="242">
        <f t="shared" si="1013"/>
        <v>46478</v>
      </c>
      <c r="C2590" s="243">
        <f t="shared" si="994"/>
        <v>46507</v>
      </c>
      <c r="D2590" s="120">
        <f t="shared" si="995"/>
        <v>30</v>
      </c>
      <c r="E2590" s="120">
        <f t="shared" si="996"/>
        <v>4</v>
      </c>
      <c r="F2590" s="275">
        <f t="shared" si="997"/>
        <v>46493</v>
      </c>
      <c r="G2590" s="120">
        <f t="shared" si="998"/>
        <v>24327</v>
      </c>
      <c r="H2590" s="245">
        <f t="shared" si="999"/>
        <v>1</v>
      </c>
      <c r="I2590" s="121">
        <f t="shared" si="1000"/>
        <v>1</v>
      </c>
      <c r="J2590" s="121">
        <f t="shared" si="1001"/>
        <v>1</v>
      </c>
      <c r="K2590" s="120">
        <f t="shared" si="1002"/>
        <v>0</v>
      </c>
      <c r="L2590" s="120">
        <f t="shared" si="1003"/>
        <v>0</v>
      </c>
      <c r="M2590" s="246">
        <f t="shared" si="1004"/>
        <v>0</v>
      </c>
      <c r="N2590" s="121">
        <f t="shared" si="1005"/>
        <v>1</v>
      </c>
      <c r="O2590" s="246">
        <f t="shared" si="1006"/>
        <v>0.99646608315098462</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87">
        <v>29</v>
      </c>
      <c r="B2591" s="242">
        <f t="shared" si="1013"/>
        <v>46508</v>
      </c>
      <c r="C2591" s="243">
        <f t="shared" si="994"/>
        <v>46538</v>
      </c>
      <c r="D2591" s="120">
        <f t="shared" si="995"/>
        <v>31</v>
      </c>
      <c r="E2591" s="120">
        <f t="shared" si="996"/>
        <v>5</v>
      </c>
      <c r="F2591" s="275">
        <f t="shared" si="997"/>
        <v>46523.5</v>
      </c>
      <c r="G2591" s="120">
        <f t="shared" si="998"/>
        <v>24328</v>
      </c>
      <c r="H2591" s="245">
        <f t="shared" si="999"/>
        <v>1</v>
      </c>
      <c r="I2591" s="121">
        <f t="shared" si="1000"/>
        <v>1</v>
      </c>
      <c r="J2591" s="121">
        <f t="shared" si="1001"/>
        <v>1</v>
      </c>
      <c r="K2591" s="120">
        <f t="shared" si="1002"/>
        <v>0</v>
      </c>
      <c r="L2591" s="120">
        <f t="shared" si="1003"/>
        <v>0</v>
      </c>
      <c r="M2591" s="246">
        <f t="shared" si="1004"/>
        <v>0</v>
      </c>
      <c r="N2591" s="121">
        <f t="shared" si="1005"/>
        <v>1</v>
      </c>
      <c r="O2591" s="246">
        <f t="shared" si="1006"/>
        <v>0.99746717724288836</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87">
        <v>30</v>
      </c>
      <c r="B2592" s="242">
        <f t="shared" si="1013"/>
        <v>46539</v>
      </c>
      <c r="C2592" s="243">
        <f t="shared" si="994"/>
        <v>46568</v>
      </c>
      <c r="D2592" s="120">
        <f t="shared" si="995"/>
        <v>30</v>
      </c>
      <c r="E2592" s="120">
        <f t="shared" si="996"/>
        <v>6</v>
      </c>
      <c r="F2592" s="275">
        <f t="shared" si="997"/>
        <v>46554</v>
      </c>
      <c r="G2592" s="120">
        <f t="shared" si="998"/>
        <v>24329</v>
      </c>
      <c r="H2592" s="245">
        <f t="shared" si="999"/>
        <v>1</v>
      </c>
      <c r="I2592" s="121">
        <f t="shared" si="1000"/>
        <v>1</v>
      </c>
      <c r="J2592" s="121">
        <f t="shared" si="1001"/>
        <v>1</v>
      </c>
      <c r="K2592" s="120">
        <f t="shared" si="1002"/>
        <v>0</v>
      </c>
      <c r="L2592" s="120">
        <f t="shared" si="1003"/>
        <v>0</v>
      </c>
      <c r="M2592" s="246">
        <f t="shared" si="1004"/>
        <v>0</v>
      </c>
      <c r="N2592" s="121">
        <f t="shared" si="1005"/>
        <v>1</v>
      </c>
      <c r="O2592" s="246">
        <f t="shared" si="1006"/>
        <v>0.9984682713347921</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87">
        <v>31</v>
      </c>
      <c r="B2593" s="242">
        <f t="shared" si="1013"/>
        <v>46569</v>
      </c>
      <c r="C2593" s="243">
        <f t="shared" si="994"/>
        <v>46599</v>
      </c>
      <c r="D2593" s="120">
        <f t="shared" si="995"/>
        <v>31</v>
      </c>
      <c r="E2593" s="120">
        <f t="shared" si="996"/>
        <v>7</v>
      </c>
      <c r="F2593" s="275">
        <f t="shared" si="997"/>
        <v>46584.5</v>
      </c>
      <c r="G2593" s="120">
        <f t="shared" si="998"/>
        <v>24330</v>
      </c>
      <c r="H2593" s="245">
        <f t="shared" si="999"/>
        <v>1</v>
      </c>
      <c r="I2593" s="121">
        <f t="shared" si="1000"/>
        <v>1</v>
      </c>
      <c r="J2593" s="121">
        <f t="shared" si="1001"/>
        <v>1</v>
      </c>
      <c r="K2593" s="120">
        <f t="shared" si="1002"/>
        <v>0</v>
      </c>
      <c r="L2593" s="120">
        <f t="shared" si="1003"/>
        <v>0</v>
      </c>
      <c r="M2593" s="246">
        <f t="shared" si="1004"/>
        <v>0</v>
      </c>
      <c r="N2593" s="121">
        <f t="shared" si="1005"/>
        <v>1</v>
      </c>
      <c r="O2593" s="246">
        <f t="shared" si="1006"/>
        <v>0.99946936542669573</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87">
        <v>32</v>
      </c>
      <c r="B2594" s="242">
        <f t="shared" si="1013"/>
        <v>46600</v>
      </c>
      <c r="C2594" s="243">
        <f t="shared" si="994"/>
        <v>46630</v>
      </c>
      <c r="D2594" s="120">
        <f t="shared" si="995"/>
        <v>31</v>
      </c>
      <c r="E2594" s="120">
        <f t="shared" si="996"/>
        <v>8</v>
      </c>
      <c r="F2594" s="275">
        <f t="shared" si="997"/>
        <v>46615.5</v>
      </c>
      <c r="G2594" s="120">
        <f t="shared" si="998"/>
        <v>24331</v>
      </c>
      <c r="H2594" s="245">
        <f t="shared" si="999"/>
        <v>1</v>
      </c>
      <c r="I2594" s="121">
        <f t="shared" si="1000"/>
        <v>1</v>
      </c>
      <c r="J2594" s="121">
        <f t="shared" si="1001"/>
        <v>1</v>
      </c>
      <c r="K2594" s="120">
        <f t="shared" si="1002"/>
        <v>0</v>
      </c>
      <c r="L2594" s="120">
        <f t="shared" si="1003"/>
        <v>0</v>
      </c>
      <c r="M2594" s="246">
        <f t="shared" si="1004"/>
        <v>0</v>
      </c>
      <c r="N2594" s="121">
        <f t="shared" si="1005"/>
        <v>1</v>
      </c>
      <c r="O2594" s="246">
        <f t="shared" si="1006"/>
        <v>1.0004868708971553</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87">
        <v>33</v>
      </c>
      <c r="B2595" s="242">
        <f t="shared" si="1013"/>
        <v>46631</v>
      </c>
      <c r="C2595" s="243">
        <f t="shared" si="994"/>
        <v>46660</v>
      </c>
      <c r="D2595" s="120">
        <f t="shared" si="995"/>
        <v>30</v>
      </c>
      <c r="E2595" s="120">
        <f t="shared" si="996"/>
        <v>9</v>
      </c>
      <c r="F2595" s="275">
        <f t="shared" si="997"/>
        <v>46646</v>
      </c>
      <c r="G2595" s="120">
        <f t="shared" si="998"/>
        <v>24332</v>
      </c>
      <c r="H2595" s="245">
        <f t="shared" si="999"/>
        <v>1</v>
      </c>
      <c r="I2595" s="121">
        <f t="shared" si="1000"/>
        <v>1</v>
      </c>
      <c r="J2595" s="121">
        <f t="shared" si="1001"/>
        <v>1</v>
      </c>
      <c r="K2595" s="120">
        <f t="shared" si="1002"/>
        <v>0</v>
      </c>
      <c r="L2595" s="120">
        <f t="shared" si="1003"/>
        <v>0</v>
      </c>
      <c r="M2595" s="246">
        <f t="shared" si="1004"/>
        <v>0</v>
      </c>
      <c r="N2595" s="121">
        <f t="shared" si="1005"/>
        <v>1</v>
      </c>
      <c r="O2595" s="246">
        <f t="shared" si="1006"/>
        <v>1.0014879649890589</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87">
        <v>34</v>
      </c>
      <c r="B2596" s="242">
        <f t="shared" si="1013"/>
        <v>46661</v>
      </c>
      <c r="C2596" s="243">
        <f t="shared" si="994"/>
        <v>46691</v>
      </c>
      <c r="D2596" s="120">
        <f t="shared" si="995"/>
        <v>31</v>
      </c>
      <c r="E2596" s="120">
        <f t="shared" si="996"/>
        <v>10</v>
      </c>
      <c r="F2596" s="275">
        <f t="shared" si="997"/>
        <v>46676.5</v>
      </c>
      <c r="G2596" s="120">
        <f t="shared" si="998"/>
        <v>24333</v>
      </c>
      <c r="H2596" s="245">
        <f t="shared" si="999"/>
        <v>1</v>
      </c>
      <c r="I2596" s="121">
        <f t="shared" si="1000"/>
        <v>1</v>
      </c>
      <c r="J2596" s="121">
        <f t="shared" si="1001"/>
        <v>1</v>
      </c>
      <c r="K2596" s="120">
        <f t="shared" si="1002"/>
        <v>0</v>
      </c>
      <c r="L2596" s="120">
        <f t="shared" si="1003"/>
        <v>0</v>
      </c>
      <c r="M2596" s="246">
        <f t="shared" si="1004"/>
        <v>0</v>
      </c>
      <c r="N2596" s="121">
        <f t="shared" si="1005"/>
        <v>1</v>
      </c>
      <c r="O2596" s="246">
        <f t="shared" si="1006"/>
        <v>1.0024890590809628</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87">
        <v>35</v>
      </c>
      <c r="B2597" s="242">
        <f t="shared" si="1013"/>
        <v>46692</v>
      </c>
      <c r="C2597" s="243">
        <f t="shared" si="994"/>
        <v>46721</v>
      </c>
      <c r="D2597" s="120">
        <f t="shared" si="995"/>
        <v>30</v>
      </c>
      <c r="E2597" s="120">
        <f t="shared" si="996"/>
        <v>11</v>
      </c>
      <c r="F2597" s="275">
        <f t="shared" si="997"/>
        <v>46707</v>
      </c>
      <c r="G2597" s="120">
        <f t="shared" si="998"/>
        <v>24334</v>
      </c>
      <c r="H2597" s="245">
        <f t="shared" si="999"/>
        <v>1</v>
      </c>
      <c r="I2597" s="121">
        <f t="shared" si="1000"/>
        <v>1</v>
      </c>
      <c r="J2597" s="121">
        <f t="shared" si="1001"/>
        <v>1</v>
      </c>
      <c r="K2597" s="120">
        <f t="shared" si="1002"/>
        <v>0</v>
      </c>
      <c r="L2597" s="120">
        <f t="shared" si="1003"/>
        <v>0</v>
      </c>
      <c r="M2597" s="246">
        <f t="shared" si="1004"/>
        <v>0</v>
      </c>
      <c r="N2597" s="121">
        <f t="shared" si="1005"/>
        <v>1</v>
      </c>
      <c r="O2597" s="246">
        <f t="shared" si="1006"/>
        <v>1.0034901531728664</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87">
        <v>36</v>
      </c>
      <c r="B2598" s="242">
        <f t="shared" si="1013"/>
        <v>46722</v>
      </c>
      <c r="C2598" s="243">
        <f t="shared" si="994"/>
        <v>46752</v>
      </c>
      <c r="D2598" s="120">
        <f t="shared" si="995"/>
        <v>31</v>
      </c>
      <c r="E2598" s="120">
        <f t="shared" si="996"/>
        <v>12</v>
      </c>
      <c r="F2598" s="275">
        <f t="shared" si="997"/>
        <v>46737.5</v>
      </c>
      <c r="G2598" s="120">
        <f t="shared" si="998"/>
        <v>24335</v>
      </c>
      <c r="H2598" s="245">
        <f t="shared" si="999"/>
        <v>1</v>
      </c>
      <c r="I2598" s="121">
        <f t="shared" si="1000"/>
        <v>1</v>
      </c>
      <c r="J2598" s="121">
        <f t="shared" si="1001"/>
        <v>1</v>
      </c>
      <c r="K2598" s="120">
        <f t="shared" si="1002"/>
        <v>0</v>
      </c>
      <c r="L2598" s="120">
        <f t="shared" si="1003"/>
        <v>0</v>
      </c>
      <c r="M2598" s="246">
        <f t="shared" si="1004"/>
        <v>0</v>
      </c>
      <c r="N2598" s="121">
        <f t="shared" si="1005"/>
        <v>1</v>
      </c>
      <c r="O2598" s="246">
        <f t="shared" si="1006"/>
        <v>1.0044912472647702</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87">
        <v>37</v>
      </c>
      <c r="B2599" s="242">
        <f t="shared" si="1013"/>
        <v>46753</v>
      </c>
      <c r="C2599" s="243">
        <f t="shared" si="994"/>
        <v>46783</v>
      </c>
      <c r="D2599" s="120">
        <f t="shared" si="995"/>
        <v>31</v>
      </c>
      <c r="E2599" s="120">
        <f t="shared" si="996"/>
        <v>1</v>
      </c>
      <c r="F2599" s="275">
        <f t="shared" si="997"/>
        <v>46768.5</v>
      </c>
      <c r="G2599" s="120">
        <f t="shared" si="998"/>
        <v>24336</v>
      </c>
      <c r="H2599" s="245">
        <f t="shared" si="999"/>
        <v>1</v>
      </c>
      <c r="I2599" s="121">
        <f t="shared" si="1000"/>
        <v>1</v>
      </c>
      <c r="J2599" s="121">
        <f t="shared" si="1001"/>
        <v>1</v>
      </c>
      <c r="K2599" s="120">
        <f t="shared" si="1002"/>
        <v>0</v>
      </c>
      <c r="L2599" s="120">
        <f t="shared" si="1003"/>
        <v>0</v>
      </c>
      <c r="M2599" s="246">
        <f t="shared" si="1004"/>
        <v>0</v>
      </c>
      <c r="N2599" s="121">
        <f t="shared" si="1005"/>
        <v>1</v>
      </c>
      <c r="O2599" s="246">
        <f t="shared" si="1006"/>
        <v>1.0049999999999999</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87">
        <v>38</v>
      </c>
      <c r="B2600" s="242">
        <f t="shared" si="1013"/>
        <v>46784</v>
      </c>
      <c r="C2600" s="243">
        <f t="shared" si="994"/>
        <v>46812</v>
      </c>
      <c r="D2600" s="120">
        <f t="shared" si="995"/>
        <v>29</v>
      </c>
      <c r="E2600" s="120">
        <f t="shared" si="996"/>
        <v>2</v>
      </c>
      <c r="F2600" s="275">
        <f t="shared" si="997"/>
        <v>46798.5</v>
      </c>
      <c r="G2600" s="120">
        <f t="shared" si="998"/>
        <v>24337</v>
      </c>
      <c r="H2600" s="245">
        <f t="shared" si="999"/>
        <v>1</v>
      </c>
      <c r="I2600" s="121">
        <f t="shared" si="1000"/>
        <v>1</v>
      </c>
      <c r="J2600" s="121">
        <f t="shared" si="1001"/>
        <v>1</v>
      </c>
      <c r="K2600" s="120">
        <f t="shared" si="1002"/>
        <v>0</v>
      </c>
      <c r="L2600" s="120">
        <f t="shared" si="1003"/>
        <v>0</v>
      </c>
      <c r="M2600" s="246">
        <f t="shared" si="1004"/>
        <v>0</v>
      </c>
      <c r="N2600" s="121">
        <f t="shared" si="1005"/>
        <v>1</v>
      </c>
      <c r="O2600" s="246">
        <f t="shared" si="1006"/>
        <v>1.0049999999999999</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87">
        <v>39</v>
      </c>
      <c r="B2601" s="242">
        <f t="shared" si="1013"/>
        <v>46813</v>
      </c>
      <c r="C2601" s="243">
        <f t="shared" si="994"/>
        <v>46843</v>
      </c>
      <c r="D2601" s="120">
        <f t="shared" si="995"/>
        <v>31</v>
      </c>
      <c r="E2601" s="120">
        <f t="shared" si="996"/>
        <v>3</v>
      </c>
      <c r="F2601" s="275">
        <f t="shared" si="997"/>
        <v>46828.5</v>
      </c>
      <c r="G2601" s="120">
        <f t="shared" si="998"/>
        <v>24338</v>
      </c>
      <c r="H2601" s="245">
        <f t="shared" si="999"/>
        <v>1</v>
      </c>
      <c r="I2601" s="121">
        <f t="shared" si="1000"/>
        <v>1</v>
      </c>
      <c r="J2601" s="121">
        <f t="shared" si="1001"/>
        <v>1</v>
      </c>
      <c r="K2601" s="120">
        <f t="shared" si="1002"/>
        <v>0</v>
      </c>
      <c r="L2601" s="120">
        <f t="shared" si="1003"/>
        <v>0</v>
      </c>
      <c r="M2601" s="246">
        <f t="shared" si="1004"/>
        <v>0</v>
      </c>
      <c r="N2601" s="121">
        <f t="shared" si="1005"/>
        <v>1</v>
      </c>
      <c r="O2601" s="246">
        <f t="shared" si="1006"/>
        <v>1.0049999999999999</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87">
        <v>40</v>
      </c>
      <c r="B2602" s="242">
        <f t="shared" si="1013"/>
        <v>46844</v>
      </c>
      <c r="C2602" s="243">
        <f t="shared" si="994"/>
        <v>46873</v>
      </c>
      <c r="D2602" s="120">
        <f t="shared" si="995"/>
        <v>30</v>
      </c>
      <c r="E2602" s="120">
        <f t="shared" si="996"/>
        <v>4</v>
      </c>
      <c r="F2602" s="275">
        <f t="shared" si="997"/>
        <v>46859</v>
      </c>
      <c r="G2602" s="120">
        <f t="shared" si="998"/>
        <v>24339</v>
      </c>
      <c r="H2602" s="245">
        <f t="shared" si="999"/>
        <v>1</v>
      </c>
      <c r="I2602" s="121">
        <f t="shared" si="1000"/>
        <v>1</v>
      </c>
      <c r="J2602" s="121">
        <f t="shared" si="1001"/>
        <v>1</v>
      </c>
      <c r="K2602" s="120">
        <f t="shared" si="1002"/>
        <v>0</v>
      </c>
      <c r="L2602" s="120">
        <f t="shared" si="1003"/>
        <v>0</v>
      </c>
      <c r="M2602" s="246">
        <f t="shared" si="1004"/>
        <v>0</v>
      </c>
      <c r="N2602" s="121">
        <f t="shared" si="1005"/>
        <v>1</v>
      </c>
      <c r="O2602" s="246">
        <f t="shared" si="1006"/>
        <v>1.0049999999999999</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87">
        <v>41</v>
      </c>
      <c r="B2603" s="242">
        <f t="shared" si="1013"/>
        <v>46874</v>
      </c>
      <c r="C2603" s="243">
        <f t="shared" si="994"/>
        <v>46904</v>
      </c>
      <c r="D2603" s="120">
        <f t="shared" si="995"/>
        <v>31</v>
      </c>
      <c r="E2603" s="120">
        <f t="shared" si="996"/>
        <v>5</v>
      </c>
      <c r="F2603" s="275">
        <f t="shared" si="997"/>
        <v>46889.5</v>
      </c>
      <c r="G2603" s="120">
        <f t="shared" si="998"/>
        <v>24340</v>
      </c>
      <c r="H2603" s="245">
        <f t="shared" si="999"/>
        <v>1</v>
      </c>
      <c r="I2603" s="121">
        <f t="shared" si="1000"/>
        <v>1</v>
      </c>
      <c r="J2603" s="121">
        <f t="shared" si="1001"/>
        <v>1</v>
      </c>
      <c r="K2603" s="120">
        <f t="shared" si="1002"/>
        <v>0</v>
      </c>
      <c r="L2603" s="120">
        <f t="shared" si="1003"/>
        <v>0</v>
      </c>
      <c r="M2603" s="246">
        <f t="shared" si="1004"/>
        <v>0</v>
      </c>
      <c r="N2603" s="121">
        <f t="shared" si="1005"/>
        <v>1</v>
      </c>
      <c r="O2603" s="246">
        <f t="shared" si="1006"/>
        <v>1.0049999999999999</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87">
        <v>42</v>
      </c>
      <c r="B2604" s="242">
        <f t="shared" si="1013"/>
        <v>46905</v>
      </c>
      <c r="C2604" s="243">
        <f t="shared" si="994"/>
        <v>46934</v>
      </c>
      <c r="D2604" s="120">
        <f t="shared" si="995"/>
        <v>30</v>
      </c>
      <c r="E2604" s="120">
        <f t="shared" si="996"/>
        <v>6</v>
      </c>
      <c r="F2604" s="275">
        <f t="shared" si="997"/>
        <v>46920</v>
      </c>
      <c r="G2604" s="120">
        <f t="shared" si="998"/>
        <v>24341</v>
      </c>
      <c r="H2604" s="245">
        <f t="shared" si="999"/>
        <v>1</v>
      </c>
      <c r="I2604" s="121">
        <f t="shared" si="1000"/>
        <v>1</v>
      </c>
      <c r="J2604" s="121">
        <f t="shared" si="1001"/>
        <v>1</v>
      </c>
      <c r="K2604" s="120">
        <f t="shared" si="1002"/>
        <v>0</v>
      </c>
      <c r="L2604" s="120">
        <f t="shared" si="1003"/>
        <v>0</v>
      </c>
      <c r="M2604" s="246">
        <f t="shared" si="1004"/>
        <v>0</v>
      </c>
      <c r="N2604" s="121">
        <f t="shared" si="1005"/>
        <v>1</v>
      </c>
      <c r="O2604" s="246">
        <f t="shared" si="1006"/>
        <v>1.0049999999999999</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87">
        <v>43</v>
      </c>
      <c r="B2605" s="242">
        <f t="shared" si="1013"/>
        <v>46935</v>
      </c>
      <c r="C2605" s="243">
        <f t="shared" si="994"/>
        <v>46965</v>
      </c>
      <c r="D2605" s="120">
        <f t="shared" si="995"/>
        <v>31</v>
      </c>
      <c r="E2605" s="120">
        <f t="shared" si="996"/>
        <v>7</v>
      </c>
      <c r="F2605" s="275">
        <f t="shared" si="997"/>
        <v>46950.5</v>
      </c>
      <c r="G2605" s="120">
        <f t="shared" si="998"/>
        <v>24342</v>
      </c>
      <c r="H2605" s="245">
        <f t="shared" si="999"/>
        <v>1</v>
      </c>
      <c r="I2605" s="121">
        <f t="shared" si="1000"/>
        <v>1</v>
      </c>
      <c r="J2605" s="121">
        <f t="shared" si="1001"/>
        <v>1</v>
      </c>
      <c r="K2605" s="120">
        <f t="shared" si="1002"/>
        <v>0</v>
      </c>
      <c r="L2605" s="120">
        <f t="shared" si="1003"/>
        <v>0</v>
      </c>
      <c r="M2605" s="246">
        <f t="shared" si="1004"/>
        <v>0</v>
      </c>
      <c r="N2605" s="121">
        <f t="shared" si="1005"/>
        <v>1</v>
      </c>
      <c r="O2605" s="246">
        <f t="shared" si="1006"/>
        <v>1.0049999999999999</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87">
        <v>44</v>
      </c>
      <c r="B2606" s="242">
        <f t="shared" si="1013"/>
        <v>46966</v>
      </c>
      <c r="C2606" s="243">
        <f t="shared" si="994"/>
        <v>46996</v>
      </c>
      <c r="D2606" s="120">
        <f t="shared" si="995"/>
        <v>31</v>
      </c>
      <c r="E2606" s="120">
        <f t="shared" si="996"/>
        <v>8</v>
      </c>
      <c r="F2606" s="275">
        <f t="shared" si="997"/>
        <v>46981.5</v>
      </c>
      <c r="G2606" s="120">
        <f t="shared" si="998"/>
        <v>24343</v>
      </c>
      <c r="H2606" s="245">
        <f t="shared" si="999"/>
        <v>1</v>
      </c>
      <c r="I2606" s="121">
        <f t="shared" si="1000"/>
        <v>1</v>
      </c>
      <c r="J2606" s="121">
        <f t="shared" si="1001"/>
        <v>1</v>
      </c>
      <c r="K2606" s="120">
        <f t="shared" si="1002"/>
        <v>0</v>
      </c>
      <c r="L2606" s="120">
        <f t="shared" si="1003"/>
        <v>0</v>
      </c>
      <c r="M2606" s="246">
        <f t="shared" si="1004"/>
        <v>0</v>
      </c>
      <c r="N2606" s="121">
        <f t="shared" si="1005"/>
        <v>1</v>
      </c>
      <c r="O2606" s="246">
        <f t="shared" si="1006"/>
        <v>1.0049999999999999</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87">
        <v>45</v>
      </c>
      <c r="B2607" s="242">
        <f t="shared" si="1013"/>
        <v>46997</v>
      </c>
      <c r="C2607" s="243">
        <f t="shared" si="994"/>
        <v>47026</v>
      </c>
      <c r="D2607" s="120">
        <f t="shared" si="995"/>
        <v>30</v>
      </c>
      <c r="E2607" s="120">
        <f t="shared" si="996"/>
        <v>9</v>
      </c>
      <c r="F2607" s="275">
        <f t="shared" si="997"/>
        <v>47012</v>
      </c>
      <c r="G2607" s="120">
        <f t="shared" si="998"/>
        <v>24344</v>
      </c>
      <c r="H2607" s="245">
        <f t="shared" si="999"/>
        <v>1</v>
      </c>
      <c r="I2607" s="121">
        <f t="shared" si="1000"/>
        <v>1</v>
      </c>
      <c r="J2607" s="121">
        <f t="shared" si="1001"/>
        <v>1</v>
      </c>
      <c r="K2607" s="120">
        <f t="shared" si="1002"/>
        <v>0</v>
      </c>
      <c r="L2607" s="120">
        <f t="shared" si="1003"/>
        <v>0</v>
      </c>
      <c r="M2607" s="246">
        <f t="shared" si="1004"/>
        <v>0</v>
      </c>
      <c r="N2607" s="121">
        <f t="shared" si="1005"/>
        <v>1</v>
      </c>
      <c r="O2607" s="246">
        <f t="shared" si="1006"/>
        <v>1.0049999999999999</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87">
        <v>46</v>
      </c>
      <c r="B2608" s="242">
        <f t="shared" si="1013"/>
        <v>47027</v>
      </c>
      <c r="C2608" s="243">
        <f t="shared" si="994"/>
        <v>47057</v>
      </c>
      <c r="D2608" s="120">
        <f t="shared" si="995"/>
        <v>31</v>
      </c>
      <c r="E2608" s="120">
        <f t="shared" si="996"/>
        <v>10</v>
      </c>
      <c r="F2608" s="275">
        <f t="shared" si="997"/>
        <v>47042.5</v>
      </c>
      <c r="G2608" s="120">
        <f t="shared" si="998"/>
        <v>24345</v>
      </c>
      <c r="H2608" s="245">
        <f t="shared" si="999"/>
        <v>1</v>
      </c>
      <c r="I2608" s="121">
        <f t="shared" si="1000"/>
        <v>1</v>
      </c>
      <c r="J2608" s="121">
        <f t="shared" si="1001"/>
        <v>1</v>
      </c>
      <c r="K2608" s="120">
        <f t="shared" si="1002"/>
        <v>0</v>
      </c>
      <c r="L2608" s="120">
        <f t="shared" si="1003"/>
        <v>0</v>
      </c>
      <c r="M2608" s="246">
        <f t="shared" si="1004"/>
        <v>0</v>
      </c>
      <c r="N2608" s="121">
        <f t="shared" si="1005"/>
        <v>1</v>
      </c>
      <c r="O2608" s="246">
        <f t="shared" si="1006"/>
        <v>1.0049999999999999</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87">
        <v>47</v>
      </c>
      <c r="B2609" s="242">
        <f t="shared" si="1013"/>
        <v>47058</v>
      </c>
      <c r="C2609" s="243">
        <f t="shared" si="994"/>
        <v>47087</v>
      </c>
      <c r="D2609" s="120">
        <f t="shared" si="995"/>
        <v>30</v>
      </c>
      <c r="E2609" s="120">
        <f t="shared" si="996"/>
        <v>11</v>
      </c>
      <c r="F2609" s="275">
        <f t="shared" si="997"/>
        <v>47073</v>
      </c>
      <c r="G2609" s="120">
        <f t="shared" si="998"/>
        <v>24346</v>
      </c>
      <c r="H2609" s="245">
        <f t="shared" si="999"/>
        <v>1</v>
      </c>
      <c r="I2609" s="121">
        <f t="shared" si="1000"/>
        <v>1</v>
      </c>
      <c r="J2609" s="121">
        <f t="shared" si="1001"/>
        <v>1</v>
      </c>
      <c r="K2609" s="120">
        <f t="shared" si="1002"/>
        <v>0</v>
      </c>
      <c r="L2609" s="120">
        <f t="shared" si="1003"/>
        <v>0</v>
      </c>
      <c r="M2609" s="246">
        <f t="shared" si="1004"/>
        <v>0</v>
      </c>
      <c r="N2609" s="121">
        <f t="shared" si="1005"/>
        <v>1</v>
      </c>
      <c r="O2609" s="246">
        <f t="shared" si="1006"/>
        <v>1.0049999999999999</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87">
        <v>48</v>
      </c>
      <c r="B2610" s="242">
        <f t="shared" si="1013"/>
        <v>47088</v>
      </c>
      <c r="C2610" s="243">
        <f t="shared" si="994"/>
        <v>47118</v>
      </c>
      <c r="D2610" s="120">
        <f t="shared" si="995"/>
        <v>31</v>
      </c>
      <c r="E2610" s="120">
        <f t="shared" si="996"/>
        <v>12</v>
      </c>
      <c r="F2610" s="275">
        <f t="shared" si="997"/>
        <v>47103.5</v>
      </c>
      <c r="G2610" s="120">
        <f t="shared" si="998"/>
        <v>24347</v>
      </c>
      <c r="H2610" s="245">
        <f t="shared" si="999"/>
        <v>1</v>
      </c>
      <c r="I2610" s="121">
        <f t="shared" si="1000"/>
        <v>1</v>
      </c>
      <c r="J2610" s="121">
        <f t="shared" si="1001"/>
        <v>1</v>
      </c>
      <c r="K2610" s="120">
        <f t="shared" si="1002"/>
        <v>0</v>
      </c>
      <c r="L2610" s="120">
        <f t="shared" si="1003"/>
        <v>0</v>
      </c>
      <c r="M2610" s="246">
        <f t="shared" si="1004"/>
        <v>0</v>
      </c>
      <c r="N2610" s="121">
        <f t="shared" si="1005"/>
        <v>1</v>
      </c>
      <c r="O2610" s="246">
        <f t="shared" si="1006"/>
        <v>1.0049999999999999</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1651</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0.99299370897155337</v>
      </c>
      <c r="G2611" s="224">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24">
        <f>IF(N(INDEX(lr_mind,48))=0,1,INDEX(lr_mind,48))</f>
        <v>1</v>
      </c>
      <c r="G2614" s="224">
        <f>IF(N(INDEX(lr_m0,48))=0,1,INDEX(lr_m0,48))</f>
        <v>0.99</v>
      </c>
      <c r="H2614" s="74">
        <f>IF(N(INDEX(lr_m0asof,48))=0,DATE(nr_PlanYear-1,10,1),INDEX(lr_m0asof,48))</f>
        <v>46295</v>
      </c>
      <c r="I2614" s="224">
        <f>IF(N(INDEX(lr_m1,48))=0,1,INDEX(lr_m1,48))</f>
        <v>0.98499999999999999</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1014">EOMONTH($B2617,0)</f>
        <v>45688</v>
      </c>
      <c r="D2617" s="120">
        <f t="shared" ref="D2617:D2664" si="1015">$C2617-$B2617+1</f>
        <v>31</v>
      </c>
      <c r="E2617" s="120">
        <f t="shared" ref="E2617:E2664" si="1016">MONTH($B2617)</f>
        <v>1</v>
      </c>
      <c r="F2617" s="275">
        <f t="shared" ref="F2617:F2664" si="1017">($B2617+$C2617+1)/2</f>
        <v>45673.5</v>
      </c>
      <c r="G2617" s="120">
        <f t="shared" ref="G2617:G2664" si="1018">YEAR($B2617)*12+MONTH($B2617)-1</f>
        <v>24300</v>
      </c>
      <c r="H2617" s="245">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46">
        <f t="shared" ref="M2617:M2664" si="1024">IF($K2617=0,0,MIN(1,$L2617/$D2617))</f>
        <v>0</v>
      </c>
      <c r="N2617" s="121">
        <f t="shared" ref="N2617:N2664" si="1025">IF($K2617=0,$J2617,(1-$M2617)*$I2617+$M2617*$J2617)</f>
        <v>1</v>
      </c>
      <c r="O2617" s="246">
        <f t="shared" ref="O2617:O2664" si="1026">IF($F2617&lt;$B$2615,$E$2615+$I$2615*($F2617-$A$2615),IF($F2617&lt;$C$2615,$F$2615+$J$2615*($F2617-$B$2615),$G$2615+$K$2615*($F2617-$C$2615)))</f>
        <v>0.99681072210065647</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87">
        <v>2</v>
      </c>
      <c r="B2618" s="242">
        <f t="shared" ref="B2618:B2664" si="1033">EDATE($B2617,1)</f>
        <v>45689</v>
      </c>
      <c r="C2618" s="243">
        <f t="shared" si="1014"/>
        <v>45716</v>
      </c>
      <c r="D2618" s="120">
        <f t="shared" si="1015"/>
        <v>28</v>
      </c>
      <c r="E2618" s="120">
        <f t="shared" si="1016"/>
        <v>2</v>
      </c>
      <c r="F2618" s="275">
        <f t="shared" si="1017"/>
        <v>45703</v>
      </c>
      <c r="G2618" s="120">
        <f t="shared" si="1018"/>
        <v>24301</v>
      </c>
      <c r="H2618" s="245">
        <f t="shared" si="1019"/>
        <v>1</v>
      </c>
      <c r="I2618" s="121">
        <f t="shared" si="1020"/>
        <v>1</v>
      </c>
      <c r="J2618" s="121">
        <f t="shared" si="1021"/>
        <v>1</v>
      </c>
      <c r="K2618" s="120">
        <f t="shared" si="1022"/>
        <v>0</v>
      </c>
      <c r="L2618" s="120">
        <f t="shared" si="1023"/>
        <v>0</v>
      </c>
      <c r="M2618" s="246">
        <f t="shared" si="1024"/>
        <v>0</v>
      </c>
      <c r="N2618" s="121">
        <f t="shared" si="1025"/>
        <v>1</v>
      </c>
      <c r="O2618" s="246">
        <f t="shared" si="1026"/>
        <v>0.99648796498905901</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87">
        <v>3</v>
      </c>
      <c r="B2619" s="242">
        <f t="shared" si="1033"/>
        <v>45717</v>
      </c>
      <c r="C2619" s="243">
        <f t="shared" si="1014"/>
        <v>45747</v>
      </c>
      <c r="D2619" s="120">
        <f t="shared" si="1015"/>
        <v>31</v>
      </c>
      <c r="E2619" s="120">
        <f t="shared" si="1016"/>
        <v>3</v>
      </c>
      <c r="F2619" s="275">
        <f t="shared" si="1017"/>
        <v>45732.5</v>
      </c>
      <c r="G2619" s="120">
        <f t="shared" si="1018"/>
        <v>24302</v>
      </c>
      <c r="H2619" s="245">
        <f t="shared" si="1019"/>
        <v>1</v>
      </c>
      <c r="I2619" s="121">
        <f t="shared" si="1020"/>
        <v>1</v>
      </c>
      <c r="J2619" s="121">
        <f t="shared" si="1021"/>
        <v>1</v>
      </c>
      <c r="K2619" s="120">
        <f t="shared" si="1022"/>
        <v>0</v>
      </c>
      <c r="L2619" s="120">
        <f t="shared" si="1023"/>
        <v>0</v>
      </c>
      <c r="M2619" s="246">
        <f t="shared" si="1024"/>
        <v>0</v>
      </c>
      <c r="N2619" s="121">
        <f t="shared" si="1025"/>
        <v>1</v>
      </c>
      <c r="O2619" s="246">
        <f t="shared" si="1026"/>
        <v>0.99616520787746166</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87">
        <v>4</v>
      </c>
      <c r="B2620" s="242">
        <f t="shared" si="1033"/>
        <v>45748</v>
      </c>
      <c r="C2620" s="243">
        <f t="shared" si="1014"/>
        <v>45777</v>
      </c>
      <c r="D2620" s="120">
        <f t="shared" si="1015"/>
        <v>30</v>
      </c>
      <c r="E2620" s="120">
        <f t="shared" si="1016"/>
        <v>4</v>
      </c>
      <c r="F2620" s="275">
        <f t="shared" si="1017"/>
        <v>45763</v>
      </c>
      <c r="G2620" s="120">
        <f t="shared" si="1018"/>
        <v>24303</v>
      </c>
      <c r="H2620" s="245">
        <f t="shared" si="1019"/>
        <v>1</v>
      </c>
      <c r="I2620" s="121">
        <f t="shared" si="1020"/>
        <v>1</v>
      </c>
      <c r="J2620" s="121">
        <f t="shared" si="1021"/>
        <v>1</v>
      </c>
      <c r="K2620" s="120">
        <f t="shared" si="1022"/>
        <v>0</v>
      </c>
      <c r="L2620" s="120">
        <f t="shared" si="1023"/>
        <v>0</v>
      </c>
      <c r="M2620" s="246">
        <f t="shared" si="1024"/>
        <v>0</v>
      </c>
      <c r="N2620" s="121">
        <f t="shared" si="1025"/>
        <v>1</v>
      </c>
      <c r="O2620" s="246">
        <f t="shared" si="1026"/>
        <v>0.99583150984682711</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87">
        <v>5</v>
      </c>
      <c r="B2621" s="242">
        <f t="shared" si="1033"/>
        <v>45778</v>
      </c>
      <c r="C2621" s="243">
        <f t="shared" si="1014"/>
        <v>45808</v>
      </c>
      <c r="D2621" s="120">
        <f t="shared" si="1015"/>
        <v>31</v>
      </c>
      <c r="E2621" s="120">
        <f t="shared" si="1016"/>
        <v>5</v>
      </c>
      <c r="F2621" s="275">
        <f t="shared" si="1017"/>
        <v>45793.5</v>
      </c>
      <c r="G2621" s="120">
        <f t="shared" si="1018"/>
        <v>24304</v>
      </c>
      <c r="H2621" s="245">
        <f t="shared" si="1019"/>
        <v>1</v>
      </c>
      <c r="I2621" s="121">
        <f t="shared" si="1020"/>
        <v>1</v>
      </c>
      <c r="J2621" s="121">
        <f t="shared" si="1021"/>
        <v>1</v>
      </c>
      <c r="K2621" s="120">
        <f t="shared" si="1022"/>
        <v>0</v>
      </c>
      <c r="L2621" s="120">
        <f t="shared" si="1023"/>
        <v>0</v>
      </c>
      <c r="M2621" s="246">
        <f t="shared" si="1024"/>
        <v>0</v>
      </c>
      <c r="N2621" s="121">
        <f t="shared" si="1025"/>
        <v>1</v>
      </c>
      <c r="O2621" s="246">
        <f t="shared" si="1026"/>
        <v>0.99549781181619257</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87">
        <v>6</v>
      </c>
      <c r="B2622" s="242">
        <f t="shared" si="1033"/>
        <v>45809</v>
      </c>
      <c r="C2622" s="243">
        <f t="shared" si="1014"/>
        <v>45838</v>
      </c>
      <c r="D2622" s="120">
        <f t="shared" si="1015"/>
        <v>30</v>
      </c>
      <c r="E2622" s="120">
        <f t="shared" si="1016"/>
        <v>6</v>
      </c>
      <c r="F2622" s="275">
        <f t="shared" si="1017"/>
        <v>45824</v>
      </c>
      <c r="G2622" s="120">
        <f t="shared" si="1018"/>
        <v>24305</v>
      </c>
      <c r="H2622" s="245">
        <f t="shared" si="1019"/>
        <v>1</v>
      </c>
      <c r="I2622" s="121">
        <f t="shared" si="1020"/>
        <v>1</v>
      </c>
      <c r="J2622" s="121">
        <f t="shared" si="1021"/>
        <v>1</v>
      </c>
      <c r="K2622" s="120">
        <f t="shared" si="1022"/>
        <v>0</v>
      </c>
      <c r="L2622" s="120">
        <f t="shared" si="1023"/>
        <v>0</v>
      </c>
      <c r="M2622" s="246">
        <f t="shared" si="1024"/>
        <v>0</v>
      </c>
      <c r="N2622" s="121">
        <f t="shared" si="1025"/>
        <v>1</v>
      </c>
      <c r="O2622" s="246">
        <f t="shared" si="1026"/>
        <v>0.99516411378555791</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87">
        <v>7</v>
      </c>
      <c r="B2623" s="242">
        <f t="shared" si="1033"/>
        <v>45839</v>
      </c>
      <c r="C2623" s="243">
        <f t="shared" si="1014"/>
        <v>45869</v>
      </c>
      <c r="D2623" s="120">
        <f t="shared" si="1015"/>
        <v>31</v>
      </c>
      <c r="E2623" s="120">
        <f t="shared" si="1016"/>
        <v>7</v>
      </c>
      <c r="F2623" s="275">
        <f t="shared" si="1017"/>
        <v>45854.5</v>
      </c>
      <c r="G2623" s="120">
        <f t="shared" si="1018"/>
        <v>24306</v>
      </c>
      <c r="H2623" s="245">
        <f t="shared" si="1019"/>
        <v>1</v>
      </c>
      <c r="I2623" s="121">
        <f t="shared" si="1020"/>
        <v>1</v>
      </c>
      <c r="J2623" s="121">
        <f t="shared" si="1021"/>
        <v>1</v>
      </c>
      <c r="K2623" s="120">
        <f t="shared" si="1022"/>
        <v>0</v>
      </c>
      <c r="L2623" s="120">
        <f t="shared" si="1023"/>
        <v>0</v>
      </c>
      <c r="M2623" s="246">
        <f t="shared" si="1024"/>
        <v>0</v>
      </c>
      <c r="N2623" s="121">
        <f t="shared" si="1025"/>
        <v>1</v>
      </c>
      <c r="O2623" s="246">
        <f t="shared" si="1026"/>
        <v>0.99483041575492337</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87">
        <v>8</v>
      </c>
      <c r="B2624" s="242">
        <f t="shared" si="1033"/>
        <v>45870</v>
      </c>
      <c r="C2624" s="243">
        <f t="shared" si="1014"/>
        <v>45900</v>
      </c>
      <c r="D2624" s="120">
        <f t="shared" si="1015"/>
        <v>31</v>
      </c>
      <c r="E2624" s="120">
        <f t="shared" si="1016"/>
        <v>8</v>
      </c>
      <c r="F2624" s="275">
        <f t="shared" si="1017"/>
        <v>45885.5</v>
      </c>
      <c r="G2624" s="120">
        <f t="shared" si="1018"/>
        <v>24307</v>
      </c>
      <c r="H2624" s="245">
        <f t="shared" si="1019"/>
        <v>1</v>
      </c>
      <c r="I2624" s="121">
        <f t="shared" si="1020"/>
        <v>1</v>
      </c>
      <c r="J2624" s="121">
        <f t="shared" si="1021"/>
        <v>1</v>
      </c>
      <c r="K2624" s="120">
        <f t="shared" si="1022"/>
        <v>0</v>
      </c>
      <c r="L2624" s="120">
        <f t="shared" si="1023"/>
        <v>0</v>
      </c>
      <c r="M2624" s="246">
        <f t="shared" si="1024"/>
        <v>0</v>
      </c>
      <c r="N2624" s="121">
        <f t="shared" si="1025"/>
        <v>1</v>
      </c>
      <c r="O2624" s="246">
        <f t="shared" si="1026"/>
        <v>0.99449124726477023</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87">
        <v>9</v>
      </c>
      <c r="B2625" s="242">
        <f t="shared" si="1033"/>
        <v>45901</v>
      </c>
      <c r="C2625" s="243">
        <f t="shared" si="1014"/>
        <v>45930</v>
      </c>
      <c r="D2625" s="120">
        <f t="shared" si="1015"/>
        <v>30</v>
      </c>
      <c r="E2625" s="120">
        <f t="shared" si="1016"/>
        <v>9</v>
      </c>
      <c r="F2625" s="275">
        <f t="shared" si="1017"/>
        <v>45916</v>
      </c>
      <c r="G2625" s="120">
        <f t="shared" si="1018"/>
        <v>24308</v>
      </c>
      <c r="H2625" s="245">
        <f t="shared" si="1019"/>
        <v>1</v>
      </c>
      <c r="I2625" s="121">
        <f t="shared" si="1020"/>
        <v>1</v>
      </c>
      <c r="J2625" s="121">
        <f t="shared" si="1021"/>
        <v>1</v>
      </c>
      <c r="K2625" s="120">
        <f t="shared" si="1022"/>
        <v>0</v>
      </c>
      <c r="L2625" s="120">
        <f t="shared" si="1023"/>
        <v>0</v>
      </c>
      <c r="M2625" s="246">
        <f t="shared" si="1024"/>
        <v>0</v>
      </c>
      <c r="N2625" s="121">
        <f t="shared" si="1025"/>
        <v>1</v>
      </c>
      <c r="O2625" s="246">
        <f t="shared" si="1026"/>
        <v>0.99415754923413568</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87">
        <v>10</v>
      </c>
      <c r="B2626" s="242">
        <f t="shared" si="1033"/>
        <v>45931</v>
      </c>
      <c r="C2626" s="243">
        <f t="shared" si="1014"/>
        <v>45961</v>
      </c>
      <c r="D2626" s="120">
        <f t="shared" si="1015"/>
        <v>31</v>
      </c>
      <c r="E2626" s="120">
        <f t="shared" si="1016"/>
        <v>10</v>
      </c>
      <c r="F2626" s="275">
        <f t="shared" si="1017"/>
        <v>45946.5</v>
      </c>
      <c r="G2626" s="120">
        <f t="shared" si="1018"/>
        <v>24309</v>
      </c>
      <c r="H2626" s="245">
        <f t="shared" si="1019"/>
        <v>1</v>
      </c>
      <c r="I2626" s="121">
        <f t="shared" si="1020"/>
        <v>1</v>
      </c>
      <c r="J2626" s="121">
        <f t="shared" si="1021"/>
        <v>1</v>
      </c>
      <c r="K2626" s="120">
        <f t="shared" si="1022"/>
        <v>0</v>
      </c>
      <c r="L2626" s="120">
        <f t="shared" si="1023"/>
        <v>0</v>
      </c>
      <c r="M2626" s="246">
        <f t="shared" si="1024"/>
        <v>0</v>
      </c>
      <c r="N2626" s="121">
        <f t="shared" si="1025"/>
        <v>1</v>
      </c>
      <c r="O2626" s="246">
        <f t="shared" si="1026"/>
        <v>0.99382385120350103</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87">
        <v>11</v>
      </c>
      <c r="B2627" s="242">
        <f t="shared" si="1033"/>
        <v>45962</v>
      </c>
      <c r="C2627" s="243">
        <f t="shared" si="1014"/>
        <v>45991</v>
      </c>
      <c r="D2627" s="120">
        <f t="shared" si="1015"/>
        <v>30</v>
      </c>
      <c r="E2627" s="120">
        <f t="shared" si="1016"/>
        <v>11</v>
      </c>
      <c r="F2627" s="275">
        <f t="shared" si="1017"/>
        <v>45977</v>
      </c>
      <c r="G2627" s="120">
        <f t="shared" si="1018"/>
        <v>24310</v>
      </c>
      <c r="H2627" s="245">
        <f t="shared" si="1019"/>
        <v>1</v>
      </c>
      <c r="I2627" s="121">
        <f t="shared" si="1020"/>
        <v>1</v>
      </c>
      <c r="J2627" s="121">
        <f t="shared" si="1021"/>
        <v>1</v>
      </c>
      <c r="K2627" s="120">
        <f t="shared" si="1022"/>
        <v>0</v>
      </c>
      <c r="L2627" s="120">
        <f t="shared" si="1023"/>
        <v>0</v>
      </c>
      <c r="M2627" s="246">
        <f t="shared" si="1024"/>
        <v>0</v>
      </c>
      <c r="N2627" s="121">
        <f t="shared" si="1025"/>
        <v>1</v>
      </c>
      <c r="O2627" s="246">
        <f t="shared" si="1026"/>
        <v>0.99349015317286649</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87">
        <v>12</v>
      </c>
      <c r="B2628" s="242">
        <f t="shared" si="1033"/>
        <v>45992</v>
      </c>
      <c r="C2628" s="243">
        <f t="shared" si="1014"/>
        <v>46022</v>
      </c>
      <c r="D2628" s="120">
        <f t="shared" si="1015"/>
        <v>31</v>
      </c>
      <c r="E2628" s="120">
        <f t="shared" si="1016"/>
        <v>12</v>
      </c>
      <c r="F2628" s="275">
        <f t="shared" si="1017"/>
        <v>46007.5</v>
      </c>
      <c r="G2628" s="120">
        <f t="shared" si="1018"/>
        <v>24311</v>
      </c>
      <c r="H2628" s="245">
        <f t="shared" si="1019"/>
        <v>1</v>
      </c>
      <c r="I2628" s="121">
        <f t="shared" si="1020"/>
        <v>1</v>
      </c>
      <c r="J2628" s="121">
        <f t="shared" si="1021"/>
        <v>1</v>
      </c>
      <c r="K2628" s="120">
        <f t="shared" si="1022"/>
        <v>0</v>
      </c>
      <c r="L2628" s="120">
        <f t="shared" si="1023"/>
        <v>0</v>
      </c>
      <c r="M2628" s="246">
        <f t="shared" si="1024"/>
        <v>0</v>
      </c>
      <c r="N2628" s="121">
        <f t="shared" si="1025"/>
        <v>1</v>
      </c>
      <c r="O2628" s="246">
        <f t="shared" si="1026"/>
        <v>0.99315645514223194</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87">
        <v>13</v>
      </c>
      <c r="B2629" s="242">
        <f t="shared" si="1033"/>
        <v>46023</v>
      </c>
      <c r="C2629" s="243">
        <f t="shared" si="1014"/>
        <v>46053</v>
      </c>
      <c r="D2629" s="120">
        <f t="shared" si="1015"/>
        <v>31</v>
      </c>
      <c r="E2629" s="120">
        <f t="shared" si="1016"/>
        <v>1</v>
      </c>
      <c r="F2629" s="275">
        <f t="shared" si="1017"/>
        <v>46038.5</v>
      </c>
      <c r="G2629" s="120">
        <f t="shared" si="1018"/>
        <v>24312</v>
      </c>
      <c r="H2629" s="245">
        <f t="shared" si="1019"/>
        <v>1</v>
      </c>
      <c r="I2629" s="121">
        <f t="shared" si="1020"/>
        <v>1</v>
      </c>
      <c r="J2629" s="121">
        <f t="shared" si="1021"/>
        <v>1</v>
      </c>
      <c r="K2629" s="120">
        <f t="shared" si="1022"/>
        <v>0</v>
      </c>
      <c r="L2629" s="120">
        <f t="shared" si="1023"/>
        <v>0</v>
      </c>
      <c r="M2629" s="246">
        <f t="shared" si="1024"/>
        <v>0</v>
      </c>
      <c r="N2629" s="121">
        <f t="shared" si="1025"/>
        <v>1</v>
      </c>
      <c r="O2629" s="246">
        <f t="shared" si="1026"/>
        <v>0.9928172866520788</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87">
        <v>14</v>
      </c>
      <c r="B2630" s="242">
        <f t="shared" si="1033"/>
        <v>46054</v>
      </c>
      <c r="C2630" s="243">
        <f t="shared" si="1014"/>
        <v>46081</v>
      </c>
      <c r="D2630" s="120">
        <f t="shared" si="1015"/>
        <v>28</v>
      </c>
      <c r="E2630" s="120">
        <f t="shared" si="1016"/>
        <v>2</v>
      </c>
      <c r="F2630" s="275">
        <f t="shared" si="1017"/>
        <v>46068</v>
      </c>
      <c r="G2630" s="120">
        <f t="shared" si="1018"/>
        <v>24313</v>
      </c>
      <c r="H2630" s="245">
        <f t="shared" si="1019"/>
        <v>1</v>
      </c>
      <c r="I2630" s="121">
        <f t="shared" si="1020"/>
        <v>1</v>
      </c>
      <c r="J2630" s="121">
        <f t="shared" si="1021"/>
        <v>1</v>
      </c>
      <c r="K2630" s="120">
        <f t="shared" si="1022"/>
        <v>0</v>
      </c>
      <c r="L2630" s="120">
        <f t="shared" si="1023"/>
        <v>0</v>
      </c>
      <c r="M2630" s="246">
        <f t="shared" si="1024"/>
        <v>0</v>
      </c>
      <c r="N2630" s="121">
        <f t="shared" si="1025"/>
        <v>1</v>
      </c>
      <c r="O2630" s="246">
        <f t="shared" si="1026"/>
        <v>0.99249452954048134</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87">
        <v>15</v>
      </c>
      <c r="B2631" s="242">
        <f t="shared" si="1033"/>
        <v>46082</v>
      </c>
      <c r="C2631" s="243">
        <f t="shared" si="1014"/>
        <v>46112</v>
      </c>
      <c r="D2631" s="120">
        <f t="shared" si="1015"/>
        <v>31</v>
      </c>
      <c r="E2631" s="120">
        <f t="shared" si="1016"/>
        <v>3</v>
      </c>
      <c r="F2631" s="275">
        <f t="shared" si="1017"/>
        <v>46097.5</v>
      </c>
      <c r="G2631" s="120">
        <f t="shared" si="1018"/>
        <v>24314</v>
      </c>
      <c r="H2631" s="245">
        <f t="shared" si="1019"/>
        <v>1</v>
      </c>
      <c r="I2631" s="121">
        <f t="shared" si="1020"/>
        <v>1</v>
      </c>
      <c r="J2631" s="121">
        <f t="shared" si="1021"/>
        <v>1</v>
      </c>
      <c r="K2631" s="120">
        <f t="shared" si="1022"/>
        <v>0</v>
      </c>
      <c r="L2631" s="120">
        <f t="shared" si="1023"/>
        <v>0</v>
      </c>
      <c r="M2631" s="246">
        <f t="shared" si="1024"/>
        <v>0</v>
      </c>
      <c r="N2631" s="121">
        <f t="shared" si="1025"/>
        <v>1</v>
      </c>
      <c r="O2631" s="246">
        <f t="shared" si="1026"/>
        <v>0.99217177242888399</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87">
        <v>16</v>
      </c>
      <c r="B2632" s="242">
        <f t="shared" si="1033"/>
        <v>46113</v>
      </c>
      <c r="C2632" s="243">
        <f t="shared" si="1014"/>
        <v>46142</v>
      </c>
      <c r="D2632" s="120">
        <f t="shared" si="1015"/>
        <v>30</v>
      </c>
      <c r="E2632" s="120">
        <f t="shared" si="1016"/>
        <v>4</v>
      </c>
      <c r="F2632" s="275">
        <f t="shared" si="1017"/>
        <v>46128</v>
      </c>
      <c r="G2632" s="120">
        <f t="shared" si="1018"/>
        <v>24315</v>
      </c>
      <c r="H2632" s="245">
        <f t="shared" si="1019"/>
        <v>1</v>
      </c>
      <c r="I2632" s="121">
        <f t="shared" si="1020"/>
        <v>1</v>
      </c>
      <c r="J2632" s="121">
        <f t="shared" si="1021"/>
        <v>1</v>
      </c>
      <c r="K2632" s="120">
        <f t="shared" si="1022"/>
        <v>0</v>
      </c>
      <c r="L2632" s="120">
        <f t="shared" si="1023"/>
        <v>0</v>
      </c>
      <c r="M2632" s="246">
        <f t="shared" si="1024"/>
        <v>0</v>
      </c>
      <c r="N2632" s="121">
        <f t="shared" si="1025"/>
        <v>1</v>
      </c>
      <c r="O2632" s="246">
        <f t="shared" si="1026"/>
        <v>0.99183807439824945</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87">
        <v>17</v>
      </c>
      <c r="B2633" s="242">
        <f t="shared" si="1033"/>
        <v>46143</v>
      </c>
      <c r="C2633" s="243">
        <f t="shared" si="1014"/>
        <v>46173</v>
      </c>
      <c r="D2633" s="120">
        <f t="shared" si="1015"/>
        <v>31</v>
      </c>
      <c r="E2633" s="120">
        <f t="shared" si="1016"/>
        <v>5</v>
      </c>
      <c r="F2633" s="275">
        <f t="shared" si="1017"/>
        <v>46158.5</v>
      </c>
      <c r="G2633" s="120">
        <f t="shared" si="1018"/>
        <v>24316</v>
      </c>
      <c r="H2633" s="245">
        <f t="shared" si="1019"/>
        <v>1</v>
      </c>
      <c r="I2633" s="121">
        <f t="shared" si="1020"/>
        <v>1</v>
      </c>
      <c r="J2633" s="121">
        <f t="shared" si="1021"/>
        <v>1</v>
      </c>
      <c r="K2633" s="120">
        <f t="shared" si="1022"/>
        <v>0</v>
      </c>
      <c r="L2633" s="120">
        <f t="shared" si="1023"/>
        <v>0</v>
      </c>
      <c r="M2633" s="246">
        <f t="shared" si="1024"/>
        <v>0</v>
      </c>
      <c r="N2633" s="121">
        <f t="shared" si="1025"/>
        <v>1</v>
      </c>
      <c r="O2633" s="246">
        <f t="shared" si="1026"/>
        <v>0.9915043763676149</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87">
        <v>18</v>
      </c>
      <c r="B2634" s="242">
        <f t="shared" si="1033"/>
        <v>46174</v>
      </c>
      <c r="C2634" s="243">
        <f t="shared" si="1014"/>
        <v>46203</v>
      </c>
      <c r="D2634" s="120">
        <f t="shared" si="1015"/>
        <v>30</v>
      </c>
      <c r="E2634" s="120">
        <f t="shared" si="1016"/>
        <v>6</v>
      </c>
      <c r="F2634" s="275">
        <f t="shared" si="1017"/>
        <v>46189</v>
      </c>
      <c r="G2634" s="120">
        <f t="shared" si="1018"/>
        <v>24317</v>
      </c>
      <c r="H2634" s="245">
        <f t="shared" si="1019"/>
        <v>1</v>
      </c>
      <c r="I2634" s="121">
        <f t="shared" si="1020"/>
        <v>1</v>
      </c>
      <c r="J2634" s="121">
        <f t="shared" si="1021"/>
        <v>1</v>
      </c>
      <c r="K2634" s="120">
        <f t="shared" si="1022"/>
        <v>0</v>
      </c>
      <c r="L2634" s="120">
        <f t="shared" si="1023"/>
        <v>0</v>
      </c>
      <c r="M2634" s="246">
        <f t="shared" si="1024"/>
        <v>0</v>
      </c>
      <c r="N2634" s="121">
        <f t="shared" si="1025"/>
        <v>1</v>
      </c>
      <c r="O2634" s="246">
        <f t="shared" si="1026"/>
        <v>0.99117067833698025</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87">
        <v>19</v>
      </c>
      <c r="B2635" s="242">
        <f t="shared" si="1033"/>
        <v>46204</v>
      </c>
      <c r="C2635" s="243">
        <f t="shared" si="1014"/>
        <v>46234</v>
      </c>
      <c r="D2635" s="120">
        <f t="shared" si="1015"/>
        <v>31</v>
      </c>
      <c r="E2635" s="120">
        <f t="shared" si="1016"/>
        <v>7</v>
      </c>
      <c r="F2635" s="275">
        <f t="shared" si="1017"/>
        <v>46219.5</v>
      </c>
      <c r="G2635" s="120">
        <f t="shared" si="1018"/>
        <v>24318</v>
      </c>
      <c r="H2635" s="245">
        <f t="shared" si="1019"/>
        <v>1</v>
      </c>
      <c r="I2635" s="121">
        <f t="shared" si="1020"/>
        <v>1</v>
      </c>
      <c r="J2635" s="121">
        <f t="shared" si="1021"/>
        <v>1</v>
      </c>
      <c r="K2635" s="120">
        <f t="shared" si="1022"/>
        <v>0</v>
      </c>
      <c r="L2635" s="120">
        <f t="shared" si="1023"/>
        <v>0</v>
      </c>
      <c r="M2635" s="246">
        <f t="shared" si="1024"/>
        <v>0</v>
      </c>
      <c r="N2635" s="121">
        <f t="shared" si="1025"/>
        <v>1</v>
      </c>
      <c r="O2635" s="246">
        <f t="shared" si="1026"/>
        <v>0.9908369803063457</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87">
        <v>20</v>
      </c>
      <c r="B2636" s="242">
        <f t="shared" si="1033"/>
        <v>46235</v>
      </c>
      <c r="C2636" s="243">
        <f t="shared" si="1014"/>
        <v>46265</v>
      </c>
      <c r="D2636" s="120">
        <f t="shared" si="1015"/>
        <v>31</v>
      </c>
      <c r="E2636" s="120">
        <f t="shared" si="1016"/>
        <v>8</v>
      </c>
      <c r="F2636" s="275">
        <f t="shared" si="1017"/>
        <v>46250.5</v>
      </c>
      <c r="G2636" s="120">
        <f t="shared" si="1018"/>
        <v>24319</v>
      </c>
      <c r="H2636" s="245">
        <f t="shared" si="1019"/>
        <v>1</v>
      </c>
      <c r="I2636" s="121">
        <f t="shared" si="1020"/>
        <v>1</v>
      </c>
      <c r="J2636" s="121">
        <f t="shared" si="1021"/>
        <v>1</v>
      </c>
      <c r="K2636" s="120">
        <f t="shared" si="1022"/>
        <v>0</v>
      </c>
      <c r="L2636" s="120">
        <f t="shared" si="1023"/>
        <v>0</v>
      </c>
      <c r="M2636" s="246">
        <f t="shared" si="1024"/>
        <v>0</v>
      </c>
      <c r="N2636" s="121">
        <f t="shared" si="1025"/>
        <v>1</v>
      </c>
      <c r="O2636" s="246">
        <f t="shared" si="1026"/>
        <v>0.99049781181619256</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87">
        <v>21</v>
      </c>
      <c r="B2637" s="242">
        <f t="shared" si="1033"/>
        <v>46266</v>
      </c>
      <c r="C2637" s="243">
        <f t="shared" si="1014"/>
        <v>46295</v>
      </c>
      <c r="D2637" s="120">
        <f t="shared" si="1015"/>
        <v>30</v>
      </c>
      <c r="E2637" s="120">
        <f t="shared" si="1016"/>
        <v>9</v>
      </c>
      <c r="F2637" s="275">
        <f t="shared" si="1017"/>
        <v>46281</v>
      </c>
      <c r="G2637" s="120">
        <f t="shared" si="1018"/>
        <v>24320</v>
      </c>
      <c r="H2637" s="245">
        <f t="shared" si="1019"/>
        <v>1</v>
      </c>
      <c r="I2637" s="121">
        <f t="shared" si="1020"/>
        <v>1</v>
      </c>
      <c r="J2637" s="121">
        <f t="shared" si="1021"/>
        <v>1</v>
      </c>
      <c r="K2637" s="120">
        <f t="shared" si="1022"/>
        <v>0</v>
      </c>
      <c r="L2637" s="120">
        <f t="shared" si="1023"/>
        <v>0</v>
      </c>
      <c r="M2637" s="246">
        <f t="shared" si="1024"/>
        <v>0</v>
      </c>
      <c r="N2637" s="121">
        <f t="shared" si="1025"/>
        <v>1</v>
      </c>
      <c r="O2637" s="246">
        <f t="shared" si="1026"/>
        <v>0.99016411378555802</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87">
        <v>22</v>
      </c>
      <c r="B2638" s="242">
        <f t="shared" si="1033"/>
        <v>46296</v>
      </c>
      <c r="C2638" s="243">
        <f t="shared" si="1014"/>
        <v>46326</v>
      </c>
      <c r="D2638" s="120">
        <f t="shared" si="1015"/>
        <v>31</v>
      </c>
      <c r="E2638" s="120">
        <f t="shared" si="1016"/>
        <v>10</v>
      </c>
      <c r="F2638" s="275">
        <f t="shared" si="1017"/>
        <v>46311.5</v>
      </c>
      <c r="G2638" s="120">
        <f t="shared" si="1018"/>
        <v>24321</v>
      </c>
      <c r="H2638" s="245">
        <f t="shared" si="1019"/>
        <v>1</v>
      </c>
      <c r="I2638" s="121">
        <f t="shared" si="1020"/>
        <v>1</v>
      </c>
      <c r="J2638" s="121">
        <f t="shared" si="1021"/>
        <v>1</v>
      </c>
      <c r="K2638" s="120">
        <f t="shared" si="1022"/>
        <v>0</v>
      </c>
      <c r="L2638" s="120">
        <f t="shared" si="1023"/>
        <v>0</v>
      </c>
      <c r="M2638" s="246">
        <f t="shared" si="1024"/>
        <v>0</v>
      </c>
      <c r="N2638" s="121">
        <f t="shared" si="1025"/>
        <v>1</v>
      </c>
      <c r="O2638" s="246">
        <f t="shared" si="1026"/>
        <v>0.98983041575492337</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87">
        <v>23</v>
      </c>
      <c r="B2639" s="242">
        <f t="shared" si="1033"/>
        <v>46327</v>
      </c>
      <c r="C2639" s="243">
        <f t="shared" si="1014"/>
        <v>46356</v>
      </c>
      <c r="D2639" s="120">
        <f t="shared" si="1015"/>
        <v>30</v>
      </c>
      <c r="E2639" s="120">
        <f t="shared" si="1016"/>
        <v>11</v>
      </c>
      <c r="F2639" s="275">
        <f t="shared" si="1017"/>
        <v>46342</v>
      </c>
      <c r="G2639" s="120">
        <f t="shared" si="1018"/>
        <v>24322</v>
      </c>
      <c r="H2639" s="245">
        <f t="shared" si="1019"/>
        <v>1</v>
      </c>
      <c r="I2639" s="121">
        <f t="shared" si="1020"/>
        <v>1</v>
      </c>
      <c r="J2639" s="121">
        <f t="shared" si="1021"/>
        <v>1</v>
      </c>
      <c r="K2639" s="120">
        <f t="shared" si="1022"/>
        <v>0</v>
      </c>
      <c r="L2639" s="120">
        <f t="shared" si="1023"/>
        <v>0</v>
      </c>
      <c r="M2639" s="246">
        <f t="shared" si="1024"/>
        <v>0</v>
      </c>
      <c r="N2639" s="121">
        <f t="shared" si="1025"/>
        <v>1</v>
      </c>
      <c r="O2639" s="246">
        <f t="shared" si="1026"/>
        <v>0.98949671772428882</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87">
        <v>24</v>
      </c>
      <c r="B2640" s="242">
        <f t="shared" si="1033"/>
        <v>46357</v>
      </c>
      <c r="C2640" s="243">
        <f t="shared" si="1014"/>
        <v>46387</v>
      </c>
      <c r="D2640" s="120">
        <f t="shared" si="1015"/>
        <v>31</v>
      </c>
      <c r="E2640" s="120">
        <f t="shared" si="1016"/>
        <v>12</v>
      </c>
      <c r="F2640" s="275">
        <f t="shared" si="1017"/>
        <v>46372.5</v>
      </c>
      <c r="G2640" s="120">
        <f t="shared" si="1018"/>
        <v>24323</v>
      </c>
      <c r="H2640" s="245">
        <f t="shared" si="1019"/>
        <v>1</v>
      </c>
      <c r="I2640" s="121">
        <f t="shared" si="1020"/>
        <v>1</v>
      </c>
      <c r="J2640" s="121">
        <f t="shared" si="1021"/>
        <v>1</v>
      </c>
      <c r="K2640" s="120">
        <f t="shared" si="1022"/>
        <v>0</v>
      </c>
      <c r="L2640" s="120">
        <f t="shared" si="1023"/>
        <v>0</v>
      </c>
      <c r="M2640" s="246">
        <f t="shared" si="1024"/>
        <v>0</v>
      </c>
      <c r="N2640" s="121">
        <f t="shared" si="1025"/>
        <v>1</v>
      </c>
      <c r="O2640" s="246">
        <f t="shared" si="1026"/>
        <v>0.98916301969365428</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87">
        <v>25</v>
      </c>
      <c r="B2641" s="242">
        <f t="shared" si="1033"/>
        <v>46388</v>
      </c>
      <c r="C2641" s="243">
        <f t="shared" si="1014"/>
        <v>46418</v>
      </c>
      <c r="D2641" s="120">
        <f t="shared" si="1015"/>
        <v>31</v>
      </c>
      <c r="E2641" s="120">
        <f t="shared" si="1016"/>
        <v>1</v>
      </c>
      <c r="F2641" s="275">
        <f t="shared" si="1017"/>
        <v>46403.5</v>
      </c>
      <c r="G2641" s="120">
        <f t="shared" si="1018"/>
        <v>24324</v>
      </c>
      <c r="H2641" s="245">
        <f t="shared" si="1019"/>
        <v>1</v>
      </c>
      <c r="I2641" s="121">
        <f t="shared" si="1020"/>
        <v>1</v>
      </c>
      <c r="J2641" s="121">
        <f t="shared" si="1021"/>
        <v>1</v>
      </c>
      <c r="K2641" s="120">
        <f t="shared" si="1022"/>
        <v>0</v>
      </c>
      <c r="L2641" s="120">
        <f t="shared" si="1023"/>
        <v>0</v>
      </c>
      <c r="M2641" s="246">
        <f t="shared" si="1024"/>
        <v>0</v>
      </c>
      <c r="N2641" s="121">
        <f t="shared" si="1025"/>
        <v>1</v>
      </c>
      <c r="O2641" s="246">
        <f t="shared" si="1026"/>
        <v>0.98882385120350114</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87">
        <v>26</v>
      </c>
      <c r="B2642" s="242">
        <f t="shared" si="1033"/>
        <v>46419</v>
      </c>
      <c r="C2642" s="243">
        <f t="shared" si="1014"/>
        <v>46446</v>
      </c>
      <c r="D2642" s="120">
        <f t="shared" si="1015"/>
        <v>28</v>
      </c>
      <c r="E2642" s="120">
        <f t="shared" si="1016"/>
        <v>2</v>
      </c>
      <c r="F2642" s="275">
        <f t="shared" si="1017"/>
        <v>46433</v>
      </c>
      <c r="G2642" s="120">
        <f t="shared" si="1018"/>
        <v>24325</v>
      </c>
      <c r="H2642" s="245">
        <f t="shared" si="1019"/>
        <v>1</v>
      </c>
      <c r="I2642" s="121">
        <f t="shared" si="1020"/>
        <v>1</v>
      </c>
      <c r="J2642" s="121">
        <f t="shared" si="1021"/>
        <v>1</v>
      </c>
      <c r="K2642" s="120">
        <f t="shared" si="1022"/>
        <v>0</v>
      </c>
      <c r="L2642" s="120">
        <f t="shared" si="1023"/>
        <v>0</v>
      </c>
      <c r="M2642" s="246">
        <f t="shared" si="1024"/>
        <v>0</v>
      </c>
      <c r="N2642" s="121">
        <f t="shared" si="1025"/>
        <v>1</v>
      </c>
      <c r="O2642" s="246">
        <f t="shared" si="1026"/>
        <v>0.98850109409190368</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87">
        <v>27</v>
      </c>
      <c r="B2643" s="242">
        <f t="shared" si="1033"/>
        <v>46447</v>
      </c>
      <c r="C2643" s="243">
        <f t="shared" si="1014"/>
        <v>46477</v>
      </c>
      <c r="D2643" s="120">
        <f t="shared" si="1015"/>
        <v>31</v>
      </c>
      <c r="E2643" s="120">
        <f t="shared" si="1016"/>
        <v>3</v>
      </c>
      <c r="F2643" s="275">
        <f t="shared" si="1017"/>
        <v>46462.5</v>
      </c>
      <c r="G2643" s="120">
        <f t="shared" si="1018"/>
        <v>24326</v>
      </c>
      <c r="H2643" s="245">
        <f t="shared" si="1019"/>
        <v>1</v>
      </c>
      <c r="I2643" s="121">
        <f t="shared" si="1020"/>
        <v>1</v>
      </c>
      <c r="J2643" s="121">
        <f t="shared" si="1021"/>
        <v>1</v>
      </c>
      <c r="K2643" s="120">
        <f t="shared" si="1022"/>
        <v>0</v>
      </c>
      <c r="L2643" s="120">
        <f t="shared" si="1023"/>
        <v>0</v>
      </c>
      <c r="M2643" s="246">
        <f t="shared" si="1024"/>
        <v>0</v>
      </c>
      <c r="N2643" s="121">
        <f t="shared" si="1025"/>
        <v>1</v>
      </c>
      <c r="O2643" s="246">
        <f t="shared" si="1026"/>
        <v>0.98817833698030633</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87">
        <v>28</v>
      </c>
      <c r="B2644" s="242">
        <f t="shared" si="1033"/>
        <v>46478</v>
      </c>
      <c r="C2644" s="243">
        <f t="shared" si="1014"/>
        <v>46507</v>
      </c>
      <c r="D2644" s="120">
        <f t="shared" si="1015"/>
        <v>30</v>
      </c>
      <c r="E2644" s="120">
        <f t="shared" si="1016"/>
        <v>4</v>
      </c>
      <c r="F2644" s="275">
        <f t="shared" si="1017"/>
        <v>46493</v>
      </c>
      <c r="G2644" s="120">
        <f t="shared" si="1018"/>
        <v>24327</v>
      </c>
      <c r="H2644" s="245">
        <f t="shared" si="1019"/>
        <v>1</v>
      </c>
      <c r="I2644" s="121">
        <f t="shared" si="1020"/>
        <v>1</v>
      </c>
      <c r="J2644" s="121">
        <f t="shared" si="1021"/>
        <v>1</v>
      </c>
      <c r="K2644" s="120">
        <f t="shared" si="1022"/>
        <v>0</v>
      </c>
      <c r="L2644" s="120">
        <f t="shared" si="1023"/>
        <v>0</v>
      </c>
      <c r="M2644" s="246">
        <f t="shared" si="1024"/>
        <v>0</v>
      </c>
      <c r="N2644" s="121">
        <f t="shared" si="1025"/>
        <v>1</v>
      </c>
      <c r="O2644" s="246">
        <f t="shared" si="1026"/>
        <v>0.98784463894967178</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87">
        <v>29</v>
      </c>
      <c r="B2645" s="242">
        <f t="shared" si="1033"/>
        <v>46508</v>
      </c>
      <c r="C2645" s="243">
        <f t="shared" si="1014"/>
        <v>46538</v>
      </c>
      <c r="D2645" s="120">
        <f t="shared" si="1015"/>
        <v>31</v>
      </c>
      <c r="E2645" s="120">
        <f t="shared" si="1016"/>
        <v>5</v>
      </c>
      <c r="F2645" s="275">
        <f t="shared" si="1017"/>
        <v>46523.5</v>
      </c>
      <c r="G2645" s="120">
        <f t="shared" si="1018"/>
        <v>24328</v>
      </c>
      <c r="H2645" s="245">
        <f t="shared" si="1019"/>
        <v>1</v>
      </c>
      <c r="I2645" s="121">
        <f t="shared" si="1020"/>
        <v>1</v>
      </c>
      <c r="J2645" s="121">
        <f t="shared" si="1021"/>
        <v>1</v>
      </c>
      <c r="K2645" s="120">
        <f t="shared" si="1022"/>
        <v>0</v>
      </c>
      <c r="L2645" s="120">
        <f t="shared" si="1023"/>
        <v>0</v>
      </c>
      <c r="M2645" s="246">
        <f t="shared" si="1024"/>
        <v>0</v>
      </c>
      <c r="N2645" s="121">
        <f t="shared" si="1025"/>
        <v>1</v>
      </c>
      <c r="O2645" s="246">
        <f t="shared" si="1026"/>
        <v>0.98751094091903724</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87">
        <v>30</v>
      </c>
      <c r="B2646" s="242">
        <f t="shared" si="1033"/>
        <v>46539</v>
      </c>
      <c r="C2646" s="243">
        <f t="shared" si="1014"/>
        <v>46568</v>
      </c>
      <c r="D2646" s="120">
        <f t="shared" si="1015"/>
        <v>30</v>
      </c>
      <c r="E2646" s="120">
        <f t="shared" si="1016"/>
        <v>6</v>
      </c>
      <c r="F2646" s="275">
        <f t="shared" si="1017"/>
        <v>46554</v>
      </c>
      <c r="G2646" s="120">
        <f t="shared" si="1018"/>
        <v>24329</v>
      </c>
      <c r="H2646" s="245">
        <f t="shared" si="1019"/>
        <v>1</v>
      </c>
      <c r="I2646" s="121">
        <f t="shared" si="1020"/>
        <v>1</v>
      </c>
      <c r="J2646" s="121">
        <f t="shared" si="1021"/>
        <v>1</v>
      </c>
      <c r="K2646" s="120">
        <f t="shared" si="1022"/>
        <v>0</v>
      </c>
      <c r="L2646" s="120">
        <f t="shared" si="1023"/>
        <v>0</v>
      </c>
      <c r="M2646" s="246">
        <f t="shared" si="1024"/>
        <v>0</v>
      </c>
      <c r="N2646" s="121">
        <f t="shared" si="1025"/>
        <v>1</v>
      </c>
      <c r="O2646" s="246">
        <f t="shared" si="1026"/>
        <v>0.98717724288840258</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87">
        <v>31</v>
      </c>
      <c r="B2647" s="242">
        <f t="shared" si="1033"/>
        <v>46569</v>
      </c>
      <c r="C2647" s="243">
        <f t="shared" si="1014"/>
        <v>46599</v>
      </c>
      <c r="D2647" s="120">
        <f t="shared" si="1015"/>
        <v>31</v>
      </c>
      <c r="E2647" s="120">
        <f t="shared" si="1016"/>
        <v>7</v>
      </c>
      <c r="F2647" s="275">
        <f t="shared" si="1017"/>
        <v>46584.5</v>
      </c>
      <c r="G2647" s="120">
        <f t="shared" si="1018"/>
        <v>24330</v>
      </c>
      <c r="H2647" s="245">
        <f t="shared" si="1019"/>
        <v>1</v>
      </c>
      <c r="I2647" s="121">
        <f t="shared" si="1020"/>
        <v>1</v>
      </c>
      <c r="J2647" s="121">
        <f t="shared" si="1021"/>
        <v>1</v>
      </c>
      <c r="K2647" s="120">
        <f t="shared" si="1022"/>
        <v>0</v>
      </c>
      <c r="L2647" s="120">
        <f t="shared" si="1023"/>
        <v>0</v>
      </c>
      <c r="M2647" s="246">
        <f t="shared" si="1024"/>
        <v>0</v>
      </c>
      <c r="N2647" s="121">
        <f t="shared" si="1025"/>
        <v>1</v>
      </c>
      <c r="O2647" s="246">
        <f t="shared" si="1026"/>
        <v>0.98684354485776804</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87">
        <v>32</v>
      </c>
      <c r="B2648" s="242">
        <f t="shared" si="1033"/>
        <v>46600</v>
      </c>
      <c r="C2648" s="243">
        <f t="shared" si="1014"/>
        <v>46630</v>
      </c>
      <c r="D2648" s="120">
        <f t="shared" si="1015"/>
        <v>31</v>
      </c>
      <c r="E2648" s="120">
        <f t="shared" si="1016"/>
        <v>8</v>
      </c>
      <c r="F2648" s="275">
        <f t="shared" si="1017"/>
        <v>46615.5</v>
      </c>
      <c r="G2648" s="120">
        <f t="shared" si="1018"/>
        <v>24331</v>
      </c>
      <c r="H2648" s="245">
        <f t="shared" si="1019"/>
        <v>1</v>
      </c>
      <c r="I2648" s="121">
        <f t="shared" si="1020"/>
        <v>1</v>
      </c>
      <c r="J2648" s="121">
        <f t="shared" si="1021"/>
        <v>1</v>
      </c>
      <c r="K2648" s="120">
        <f t="shared" si="1022"/>
        <v>0</v>
      </c>
      <c r="L2648" s="120">
        <f t="shared" si="1023"/>
        <v>0</v>
      </c>
      <c r="M2648" s="246">
        <f t="shared" si="1024"/>
        <v>0</v>
      </c>
      <c r="N2648" s="121">
        <f t="shared" si="1025"/>
        <v>1</v>
      </c>
      <c r="O2648" s="246">
        <f t="shared" si="1026"/>
        <v>0.9865043763676149</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87">
        <v>33</v>
      </c>
      <c r="B2649" s="242">
        <f t="shared" si="1033"/>
        <v>46631</v>
      </c>
      <c r="C2649" s="243">
        <f t="shared" si="1014"/>
        <v>46660</v>
      </c>
      <c r="D2649" s="120">
        <f t="shared" si="1015"/>
        <v>30</v>
      </c>
      <c r="E2649" s="120">
        <f t="shared" si="1016"/>
        <v>9</v>
      </c>
      <c r="F2649" s="275">
        <f t="shared" si="1017"/>
        <v>46646</v>
      </c>
      <c r="G2649" s="120">
        <f t="shared" si="1018"/>
        <v>24332</v>
      </c>
      <c r="H2649" s="245">
        <f t="shared" si="1019"/>
        <v>1</v>
      </c>
      <c r="I2649" s="121">
        <f t="shared" si="1020"/>
        <v>1</v>
      </c>
      <c r="J2649" s="121">
        <f t="shared" si="1021"/>
        <v>1</v>
      </c>
      <c r="K2649" s="120">
        <f t="shared" si="1022"/>
        <v>0</v>
      </c>
      <c r="L2649" s="120">
        <f t="shared" si="1023"/>
        <v>0</v>
      </c>
      <c r="M2649" s="246">
        <f t="shared" si="1024"/>
        <v>0</v>
      </c>
      <c r="N2649" s="121">
        <f t="shared" si="1025"/>
        <v>1</v>
      </c>
      <c r="O2649" s="246">
        <f t="shared" si="1026"/>
        <v>0.98617067833698024</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87">
        <v>34</v>
      </c>
      <c r="B2650" s="242">
        <f t="shared" si="1033"/>
        <v>46661</v>
      </c>
      <c r="C2650" s="243">
        <f t="shared" si="1014"/>
        <v>46691</v>
      </c>
      <c r="D2650" s="120">
        <f t="shared" si="1015"/>
        <v>31</v>
      </c>
      <c r="E2650" s="120">
        <f t="shared" si="1016"/>
        <v>10</v>
      </c>
      <c r="F2650" s="275">
        <f t="shared" si="1017"/>
        <v>46676.5</v>
      </c>
      <c r="G2650" s="120">
        <f t="shared" si="1018"/>
        <v>24333</v>
      </c>
      <c r="H2650" s="245">
        <f t="shared" si="1019"/>
        <v>1</v>
      </c>
      <c r="I2650" s="121">
        <f t="shared" si="1020"/>
        <v>1</v>
      </c>
      <c r="J2650" s="121">
        <f t="shared" si="1021"/>
        <v>1</v>
      </c>
      <c r="K2650" s="120">
        <f t="shared" si="1022"/>
        <v>0</v>
      </c>
      <c r="L2650" s="120">
        <f t="shared" si="1023"/>
        <v>0</v>
      </c>
      <c r="M2650" s="246">
        <f t="shared" si="1024"/>
        <v>0</v>
      </c>
      <c r="N2650" s="121">
        <f t="shared" si="1025"/>
        <v>1</v>
      </c>
      <c r="O2650" s="246">
        <f t="shared" si="1026"/>
        <v>0.9858369803063457</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87">
        <v>35</v>
      </c>
      <c r="B2651" s="242">
        <f t="shared" si="1033"/>
        <v>46692</v>
      </c>
      <c r="C2651" s="243">
        <f t="shared" si="1014"/>
        <v>46721</v>
      </c>
      <c r="D2651" s="120">
        <f t="shared" si="1015"/>
        <v>30</v>
      </c>
      <c r="E2651" s="120">
        <f t="shared" si="1016"/>
        <v>11</v>
      </c>
      <c r="F2651" s="275">
        <f t="shared" si="1017"/>
        <v>46707</v>
      </c>
      <c r="G2651" s="120">
        <f t="shared" si="1018"/>
        <v>24334</v>
      </c>
      <c r="H2651" s="245">
        <f t="shared" si="1019"/>
        <v>1</v>
      </c>
      <c r="I2651" s="121">
        <f t="shared" si="1020"/>
        <v>1</v>
      </c>
      <c r="J2651" s="121">
        <f t="shared" si="1021"/>
        <v>1</v>
      </c>
      <c r="K2651" s="120">
        <f t="shared" si="1022"/>
        <v>0</v>
      </c>
      <c r="L2651" s="120">
        <f t="shared" si="1023"/>
        <v>0</v>
      </c>
      <c r="M2651" s="246">
        <f t="shared" si="1024"/>
        <v>0</v>
      </c>
      <c r="N2651" s="121">
        <f t="shared" si="1025"/>
        <v>1</v>
      </c>
      <c r="O2651" s="246">
        <f t="shared" si="1026"/>
        <v>0.98550328227571116</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87">
        <v>36</v>
      </c>
      <c r="B2652" s="242">
        <f t="shared" si="1033"/>
        <v>46722</v>
      </c>
      <c r="C2652" s="243">
        <f t="shared" si="1014"/>
        <v>46752</v>
      </c>
      <c r="D2652" s="120">
        <f t="shared" si="1015"/>
        <v>31</v>
      </c>
      <c r="E2652" s="120">
        <f t="shared" si="1016"/>
        <v>12</v>
      </c>
      <c r="F2652" s="275">
        <f t="shared" si="1017"/>
        <v>46737.5</v>
      </c>
      <c r="G2652" s="120">
        <f t="shared" si="1018"/>
        <v>24335</v>
      </c>
      <c r="H2652" s="245">
        <f t="shared" si="1019"/>
        <v>1</v>
      </c>
      <c r="I2652" s="121">
        <f t="shared" si="1020"/>
        <v>1</v>
      </c>
      <c r="J2652" s="121">
        <f t="shared" si="1021"/>
        <v>1</v>
      </c>
      <c r="K2652" s="120">
        <f t="shared" si="1022"/>
        <v>0</v>
      </c>
      <c r="L2652" s="120">
        <f t="shared" si="1023"/>
        <v>0</v>
      </c>
      <c r="M2652" s="246">
        <f t="shared" si="1024"/>
        <v>0</v>
      </c>
      <c r="N2652" s="121">
        <f t="shared" si="1025"/>
        <v>1</v>
      </c>
      <c r="O2652" s="246">
        <f t="shared" si="1026"/>
        <v>0.98516958424507661</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87">
        <v>37</v>
      </c>
      <c r="B2653" s="242">
        <f t="shared" si="1033"/>
        <v>46753</v>
      </c>
      <c r="C2653" s="243">
        <f t="shared" si="1014"/>
        <v>46783</v>
      </c>
      <c r="D2653" s="120">
        <f t="shared" si="1015"/>
        <v>31</v>
      </c>
      <c r="E2653" s="120">
        <f t="shared" si="1016"/>
        <v>1</v>
      </c>
      <c r="F2653" s="275">
        <f t="shared" si="1017"/>
        <v>46768.5</v>
      </c>
      <c r="G2653" s="120">
        <f t="shared" si="1018"/>
        <v>24336</v>
      </c>
      <c r="H2653" s="245">
        <f t="shared" si="1019"/>
        <v>1</v>
      </c>
      <c r="I2653" s="121">
        <f t="shared" si="1020"/>
        <v>1</v>
      </c>
      <c r="J2653" s="121">
        <f t="shared" si="1021"/>
        <v>1</v>
      </c>
      <c r="K2653" s="120">
        <f t="shared" si="1022"/>
        <v>0</v>
      </c>
      <c r="L2653" s="120">
        <f t="shared" si="1023"/>
        <v>0</v>
      </c>
      <c r="M2653" s="246">
        <f t="shared" si="1024"/>
        <v>0</v>
      </c>
      <c r="N2653" s="121">
        <f t="shared" si="1025"/>
        <v>1</v>
      </c>
      <c r="O2653" s="246">
        <f t="shared" si="1026"/>
        <v>0.98499999999999999</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87">
        <v>38</v>
      </c>
      <c r="B2654" s="242">
        <f t="shared" si="1033"/>
        <v>46784</v>
      </c>
      <c r="C2654" s="243">
        <f t="shared" si="1014"/>
        <v>46812</v>
      </c>
      <c r="D2654" s="120">
        <f t="shared" si="1015"/>
        <v>29</v>
      </c>
      <c r="E2654" s="120">
        <f t="shared" si="1016"/>
        <v>2</v>
      </c>
      <c r="F2654" s="275">
        <f t="shared" si="1017"/>
        <v>46798.5</v>
      </c>
      <c r="G2654" s="120">
        <f t="shared" si="1018"/>
        <v>24337</v>
      </c>
      <c r="H2654" s="245">
        <f t="shared" si="1019"/>
        <v>1</v>
      </c>
      <c r="I2654" s="121">
        <f t="shared" si="1020"/>
        <v>1</v>
      </c>
      <c r="J2654" s="121">
        <f t="shared" si="1021"/>
        <v>1</v>
      </c>
      <c r="K2654" s="120">
        <f t="shared" si="1022"/>
        <v>0</v>
      </c>
      <c r="L2654" s="120">
        <f t="shared" si="1023"/>
        <v>0</v>
      </c>
      <c r="M2654" s="246">
        <f t="shared" si="1024"/>
        <v>0</v>
      </c>
      <c r="N2654" s="121">
        <f t="shared" si="1025"/>
        <v>1</v>
      </c>
      <c r="O2654" s="246">
        <f t="shared" si="1026"/>
        <v>0.98499999999999999</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87">
        <v>39</v>
      </c>
      <c r="B2655" s="242">
        <f t="shared" si="1033"/>
        <v>46813</v>
      </c>
      <c r="C2655" s="243">
        <f t="shared" si="1014"/>
        <v>46843</v>
      </c>
      <c r="D2655" s="120">
        <f t="shared" si="1015"/>
        <v>31</v>
      </c>
      <c r="E2655" s="120">
        <f t="shared" si="1016"/>
        <v>3</v>
      </c>
      <c r="F2655" s="275">
        <f t="shared" si="1017"/>
        <v>46828.5</v>
      </c>
      <c r="G2655" s="120">
        <f t="shared" si="1018"/>
        <v>24338</v>
      </c>
      <c r="H2655" s="245">
        <f t="shared" si="1019"/>
        <v>1</v>
      </c>
      <c r="I2655" s="121">
        <f t="shared" si="1020"/>
        <v>1</v>
      </c>
      <c r="J2655" s="121">
        <f t="shared" si="1021"/>
        <v>1</v>
      </c>
      <c r="K2655" s="120">
        <f t="shared" si="1022"/>
        <v>0</v>
      </c>
      <c r="L2655" s="120">
        <f t="shared" si="1023"/>
        <v>0</v>
      </c>
      <c r="M2655" s="246">
        <f t="shared" si="1024"/>
        <v>0</v>
      </c>
      <c r="N2655" s="121">
        <f t="shared" si="1025"/>
        <v>1</v>
      </c>
      <c r="O2655" s="246">
        <f t="shared" si="1026"/>
        <v>0.98499999999999999</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87">
        <v>40</v>
      </c>
      <c r="B2656" s="242">
        <f t="shared" si="1033"/>
        <v>46844</v>
      </c>
      <c r="C2656" s="243">
        <f t="shared" si="1014"/>
        <v>46873</v>
      </c>
      <c r="D2656" s="120">
        <f t="shared" si="1015"/>
        <v>30</v>
      </c>
      <c r="E2656" s="120">
        <f t="shared" si="1016"/>
        <v>4</v>
      </c>
      <c r="F2656" s="275">
        <f t="shared" si="1017"/>
        <v>46859</v>
      </c>
      <c r="G2656" s="120">
        <f t="shared" si="1018"/>
        <v>24339</v>
      </c>
      <c r="H2656" s="245">
        <f t="shared" si="1019"/>
        <v>1</v>
      </c>
      <c r="I2656" s="121">
        <f t="shared" si="1020"/>
        <v>1</v>
      </c>
      <c r="J2656" s="121">
        <f t="shared" si="1021"/>
        <v>1</v>
      </c>
      <c r="K2656" s="120">
        <f t="shared" si="1022"/>
        <v>0</v>
      </c>
      <c r="L2656" s="120">
        <f t="shared" si="1023"/>
        <v>0</v>
      </c>
      <c r="M2656" s="246">
        <f t="shared" si="1024"/>
        <v>0</v>
      </c>
      <c r="N2656" s="121">
        <f t="shared" si="1025"/>
        <v>1</v>
      </c>
      <c r="O2656" s="246">
        <f t="shared" si="1026"/>
        <v>0.98499999999999999</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87">
        <v>41</v>
      </c>
      <c r="B2657" s="242">
        <f t="shared" si="1033"/>
        <v>46874</v>
      </c>
      <c r="C2657" s="243">
        <f t="shared" si="1014"/>
        <v>46904</v>
      </c>
      <c r="D2657" s="120">
        <f t="shared" si="1015"/>
        <v>31</v>
      </c>
      <c r="E2657" s="120">
        <f t="shared" si="1016"/>
        <v>5</v>
      </c>
      <c r="F2657" s="275">
        <f t="shared" si="1017"/>
        <v>46889.5</v>
      </c>
      <c r="G2657" s="120">
        <f t="shared" si="1018"/>
        <v>24340</v>
      </c>
      <c r="H2657" s="245">
        <f t="shared" si="1019"/>
        <v>1</v>
      </c>
      <c r="I2657" s="121">
        <f t="shared" si="1020"/>
        <v>1</v>
      </c>
      <c r="J2657" s="121">
        <f t="shared" si="1021"/>
        <v>1</v>
      </c>
      <c r="K2657" s="120">
        <f t="shared" si="1022"/>
        <v>0</v>
      </c>
      <c r="L2657" s="120">
        <f t="shared" si="1023"/>
        <v>0</v>
      </c>
      <c r="M2657" s="246">
        <f t="shared" si="1024"/>
        <v>0</v>
      </c>
      <c r="N2657" s="121">
        <f t="shared" si="1025"/>
        <v>1</v>
      </c>
      <c r="O2657" s="246">
        <f t="shared" si="1026"/>
        <v>0.98499999999999999</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87">
        <v>42</v>
      </c>
      <c r="B2658" s="242">
        <f t="shared" si="1033"/>
        <v>46905</v>
      </c>
      <c r="C2658" s="243">
        <f t="shared" si="1014"/>
        <v>46934</v>
      </c>
      <c r="D2658" s="120">
        <f t="shared" si="1015"/>
        <v>30</v>
      </c>
      <c r="E2658" s="120">
        <f t="shared" si="1016"/>
        <v>6</v>
      </c>
      <c r="F2658" s="275">
        <f t="shared" si="1017"/>
        <v>46920</v>
      </c>
      <c r="G2658" s="120">
        <f t="shared" si="1018"/>
        <v>24341</v>
      </c>
      <c r="H2658" s="245">
        <f t="shared" si="1019"/>
        <v>1</v>
      </c>
      <c r="I2658" s="121">
        <f t="shared" si="1020"/>
        <v>1</v>
      </c>
      <c r="J2658" s="121">
        <f t="shared" si="1021"/>
        <v>1</v>
      </c>
      <c r="K2658" s="120">
        <f t="shared" si="1022"/>
        <v>0</v>
      </c>
      <c r="L2658" s="120">
        <f t="shared" si="1023"/>
        <v>0</v>
      </c>
      <c r="M2658" s="246">
        <f t="shared" si="1024"/>
        <v>0</v>
      </c>
      <c r="N2658" s="121">
        <f t="shared" si="1025"/>
        <v>1</v>
      </c>
      <c r="O2658" s="246">
        <f t="shared" si="1026"/>
        <v>0.98499999999999999</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87">
        <v>43</v>
      </c>
      <c r="B2659" s="242">
        <f t="shared" si="1033"/>
        <v>46935</v>
      </c>
      <c r="C2659" s="243">
        <f t="shared" si="1014"/>
        <v>46965</v>
      </c>
      <c r="D2659" s="120">
        <f t="shared" si="1015"/>
        <v>31</v>
      </c>
      <c r="E2659" s="120">
        <f t="shared" si="1016"/>
        <v>7</v>
      </c>
      <c r="F2659" s="275">
        <f t="shared" si="1017"/>
        <v>46950.5</v>
      </c>
      <c r="G2659" s="120">
        <f t="shared" si="1018"/>
        <v>24342</v>
      </c>
      <c r="H2659" s="245">
        <f t="shared" si="1019"/>
        <v>1</v>
      </c>
      <c r="I2659" s="121">
        <f t="shared" si="1020"/>
        <v>1</v>
      </c>
      <c r="J2659" s="121">
        <f t="shared" si="1021"/>
        <v>1</v>
      </c>
      <c r="K2659" s="120">
        <f t="shared" si="1022"/>
        <v>0</v>
      </c>
      <c r="L2659" s="120">
        <f t="shared" si="1023"/>
        <v>0</v>
      </c>
      <c r="M2659" s="246">
        <f t="shared" si="1024"/>
        <v>0</v>
      </c>
      <c r="N2659" s="121">
        <f t="shared" si="1025"/>
        <v>1</v>
      </c>
      <c r="O2659" s="246">
        <f t="shared" si="1026"/>
        <v>0.98499999999999999</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87">
        <v>44</v>
      </c>
      <c r="B2660" s="242">
        <f t="shared" si="1033"/>
        <v>46966</v>
      </c>
      <c r="C2660" s="243">
        <f t="shared" si="1014"/>
        <v>46996</v>
      </c>
      <c r="D2660" s="120">
        <f t="shared" si="1015"/>
        <v>31</v>
      </c>
      <c r="E2660" s="120">
        <f t="shared" si="1016"/>
        <v>8</v>
      </c>
      <c r="F2660" s="275">
        <f t="shared" si="1017"/>
        <v>46981.5</v>
      </c>
      <c r="G2660" s="120">
        <f t="shared" si="1018"/>
        <v>24343</v>
      </c>
      <c r="H2660" s="245">
        <f t="shared" si="1019"/>
        <v>1</v>
      </c>
      <c r="I2660" s="121">
        <f t="shared" si="1020"/>
        <v>1</v>
      </c>
      <c r="J2660" s="121">
        <f t="shared" si="1021"/>
        <v>1</v>
      </c>
      <c r="K2660" s="120">
        <f t="shared" si="1022"/>
        <v>0</v>
      </c>
      <c r="L2660" s="120">
        <f t="shared" si="1023"/>
        <v>0</v>
      </c>
      <c r="M2660" s="246">
        <f t="shared" si="1024"/>
        <v>0</v>
      </c>
      <c r="N2660" s="121">
        <f t="shared" si="1025"/>
        <v>1</v>
      </c>
      <c r="O2660" s="246">
        <f t="shared" si="1026"/>
        <v>0.98499999999999999</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87">
        <v>45</v>
      </c>
      <c r="B2661" s="242">
        <f t="shared" si="1033"/>
        <v>46997</v>
      </c>
      <c r="C2661" s="243">
        <f t="shared" si="1014"/>
        <v>47026</v>
      </c>
      <c r="D2661" s="120">
        <f t="shared" si="1015"/>
        <v>30</v>
      </c>
      <c r="E2661" s="120">
        <f t="shared" si="1016"/>
        <v>9</v>
      </c>
      <c r="F2661" s="275">
        <f t="shared" si="1017"/>
        <v>47012</v>
      </c>
      <c r="G2661" s="120">
        <f t="shared" si="1018"/>
        <v>24344</v>
      </c>
      <c r="H2661" s="245">
        <f t="shared" si="1019"/>
        <v>1</v>
      </c>
      <c r="I2661" s="121">
        <f t="shared" si="1020"/>
        <v>1</v>
      </c>
      <c r="J2661" s="121">
        <f t="shared" si="1021"/>
        <v>1</v>
      </c>
      <c r="K2661" s="120">
        <f t="shared" si="1022"/>
        <v>0</v>
      </c>
      <c r="L2661" s="120">
        <f t="shared" si="1023"/>
        <v>0</v>
      </c>
      <c r="M2661" s="246">
        <f t="shared" si="1024"/>
        <v>0</v>
      </c>
      <c r="N2661" s="121">
        <f t="shared" si="1025"/>
        <v>1</v>
      </c>
      <c r="O2661" s="246">
        <f t="shared" si="1026"/>
        <v>0.98499999999999999</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87">
        <v>46</v>
      </c>
      <c r="B2662" s="242">
        <f t="shared" si="1033"/>
        <v>47027</v>
      </c>
      <c r="C2662" s="243">
        <f t="shared" si="1014"/>
        <v>47057</v>
      </c>
      <c r="D2662" s="120">
        <f t="shared" si="1015"/>
        <v>31</v>
      </c>
      <c r="E2662" s="120">
        <f t="shared" si="1016"/>
        <v>10</v>
      </c>
      <c r="F2662" s="275">
        <f t="shared" si="1017"/>
        <v>47042.5</v>
      </c>
      <c r="G2662" s="120">
        <f t="shared" si="1018"/>
        <v>24345</v>
      </c>
      <c r="H2662" s="245">
        <f t="shared" si="1019"/>
        <v>1</v>
      </c>
      <c r="I2662" s="121">
        <f t="shared" si="1020"/>
        <v>1</v>
      </c>
      <c r="J2662" s="121">
        <f t="shared" si="1021"/>
        <v>1</v>
      </c>
      <c r="K2662" s="120">
        <f t="shared" si="1022"/>
        <v>0</v>
      </c>
      <c r="L2662" s="120">
        <f t="shared" si="1023"/>
        <v>0</v>
      </c>
      <c r="M2662" s="246">
        <f t="shared" si="1024"/>
        <v>0</v>
      </c>
      <c r="N2662" s="121">
        <f t="shared" si="1025"/>
        <v>1</v>
      </c>
      <c r="O2662" s="246">
        <f t="shared" si="1026"/>
        <v>0.98499999999999999</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87">
        <v>47</v>
      </c>
      <c r="B2663" s="242">
        <f t="shared" si="1033"/>
        <v>47058</v>
      </c>
      <c r="C2663" s="243">
        <f t="shared" si="1014"/>
        <v>47087</v>
      </c>
      <c r="D2663" s="120">
        <f t="shared" si="1015"/>
        <v>30</v>
      </c>
      <c r="E2663" s="120">
        <f t="shared" si="1016"/>
        <v>11</v>
      </c>
      <c r="F2663" s="275">
        <f t="shared" si="1017"/>
        <v>47073</v>
      </c>
      <c r="G2663" s="120">
        <f t="shared" si="1018"/>
        <v>24346</v>
      </c>
      <c r="H2663" s="245">
        <f t="shared" si="1019"/>
        <v>1</v>
      </c>
      <c r="I2663" s="121">
        <f t="shared" si="1020"/>
        <v>1</v>
      </c>
      <c r="J2663" s="121">
        <f t="shared" si="1021"/>
        <v>1</v>
      </c>
      <c r="K2663" s="120">
        <f t="shared" si="1022"/>
        <v>0</v>
      </c>
      <c r="L2663" s="120">
        <f t="shared" si="1023"/>
        <v>0</v>
      </c>
      <c r="M2663" s="246">
        <f t="shared" si="1024"/>
        <v>0</v>
      </c>
      <c r="N2663" s="121">
        <f t="shared" si="1025"/>
        <v>1</v>
      </c>
      <c r="O2663" s="246">
        <f t="shared" si="1026"/>
        <v>0.98499999999999999</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87">
        <v>48</v>
      </c>
      <c r="B2664" s="242">
        <f t="shared" si="1033"/>
        <v>47088</v>
      </c>
      <c r="C2664" s="243">
        <f t="shared" si="1014"/>
        <v>47118</v>
      </c>
      <c r="D2664" s="120">
        <f t="shared" si="1015"/>
        <v>31</v>
      </c>
      <c r="E2664" s="120">
        <f t="shared" si="1016"/>
        <v>12</v>
      </c>
      <c r="F2664" s="275">
        <f t="shared" si="1017"/>
        <v>47103.5</v>
      </c>
      <c r="G2664" s="120">
        <f t="shared" si="1018"/>
        <v>24347</v>
      </c>
      <c r="H2664" s="245">
        <f t="shared" si="1019"/>
        <v>1</v>
      </c>
      <c r="I2664" s="121">
        <f t="shared" si="1020"/>
        <v>1</v>
      </c>
      <c r="J2664" s="121">
        <f t="shared" si="1021"/>
        <v>1</v>
      </c>
      <c r="K2664" s="120">
        <f t="shared" si="1022"/>
        <v>0</v>
      </c>
      <c r="L2664" s="120">
        <f t="shared" si="1023"/>
        <v>0</v>
      </c>
      <c r="M2664" s="246">
        <f t="shared" si="1024"/>
        <v>0</v>
      </c>
      <c r="N2664" s="121">
        <f t="shared" si="1025"/>
        <v>1</v>
      </c>
      <c r="O2664" s="246">
        <f t="shared" si="1026"/>
        <v>0.98499999999999999</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1651</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0.98900209700948194</v>
      </c>
      <c r="G2665" s="224">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24">
        <f>IF(N(INDEX(lr_mind,49))=0,1,INDEX(lr_mind,49))</f>
        <v>1</v>
      </c>
      <c r="G2668" s="224">
        <f>IF(N(INDEX(lr_m0,49))=0,1,INDEX(lr_m0,49))</f>
        <v>0.99</v>
      </c>
      <c r="H2668" s="74">
        <f>IF(N(INDEX(lr_m0asof,49))=0,DATE(nr_PlanYear-1,10,1),INDEX(lr_m0asof,49))</f>
        <v>46295</v>
      </c>
      <c r="I2668" s="224">
        <f>IF(N(INDEX(lr_m1,49))=0,1,INDEX(lr_m1,49))</f>
        <v>1</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34">EOMONTH($B2671,0)</f>
        <v>45688</v>
      </c>
      <c r="D2671" s="120">
        <f t="shared" ref="D2671:D2718" si="1035">$C2671-$B2671+1</f>
        <v>31</v>
      </c>
      <c r="E2671" s="120">
        <f t="shared" ref="E2671:E2718" si="1036">MONTH($B2671)</f>
        <v>1</v>
      </c>
      <c r="F2671" s="275">
        <f t="shared" ref="F2671:F2718" si="1037">($B2671+$C2671+1)/2</f>
        <v>45673.5</v>
      </c>
      <c r="G2671" s="120">
        <f t="shared" ref="G2671:G2718" si="1038">YEAR($B2671)*12+MONTH($B2671)-1</f>
        <v>24300</v>
      </c>
      <c r="H2671" s="245">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46">
        <f t="shared" ref="M2671:M2718" si="1044">IF($K2671=0,0,MIN(1,$L2671/$D2671))</f>
        <v>0</v>
      </c>
      <c r="N2671" s="121">
        <f t="shared" ref="N2671:N2718" si="1045">IF($K2671=0,$J2671,(1-$M2671)*$I2671+$M2671*$J2671)</f>
        <v>1</v>
      </c>
      <c r="O2671" s="246">
        <f t="shared" ref="O2671:O2718" si="1046">IF($F2671&lt;$B$2669,$E$2669+$I$2669*($F2671-$A$2669),IF($F2671&lt;$C$2669,$F$2669+$J$2669*($F2671-$B$2669),$G$2669+$K$2669*($F2671-$C$2669)))</f>
        <v>0.97637855579868715</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87">
        <v>2</v>
      </c>
      <c r="B2672" s="242">
        <f t="shared" ref="B2672:B2718" si="1053">EDATE($B2671,1)</f>
        <v>45689</v>
      </c>
      <c r="C2672" s="243">
        <f t="shared" si="1034"/>
        <v>45716</v>
      </c>
      <c r="D2672" s="120">
        <f t="shared" si="1035"/>
        <v>28</v>
      </c>
      <c r="E2672" s="120">
        <f t="shared" si="1036"/>
        <v>2</v>
      </c>
      <c r="F2672" s="275">
        <f t="shared" si="1037"/>
        <v>45703</v>
      </c>
      <c r="G2672" s="120">
        <f t="shared" si="1038"/>
        <v>24301</v>
      </c>
      <c r="H2672" s="245">
        <f t="shared" si="1039"/>
        <v>1</v>
      </c>
      <c r="I2672" s="121">
        <f t="shared" si="1040"/>
        <v>1</v>
      </c>
      <c r="J2672" s="121">
        <f t="shared" si="1041"/>
        <v>1</v>
      </c>
      <c r="K2672" s="120">
        <f t="shared" si="1042"/>
        <v>0</v>
      </c>
      <c r="L2672" s="120">
        <f t="shared" si="1043"/>
        <v>0</v>
      </c>
      <c r="M2672" s="246">
        <f t="shared" si="1044"/>
        <v>0</v>
      </c>
      <c r="N2672" s="121">
        <f t="shared" si="1045"/>
        <v>1</v>
      </c>
      <c r="O2672" s="246">
        <f t="shared" si="1046"/>
        <v>0.97702407002188185</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87">
        <v>3</v>
      </c>
      <c r="B2673" s="242">
        <f t="shared" si="1053"/>
        <v>45717</v>
      </c>
      <c r="C2673" s="243">
        <f t="shared" si="1034"/>
        <v>45747</v>
      </c>
      <c r="D2673" s="120">
        <f t="shared" si="1035"/>
        <v>31</v>
      </c>
      <c r="E2673" s="120">
        <f t="shared" si="1036"/>
        <v>3</v>
      </c>
      <c r="F2673" s="275">
        <f t="shared" si="1037"/>
        <v>45732.5</v>
      </c>
      <c r="G2673" s="120">
        <f t="shared" si="1038"/>
        <v>24302</v>
      </c>
      <c r="H2673" s="245">
        <f t="shared" si="1039"/>
        <v>1</v>
      </c>
      <c r="I2673" s="121">
        <f t="shared" si="1040"/>
        <v>1</v>
      </c>
      <c r="J2673" s="121">
        <f t="shared" si="1041"/>
        <v>1</v>
      </c>
      <c r="K2673" s="120">
        <f t="shared" si="1042"/>
        <v>0</v>
      </c>
      <c r="L2673" s="120">
        <f t="shared" si="1043"/>
        <v>0</v>
      </c>
      <c r="M2673" s="246">
        <f t="shared" si="1044"/>
        <v>0</v>
      </c>
      <c r="N2673" s="121">
        <f t="shared" si="1045"/>
        <v>1</v>
      </c>
      <c r="O2673" s="246">
        <f t="shared" si="1046"/>
        <v>0.97766958424507666</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87">
        <v>4</v>
      </c>
      <c r="B2674" s="242">
        <f t="shared" si="1053"/>
        <v>45748</v>
      </c>
      <c r="C2674" s="243">
        <f t="shared" si="1034"/>
        <v>45777</v>
      </c>
      <c r="D2674" s="120">
        <f t="shared" si="1035"/>
        <v>30</v>
      </c>
      <c r="E2674" s="120">
        <f t="shared" si="1036"/>
        <v>4</v>
      </c>
      <c r="F2674" s="275">
        <f t="shared" si="1037"/>
        <v>45763</v>
      </c>
      <c r="G2674" s="120">
        <f t="shared" si="1038"/>
        <v>24303</v>
      </c>
      <c r="H2674" s="245">
        <f t="shared" si="1039"/>
        <v>1</v>
      </c>
      <c r="I2674" s="121">
        <f t="shared" si="1040"/>
        <v>1</v>
      </c>
      <c r="J2674" s="121">
        <f t="shared" si="1041"/>
        <v>1</v>
      </c>
      <c r="K2674" s="120">
        <f t="shared" si="1042"/>
        <v>0</v>
      </c>
      <c r="L2674" s="120">
        <f t="shared" si="1043"/>
        <v>0</v>
      </c>
      <c r="M2674" s="246">
        <f t="shared" si="1044"/>
        <v>0</v>
      </c>
      <c r="N2674" s="121">
        <f t="shared" si="1045"/>
        <v>1</v>
      </c>
      <c r="O2674" s="246">
        <f t="shared" si="1046"/>
        <v>0.97833698030634575</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87">
        <v>5</v>
      </c>
      <c r="B2675" s="242">
        <f t="shared" si="1053"/>
        <v>45778</v>
      </c>
      <c r="C2675" s="243">
        <f t="shared" si="1034"/>
        <v>45808</v>
      </c>
      <c r="D2675" s="120">
        <f t="shared" si="1035"/>
        <v>31</v>
      </c>
      <c r="E2675" s="120">
        <f t="shared" si="1036"/>
        <v>5</v>
      </c>
      <c r="F2675" s="275">
        <f t="shared" si="1037"/>
        <v>45793.5</v>
      </c>
      <c r="G2675" s="120">
        <f t="shared" si="1038"/>
        <v>24304</v>
      </c>
      <c r="H2675" s="245">
        <f t="shared" si="1039"/>
        <v>1</v>
      </c>
      <c r="I2675" s="121">
        <f t="shared" si="1040"/>
        <v>1</v>
      </c>
      <c r="J2675" s="121">
        <f t="shared" si="1041"/>
        <v>1</v>
      </c>
      <c r="K2675" s="120">
        <f t="shared" si="1042"/>
        <v>0</v>
      </c>
      <c r="L2675" s="120">
        <f t="shared" si="1043"/>
        <v>0</v>
      </c>
      <c r="M2675" s="246">
        <f t="shared" si="1044"/>
        <v>0</v>
      </c>
      <c r="N2675" s="121">
        <f t="shared" si="1045"/>
        <v>1</v>
      </c>
      <c r="O2675" s="246">
        <f t="shared" si="1046"/>
        <v>0.97900437636761495</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87">
        <v>6</v>
      </c>
      <c r="B2676" s="242">
        <f t="shared" si="1053"/>
        <v>45809</v>
      </c>
      <c r="C2676" s="243">
        <f t="shared" si="1034"/>
        <v>45838</v>
      </c>
      <c r="D2676" s="120">
        <f t="shared" si="1035"/>
        <v>30</v>
      </c>
      <c r="E2676" s="120">
        <f t="shared" si="1036"/>
        <v>6</v>
      </c>
      <c r="F2676" s="275">
        <f t="shared" si="1037"/>
        <v>45824</v>
      </c>
      <c r="G2676" s="120">
        <f t="shared" si="1038"/>
        <v>24305</v>
      </c>
      <c r="H2676" s="245">
        <f t="shared" si="1039"/>
        <v>1</v>
      </c>
      <c r="I2676" s="121">
        <f t="shared" si="1040"/>
        <v>1</v>
      </c>
      <c r="J2676" s="121">
        <f t="shared" si="1041"/>
        <v>1</v>
      </c>
      <c r="K2676" s="120">
        <f t="shared" si="1042"/>
        <v>0</v>
      </c>
      <c r="L2676" s="120">
        <f t="shared" si="1043"/>
        <v>0</v>
      </c>
      <c r="M2676" s="246">
        <f t="shared" si="1044"/>
        <v>0</v>
      </c>
      <c r="N2676" s="121">
        <f t="shared" si="1045"/>
        <v>1</v>
      </c>
      <c r="O2676" s="246">
        <f t="shared" si="1046"/>
        <v>0.97967177242888404</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87">
        <v>7</v>
      </c>
      <c r="B2677" s="242">
        <f t="shared" si="1053"/>
        <v>45839</v>
      </c>
      <c r="C2677" s="243">
        <f t="shared" si="1034"/>
        <v>45869</v>
      </c>
      <c r="D2677" s="120">
        <f t="shared" si="1035"/>
        <v>31</v>
      </c>
      <c r="E2677" s="120">
        <f t="shared" si="1036"/>
        <v>7</v>
      </c>
      <c r="F2677" s="275">
        <f t="shared" si="1037"/>
        <v>45854.5</v>
      </c>
      <c r="G2677" s="120">
        <f t="shared" si="1038"/>
        <v>24306</v>
      </c>
      <c r="H2677" s="245">
        <f t="shared" si="1039"/>
        <v>1</v>
      </c>
      <c r="I2677" s="121">
        <f t="shared" si="1040"/>
        <v>1</v>
      </c>
      <c r="J2677" s="121">
        <f t="shared" si="1041"/>
        <v>1</v>
      </c>
      <c r="K2677" s="120">
        <f t="shared" si="1042"/>
        <v>0</v>
      </c>
      <c r="L2677" s="120">
        <f t="shared" si="1043"/>
        <v>0</v>
      </c>
      <c r="M2677" s="246">
        <f t="shared" si="1044"/>
        <v>0</v>
      </c>
      <c r="N2677" s="121">
        <f t="shared" si="1045"/>
        <v>1</v>
      </c>
      <c r="O2677" s="246">
        <f t="shared" si="1046"/>
        <v>0.98033916849015323</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87">
        <v>8</v>
      </c>
      <c r="B2678" s="242">
        <f t="shared" si="1053"/>
        <v>45870</v>
      </c>
      <c r="C2678" s="243">
        <f t="shared" si="1034"/>
        <v>45900</v>
      </c>
      <c r="D2678" s="120">
        <f t="shared" si="1035"/>
        <v>31</v>
      </c>
      <c r="E2678" s="120">
        <f t="shared" si="1036"/>
        <v>8</v>
      </c>
      <c r="F2678" s="275">
        <f t="shared" si="1037"/>
        <v>45885.5</v>
      </c>
      <c r="G2678" s="120">
        <f t="shared" si="1038"/>
        <v>24307</v>
      </c>
      <c r="H2678" s="245">
        <f t="shared" si="1039"/>
        <v>1</v>
      </c>
      <c r="I2678" s="121">
        <f t="shared" si="1040"/>
        <v>1</v>
      </c>
      <c r="J2678" s="121">
        <f t="shared" si="1041"/>
        <v>1</v>
      </c>
      <c r="K2678" s="120">
        <f t="shared" si="1042"/>
        <v>0</v>
      </c>
      <c r="L2678" s="120">
        <f t="shared" si="1043"/>
        <v>0</v>
      </c>
      <c r="M2678" s="246">
        <f t="shared" si="1044"/>
        <v>0</v>
      </c>
      <c r="N2678" s="121">
        <f t="shared" si="1045"/>
        <v>1</v>
      </c>
      <c r="O2678" s="246">
        <f t="shared" si="1046"/>
        <v>0.98101750547045952</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87">
        <v>9</v>
      </c>
      <c r="B2679" s="242">
        <f t="shared" si="1053"/>
        <v>45901</v>
      </c>
      <c r="C2679" s="243">
        <f t="shared" si="1034"/>
        <v>45930</v>
      </c>
      <c r="D2679" s="120">
        <f t="shared" si="1035"/>
        <v>30</v>
      </c>
      <c r="E2679" s="120">
        <f t="shared" si="1036"/>
        <v>9</v>
      </c>
      <c r="F2679" s="275">
        <f t="shared" si="1037"/>
        <v>45916</v>
      </c>
      <c r="G2679" s="120">
        <f t="shared" si="1038"/>
        <v>24308</v>
      </c>
      <c r="H2679" s="245">
        <f t="shared" si="1039"/>
        <v>1</v>
      </c>
      <c r="I2679" s="121">
        <f t="shared" si="1040"/>
        <v>1</v>
      </c>
      <c r="J2679" s="121">
        <f t="shared" si="1041"/>
        <v>1</v>
      </c>
      <c r="K2679" s="120">
        <f t="shared" si="1042"/>
        <v>0</v>
      </c>
      <c r="L2679" s="120">
        <f t="shared" si="1043"/>
        <v>0</v>
      </c>
      <c r="M2679" s="246">
        <f t="shared" si="1044"/>
        <v>0</v>
      </c>
      <c r="N2679" s="121">
        <f t="shared" si="1045"/>
        <v>1</v>
      </c>
      <c r="O2679" s="246">
        <f t="shared" si="1046"/>
        <v>0.98168490153172872</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87">
        <v>10</v>
      </c>
      <c r="B2680" s="242">
        <f t="shared" si="1053"/>
        <v>45931</v>
      </c>
      <c r="C2680" s="243">
        <f t="shared" si="1034"/>
        <v>45961</v>
      </c>
      <c r="D2680" s="120">
        <f t="shared" si="1035"/>
        <v>31</v>
      </c>
      <c r="E2680" s="120">
        <f t="shared" si="1036"/>
        <v>10</v>
      </c>
      <c r="F2680" s="275">
        <f t="shared" si="1037"/>
        <v>45946.5</v>
      </c>
      <c r="G2680" s="120">
        <f t="shared" si="1038"/>
        <v>24309</v>
      </c>
      <c r="H2680" s="245">
        <f t="shared" si="1039"/>
        <v>1</v>
      </c>
      <c r="I2680" s="121">
        <f t="shared" si="1040"/>
        <v>1</v>
      </c>
      <c r="J2680" s="121">
        <f t="shared" si="1041"/>
        <v>1</v>
      </c>
      <c r="K2680" s="120">
        <f t="shared" si="1042"/>
        <v>0</v>
      </c>
      <c r="L2680" s="120">
        <f t="shared" si="1043"/>
        <v>0</v>
      </c>
      <c r="M2680" s="246">
        <f t="shared" si="1044"/>
        <v>0</v>
      </c>
      <c r="N2680" s="121">
        <f t="shared" si="1045"/>
        <v>1</v>
      </c>
      <c r="O2680" s="246">
        <f t="shared" si="1046"/>
        <v>0.9823522975929978</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87">
        <v>11</v>
      </c>
      <c r="B2681" s="242">
        <f t="shared" si="1053"/>
        <v>45962</v>
      </c>
      <c r="C2681" s="243">
        <f t="shared" si="1034"/>
        <v>45991</v>
      </c>
      <c r="D2681" s="120">
        <f t="shared" si="1035"/>
        <v>30</v>
      </c>
      <c r="E2681" s="120">
        <f t="shared" si="1036"/>
        <v>11</v>
      </c>
      <c r="F2681" s="275">
        <f t="shared" si="1037"/>
        <v>45977</v>
      </c>
      <c r="G2681" s="120">
        <f t="shared" si="1038"/>
        <v>24310</v>
      </c>
      <c r="H2681" s="245">
        <f t="shared" si="1039"/>
        <v>1</v>
      </c>
      <c r="I2681" s="121">
        <f t="shared" si="1040"/>
        <v>1</v>
      </c>
      <c r="J2681" s="121">
        <f t="shared" si="1041"/>
        <v>1</v>
      </c>
      <c r="K2681" s="120">
        <f t="shared" si="1042"/>
        <v>0</v>
      </c>
      <c r="L2681" s="120">
        <f t="shared" si="1043"/>
        <v>0</v>
      </c>
      <c r="M2681" s="246">
        <f t="shared" si="1044"/>
        <v>0</v>
      </c>
      <c r="N2681" s="121">
        <f t="shared" si="1045"/>
        <v>1</v>
      </c>
      <c r="O2681" s="246">
        <f t="shared" si="1046"/>
        <v>0.983019693654267</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87">
        <v>12</v>
      </c>
      <c r="B2682" s="242">
        <f t="shared" si="1053"/>
        <v>45992</v>
      </c>
      <c r="C2682" s="243">
        <f t="shared" si="1034"/>
        <v>46022</v>
      </c>
      <c r="D2682" s="120">
        <f t="shared" si="1035"/>
        <v>31</v>
      </c>
      <c r="E2682" s="120">
        <f t="shared" si="1036"/>
        <v>12</v>
      </c>
      <c r="F2682" s="275">
        <f t="shared" si="1037"/>
        <v>46007.5</v>
      </c>
      <c r="G2682" s="120">
        <f t="shared" si="1038"/>
        <v>24311</v>
      </c>
      <c r="H2682" s="245">
        <f t="shared" si="1039"/>
        <v>1</v>
      </c>
      <c r="I2682" s="121">
        <f t="shared" si="1040"/>
        <v>1</v>
      </c>
      <c r="J2682" s="121">
        <f t="shared" si="1041"/>
        <v>1</v>
      </c>
      <c r="K2682" s="120">
        <f t="shared" si="1042"/>
        <v>0</v>
      </c>
      <c r="L2682" s="120">
        <f t="shared" si="1043"/>
        <v>0</v>
      </c>
      <c r="M2682" s="246">
        <f t="shared" si="1044"/>
        <v>0</v>
      </c>
      <c r="N2682" s="121">
        <f t="shared" si="1045"/>
        <v>1</v>
      </c>
      <c r="O2682" s="246">
        <f t="shared" si="1046"/>
        <v>0.98368708971553609</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87">
        <v>13</v>
      </c>
      <c r="B2683" s="242">
        <f t="shared" si="1053"/>
        <v>46023</v>
      </c>
      <c r="C2683" s="243">
        <f t="shared" si="1034"/>
        <v>46053</v>
      </c>
      <c r="D2683" s="120">
        <f t="shared" si="1035"/>
        <v>31</v>
      </c>
      <c r="E2683" s="120">
        <f t="shared" si="1036"/>
        <v>1</v>
      </c>
      <c r="F2683" s="275">
        <f t="shared" si="1037"/>
        <v>46038.5</v>
      </c>
      <c r="G2683" s="120">
        <f t="shared" si="1038"/>
        <v>24312</v>
      </c>
      <c r="H2683" s="245">
        <f t="shared" si="1039"/>
        <v>1</v>
      </c>
      <c r="I2683" s="121">
        <f t="shared" si="1040"/>
        <v>1</v>
      </c>
      <c r="J2683" s="121">
        <f t="shared" si="1041"/>
        <v>1</v>
      </c>
      <c r="K2683" s="120">
        <f t="shared" si="1042"/>
        <v>0</v>
      </c>
      <c r="L2683" s="120">
        <f t="shared" si="1043"/>
        <v>0</v>
      </c>
      <c r="M2683" s="246">
        <f t="shared" si="1044"/>
        <v>0</v>
      </c>
      <c r="N2683" s="121">
        <f t="shared" si="1045"/>
        <v>1</v>
      </c>
      <c r="O2683" s="246">
        <f t="shared" si="1046"/>
        <v>0.98436542669584248</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87">
        <v>14</v>
      </c>
      <c r="B2684" s="242">
        <f t="shared" si="1053"/>
        <v>46054</v>
      </c>
      <c r="C2684" s="243">
        <f t="shared" si="1034"/>
        <v>46081</v>
      </c>
      <c r="D2684" s="120">
        <f t="shared" si="1035"/>
        <v>28</v>
      </c>
      <c r="E2684" s="120">
        <f t="shared" si="1036"/>
        <v>2</v>
      </c>
      <c r="F2684" s="275">
        <f t="shared" si="1037"/>
        <v>46068</v>
      </c>
      <c r="G2684" s="120">
        <f t="shared" si="1038"/>
        <v>24313</v>
      </c>
      <c r="H2684" s="245">
        <f t="shared" si="1039"/>
        <v>1</v>
      </c>
      <c r="I2684" s="121">
        <f t="shared" si="1040"/>
        <v>1</v>
      </c>
      <c r="J2684" s="121">
        <f t="shared" si="1041"/>
        <v>1</v>
      </c>
      <c r="K2684" s="120">
        <f t="shared" si="1042"/>
        <v>0</v>
      </c>
      <c r="L2684" s="120">
        <f t="shared" si="1043"/>
        <v>0</v>
      </c>
      <c r="M2684" s="246">
        <f t="shared" si="1044"/>
        <v>0</v>
      </c>
      <c r="N2684" s="121">
        <f t="shared" si="1045"/>
        <v>1</v>
      </c>
      <c r="O2684" s="246">
        <f t="shared" si="1046"/>
        <v>0.98501094091903718</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87">
        <v>15</v>
      </c>
      <c r="B2685" s="242">
        <f t="shared" si="1053"/>
        <v>46082</v>
      </c>
      <c r="C2685" s="243">
        <f t="shared" si="1034"/>
        <v>46112</v>
      </c>
      <c r="D2685" s="120">
        <f t="shared" si="1035"/>
        <v>31</v>
      </c>
      <c r="E2685" s="120">
        <f t="shared" si="1036"/>
        <v>3</v>
      </c>
      <c r="F2685" s="275">
        <f t="shared" si="1037"/>
        <v>46097.5</v>
      </c>
      <c r="G2685" s="120">
        <f t="shared" si="1038"/>
        <v>24314</v>
      </c>
      <c r="H2685" s="245">
        <f t="shared" si="1039"/>
        <v>1</v>
      </c>
      <c r="I2685" s="121">
        <f t="shared" si="1040"/>
        <v>1</v>
      </c>
      <c r="J2685" s="121">
        <f t="shared" si="1041"/>
        <v>1</v>
      </c>
      <c r="K2685" s="120">
        <f t="shared" si="1042"/>
        <v>0</v>
      </c>
      <c r="L2685" s="120">
        <f t="shared" si="1043"/>
        <v>0</v>
      </c>
      <c r="M2685" s="246">
        <f t="shared" si="1044"/>
        <v>0</v>
      </c>
      <c r="N2685" s="121">
        <f t="shared" si="1045"/>
        <v>1</v>
      </c>
      <c r="O2685" s="246">
        <f t="shared" si="1046"/>
        <v>0.98565645514223199</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87">
        <v>16</v>
      </c>
      <c r="B2686" s="242">
        <f t="shared" si="1053"/>
        <v>46113</v>
      </c>
      <c r="C2686" s="243">
        <f t="shared" si="1034"/>
        <v>46142</v>
      </c>
      <c r="D2686" s="120">
        <f t="shared" si="1035"/>
        <v>30</v>
      </c>
      <c r="E2686" s="120">
        <f t="shared" si="1036"/>
        <v>4</v>
      </c>
      <c r="F2686" s="275">
        <f t="shared" si="1037"/>
        <v>46128</v>
      </c>
      <c r="G2686" s="120">
        <f t="shared" si="1038"/>
        <v>24315</v>
      </c>
      <c r="H2686" s="245">
        <f t="shared" si="1039"/>
        <v>1</v>
      </c>
      <c r="I2686" s="121">
        <f t="shared" si="1040"/>
        <v>1</v>
      </c>
      <c r="J2686" s="121">
        <f t="shared" si="1041"/>
        <v>1</v>
      </c>
      <c r="K2686" s="120">
        <f t="shared" si="1042"/>
        <v>0</v>
      </c>
      <c r="L2686" s="120">
        <f t="shared" si="1043"/>
        <v>0</v>
      </c>
      <c r="M2686" s="246">
        <f t="shared" si="1044"/>
        <v>0</v>
      </c>
      <c r="N2686" s="121">
        <f t="shared" si="1045"/>
        <v>1</v>
      </c>
      <c r="O2686" s="246">
        <f t="shared" si="1046"/>
        <v>0.98632385120350108</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87">
        <v>17</v>
      </c>
      <c r="B2687" s="242">
        <f t="shared" si="1053"/>
        <v>46143</v>
      </c>
      <c r="C2687" s="243">
        <f t="shared" si="1034"/>
        <v>46173</v>
      </c>
      <c r="D2687" s="120">
        <f t="shared" si="1035"/>
        <v>31</v>
      </c>
      <c r="E2687" s="120">
        <f t="shared" si="1036"/>
        <v>5</v>
      </c>
      <c r="F2687" s="275">
        <f t="shared" si="1037"/>
        <v>46158.5</v>
      </c>
      <c r="G2687" s="120">
        <f t="shared" si="1038"/>
        <v>24316</v>
      </c>
      <c r="H2687" s="245">
        <f t="shared" si="1039"/>
        <v>1</v>
      </c>
      <c r="I2687" s="121">
        <f t="shared" si="1040"/>
        <v>1</v>
      </c>
      <c r="J2687" s="121">
        <f t="shared" si="1041"/>
        <v>1</v>
      </c>
      <c r="K2687" s="120">
        <f t="shared" si="1042"/>
        <v>0</v>
      </c>
      <c r="L2687" s="120">
        <f t="shared" si="1043"/>
        <v>0</v>
      </c>
      <c r="M2687" s="246">
        <f t="shared" si="1044"/>
        <v>0</v>
      </c>
      <c r="N2687" s="121">
        <f t="shared" si="1045"/>
        <v>1</v>
      </c>
      <c r="O2687" s="246">
        <f t="shared" si="1046"/>
        <v>0.98699124726477028</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87">
        <v>18</v>
      </c>
      <c r="B2688" s="242">
        <f t="shared" si="1053"/>
        <v>46174</v>
      </c>
      <c r="C2688" s="243">
        <f t="shared" si="1034"/>
        <v>46203</v>
      </c>
      <c r="D2688" s="120">
        <f t="shared" si="1035"/>
        <v>30</v>
      </c>
      <c r="E2688" s="120">
        <f t="shared" si="1036"/>
        <v>6</v>
      </c>
      <c r="F2688" s="275">
        <f t="shared" si="1037"/>
        <v>46189</v>
      </c>
      <c r="G2688" s="120">
        <f t="shared" si="1038"/>
        <v>24317</v>
      </c>
      <c r="H2688" s="245">
        <f t="shared" si="1039"/>
        <v>1</v>
      </c>
      <c r="I2688" s="121">
        <f t="shared" si="1040"/>
        <v>1</v>
      </c>
      <c r="J2688" s="121">
        <f t="shared" si="1041"/>
        <v>1</v>
      </c>
      <c r="K2688" s="120">
        <f t="shared" si="1042"/>
        <v>0</v>
      </c>
      <c r="L2688" s="120">
        <f t="shared" si="1043"/>
        <v>0</v>
      </c>
      <c r="M2688" s="246">
        <f t="shared" si="1044"/>
        <v>0</v>
      </c>
      <c r="N2688" s="121">
        <f t="shared" si="1045"/>
        <v>1</v>
      </c>
      <c r="O2688" s="246">
        <f t="shared" si="1046"/>
        <v>0.98765864332603936</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87">
        <v>19</v>
      </c>
      <c r="B2689" s="242">
        <f t="shared" si="1053"/>
        <v>46204</v>
      </c>
      <c r="C2689" s="243">
        <f t="shared" si="1034"/>
        <v>46234</v>
      </c>
      <c r="D2689" s="120">
        <f t="shared" si="1035"/>
        <v>31</v>
      </c>
      <c r="E2689" s="120">
        <f t="shared" si="1036"/>
        <v>7</v>
      </c>
      <c r="F2689" s="275">
        <f t="shared" si="1037"/>
        <v>46219.5</v>
      </c>
      <c r="G2689" s="120">
        <f t="shared" si="1038"/>
        <v>24318</v>
      </c>
      <c r="H2689" s="245">
        <f t="shared" si="1039"/>
        <v>1</v>
      </c>
      <c r="I2689" s="121">
        <f t="shared" si="1040"/>
        <v>1</v>
      </c>
      <c r="J2689" s="121">
        <f t="shared" si="1041"/>
        <v>1.0649999999999999</v>
      </c>
      <c r="K2689" s="120">
        <f t="shared" si="1042"/>
        <v>1</v>
      </c>
      <c r="L2689" s="120">
        <f t="shared" si="1043"/>
        <v>31</v>
      </c>
      <c r="M2689" s="246">
        <f t="shared" si="1044"/>
        <v>1</v>
      </c>
      <c r="N2689" s="121">
        <f t="shared" si="1045"/>
        <v>1.0649999999999999</v>
      </c>
      <c r="O2689" s="246">
        <f t="shared" si="1046"/>
        <v>0.98832603938730856</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87">
        <v>20</v>
      </c>
      <c r="B2690" s="242">
        <f t="shared" si="1053"/>
        <v>46235</v>
      </c>
      <c r="C2690" s="243">
        <f t="shared" si="1034"/>
        <v>46265</v>
      </c>
      <c r="D2690" s="120">
        <f t="shared" si="1035"/>
        <v>31</v>
      </c>
      <c r="E2690" s="120">
        <f t="shared" si="1036"/>
        <v>8</v>
      </c>
      <c r="F2690" s="275">
        <f t="shared" si="1037"/>
        <v>46250.5</v>
      </c>
      <c r="G2690" s="120">
        <f t="shared" si="1038"/>
        <v>24319</v>
      </c>
      <c r="H2690" s="245">
        <f t="shared" si="1039"/>
        <v>1</v>
      </c>
      <c r="I2690" s="121">
        <f t="shared" si="1040"/>
        <v>1.0649999999999999</v>
      </c>
      <c r="J2690" s="121">
        <f t="shared" si="1041"/>
        <v>1.0649999999999999</v>
      </c>
      <c r="K2690" s="120">
        <f t="shared" si="1042"/>
        <v>0</v>
      </c>
      <c r="L2690" s="120">
        <f t="shared" si="1043"/>
        <v>0</v>
      </c>
      <c r="M2690" s="246">
        <f t="shared" si="1044"/>
        <v>0</v>
      </c>
      <c r="N2690" s="121">
        <f t="shared" si="1045"/>
        <v>1.0649999999999999</v>
      </c>
      <c r="O2690" s="246">
        <f t="shared" si="1046"/>
        <v>0.98900437636761485</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87">
        <v>21</v>
      </c>
      <c r="B2691" s="242">
        <f t="shared" si="1053"/>
        <v>46266</v>
      </c>
      <c r="C2691" s="243">
        <f t="shared" si="1034"/>
        <v>46295</v>
      </c>
      <c r="D2691" s="120">
        <f t="shared" si="1035"/>
        <v>30</v>
      </c>
      <c r="E2691" s="120">
        <f t="shared" si="1036"/>
        <v>9</v>
      </c>
      <c r="F2691" s="275">
        <f t="shared" si="1037"/>
        <v>46281</v>
      </c>
      <c r="G2691" s="120">
        <f t="shared" si="1038"/>
        <v>24320</v>
      </c>
      <c r="H2691" s="245">
        <f t="shared" si="1039"/>
        <v>1</v>
      </c>
      <c r="I2691" s="121">
        <f t="shared" si="1040"/>
        <v>1.0649999999999999</v>
      </c>
      <c r="J2691" s="121">
        <f t="shared" si="1041"/>
        <v>1.0649999999999999</v>
      </c>
      <c r="K2691" s="120">
        <f t="shared" si="1042"/>
        <v>0</v>
      </c>
      <c r="L2691" s="120">
        <f t="shared" si="1043"/>
        <v>0</v>
      </c>
      <c r="M2691" s="246">
        <f t="shared" si="1044"/>
        <v>0</v>
      </c>
      <c r="N2691" s="121">
        <f t="shared" si="1045"/>
        <v>1.0649999999999999</v>
      </c>
      <c r="O2691" s="246">
        <f t="shared" si="1046"/>
        <v>0.98967177242888404</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87">
        <v>22</v>
      </c>
      <c r="B2692" s="242">
        <f t="shared" si="1053"/>
        <v>46296</v>
      </c>
      <c r="C2692" s="243">
        <f t="shared" si="1034"/>
        <v>46326</v>
      </c>
      <c r="D2692" s="120">
        <f t="shared" si="1035"/>
        <v>31</v>
      </c>
      <c r="E2692" s="120">
        <f t="shared" si="1036"/>
        <v>10</v>
      </c>
      <c r="F2692" s="275">
        <f t="shared" si="1037"/>
        <v>46311.5</v>
      </c>
      <c r="G2692" s="120">
        <f t="shared" si="1038"/>
        <v>24321</v>
      </c>
      <c r="H2692" s="245">
        <f t="shared" si="1039"/>
        <v>1</v>
      </c>
      <c r="I2692" s="121">
        <f t="shared" si="1040"/>
        <v>1.0649999999999999</v>
      </c>
      <c r="J2692" s="121">
        <f t="shared" si="1041"/>
        <v>1.0649999999999999</v>
      </c>
      <c r="K2692" s="120">
        <f t="shared" si="1042"/>
        <v>0</v>
      </c>
      <c r="L2692" s="120">
        <f t="shared" si="1043"/>
        <v>0</v>
      </c>
      <c r="M2692" s="246">
        <f t="shared" si="1044"/>
        <v>0</v>
      </c>
      <c r="N2692" s="121">
        <f t="shared" si="1045"/>
        <v>1.0649999999999999</v>
      </c>
      <c r="O2692" s="246">
        <f t="shared" si="1046"/>
        <v>0.99033916849015313</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87">
        <v>23</v>
      </c>
      <c r="B2693" s="242">
        <f t="shared" si="1053"/>
        <v>46327</v>
      </c>
      <c r="C2693" s="243">
        <f t="shared" si="1034"/>
        <v>46356</v>
      </c>
      <c r="D2693" s="120">
        <f t="shared" si="1035"/>
        <v>30</v>
      </c>
      <c r="E2693" s="120">
        <f t="shared" si="1036"/>
        <v>11</v>
      </c>
      <c r="F2693" s="275">
        <f t="shared" si="1037"/>
        <v>46342</v>
      </c>
      <c r="G2693" s="120">
        <f t="shared" si="1038"/>
        <v>24322</v>
      </c>
      <c r="H2693" s="245">
        <f t="shared" si="1039"/>
        <v>1</v>
      </c>
      <c r="I2693" s="121">
        <f t="shared" si="1040"/>
        <v>1.0649999999999999</v>
      </c>
      <c r="J2693" s="121">
        <f t="shared" si="1041"/>
        <v>1.0649999999999999</v>
      </c>
      <c r="K2693" s="120">
        <f t="shared" si="1042"/>
        <v>0</v>
      </c>
      <c r="L2693" s="120">
        <f t="shared" si="1043"/>
        <v>0</v>
      </c>
      <c r="M2693" s="246">
        <f t="shared" si="1044"/>
        <v>0</v>
      </c>
      <c r="N2693" s="121">
        <f t="shared" si="1045"/>
        <v>1.0649999999999999</v>
      </c>
      <c r="O2693" s="246">
        <f t="shared" si="1046"/>
        <v>0.99100656455142233</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87">
        <v>24</v>
      </c>
      <c r="B2694" s="242">
        <f t="shared" si="1053"/>
        <v>46357</v>
      </c>
      <c r="C2694" s="243">
        <f t="shared" si="1034"/>
        <v>46387</v>
      </c>
      <c r="D2694" s="120">
        <f t="shared" si="1035"/>
        <v>31</v>
      </c>
      <c r="E2694" s="120">
        <f t="shared" si="1036"/>
        <v>12</v>
      </c>
      <c r="F2694" s="275">
        <f t="shared" si="1037"/>
        <v>46372.5</v>
      </c>
      <c r="G2694" s="120">
        <f t="shared" si="1038"/>
        <v>24323</v>
      </c>
      <c r="H2694" s="245">
        <f t="shared" si="1039"/>
        <v>1</v>
      </c>
      <c r="I2694" s="121">
        <f t="shared" si="1040"/>
        <v>1.0649999999999999</v>
      </c>
      <c r="J2694" s="121">
        <f t="shared" si="1041"/>
        <v>1.0649999999999999</v>
      </c>
      <c r="K2694" s="120">
        <f t="shared" si="1042"/>
        <v>0</v>
      </c>
      <c r="L2694" s="120">
        <f t="shared" si="1043"/>
        <v>0</v>
      </c>
      <c r="M2694" s="246">
        <f t="shared" si="1044"/>
        <v>0</v>
      </c>
      <c r="N2694" s="121">
        <f t="shared" si="1045"/>
        <v>1.0649999999999999</v>
      </c>
      <c r="O2694" s="246">
        <f t="shared" si="1046"/>
        <v>0.99167396061269142</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87">
        <v>25</v>
      </c>
      <c r="B2695" s="242">
        <f t="shared" si="1053"/>
        <v>46388</v>
      </c>
      <c r="C2695" s="243">
        <f t="shared" si="1034"/>
        <v>46418</v>
      </c>
      <c r="D2695" s="120">
        <f t="shared" si="1035"/>
        <v>31</v>
      </c>
      <c r="E2695" s="120">
        <f t="shared" si="1036"/>
        <v>1</v>
      </c>
      <c r="F2695" s="275">
        <f t="shared" si="1037"/>
        <v>46403.5</v>
      </c>
      <c r="G2695" s="120">
        <f t="shared" si="1038"/>
        <v>24324</v>
      </c>
      <c r="H2695" s="245">
        <f t="shared" si="1039"/>
        <v>1</v>
      </c>
      <c r="I2695" s="121">
        <f t="shared" si="1040"/>
        <v>1.0649999999999999</v>
      </c>
      <c r="J2695" s="121">
        <f t="shared" si="1041"/>
        <v>1.0649999999999999</v>
      </c>
      <c r="K2695" s="120">
        <f t="shared" si="1042"/>
        <v>0</v>
      </c>
      <c r="L2695" s="120">
        <f t="shared" si="1043"/>
        <v>0</v>
      </c>
      <c r="M2695" s="246">
        <f t="shared" si="1044"/>
        <v>0</v>
      </c>
      <c r="N2695" s="121">
        <f t="shared" si="1045"/>
        <v>1.0649999999999999</v>
      </c>
      <c r="O2695" s="246">
        <f t="shared" si="1046"/>
        <v>0.99235229759299781</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87">
        <v>26</v>
      </c>
      <c r="B2696" s="242">
        <f t="shared" si="1053"/>
        <v>46419</v>
      </c>
      <c r="C2696" s="243">
        <f t="shared" si="1034"/>
        <v>46446</v>
      </c>
      <c r="D2696" s="120">
        <f t="shared" si="1035"/>
        <v>28</v>
      </c>
      <c r="E2696" s="120">
        <f t="shared" si="1036"/>
        <v>2</v>
      </c>
      <c r="F2696" s="275">
        <f t="shared" si="1037"/>
        <v>46433</v>
      </c>
      <c r="G2696" s="120">
        <f t="shared" si="1038"/>
        <v>24325</v>
      </c>
      <c r="H2696" s="245">
        <f t="shared" si="1039"/>
        <v>1</v>
      </c>
      <c r="I2696" s="121">
        <f t="shared" si="1040"/>
        <v>1.0649999999999999</v>
      </c>
      <c r="J2696" s="121">
        <f t="shared" si="1041"/>
        <v>1.0649999999999999</v>
      </c>
      <c r="K2696" s="120">
        <f t="shared" si="1042"/>
        <v>0</v>
      </c>
      <c r="L2696" s="120">
        <f t="shared" si="1043"/>
        <v>0</v>
      </c>
      <c r="M2696" s="246">
        <f t="shared" si="1044"/>
        <v>0</v>
      </c>
      <c r="N2696" s="121">
        <f t="shared" si="1045"/>
        <v>1.0649999999999999</v>
      </c>
      <c r="O2696" s="246">
        <f t="shared" si="1046"/>
        <v>0.99299781181619251</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87">
        <v>27</v>
      </c>
      <c r="B2697" s="242">
        <f t="shared" si="1053"/>
        <v>46447</v>
      </c>
      <c r="C2697" s="243">
        <f t="shared" si="1034"/>
        <v>46477</v>
      </c>
      <c r="D2697" s="120">
        <f t="shared" si="1035"/>
        <v>31</v>
      </c>
      <c r="E2697" s="120">
        <f t="shared" si="1036"/>
        <v>3</v>
      </c>
      <c r="F2697" s="275">
        <f t="shared" si="1037"/>
        <v>46462.5</v>
      </c>
      <c r="G2697" s="120">
        <f t="shared" si="1038"/>
        <v>24326</v>
      </c>
      <c r="H2697" s="245">
        <f t="shared" si="1039"/>
        <v>1</v>
      </c>
      <c r="I2697" s="121">
        <f t="shared" si="1040"/>
        <v>1.0649999999999999</v>
      </c>
      <c r="J2697" s="121">
        <f t="shared" si="1041"/>
        <v>1.0649999999999999</v>
      </c>
      <c r="K2697" s="120">
        <f t="shared" si="1042"/>
        <v>0</v>
      </c>
      <c r="L2697" s="120">
        <f t="shared" si="1043"/>
        <v>0</v>
      </c>
      <c r="M2697" s="246">
        <f t="shared" si="1044"/>
        <v>0</v>
      </c>
      <c r="N2697" s="121">
        <f t="shared" si="1045"/>
        <v>1.0649999999999999</v>
      </c>
      <c r="O2697" s="246">
        <f t="shared" si="1046"/>
        <v>0.99364332603938732</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87">
        <v>28</v>
      </c>
      <c r="B2698" s="242">
        <f t="shared" si="1053"/>
        <v>46478</v>
      </c>
      <c r="C2698" s="243">
        <f t="shared" si="1034"/>
        <v>46507</v>
      </c>
      <c r="D2698" s="120">
        <f t="shared" si="1035"/>
        <v>30</v>
      </c>
      <c r="E2698" s="120">
        <f t="shared" si="1036"/>
        <v>4</v>
      </c>
      <c r="F2698" s="275">
        <f t="shared" si="1037"/>
        <v>46493</v>
      </c>
      <c r="G2698" s="120">
        <f t="shared" si="1038"/>
        <v>24327</v>
      </c>
      <c r="H2698" s="245">
        <f t="shared" si="1039"/>
        <v>1</v>
      </c>
      <c r="I2698" s="121">
        <f t="shared" si="1040"/>
        <v>1.0649999999999999</v>
      </c>
      <c r="J2698" s="121">
        <f t="shared" si="1041"/>
        <v>1.0649999999999999</v>
      </c>
      <c r="K2698" s="120">
        <f t="shared" si="1042"/>
        <v>0</v>
      </c>
      <c r="L2698" s="120">
        <f t="shared" si="1043"/>
        <v>0</v>
      </c>
      <c r="M2698" s="246">
        <f t="shared" si="1044"/>
        <v>0</v>
      </c>
      <c r="N2698" s="121">
        <f t="shared" si="1045"/>
        <v>1.0649999999999999</v>
      </c>
      <c r="O2698" s="246">
        <f t="shared" si="1046"/>
        <v>0.99431072210065641</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87">
        <v>29</v>
      </c>
      <c r="B2699" s="242">
        <f t="shared" si="1053"/>
        <v>46508</v>
      </c>
      <c r="C2699" s="243">
        <f t="shared" si="1034"/>
        <v>46538</v>
      </c>
      <c r="D2699" s="120">
        <f t="shared" si="1035"/>
        <v>31</v>
      </c>
      <c r="E2699" s="120">
        <f t="shared" si="1036"/>
        <v>5</v>
      </c>
      <c r="F2699" s="275">
        <f t="shared" si="1037"/>
        <v>46523.5</v>
      </c>
      <c r="G2699" s="120">
        <f t="shared" si="1038"/>
        <v>24328</v>
      </c>
      <c r="H2699" s="245">
        <f t="shared" si="1039"/>
        <v>1</v>
      </c>
      <c r="I2699" s="121">
        <f t="shared" si="1040"/>
        <v>1.0649999999999999</v>
      </c>
      <c r="J2699" s="121">
        <f t="shared" si="1041"/>
        <v>1.0649999999999999</v>
      </c>
      <c r="K2699" s="120">
        <f t="shared" si="1042"/>
        <v>0</v>
      </c>
      <c r="L2699" s="120">
        <f t="shared" si="1043"/>
        <v>0</v>
      </c>
      <c r="M2699" s="246">
        <f t="shared" si="1044"/>
        <v>0</v>
      </c>
      <c r="N2699" s="121">
        <f t="shared" si="1045"/>
        <v>1.0649999999999999</v>
      </c>
      <c r="O2699" s="246">
        <f t="shared" si="1046"/>
        <v>0.99497811816192561</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87">
        <v>30</v>
      </c>
      <c r="B2700" s="242">
        <f t="shared" si="1053"/>
        <v>46539</v>
      </c>
      <c r="C2700" s="243">
        <f t="shared" si="1034"/>
        <v>46568</v>
      </c>
      <c r="D2700" s="120">
        <f t="shared" si="1035"/>
        <v>30</v>
      </c>
      <c r="E2700" s="120">
        <f t="shared" si="1036"/>
        <v>6</v>
      </c>
      <c r="F2700" s="275">
        <f t="shared" si="1037"/>
        <v>46554</v>
      </c>
      <c r="G2700" s="120">
        <f t="shared" si="1038"/>
        <v>24329</v>
      </c>
      <c r="H2700" s="245">
        <f t="shared" si="1039"/>
        <v>1</v>
      </c>
      <c r="I2700" s="121">
        <f t="shared" si="1040"/>
        <v>1.0649999999999999</v>
      </c>
      <c r="J2700" s="121">
        <f t="shared" si="1041"/>
        <v>1.0649999999999999</v>
      </c>
      <c r="K2700" s="120">
        <f t="shared" si="1042"/>
        <v>0</v>
      </c>
      <c r="L2700" s="120">
        <f t="shared" si="1043"/>
        <v>0</v>
      </c>
      <c r="M2700" s="246">
        <f t="shared" si="1044"/>
        <v>0</v>
      </c>
      <c r="N2700" s="121">
        <f t="shared" si="1045"/>
        <v>1.0649999999999999</v>
      </c>
      <c r="O2700" s="246">
        <f t="shared" si="1046"/>
        <v>0.99564551422319469</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87">
        <v>31</v>
      </c>
      <c r="B2701" s="242">
        <f t="shared" si="1053"/>
        <v>46569</v>
      </c>
      <c r="C2701" s="243">
        <f t="shared" si="1034"/>
        <v>46599</v>
      </c>
      <c r="D2701" s="120">
        <f t="shared" si="1035"/>
        <v>31</v>
      </c>
      <c r="E2701" s="120">
        <f t="shared" si="1036"/>
        <v>7</v>
      </c>
      <c r="F2701" s="275">
        <f t="shared" si="1037"/>
        <v>46584.5</v>
      </c>
      <c r="G2701" s="120">
        <f t="shared" si="1038"/>
        <v>24330</v>
      </c>
      <c r="H2701" s="245">
        <f t="shared" si="1039"/>
        <v>1</v>
      </c>
      <c r="I2701" s="121">
        <f t="shared" si="1040"/>
        <v>1.0649999999999999</v>
      </c>
      <c r="J2701" s="121">
        <f t="shared" si="1041"/>
        <v>1.0649999999999999</v>
      </c>
      <c r="K2701" s="120">
        <f t="shared" si="1042"/>
        <v>0</v>
      </c>
      <c r="L2701" s="120">
        <f t="shared" si="1043"/>
        <v>0</v>
      </c>
      <c r="M2701" s="246">
        <f t="shared" si="1044"/>
        <v>0</v>
      </c>
      <c r="N2701" s="121">
        <f t="shared" si="1045"/>
        <v>1.0649999999999999</v>
      </c>
      <c r="O2701" s="246">
        <f t="shared" si="1046"/>
        <v>0.99631291028446389</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87">
        <v>32</v>
      </c>
      <c r="B2702" s="242">
        <f t="shared" si="1053"/>
        <v>46600</v>
      </c>
      <c r="C2702" s="243">
        <f t="shared" si="1034"/>
        <v>46630</v>
      </c>
      <c r="D2702" s="120">
        <f t="shared" si="1035"/>
        <v>31</v>
      </c>
      <c r="E2702" s="120">
        <f t="shared" si="1036"/>
        <v>8</v>
      </c>
      <c r="F2702" s="275">
        <f t="shared" si="1037"/>
        <v>46615.5</v>
      </c>
      <c r="G2702" s="120">
        <f t="shared" si="1038"/>
        <v>24331</v>
      </c>
      <c r="H2702" s="245">
        <f t="shared" si="1039"/>
        <v>1</v>
      </c>
      <c r="I2702" s="121">
        <f t="shared" si="1040"/>
        <v>1.0649999999999999</v>
      </c>
      <c r="J2702" s="121">
        <f t="shared" si="1041"/>
        <v>1.0649999999999999</v>
      </c>
      <c r="K2702" s="120">
        <f t="shared" si="1042"/>
        <v>0</v>
      </c>
      <c r="L2702" s="120">
        <f t="shared" si="1043"/>
        <v>0</v>
      </c>
      <c r="M2702" s="246">
        <f t="shared" si="1044"/>
        <v>0</v>
      </c>
      <c r="N2702" s="121">
        <f t="shared" si="1045"/>
        <v>1.0649999999999999</v>
      </c>
      <c r="O2702" s="246">
        <f t="shared" si="1046"/>
        <v>0.99699124726477029</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87">
        <v>33</v>
      </c>
      <c r="B2703" s="242">
        <f t="shared" si="1053"/>
        <v>46631</v>
      </c>
      <c r="C2703" s="243">
        <f t="shared" si="1034"/>
        <v>46660</v>
      </c>
      <c r="D2703" s="120">
        <f t="shared" si="1035"/>
        <v>30</v>
      </c>
      <c r="E2703" s="120">
        <f t="shared" si="1036"/>
        <v>9</v>
      </c>
      <c r="F2703" s="275">
        <f t="shared" si="1037"/>
        <v>46646</v>
      </c>
      <c r="G2703" s="120">
        <f t="shared" si="1038"/>
        <v>24332</v>
      </c>
      <c r="H2703" s="245">
        <f t="shared" si="1039"/>
        <v>1</v>
      </c>
      <c r="I2703" s="121">
        <f t="shared" si="1040"/>
        <v>1.0649999999999999</v>
      </c>
      <c r="J2703" s="121">
        <f t="shared" si="1041"/>
        <v>1.0649999999999999</v>
      </c>
      <c r="K2703" s="120">
        <f t="shared" si="1042"/>
        <v>0</v>
      </c>
      <c r="L2703" s="120">
        <f t="shared" si="1043"/>
        <v>0</v>
      </c>
      <c r="M2703" s="246">
        <f t="shared" si="1044"/>
        <v>0</v>
      </c>
      <c r="N2703" s="121">
        <f t="shared" si="1045"/>
        <v>1.0649999999999999</v>
      </c>
      <c r="O2703" s="246">
        <f t="shared" si="1046"/>
        <v>0.99765864332603937</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87">
        <v>34</v>
      </c>
      <c r="B2704" s="242">
        <f t="shared" si="1053"/>
        <v>46661</v>
      </c>
      <c r="C2704" s="243">
        <f t="shared" si="1034"/>
        <v>46691</v>
      </c>
      <c r="D2704" s="120">
        <f t="shared" si="1035"/>
        <v>31</v>
      </c>
      <c r="E2704" s="120">
        <f t="shared" si="1036"/>
        <v>10</v>
      </c>
      <c r="F2704" s="275">
        <f t="shared" si="1037"/>
        <v>46676.5</v>
      </c>
      <c r="G2704" s="120">
        <f t="shared" si="1038"/>
        <v>24333</v>
      </c>
      <c r="H2704" s="245">
        <f t="shared" si="1039"/>
        <v>1</v>
      </c>
      <c r="I2704" s="121">
        <f t="shared" si="1040"/>
        <v>1.0649999999999999</v>
      </c>
      <c r="J2704" s="121">
        <f t="shared" si="1041"/>
        <v>1.0649999999999999</v>
      </c>
      <c r="K2704" s="120">
        <f t="shared" si="1042"/>
        <v>0</v>
      </c>
      <c r="L2704" s="120">
        <f t="shared" si="1043"/>
        <v>0</v>
      </c>
      <c r="M2704" s="246">
        <f t="shared" si="1044"/>
        <v>0</v>
      </c>
      <c r="N2704" s="121">
        <f t="shared" si="1045"/>
        <v>1.0649999999999999</v>
      </c>
      <c r="O2704" s="246">
        <f t="shared" si="1046"/>
        <v>0.99832603938730857</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87">
        <v>35</v>
      </c>
      <c r="B2705" s="242">
        <f t="shared" si="1053"/>
        <v>46692</v>
      </c>
      <c r="C2705" s="243">
        <f t="shared" si="1034"/>
        <v>46721</v>
      </c>
      <c r="D2705" s="120">
        <f t="shared" si="1035"/>
        <v>30</v>
      </c>
      <c r="E2705" s="120">
        <f t="shared" si="1036"/>
        <v>11</v>
      </c>
      <c r="F2705" s="275">
        <f t="shared" si="1037"/>
        <v>46707</v>
      </c>
      <c r="G2705" s="120">
        <f t="shared" si="1038"/>
        <v>24334</v>
      </c>
      <c r="H2705" s="245">
        <f t="shared" si="1039"/>
        <v>1</v>
      </c>
      <c r="I2705" s="121">
        <f t="shared" si="1040"/>
        <v>1.0649999999999999</v>
      </c>
      <c r="J2705" s="121">
        <f t="shared" si="1041"/>
        <v>1.0649999999999999</v>
      </c>
      <c r="K2705" s="120">
        <f t="shared" si="1042"/>
        <v>0</v>
      </c>
      <c r="L2705" s="120">
        <f t="shared" si="1043"/>
        <v>0</v>
      </c>
      <c r="M2705" s="246">
        <f t="shared" si="1044"/>
        <v>0</v>
      </c>
      <c r="N2705" s="121">
        <f t="shared" si="1045"/>
        <v>1.0649999999999999</v>
      </c>
      <c r="O2705" s="246">
        <f t="shared" si="1046"/>
        <v>0.99899343544857766</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87">
        <v>36</v>
      </c>
      <c r="B2706" s="242">
        <f t="shared" si="1053"/>
        <v>46722</v>
      </c>
      <c r="C2706" s="243">
        <f t="shared" si="1034"/>
        <v>46752</v>
      </c>
      <c r="D2706" s="120">
        <f t="shared" si="1035"/>
        <v>31</v>
      </c>
      <c r="E2706" s="120">
        <f t="shared" si="1036"/>
        <v>12</v>
      </c>
      <c r="F2706" s="275">
        <f t="shared" si="1037"/>
        <v>46737.5</v>
      </c>
      <c r="G2706" s="120">
        <f t="shared" si="1038"/>
        <v>24335</v>
      </c>
      <c r="H2706" s="245">
        <f t="shared" si="1039"/>
        <v>1</v>
      </c>
      <c r="I2706" s="121">
        <f t="shared" si="1040"/>
        <v>1.0649999999999999</v>
      </c>
      <c r="J2706" s="121">
        <f t="shared" si="1041"/>
        <v>1.0649999999999999</v>
      </c>
      <c r="K2706" s="120">
        <f t="shared" si="1042"/>
        <v>0</v>
      </c>
      <c r="L2706" s="120">
        <f t="shared" si="1043"/>
        <v>0</v>
      </c>
      <c r="M2706" s="246">
        <f t="shared" si="1044"/>
        <v>0</v>
      </c>
      <c r="N2706" s="121">
        <f t="shared" si="1045"/>
        <v>1.0649999999999999</v>
      </c>
      <c r="O2706" s="246">
        <f t="shared" si="1046"/>
        <v>0.99966083150984686</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87">
        <v>37</v>
      </c>
      <c r="B2707" s="242">
        <f t="shared" si="1053"/>
        <v>46753</v>
      </c>
      <c r="C2707" s="243">
        <f t="shared" si="1034"/>
        <v>46783</v>
      </c>
      <c r="D2707" s="120">
        <f t="shared" si="1035"/>
        <v>31</v>
      </c>
      <c r="E2707" s="120">
        <f t="shared" si="1036"/>
        <v>1</v>
      </c>
      <c r="F2707" s="275">
        <f t="shared" si="1037"/>
        <v>46768.5</v>
      </c>
      <c r="G2707" s="120">
        <f t="shared" si="1038"/>
        <v>24336</v>
      </c>
      <c r="H2707" s="245">
        <f t="shared" si="1039"/>
        <v>1</v>
      </c>
      <c r="I2707" s="121">
        <f t="shared" si="1040"/>
        <v>1.0649999999999999</v>
      </c>
      <c r="J2707" s="121">
        <f t="shared" si="1041"/>
        <v>1.0649999999999999</v>
      </c>
      <c r="K2707" s="120">
        <f t="shared" si="1042"/>
        <v>0</v>
      </c>
      <c r="L2707" s="120">
        <f t="shared" si="1043"/>
        <v>0</v>
      </c>
      <c r="M2707" s="246">
        <f t="shared" si="1044"/>
        <v>0</v>
      </c>
      <c r="N2707" s="121">
        <f t="shared" si="1045"/>
        <v>1.0649999999999999</v>
      </c>
      <c r="O2707" s="246">
        <f t="shared" si="1046"/>
        <v>1</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87">
        <v>38</v>
      </c>
      <c r="B2708" s="242">
        <f t="shared" si="1053"/>
        <v>46784</v>
      </c>
      <c r="C2708" s="243">
        <f t="shared" si="1034"/>
        <v>46812</v>
      </c>
      <c r="D2708" s="120">
        <f t="shared" si="1035"/>
        <v>29</v>
      </c>
      <c r="E2708" s="120">
        <f t="shared" si="1036"/>
        <v>2</v>
      </c>
      <c r="F2708" s="275">
        <f t="shared" si="1037"/>
        <v>46798.5</v>
      </c>
      <c r="G2708" s="120">
        <f t="shared" si="1038"/>
        <v>24337</v>
      </c>
      <c r="H2708" s="245">
        <f t="shared" si="1039"/>
        <v>1</v>
      </c>
      <c r="I2708" s="121">
        <f t="shared" si="1040"/>
        <v>1.0649999999999999</v>
      </c>
      <c r="J2708" s="121">
        <f t="shared" si="1041"/>
        <v>1.0649999999999999</v>
      </c>
      <c r="K2708" s="120">
        <f t="shared" si="1042"/>
        <v>0</v>
      </c>
      <c r="L2708" s="120">
        <f t="shared" si="1043"/>
        <v>0</v>
      </c>
      <c r="M2708" s="246">
        <f t="shared" si="1044"/>
        <v>0</v>
      </c>
      <c r="N2708" s="121">
        <f t="shared" si="1045"/>
        <v>1.0649999999999999</v>
      </c>
      <c r="O2708" s="246">
        <f t="shared" si="1046"/>
        <v>1</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87">
        <v>39</v>
      </c>
      <c r="B2709" s="242">
        <f t="shared" si="1053"/>
        <v>46813</v>
      </c>
      <c r="C2709" s="243">
        <f t="shared" si="1034"/>
        <v>46843</v>
      </c>
      <c r="D2709" s="120">
        <f t="shared" si="1035"/>
        <v>31</v>
      </c>
      <c r="E2709" s="120">
        <f t="shared" si="1036"/>
        <v>3</v>
      </c>
      <c r="F2709" s="275">
        <f t="shared" si="1037"/>
        <v>46828.5</v>
      </c>
      <c r="G2709" s="120">
        <f t="shared" si="1038"/>
        <v>24338</v>
      </c>
      <c r="H2709" s="245">
        <f t="shared" si="1039"/>
        <v>1</v>
      </c>
      <c r="I2709" s="121">
        <f t="shared" si="1040"/>
        <v>1.0649999999999999</v>
      </c>
      <c r="J2709" s="121">
        <f t="shared" si="1041"/>
        <v>1.0649999999999999</v>
      </c>
      <c r="K2709" s="120">
        <f t="shared" si="1042"/>
        <v>0</v>
      </c>
      <c r="L2709" s="120">
        <f t="shared" si="1043"/>
        <v>0</v>
      </c>
      <c r="M2709" s="246">
        <f t="shared" si="1044"/>
        <v>0</v>
      </c>
      <c r="N2709" s="121">
        <f t="shared" si="1045"/>
        <v>1.0649999999999999</v>
      </c>
      <c r="O2709" s="246">
        <f t="shared" si="1046"/>
        <v>1</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87">
        <v>40</v>
      </c>
      <c r="B2710" s="242">
        <f t="shared" si="1053"/>
        <v>46844</v>
      </c>
      <c r="C2710" s="243">
        <f t="shared" si="1034"/>
        <v>46873</v>
      </c>
      <c r="D2710" s="120">
        <f t="shared" si="1035"/>
        <v>30</v>
      </c>
      <c r="E2710" s="120">
        <f t="shared" si="1036"/>
        <v>4</v>
      </c>
      <c r="F2710" s="275">
        <f t="shared" si="1037"/>
        <v>46859</v>
      </c>
      <c r="G2710" s="120">
        <f t="shared" si="1038"/>
        <v>24339</v>
      </c>
      <c r="H2710" s="245">
        <f t="shared" si="1039"/>
        <v>1</v>
      </c>
      <c r="I2710" s="121">
        <f t="shared" si="1040"/>
        <v>1.0649999999999999</v>
      </c>
      <c r="J2710" s="121">
        <f t="shared" si="1041"/>
        <v>1.0649999999999999</v>
      </c>
      <c r="K2710" s="120">
        <f t="shared" si="1042"/>
        <v>0</v>
      </c>
      <c r="L2710" s="120">
        <f t="shared" si="1043"/>
        <v>0</v>
      </c>
      <c r="M2710" s="246">
        <f t="shared" si="1044"/>
        <v>0</v>
      </c>
      <c r="N2710" s="121">
        <f t="shared" si="1045"/>
        <v>1.0649999999999999</v>
      </c>
      <c r="O2710" s="246">
        <f t="shared" si="1046"/>
        <v>1</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87">
        <v>41</v>
      </c>
      <c r="B2711" s="242">
        <f t="shared" si="1053"/>
        <v>46874</v>
      </c>
      <c r="C2711" s="243">
        <f t="shared" si="1034"/>
        <v>46904</v>
      </c>
      <c r="D2711" s="120">
        <f t="shared" si="1035"/>
        <v>31</v>
      </c>
      <c r="E2711" s="120">
        <f t="shared" si="1036"/>
        <v>5</v>
      </c>
      <c r="F2711" s="275">
        <f t="shared" si="1037"/>
        <v>46889.5</v>
      </c>
      <c r="G2711" s="120">
        <f t="shared" si="1038"/>
        <v>24340</v>
      </c>
      <c r="H2711" s="245">
        <f t="shared" si="1039"/>
        <v>1</v>
      </c>
      <c r="I2711" s="121">
        <f t="shared" si="1040"/>
        <v>1.0649999999999999</v>
      </c>
      <c r="J2711" s="121">
        <f t="shared" si="1041"/>
        <v>1.0649999999999999</v>
      </c>
      <c r="K2711" s="120">
        <f t="shared" si="1042"/>
        <v>0</v>
      </c>
      <c r="L2711" s="120">
        <f t="shared" si="1043"/>
        <v>0</v>
      </c>
      <c r="M2711" s="246">
        <f t="shared" si="1044"/>
        <v>0</v>
      </c>
      <c r="N2711" s="121">
        <f t="shared" si="1045"/>
        <v>1.0649999999999999</v>
      </c>
      <c r="O2711" s="246">
        <f t="shared" si="1046"/>
        <v>1</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87">
        <v>42</v>
      </c>
      <c r="B2712" s="242">
        <f t="shared" si="1053"/>
        <v>46905</v>
      </c>
      <c r="C2712" s="243">
        <f t="shared" si="1034"/>
        <v>46934</v>
      </c>
      <c r="D2712" s="120">
        <f t="shared" si="1035"/>
        <v>30</v>
      </c>
      <c r="E2712" s="120">
        <f t="shared" si="1036"/>
        <v>6</v>
      </c>
      <c r="F2712" s="275">
        <f t="shared" si="1037"/>
        <v>46920</v>
      </c>
      <c r="G2712" s="120">
        <f t="shared" si="1038"/>
        <v>24341</v>
      </c>
      <c r="H2712" s="245">
        <f t="shared" si="1039"/>
        <v>1</v>
      </c>
      <c r="I2712" s="121">
        <f t="shared" si="1040"/>
        <v>1.0649999999999999</v>
      </c>
      <c r="J2712" s="121">
        <f t="shared" si="1041"/>
        <v>1.0649999999999999</v>
      </c>
      <c r="K2712" s="120">
        <f t="shared" si="1042"/>
        <v>0</v>
      </c>
      <c r="L2712" s="120">
        <f t="shared" si="1043"/>
        <v>0</v>
      </c>
      <c r="M2712" s="246">
        <f t="shared" si="1044"/>
        <v>0</v>
      </c>
      <c r="N2712" s="121">
        <f t="shared" si="1045"/>
        <v>1.0649999999999999</v>
      </c>
      <c r="O2712" s="246">
        <f t="shared" si="1046"/>
        <v>1</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87">
        <v>43</v>
      </c>
      <c r="B2713" s="242">
        <f t="shared" si="1053"/>
        <v>46935</v>
      </c>
      <c r="C2713" s="243">
        <f t="shared" si="1034"/>
        <v>46965</v>
      </c>
      <c r="D2713" s="120">
        <f t="shared" si="1035"/>
        <v>31</v>
      </c>
      <c r="E2713" s="120">
        <f t="shared" si="1036"/>
        <v>7</v>
      </c>
      <c r="F2713" s="275">
        <f t="shared" si="1037"/>
        <v>46950.5</v>
      </c>
      <c r="G2713" s="120">
        <f t="shared" si="1038"/>
        <v>24342</v>
      </c>
      <c r="H2713" s="245">
        <f t="shared" si="1039"/>
        <v>1</v>
      </c>
      <c r="I2713" s="121">
        <f t="shared" si="1040"/>
        <v>1.0649999999999999</v>
      </c>
      <c r="J2713" s="121">
        <f t="shared" si="1041"/>
        <v>1.0649999999999999</v>
      </c>
      <c r="K2713" s="120">
        <f t="shared" si="1042"/>
        <v>0</v>
      </c>
      <c r="L2713" s="120">
        <f t="shared" si="1043"/>
        <v>0</v>
      </c>
      <c r="M2713" s="246">
        <f t="shared" si="1044"/>
        <v>0</v>
      </c>
      <c r="N2713" s="121">
        <f t="shared" si="1045"/>
        <v>1.0649999999999999</v>
      </c>
      <c r="O2713" s="246">
        <f t="shared" si="1046"/>
        <v>1</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87">
        <v>44</v>
      </c>
      <c r="B2714" s="242">
        <f t="shared" si="1053"/>
        <v>46966</v>
      </c>
      <c r="C2714" s="243">
        <f t="shared" si="1034"/>
        <v>46996</v>
      </c>
      <c r="D2714" s="120">
        <f t="shared" si="1035"/>
        <v>31</v>
      </c>
      <c r="E2714" s="120">
        <f t="shared" si="1036"/>
        <v>8</v>
      </c>
      <c r="F2714" s="275">
        <f t="shared" si="1037"/>
        <v>46981.5</v>
      </c>
      <c r="G2714" s="120">
        <f t="shared" si="1038"/>
        <v>24343</v>
      </c>
      <c r="H2714" s="245">
        <f t="shared" si="1039"/>
        <v>1</v>
      </c>
      <c r="I2714" s="121">
        <f t="shared" si="1040"/>
        <v>1.0649999999999999</v>
      </c>
      <c r="J2714" s="121">
        <f t="shared" si="1041"/>
        <v>1.0649999999999999</v>
      </c>
      <c r="K2714" s="120">
        <f t="shared" si="1042"/>
        <v>0</v>
      </c>
      <c r="L2714" s="120">
        <f t="shared" si="1043"/>
        <v>0</v>
      </c>
      <c r="M2714" s="246">
        <f t="shared" si="1044"/>
        <v>0</v>
      </c>
      <c r="N2714" s="121">
        <f t="shared" si="1045"/>
        <v>1.0649999999999999</v>
      </c>
      <c r="O2714" s="246">
        <f t="shared" si="1046"/>
        <v>1</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87">
        <v>45</v>
      </c>
      <c r="B2715" s="242">
        <f t="shared" si="1053"/>
        <v>46997</v>
      </c>
      <c r="C2715" s="243">
        <f t="shared" si="1034"/>
        <v>47026</v>
      </c>
      <c r="D2715" s="120">
        <f t="shared" si="1035"/>
        <v>30</v>
      </c>
      <c r="E2715" s="120">
        <f t="shared" si="1036"/>
        <v>9</v>
      </c>
      <c r="F2715" s="275">
        <f t="shared" si="1037"/>
        <v>47012</v>
      </c>
      <c r="G2715" s="120">
        <f t="shared" si="1038"/>
        <v>24344</v>
      </c>
      <c r="H2715" s="245">
        <f t="shared" si="1039"/>
        <v>1</v>
      </c>
      <c r="I2715" s="121">
        <f t="shared" si="1040"/>
        <v>1.0649999999999999</v>
      </c>
      <c r="J2715" s="121">
        <f t="shared" si="1041"/>
        <v>1.0649999999999999</v>
      </c>
      <c r="K2715" s="120">
        <f t="shared" si="1042"/>
        <v>0</v>
      </c>
      <c r="L2715" s="120">
        <f t="shared" si="1043"/>
        <v>0</v>
      </c>
      <c r="M2715" s="246">
        <f t="shared" si="1044"/>
        <v>0</v>
      </c>
      <c r="N2715" s="121">
        <f t="shared" si="1045"/>
        <v>1.0649999999999999</v>
      </c>
      <c r="O2715" s="246">
        <f t="shared" si="1046"/>
        <v>1</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87">
        <v>46</v>
      </c>
      <c r="B2716" s="242">
        <f t="shared" si="1053"/>
        <v>47027</v>
      </c>
      <c r="C2716" s="243">
        <f t="shared" si="1034"/>
        <v>47057</v>
      </c>
      <c r="D2716" s="120">
        <f t="shared" si="1035"/>
        <v>31</v>
      </c>
      <c r="E2716" s="120">
        <f t="shared" si="1036"/>
        <v>10</v>
      </c>
      <c r="F2716" s="275">
        <f t="shared" si="1037"/>
        <v>47042.5</v>
      </c>
      <c r="G2716" s="120">
        <f t="shared" si="1038"/>
        <v>24345</v>
      </c>
      <c r="H2716" s="245">
        <f t="shared" si="1039"/>
        <v>1</v>
      </c>
      <c r="I2716" s="121">
        <f t="shared" si="1040"/>
        <v>1.0649999999999999</v>
      </c>
      <c r="J2716" s="121">
        <f t="shared" si="1041"/>
        <v>1.0649999999999999</v>
      </c>
      <c r="K2716" s="120">
        <f t="shared" si="1042"/>
        <v>0</v>
      </c>
      <c r="L2716" s="120">
        <f t="shared" si="1043"/>
        <v>0</v>
      </c>
      <c r="M2716" s="246">
        <f t="shared" si="1044"/>
        <v>0</v>
      </c>
      <c r="N2716" s="121">
        <f t="shared" si="1045"/>
        <v>1.0649999999999999</v>
      </c>
      <c r="O2716" s="246">
        <f t="shared" si="1046"/>
        <v>1</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87">
        <v>47</v>
      </c>
      <c r="B2717" s="242">
        <f t="shared" si="1053"/>
        <v>47058</v>
      </c>
      <c r="C2717" s="243">
        <f t="shared" si="1034"/>
        <v>47087</v>
      </c>
      <c r="D2717" s="120">
        <f t="shared" si="1035"/>
        <v>30</v>
      </c>
      <c r="E2717" s="120">
        <f t="shared" si="1036"/>
        <v>11</v>
      </c>
      <c r="F2717" s="275">
        <f t="shared" si="1037"/>
        <v>47073</v>
      </c>
      <c r="G2717" s="120">
        <f t="shared" si="1038"/>
        <v>24346</v>
      </c>
      <c r="H2717" s="245">
        <f t="shared" si="1039"/>
        <v>1</v>
      </c>
      <c r="I2717" s="121">
        <f t="shared" si="1040"/>
        <v>1.0649999999999999</v>
      </c>
      <c r="J2717" s="121">
        <f t="shared" si="1041"/>
        <v>1.0649999999999999</v>
      </c>
      <c r="K2717" s="120">
        <f t="shared" si="1042"/>
        <v>0</v>
      </c>
      <c r="L2717" s="120">
        <f t="shared" si="1043"/>
        <v>0</v>
      </c>
      <c r="M2717" s="246">
        <f t="shared" si="1044"/>
        <v>0</v>
      </c>
      <c r="N2717" s="121">
        <f t="shared" si="1045"/>
        <v>1.0649999999999999</v>
      </c>
      <c r="O2717" s="246">
        <f t="shared" si="1046"/>
        <v>1</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87">
        <v>48</v>
      </c>
      <c r="B2718" s="242">
        <f t="shared" si="1053"/>
        <v>47088</v>
      </c>
      <c r="C2718" s="243">
        <f t="shared" si="1034"/>
        <v>47118</v>
      </c>
      <c r="D2718" s="120">
        <f t="shared" si="1035"/>
        <v>31</v>
      </c>
      <c r="E2718" s="120">
        <f t="shared" si="1036"/>
        <v>12</v>
      </c>
      <c r="F2718" s="275">
        <f t="shared" si="1037"/>
        <v>47103.5</v>
      </c>
      <c r="G2718" s="120">
        <f t="shared" si="1038"/>
        <v>24347</v>
      </c>
      <c r="H2718" s="245">
        <f t="shared" si="1039"/>
        <v>1</v>
      </c>
      <c r="I2718" s="121">
        <f t="shared" si="1040"/>
        <v>1.0649999999999999</v>
      </c>
      <c r="J2718" s="121">
        <f t="shared" si="1041"/>
        <v>1.0649999999999999</v>
      </c>
      <c r="K2718" s="120">
        <f t="shared" si="1042"/>
        <v>0</v>
      </c>
      <c r="L2718" s="120">
        <f t="shared" si="1043"/>
        <v>0</v>
      </c>
      <c r="M2718" s="246">
        <f t="shared" si="1044"/>
        <v>0</v>
      </c>
      <c r="N2718" s="121">
        <f t="shared" si="1045"/>
        <v>1.0649999999999999</v>
      </c>
      <c r="O2718" s="246">
        <f t="shared" si="1046"/>
        <v>1</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1651</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24">
        <f>SUMPRODUCT($H$2671:$H$2718,$Q$2671:$Q$2718,$O$2671:$O$2718)/SUMPRODUCT($H$2671:$H$2718,$Q$2671:$Q$2718)</f>
        <v>0.99199580598103554</v>
      </c>
      <c r="G2719" s="224">
        <f>SUMPRODUCT($H$2671:$H$2718,$R$2671:$R$2718,$O$2671:$O$2718)/SUMPRODUCT($H$2671:$H$2718,$R$2671:$R$2718)</f>
        <v>0.99865635637004624</v>
      </c>
      <c r="H2719" s="73">
        <f>SUMPRODUCT($H$2695:$H$2706,$N$2695:$N$2706/$N$2683:$N$2694)/SUM($H$2695:$H$2706)</f>
        <v>1.0325</v>
      </c>
      <c r="I2719" s="73">
        <f>SUMPRODUCT($H$2695:$H$2706,$O$2695:$O$2706/$O$2683:$O$2694)/SUM($H$2695:$H$2706)</f>
        <v>1.0080839018517107</v>
      </c>
      <c r="J2719" s="73">
        <f>IF($O$2668=1,SUMPRODUCT($H$2695:$H$2706,$N$2695:$N$2706/$N$2683:$N$2694*$O$2695:$O$2706/$O$2683:$O$2694)/SUM($H$2695:$H$2706),$H2719)</f>
        <v>1.0408471608320469</v>
      </c>
      <c r="K2719" s="73">
        <f>SUMPRODUCT($H$2671:$H$2718,$Q$2671:$Q$2718,$N$2671:$N$2718)/SUMPRODUCT($H$2671:$H$2718,$Q$2671:$Q$2718)</f>
        <v>1.056875</v>
      </c>
      <c r="L2719" s="73">
        <f>SUMPRODUCT($H$2671:$H$2718,$R$2671:$R$2718,$N$2671:$N$2718)/SUMPRODUCT($H$2671:$H$2718,$R$2671:$R$2718)</f>
        <v>1.0649999999999999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24">
        <f>IF(N(INDEX(lr_mind,50))=0,1,INDEX(lr_mind,50))</f>
        <v>1</v>
      </c>
      <c r="G2722" s="224">
        <f>IF(N(INDEX(lr_m0,50))=0,1,INDEX(lr_m0,50))</f>
        <v>0.99</v>
      </c>
      <c r="H2722" s="74">
        <f>IF(N(INDEX(lr_m0asof,50))=0,DATE(nr_PlanYear-1,10,1),INDEX(lr_m0asof,50))</f>
        <v>46295</v>
      </c>
      <c r="I2722" s="224">
        <f>IF(N(INDEX(lr_m1,50))=0,1,INDEX(lr_m1,50))</f>
        <v>0.98</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54">EOMONTH($B2725,0)</f>
        <v>45688</v>
      </c>
      <c r="D2725" s="120">
        <f t="shared" ref="D2725:D2772" si="1055">$C2725-$B2725+1</f>
        <v>31</v>
      </c>
      <c r="E2725" s="120">
        <f t="shared" ref="E2725:E2772" si="1056">MONTH($B2725)</f>
        <v>1</v>
      </c>
      <c r="F2725" s="275">
        <f t="shared" ref="F2725:F2772" si="1057">($B2725+$C2725+1)/2</f>
        <v>45673.5</v>
      </c>
      <c r="G2725" s="120">
        <f t="shared" ref="G2725:G2772" si="1058">YEAR($B2725)*12+MONTH($B2725)-1</f>
        <v>24300</v>
      </c>
      <c r="H2725" s="245">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46">
        <f t="shared" ref="M2725:M2772" si="1064">IF($K2725=0,0,MIN(1,$L2725/$D2725))</f>
        <v>0</v>
      </c>
      <c r="N2725" s="121">
        <f t="shared" ref="N2725:N2772" si="1065">IF($K2725=0,$J2725,(1-$M2725)*$I2725+$M2725*$J2725)</f>
        <v>1</v>
      </c>
      <c r="O2725" s="246">
        <f t="shared" ref="O2725:O2772" si="1066">IF($F2725&lt;$B$2723,$E$2723+$I$2723*($F2725-$A$2723),IF($F2725&lt;$C$2723,$F$2723+$J$2723*($F2725-$B$2723),$G$2723+$K$2723*($F2725-$C$2723)))</f>
        <v>1.0036214442013129</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87">
        <v>2</v>
      </c>
      <c r="B2726" s="242">
        <f t="shared" ref="B2726:B2772" si="1073">EDATE($B2725,1)</f>
        <v>45689</v>
      </c>
      <c r="C2726" s="243">
        <f t="shared" si="1054"/>
        <v>45716</v>
      </c>
      <c r="D2726" s="120">
        <f t="shared" si="1055"/>
        <v>28</v>
      </c>
      <c r="E2726" s="120">
        <f t="shared" si="1056"/>
        <v>2</v>
      </c>
      <c r="F2726" s="275">
        <f t="shared" si="1057"/>
        <v>45703</v>
      </c>
      <c r="G2726" s="120">
        <f t="shared" si="1058"/>
        <v>24301</v>
      </c>
      <c r="H2726" s="245">
        <f t="shared" si="1059"/>
        <v>1</v>
      </c>
      <c r="I2726" s="121">
        <f t="shared" si="1060"/>
        <v>1</v>
      </c>
      <c r="J2726" s="121">
        <f t="shared" si="1061"/>
        <v>1</v>
      </c>
      <c r="K2726" s="120">
        <f t="shared" si="1062"/>
        <v>0</v>
      </c>
      <c r="L2726" s="120">
        <f t="shared" si="1063"/>
        <v>0</v>
      </c>
      <c r="M2726" s="246">
        <f t="shared" si="1064"/>
        <v>0</v>
      </c>
      <c r="N2726" s="121">
        <f t="shared" si="1065"/>
        <v>1</v>
      </c>
      <c r="O2726" s="246">
        <f t="shared" si="1066"/>
        <v>1.002975929978118</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87">
        <v>3</v>
      </c>
      <c r="B2727" s="242">
        <f t="shared" si="1073"/>
        <v>45717</v>
      </c>
      <c r="C2727" s="243">
        <f t="shared" si="1054"/>
        <v>45747</v>
      </c>
      <c r="D2727" s="120">
        <f t="shared" si="1055"/>
        <v>31</v>
      </c>
      <c r="E2727" s="120">
        <f t="shared" si="1056"/>
        <v>3</v>
      </c>
      <c r="F2727" s="275">
        <f t="shared" si="1057"/>
        <v>45732.5</v>
      </c>
      <c r="G2727" s="120">
        <f t="shared" si="1058"/>
        <v>24302</v>
      </c>
      <c r="H2727" s="245">
        <f t="shared" si="1059"/>
        <v>1</v>
      </c>
      <c r="I2727" s="121">
        <f t="shared" si="1060"/>
        <v>1</v>
      </c>
      <c r="J2727" s="121">
        <f t="shared" si="1061"/>
        <v>1</v>
      </c>
      <c r="K2727" s="120">
        <f t="shared" si="1062"/>
        <v>0</v>
      </c>
      <c r="L2727" s="120">
        <f t="shared" si="1063"/>
        <v>0</v>
      </c>
      <c r="M2727" s="246">
        <f t="shared" si="1064"/>
        <v>0</v>
      </c>
      <c r="N2727" s="121">
        <f t="shared" si="1065"/>
        <v>1</v>
      </c>
      <c r="O2727" s="246">
        <f t="shared" si="1066"/>
        <v>1.0023304157549233</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87">
        <v>4</v>
      </c>
      <c r="B2728" s="242">
        <f t="shared" si="1073"/>
        <v>45748</v>
      </c>
      <c r="C2728" s="243">
        <f t="shared" si="1054"/>
        <v>45777</v>
      </c>
      <c r="D2728" s="120">
        <f t="shared" si="1055"/>
        <v>30</v>
      </c>
      <c r="E2728" s="120">
        <f t="shared" si="1056"/>
        <v>4</v>
      </c>
      <c r="F2728" s="275">
        <f t="shared" si="1057"/>
        <v>45763</v>
      </c>
      <c r="G2728" s="120">
        <f t="shared" si="1058"/>
        <v>24303</v>
      </c>
      <c r="H2728" s="245">
        <f t="shared" si="1059"/>
        <v>1</v>
      </c>
      <c r="I2728" s="121">
        <f t="shared" si="1060"/>
        <v>1</v>
      </c>
      <c r="J2728" s="121">
        <f t="shared" si="1061"/>
        <v>1</v>
      </c>
      <c r="K2728" s="120">
        <f t="shared" si="1062"/>
        <v>0</v>
      </c>
      <c r="L2728" s="120">
        <f t="shared" si="1063"/>
        <v>0</v>
      </c>
      <c r="M2728" s="246">
        <f t="shared" si="1064"/>
        <v>0</v>
      </c>
      <c r="N2728" s="121">
        <f t="shared" si="1065"/>
        <v>1</v>
      </c>
      <c r="O2728" s="246">
        <f t="shared" si="1066"/>
        <v>1.0016630196936542</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87">
        <v>5</v>
      </c>
      <c r="B2729" s="242">
        <f t="shared" si="1073"/>
        <v>45778</v>
      </c>
      <c r="C2729" s="243">
        <f t="shared" si="1054"/>
        <v>45808</v>
      </c>
      <c r="D2729" s="120">
        <f t="shared" si="1055"/>
        <v>31</v>
      </c>
      <c r="E2729" s="120">
        <f t="shared" si="1056"/>
        <v>5</v>
      </c>
      <c r="F2729" s="275">
        <f t="shared" si="1057"/>
        <v>45793.5</v>
      </c>
      <c r="G2729" s="120">
        <f t="shared" si="1058"/>
        <v>24304</v>
      </c>
      <c r="H2729" s="245">
        <f t="shared" si="1059"/>
        <v>1</v>
      </c>
      <c r="I2729" s="121">
        <f t="shared" si="1060"/>
        <v>1</v>
      </c>
      <c r="J2729" s="121">
        <f t="shared" si="1061"/>
        <v>1</v>
      </c>
      <c r="K2729" s="120">
        <f t="shared" si="1062"/>
        <v>0</v>
      </c>
      <c r="L2729" s="120">
        <f t="shared" si="1063"/>
        <v>0</v>
      </c>
      <c r="M2729" s="246">
        <f t="shared" si="1064"/>
        <v>0</v>
      </c>
      <c r="N2729" s="121">
        <f t="shared" si="1065"/>
        <v>1</v>
      </c>
      <c r="O2729" s="246">
        <f t="shared" si="1066"/>
        <v>1.0009956236323851</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87">
        <v>6</v>
      </c>
      <c r="B2730" s="242">
        <f t="shared" si="1073"/>
        <v>45809</v>
      </c>
      <c r="C2730" s="243">
        <f t="shared" si="1054"/>
        <v>45838</v>
      </c>
      <c r="D2730" s="120">
        <f t="shared" si="1055"/>
        <v>30</v>
      </c>
      <c r="E2730" s="120">
        <f t="shared" si="1056"/>
        <v>6</v>
      </c>
      <c r="F2730" s="275">
        <f t="shared" si="1057"/>
        <v>45824</v>
      </c>
      <c r="G2730" s="120">
        <f t="shared" si="1058"/>
        <v>24305</v>
      </c>
      <c r="H2730" s="245">
        <f t="shared" si="1059"/>
        <v>1</v>
      </c>
      <c r="I2730" s="121">
        <f t="shared" si="1060"/>
        <v>1</v>
      </c>
      <c r="J2730" s="121">
        <f t="shared" si="1061"/>
        <v>1</v>
      </c>
      <c r="K2730" s="120">
        <f t="shared" si="1062"/>
        <v>0</v>
      </c>
      <c r="L2730" s="120">
        <f t="shared" si="1063"/>
        <v>0</v>
      </c>
      <c r="M2730" s="246">
        <f t="shared" si="1064"/>
        <v>0</v>
      </c>
      <c r="N2730" s="121">
        <f t="shared" si="1065"/>
        <v>1</v>
      </c>
      <c r="O2730" s="246">
        <f t="shared" si="1066"/>
        <v>1.0003282275711158</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87">
        <v>7</v>
      </c>
      <c r="B2731" s="242">
        <f t="shared" si="1073"/>
        <v>45839</v>
      </c>
      <c r="C2731" s="243">
        <f t="shared" si="1054"/>
        <v>45869</v>
      </c>
      <c r="D2731" s="120">
        <f t="shared" si="1055"/>
        <v>31</v>
      </c>
      <c r="E2731" s="120">
        <f t="shared" si="1056"/>
        <v>7</v>
      </c>
      <c r="F2731" s="275">
        <f t="shared" si="1057"/>
        <v>45854.5</v>
      </c>
      <c r="G2731" s="120">
        <f t="shared" si="1058"/>
        <v>24306</v>
      </c>
      <c r="H2731" s="245">
        <f t="shared" si="1059"/>
        <v>1</v>
      </c>
      <c r="I2731" s="121">
        <f t="shared" si="1060"/>
        <v>1</v>
      </c>
      <c r="J2731" s="121">
        <f t="shared" si="1061"/>
        <v>1</v>
      </c>
      <c r="K2731" s="120">
        <f t="shared" si="1062"/>
        <v>0</v>
      </c>
      <c r="L2731" s="120">
        <f t="shared" si="1063"/>
        <v>0</v>
      </c>
      <c r="M2731" s="246">
        <f t="shared" si="1064"/>
        <v>0</v>
      </c>
      <c r="N2731" s="121">
        <f t="shared" si="1065"/>
        <v>1</v>
      </c>
      <c r="O2731" s="246">
        <f t="shared" si="1066"/>
        <v>0.99966083150984675</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87">
        <v>8</v>
      </c>
      <c r="B2732" s="242">
        <f t="shared" si="1073"/>
        <v>45870</v>
      </c>
      <c r="C2732" s="243">
        <f t="shared" si="1054"/>
        <v>45900</v>
      </c>
      <c r="D2732" s="120">
        <f t="shared" si="1055"/>
        <v>31</v>
      </c>
      <c r="E2732" s="120">
        <f t="shared" si="1056"/>
        <v>8</v>
      </c>
      <c r="F2732" s="275">
        <f t="shared" si="1057"/>
        <v>45885.5</v>
      </c>
      <c r="G2732" s="120">
        <f t="shared" si="1058"/>
        <v>24307</v>
      </c>
      <c r="H2732" s="245">
        <f t="shared" si="1059"/>
        <v>1</v>
      </c>
      <c r="I2732" s="121">
        <f t="shared" si="1060"/>
        <v>1</v>
      </c>
      <c r="J2732" s="121">
        <f t="shared" si="1061"/>
        <v>1</v>
      </c>
      <c r="K2732" s="120">
        <f t="shared" si="1062"/>
        <v>0</v>
      </c>
      <c r="L2732" s="120">
        <f t="shared" si="1063"/>
        <v>0</v>
      </c>
      <c r="M2732" s="246">
        <f t="shared" si="1064"/>
        <v>0</v>
      </c>
      <c r="N2732" s="121">
        <f t="shared" si="1065"/>
        <v>1</v>
      </c>
      <c r="O2732" s="246">
        <f t="shared" si="1066"/>
        <v>0.99898249452954047</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87">
        <v>9</v>
      </c>
      <c r="B2733" s="242">
        <f t="shared" si="1073"/>
        <v>45901</v>
      </c>
      <c r="C2733" s="243">
        <f t="shared" si="1054"/>
        <v>45930</v>
      </c>
      <c r="D2733" s="120">
        <f t="shared" si="1055"/>
        <v>30</v>
      </c>
      <c r="E2733" s="120">
        <f t="shared" si="1056"/>
        <v>9</v>
      </c>
      <c r="F2733" s="275">
        <f t="shared" si="1057"/>
        <v>45916</v>
      </c>
      <c r="G2733" s="120">
        <f t="shared" si="1058"/>
        <v>24308</v>
      </c>
      <c r="H2733" s="245">
        <f t="shared" si="1059"/>
        <v>1</v>
      </c>
      <c r="I2733" s="121">
        <f t="shared" si="1060"/>
        <v>1</v>
      </c>
      <c r="J2733" s="121">
        <f t="shared" si="1061"/>
        <v>1</v>
      </c>
      <c r="K2733" s="120">
        <f t="shared" si="1062"/>
        <v>0</v>
      </c>
      <c r="L2733" s="120">
        <f t="shared" si="1063"/>
        <v>0</v>
      </c>
      <c r="M2733" s="246">
        <f t="shared" si="1064"/>
        <v>0</v>
      </c>
      <c r="N2733" s="121">
        <f t="shared" si="1065"/>
        <v>1</v>
      </c>
      <c r="O2733" s="246">
        <f t="shared" si="1066"/>
        <v>0.99831509846827127</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87">
        <v>10</v>
      </c>
      <c r="B2734" s="242">
        <f t="shared" si="1073"/>
        <v>45931</v>
      </c>
      <c r="C2734" s="243">
        <f t="shared" si="1054"/>
        <v>45961</v>
      </c>
      <c r="D2734" s="120">
        <f t="shared" si="1055"/>
        <v>31</v>
      </c>
      <c r="E2734" s="120">
        <f t="shared" si="1056"/>
        <v>10</v>
      </c>
      <c r="F2734" s="275">
        <f t="shared" si="1057"/>
        <v>45946.5</v>
      </c>
      <c r="G2734" s="120">
        <f t="shared" si="1058"/>
        <v>24309</v>
      </c>
      <c r="H2734" s="245">
        <f t="shared" si="1059"/>
        <v>1</v>
      </c>
      <c r="I2734" s="121">
        <f t="shared" si="1060"/>
        <v>1</v>
      </c>
      <c r="J2734" s="121">
        <f t="shared" si="1061"/>
        <v>1</v>
      </c>
      <c r="K2734" s="120">
        <f t="shared" si="1062"/>
        <v>0</v>
      </c>
      <c r="L2734" s="120">
        <f t="shared" si="1063"/>
        <v>0</v>
      </c>
      <c r="M2734" s="246">
        <f t="shared" si="1064"/>
        <v>0</v>
      </c>
      <c r="N2734" s="121">
        <f t="shared" si="1065"/>
        <v>1</v>
      </c>
      <c r="O2734" s="246">
        <f t="shared" si="1066"/>
        <v>0.99764770240700218</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87">
        <v>11</v>
      </c>
      <c r="B2735" s="242">
        <f t="shared" si="1073"/>
        <v>45962</v>
      </c>
      <c r="C2735" s="243">
        <f t="shared" si="1054"/>
        <v>45991</v>
      </c>
      <c r="D2735" s="120">
        <f t="shared" si="1055"/>
        <v>30</v>
      </c>
      <c r="E2735" s="120">
        <f t="shared" si="1056"/>
        <v>11</v>
      </c>
      <c r="F2735" s="275">
        <f t="shared" si="1057"/>
        <v>45977</v>
      </c>
      <c r="G2735" s="120">
        <f t="shared" si="1058"/>
        <v>24310</v>
      </c>
      <c r="H2735" s="245">
        <f t="shared" si="1059"/>
        <v>1</v>
      </c>
      <c r="I2735" s="121">
        <f t="shared" si="1060"/>
        <v>1</v>
      </c>
      <c r="J2735" s="121">
        <f t="shared" si="1061"/>
        <v>1</v>
      </c>
      <c r="K2735" s="120">
        <f t="shared" si="1062"/>
        <v>0</v>
      </c>
      <c r="L2735" s="120">
        <f t="shared" si="1063"/>
        <v>0</v>
      </c>
      <c r="M2735" s="246">
        <f t="shared" si="1064"/>
        <v>0</v>
      </c>
      <c r="N2735" s="121">
        <f t="shared" si="1065"/>
        <v>1</v>
      </c>
      <c r="O2735" s="246">
        <f t="shared" si="1066"/>
        <v>0.99698030634573298</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87">
        <v>12</v>
      </c>
      <c r="B2736" s="242">
        <f t="shared" si="1073"/>
        <v>45992</v>
      </c>
      <c r="C2736" s="243">
        <f t="shared" si="1054"/>
        <v>46022</v>
      </c>
      <c r="D2736" s="120">
        <f t="shared" si="1055"/>
        <v>31</v>
      </c>
      <c r="E2736" s="120">
        <f t="shared" si="1056"/>
        <v>12</v>
      </c>
      <c r="F2736" s="275">
        <f t="shared" si="1057"/>
        <v>46007.5</v>
      </c>
      <c r="G2736" s="120">
        <f t="shared" si="1058"/>
        <v>24311</v>
      </c>
      <c r="H2736" s="245">
        <f t="shared" si="1059"/>
        <v>1</v>
      </c>
      <c r="I2736" s="121">
        <f t="shared" si="1060"/>
        <v>1</v>
      </c>
      <c r="J2736" s="121">
        <f t="shared" si="1061"/>
        <v>1</v>
      </c>
      <c r="K2736" s="120">
        <f t="shared" si="1062"/>
        <v>0</v>
      </c>
      <c r="L2736" s="120">
        <f t="shared" si="1063"/>
        <v>0</v>
      </c>
      <c r="M2736" s="246">
        <f t="shared" si="1064"/>
        <v>0</v>
      </c>
      <c r="N2736" s="121">
        <f t="shared" si="1065"/>
        <v>1</v>
      </c>
      <c r="O2736" s="246">
        <f t="shared" si="1066"/>
        <v>0.99631291028446389</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87">
        <v>13</v>
      </c>
      <c r="B2737" s="242">
        <f t="shared" si="1073"/>
        <v>46023</v>
      </c>
      <c r="C2737" s="243">
        <f t="shared" si="1054"/>
        <v>46053</v>
      </c>
      <c r="D2737" s="120">
        <f t="shared" si="1055"/>
        <v>31</v>
      </c>
      <c r="E2737" s="120">
        <f t="shared" si="1056"/>
        <v>1</v>
      </c>
      <c r="F2737" s="275">
        <f t="shared" si="1057"/>
        <v>46038.5</v>
      </c>
      <c r="G2737" s="120">
        <f t="shared" si="1058"/>
        <v>24312</v>
      </c>
      <c r="H2737" s="245">
        <f t="shared" si="1059"/>
        <v>1</v>
      </c>
      <c r="I2737" s="121">
        <f t="shared" si="1060"/>
        <v>1</v>
      </c>
      <c r="J2737" s="121">
        <f t="shared" si="1061"/>
        <v>1</v>
      </c>
      <c r="K2737" s="120">
        <f t="shared" si="1062"/>
        <v>0</v>
      </c>
      <c r="L2737" s="120">
        <f t="shared" si="1063"/>
        <v>0</v>
      </c>
      <c r="M2737" s="246">
        <f t="shared" si="1064"/>
        <v>0</v>
      </c>
      <c r="N2737" s="121">
        <f t="shared" si="1065"/>
        <v>1</v>
      </c>
      <c r="O2737" s="246">
        <f t="shared" si="1066"/>
        <v>0.9956345733041575</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87">
        <v>14</v>
      </c>
      <c r="B2738" s="242">
        <f t="shared" si="1073"/>
        <v>46054</v>
      </c>
      <c r="C2738" s="243">
        <f t="shared" si="1054"/>
        <v>46081</v>
      </c>
      <c r="D2738" s="120">
        <f t="shared" si="1055"/>
        <v>28</v>
      </c>
      <c r="E2738" s="120">
        <f t="shared" si="1056"/>
        <v>2</v>
      </c>
      <c r="F2738" s="275">
        <f t="shared" si="1057"/>
        <v>46068</v>
      </c>
      <c r="G2738" s="120">
        <f t="shared" si="1058"/>
        <v>24313</v>
      </c>
      <c r="H2738" s="245">
        <f t="shared" si="1059"/>
        <v>1</v>
      </c>
      <c r="I2738" s="121">
        <f t="shared" si="1060"/>
        <v>1</v>
      </c>
      <c r="J2738" s="121">
        <f t="shared" si="1061"/>
        <v>1.06</v>
      </c>
      <c r="K2738" s="120">
        <f t="shared" si="1062"/>
        <v>1</v>
      </c>
      <c r="L2738" s="120">
        <f t="shared" si="1063"/>
        <v>28</v>
      </c>
      <c r="M2738" s="246">
        <f t="shared" si="1064"/>
        <v>1</v>
      </c>
      <c r="N2738" s="121">
        <f t="shared" si="1065"/>
        <v>1.06</v>
      </c>
      <c r="O2738" s="246">
        <f t="shared" si="1066"/>
        <v>0.9949890590809628</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87">
        <v>15</v>
      </c>
      <c r="B2739" s="242">
        <f t="shared" si="1073"/>
        <v>46082</v>
      </c>
      <c r="C2739" s="243">
        <f t="shared" si="1054"/>
        <v>46112</v>
      </c>
      <c r="D2739" s="120">
        <f t="shared" si="1055"/>
        <v>31</v>
      </c>
      <c r="E2739" s="120">
        <f t="shared" si="1056"/>
        <v>3</v>
      </c>
      <c r="F2739" s="275">
        <f t="shared" si="1057"/>
        <v>46097.5</v>
      </c>
      <c r="G2739" s="120">
        <f t="shared" si="1058"/>
        <v>24314</v>
      </c>
      <c r="H2739" s="245">
        <f t="shared" si="1059"/>
        <v>1</v>
      </c>
      <c r="I2739" s="121">
        <f t="shared" si="1060"/>
        <v>1.06</v>
      </c>
      <c r="J2739" s="121">
        <f t="shared" si="1061"/>
        <v>1.06</v>
      </c>
      <c r="K2739" s="120">
        <f t="shared" si="1062"/>
        <v>0</v>
      </c>
      <c r="L2739" s="120">
        <f t="shared" si="1063"/>
        <v>0</v>
      </c>
      <c r="M2739" s="246">
        <f t="shared" si="1064"/>
        <v>0</v>
      </c>
      <c r="N2739" s="121">
        <f t="shared" si="1065"/>
        <v>1.06</v>
      </c>
      <c r="O2739" s="246">
        <f t="shared" si="1066"/>
        <v>0.99434354485776799</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87">
        <v>16</v>
      </c>
      <c r="B2740" s="242">
        <f t="shared" si="1073"/>
        <v>46113</v>
      </c>
      <c r="C2740" s="243">
        <f t="shared" si="1054"/>
        <v>46142</v>
      </c>
      <c r="D2740" s="120">
        <f t="shared" si="1055"/>
        <v>30</v>
      </c>
      <c r="E2740" s="120">
        <f t="shared" si="1056"/>
        <v>4</v>
      </c>
      <c r="F2740" s="275">
        <f t="shared" si="1057"/>
        <v>46128</v>
      </c>
      <c r="G2740" s="120">
        <f t="shared" si="1058"/>
        <v>24315</v>
      </c>
      <c r="H2740" s="245">
        <f t="shared" si="1059"/>
        <v>1</v>
      </c>
      <c r="I2740" s="121">
        <f t="shared" si="1060"/>
        <v>1.06</v>
      </c>
      <c r="J2740" s="121">
        <f t="shared" si="1061"/>
        <v>1.06</v>
      </c>
      <c r="K2740" s="120">
        <f t="shared" si="1062"/>
        <v>0</v>
      </c>
      <c r="L2740" s="120">
        <f t="shared" si="1063"/>
        <v>0</v>
      </c>
      <c r="M2740" s="246">
        <f t="shared" si="1064"/>
        <v>0</v>
      </c>
      <c r="N2740" s="121">
        <f t="shared" si="1065"/>
        <v>1.06</v>
      </c>
      <c r="O2740" s="246">
        <f t="shared" si="1066"/>
        <v>0.9936761487964989</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87">
        <v>17</v>
      </c>
      <c r="B2741" s="242">
        <f t="shared" si="1073"/>
        <v>46143</v>
      </c>
      <c r="C2741" s="243">
        <f t="shared" si="1054"/>
        <v>46173</v>
      </c>
      <c r="D2741" s="120">
        <f t="shared" si="1055"/>
        <v>31</v>
      </c>
      <c r="E2741" s="120">
        <f t="shared" si="1056"/>
        <v>5</v>
      </c>
      <c r="F2741" s="275">
        <f t="shared" si="1057"/>
        <v>46158.5</v>
      </c>
      <c r="G2741" s="120">
        <f t="shared" si="1058"/>
        <v>24316</v>
      </c>
      <c r="H2741" s="245">
        <f t="shared" si="1059"/>
        <v>1</v>
      </c>
      <c r="I2741" s="121">
        <f t="shared" si="1060"/>
        <v>1.06</v>
      </c>
      <c r="J2741" s="121">
        <f t="shared" si="1061"/>
        <v>1.06</v>
      </c>
      <c r="K2741" s="120">
        <f t="shared" si="1062"/>
        <v>0</v>
      </c>
      <c r="L2741" s="120">
        <f t="shared" si="1063"/>
        <v>0</v>
      </c>
      <c r="M2741" s="246">
        <f t="shared" si="1064"/>
        <v>0</v>
      </c>
      <c r="N2741" s="121">
        <f t="shared" si="1065"/>
        <v>1.06</v>
      </c>
      <c r="O2741" s="246">
        <f t="shared" si="1066"/>
        <v>0.9930087527352297</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87">
        <v>18</v>
      </c>
      <c r="B2742" s="242">
        <f t="shared" si="1073"/>
        <v>46174</v>
      </c>
      <c r="C2742" s="243">
        <f t="shared" si="1054"/>
        <v>46203</v>
      </c>
      <c r="D2742" s="120">
        <f t="shared" si="1055"/>
        <v>30</v>
      </c>
      <c r="E2742" s="120">
        <f t="shared" si="1056"/>
        <v>6</v>
      </c>
      <c r="F2742" s="275">
        <f t="shared" si="1057"/>
        <v>46189</v>
      </c>
      <c r="G2742" s="120">
        <f t="shared" si="1058"/>
        <v>24317</v>
      </c>
      <c r="H2742" s="245">
        <f t="shared" si="1059"/>
        <v>1</v>
      </c>
      <c r="I2742" s="121">
        <f t="shared" si="1060"/>
        <v>1.06</v>
      </c>
      <c r="J2742" s="121">
        <f t="shared" si="1061"/>
        <v>1.06</v>
      </c>
      <c r="K2742" s="120">
        <f t="shared" si="1062"/>
        <v>0</v>
      </c>
      <c r="L2742" s="120">
        <f t="shared" si="1063"/>
        <v>0</v>
      </c>
      <c r="M2742" s="246">
        <f t="shared" si="1064"/>
        <v>0</v>
      </c>
      <c r="N2742" s="121">
        <f t="shared" si="1065"/>
        <v>1.06</v>
      </c>
      <c r="O2742" s="246">
        <f t="shared" si="1066"/>
        <v>0.99234135667396062</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87">
        <v>19</v>
      </c>
      <c r="B2743" s="242">
        <f t="shared" si="1073"/>
        <v>46204</v>
      </c>
      <c r="C2743" s="243">
        <f t="shared" si="1054"/>
        <v>46234</v>
      </c>
      <c r="D2743" s="120">
        <f t="shared" si="1055"/>
        <v>31</v>
      </c>
      <c r="E2743" s="120">
        <f t="shared" si="1056"/>
        <v>7</v>
      </c>
      <c r="F2743" s="275">
        <f t="shared" si="1057"/>
        <v>46219.5</v>
      </c>
      <c r="G2743" s="120">
        <f t="shared" si="1058"/>
        <v>24318</v>
      </c>
      <c r="H2743" s="245">
        <f t="shared" si="1059"/>
        <v>1</v>
      </c>
      <c r="I2743" s="121">
        <f t="shared" si="1060"/>
        <v>1.06</v>
      </c>
      <c r="J2743" s="121">
        <f t="shared" si="1061"/>
        <v>1.06</v>
      </c>
      <c r="K2743" s="120">
        <f t="shared" si="1062"/>
        <v>0</v>
      </c>
      <c r="L2743" s="120">
        <f t="shared" si="1063"/>
        <v>0</v>
      </c>
      <c r="M2743" s="246">
        <f t="shared" si="1064"/>
        <v>0</v>
      </c>
      <c r="N2743" s="121">
        <f t="shared" si="1065"/>
        <v>1.06</v>
      </c>
      <c r="O2743" s="246">
        <f t="shared" si="1066"/>
        <v>0.99167396061269142</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87">
        <v>20</v>
      </c>
      <c r="B2744" s="242">
        <f t="shared" si="1073"/>
        <v>46235</v>
      </c>
      <c r="C2744" s="243">
        <f t="shared" si="1054"/>
        <v>46265</v>
      </c>
      <c r="D2744" s="120">
        <f t="shared" si="1055"/>
        <v>31</v>
      </c>
      <c r="E2744" s="120">
        <f t="shared" si="1056"/>
        <v>8</v>
      </c>
      <c r="F2744" s="275">
        <f t="shared" si="1057"/>
        <v>46250.5</v>
      </c>
      <c r="G2744" s="120">
        <f t="shared" si="1058"/>
        <v>24319</v>
      </c>
      <c r="H2744" s="245">
        <f t="shared" si="1059"/>
        <v>1</v>
      </c>
      <c r="I2744" s="121">
        <f t="shared" si="1060"/>
        <v>1.06</v>
      </c>
      <c r="J2744" s="121">
        <f t="shared" si="1061"/>
        <v>1.06</v>
      </c>
      <c r="K2744" s="120">
        <f t="shared" si="1062"/>
        <v>0</v>
      </c>
      <c r="L2744" s="120">
        <f t="shared" si="1063"/>
        <v>0</v>
      </c>
      <c r="M2744" s="246">
        <f t="shared" si="1064"/>
        <v>0</v>
      </c>
      <c r="N2744" s="121">
        <f t="shared" si="1065"/>
        <v>1.06</v>
      </c>
      <c r="O2744" s="246">
        <f t="shared" si="1066"/>
        <v>0.99099562363238514</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87">
        <v>21</v>
      </c>
      <c r="B2745" s="242">
        <f t="shared" si="1073"/>
        <v>46266</v>
      </c>
      <c r="C2745" s="243">
        <f t="shared" si="1054"/>
        <v>46295</v>
      </c>
      <c r="D2745" s="120">
        <f t="shared" si="1055"/>
        <v>30</v>
      </c>
      <c r="E2745" s="120">
        <f t="shared" si="1056"/>
        <v>9</v>
      </c>
      <c r="F2745" s="275">
        <f t="shared" si="1057"/>
        <v>46281</v>
      </c>
      <c r="G2745" s="120">
        <f t="shared" si="1058"/>
        <v>24320</v>
      </c>
      <c r="H2745" s="245">
        <f t="shared" si="1059"/>
        <v>1</v>
      </c>
      <c r="I2745" s="121">
        <f t="shared" si="1060"/>
        <v>1.06</v>
      </c>
      <c r="J2745" s="121">
        <f t="shared" si="1061"/>
        <v>1.06</v>
      </c>
      <c r="K2745" s="120">
        <f t="shared" si="1062"/>
        <v>0</v>
      </c>
      <c r="L2745" s="120">
        <f t="shared" si="1063"/>
        <v>0</v>
      </c>
      <c r="M2745" s="246">
        <f t="shared" si="1064"/>
        <v>0</v>
      </c>
      <c r="N2745" s="121">
        <f t="shared" si="1065"/>
        <v>1.06</v>
      </c>
      <c r="O2745" s="246">
        <f t="shared" si="1066"/>
        <v>0.99032822757111594</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87">
        <v>22</v>
      </c>
      <c r="B2746" s="242">
        <f t="shared" si="1073"/>
        <v>46296</v>
      </c>
      <c r="C2746" s="243">
        <f t="shared" si="1054"/>
        <v>46326</v>
      </c>
      <c r="D2746" s="120">
        <f t="shared" si="1055"/>
        <v>31</v>
      </c>
      <c r="E2746" s="120">
        <f t="shared" si="1056"/>
        <v>10</v>
      </c>
      <c r="F2746" s="275">
        <f t="shared" si="1057"/>
        <v>46311.5</v>
      </c>
      <c r="G2746" s="120">
        <f t="shared" si="1058"/>
        <v>24321</v>
      </c>
      <c r="H2746" s="245">
        <f t="shared" si="1059"/>
        <v>1</v>
      </c>
      <c r="I2746" s="121">
        <f t="shared" si="1060"/>
        <v>1.06</v>
      </c>
      <c r="J2746" s="121">
        <f t="shared" si="1061"/>
        <v>1.06</v>
      </c>
      <c r="K2746" s="120">
        <f t="shared" si="1062"/>
        <v>0</v>
      </c>
      <c r="L2746" s="120">
        <f t="shared" si="1063"/>
        <v>0</v>
      </c>
      <c r="M2746" s="246">
        <f t="shared" si="1064"/>
        <v>0</v>
      </c>
      <c r="N2746" s="121">
        <f t="shared" si="1065"/>
        <v>1.06</v>
      </c>
      <c r="O2746" s="246">
        <f t="shared" si="1066"/>
        <v>0.98966083150984685</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87">
        <v>23</v>
      </c>
      <c r="B2747" s="242">
        <f t="shared" si="1073"/>
        <v>46327</v>
      </c>
      <c r="C2747" s="243">
        <f t="shared" si="1054"/>
        <v>46356</v>
      </c>
      <c r="D2747" s="120">
        <f t="shared" si="1055"/>
        <v>30</v>
      </c>
      <c r="E2747" s="120">
        <f t="shared" si="1056"/>
        <v>11</v>
      </c>
      <c r="F2747" s="275">
        <f t="shared" si="1057"/>
        <v>46342</v>
      </c>
      <c r="G2747" s="120">
        <f t="shared" si="1058"/>
        <v>24322</v>
      </c>
      <c r="H2747" s="245">
        <f t="shared" si="1059"/>
        <v>1</v>
      </c>
      <c r="I2747" s="121">
        <f t="shared" si="1060"/>
        <v>1.06</v>
      </c>
      <c r="J2747" s="121">
        <f t="shared" si="1061"/>
        <v>1.06</v>
      </c>
      <c r="K2747" s="120">
        <f t="shared" si="1062"/>
        <v>0</v>
      </c>
      <c r="L2747" s="120">
        <f t="shared" si="1063"/>
        <v>0</v>
      </c>
      <c r="M2747" s="246">
        <f t="shared" si="1064"/>
        <v>0</v>
      </c>
      <c r="N2747" s="121">
        <f t="shared" si="1065"/>
        <v>1.06</v>
      </c>
      <c r="O2747" s="246">
        <f t="shared" si="1066"/>
        <v>0.98899343544857765</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87">
        <v>24</v>
      </c>
      <c r="B2748" s="242">
        <f t="shared" si="1073"/>
        <v>46357</v>
      </c>
      <c r="C2748" s="243">
        <f t="shared" si="1054"/>
        <v>46387</v>
      </c>
      <c r="D2748" s="120">
        <f t="shared" si="1055"/>
        <v>31</v>
      </c>
      <c r="E2748" s="120">
        <f t="shared" si="1056"/>
        <v>12</v>
      </c>
      <c r="F2748" s="275">
        <f t="shared" si="1057"/>
        <v>46372.5</v>
      </c>
      <c r="G2748" s="120">
        <f t="shared" si="1058"/>
        <v>24323</v>
      </c>
      <c r="H2748" s="245">
        <f t="shared" si="1059"/>
        <v>1</v>
      </c>
      <c r="I2748" s="121">
        <f t="shared" si="1060"/>
        <v>1.06</v>
      </c>
      <c r="J2748" s="121">
        <f t="shared" si="1061"/>
        <v>1.06</v>
      </c>
      <c r="K2748" s="120">
        <f t="shared" si="1062"/>
        <v>0</v>
      </c>
      <c r="L2748" s="120">
        <f t="shared" si="1063"/>
        <v>0</v>
      </c>
      <c r="M2748" s="246">
        <f t="shared" si="1064"/>
        <v>0</v>
      </c>
      <c r="N2748" s="121">
        <f t="shared" si="1065"/>
        <v>1.06</v>
      </c>
      <c r="O2748" s="246">
        <f t="shared" si="1066"/>
        <v>0.98832603938730856</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87">
        <v>25</v>
      </c>
      <c r="B2749" s="242">
        <f t="shared" si="1073"/>
        <v>46388</v>
      </c>
      <c r="C2749" s="243">
        <f t="shared" si="1054"/>
        <v>46418</v>
      </c>
      <c r="D2749" s="120">
        <f t="shared" si="1055"/>
        <v>31</v>
      </c>
      <c r="E2749" s="120">
        <f t="shared" si="1056"/>
        <v>1</v>
      </c>
      <c r="F2749" s="275">
        <f t="shared" si="1057"/>
        <v>46403.5</v>
      </c>
      <c r="G2749" s="120">
        <f t="shared" si="1058"/>
        <v>24324</v>
      </c>
      <c r="H2749" s="245">
        <f t="shared" si="1059"/>
        <v>1</v>
      </c>
      <c r="I2749" s="121">
        <f t="shared" si="1060"/>
        <v>1.06</v>
      </c>
      <c r="J2749" s="121">
        <f t="shared" si="1061"/>
        <v>1.06</v>
      </c>
      <c r="K2749" s="120">
        <f t="shared" si="1062"/>
        <v>0</v>
      </c>
      <c r="L2749" s="120">
        <f t="shared" si="1063"/>
        <v>0</v>
      </c>
      <c r="M2749" s="246">
        <f t="shared" si="1064"/>
        <v>0</v>
      </c>
      <c r="N2749" s="121">
        <f t="shared" si="1065"/>
        <v>1.06</v>
      </c>
      <c r="O2749" s="246">
        <f t="shared" si="1066"/>
        <v>0.98764770240700217</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87">
        <v>26</v>
      </c>
      <c r="B2750" s="242">
        <f t="shared" si="1073"/>
        <v>46419</v>
      </c>
      <c r="C2750" s="243">
        <f t="shared" si="1054"/>
        <v>46446</v>
      </c>
      <c r="D2750" s="120">
        <f t="shared" si="1055"/>
        <v>28</v>
      </c>
      <c r="E2750" s="120">
        <f t="shared" si="1056"/>
        <v>2</v>
      </c>
      <c r="F2750" s="275">
        <f t="shared" si="1057"/>
        <v>46433</v>
      </c>
      <c r="G2750" s="120">
        <f t="shared" si="1058"/>
        <v>24325</v>
      </c>
      <c r="H2750" s="245">
        <f t="shared" si="1059"/>
        <v>1</v>
      </c>
      <c r="I2750" s="121">
        <f t="shared" si="1060"/>
        <v>1.06</v>
      </c>
      <c r="J2750" s="121">
        <f t="shared" si="1061"/>
        <v>1.06</v>
      </c>
      <c r="K2750" s="120">
        <f t="shared" si="1062"/>
        <v>0</v>
      </c>
      <c r="L2750" s="120">
        <f t="shared" si="1063"/>
        <v>0</v>
      </c>
      <c r="M2750" s="246">
        <f t="shared" si="1064"/>
        <v>0</v>
      </c>
      <c r="N2750" s="121">
        <f t="shared" si="1065"/>
        <v>1.06</v>
      </c>
      <c r="O2750" s="246">
        <f t="shared" si="1066"/>
        <v>0.98700218818380747</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87">
        <v>27</v>
      </c>
      <c r="B2751" s="242">
        <f t="shared" si="1073"/>
        <v>46447</v>
      </c>
      <c r="C2751" s="243">
        <f t="shared" si="1054"/>
        <v>46477</v>
      </c>
      <c r="D2751" s="120">
        <f t="shared" si="1055"/>
        <v>31</v>
      </c>
      <c r="E2751" s="120">
        <f t="shared" si="1056"/>
        <v>3</v>
      </c>
      <c r="F2751" s="275">
        <f t="shared" si="1057"/>
        <v>46462.5</v>
      </c>
      <c r="G2751" s="120">
        <f t="shared" si="1058"/>
        <v>24326</v>
      </c>
      <c r="H2751" s="245">
        <f t="shared" si="1059"/>
        <v>1</v>
      </c>
      <c r="I2751" s="121">
        <f t="shared" si="1060"/>
        <v>1.06</v>
      </c>
      <c r="J2751" s="121">
        <f t="shared" si="1061"/>
        <v>1.06</v>
      </c>
      <c r="K2751" s="120">
        <f t="shared" si="1062"/>
        <v>0</v>
      </c>
      <c r="L2751" s="120">
        <f t="shared" si="1063"/>
        <v>0</v>
      </c>
      <c r="M2751" s="246">
        <f t="shared" si="1064"/>
        <v>0</v>
      </c>
      <c r="N2751" s="121">
        <f t="shared" si="1065"/>
        <v>1.06</v>
      </c>
      <c r="O2751" s="246">
        <f t="shared" si="1066"/>
        <v>0.98635667396061266</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87">
        <v>28</v>
      </c>
      <c r="B2752" s="242">
        <f t="shared" si="1073"/>
        <v>46478</v>
      </c>
      <c r="C2752" s="243">
        <f t="shared" si="1054"/>
        <v>46507</v>
      </c>
      <c r="D2752" s="120">
        <f t="shared" si="1055"/>
        <v>30</v>
      </c>
      <c r="E2752" s="120">
        <f t="shared" si="1056"/>
        <v>4</v>
      </c>
      <c r="F2752" s="275">
        <f t="shared" si="1057"/>
        <v>46493</v>
      </c>
      <c r="G2752" s="120">
        <f t="shared" si="1058"/>
        <v>24327</v>
      </c>
      <c r="H2752" s="245">
        <f t="shared" si="1059"/>
        <v>1</v>
      </c>
      <c r="I2752" s="121">
        <f t="shared" si="1060"/>
        <v>1.06</v>
      </c>
      <c r="J2752" s="121">
        <f t="shared" si="1061"/>
        <v>1.06</v>
      </c>
      <c r="K2752" s="120">
        <f t="shared" si="1062"/>
        <v>0</v>
      </c>
      <c r="L2752" s="120">
        <f t="shared" si="1063"/>
        <v>0</v>
      </c>
      <c r="M2752" s="246">
        <f t="shared" si="1064"/>
        <v>0</v>
      </c>
      <c r="N2752" s="121">
        <f t="shared" si="1065"/>
        <v>1.06</v>
      </c>
      <c r="O2752" s="246">
        <f t="shared" si="1066"/>
        <v>0.98568927789934357</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87">
        <v>29</v>
      </c>
      <c r="B2753" s="242">
        <f t="shared" si="1073"/>
        <v>46508</v>
      </c>
      <c r="C2753" s="243">
        <f t="shared" si="1054"/>
        <v>46538</v>
      </c>
      <c r="D2753" s="120">
        <f t="shared" si="1055"/>
        <v>31</v>
      </c>
      <c r="E2753" s="120">
        <f t="shared" si="1056"/>
        <v>5</v>
      </c>
      <c r="F2753" s="275">
        <f t="shared" si="1057"/>
        <v>46523.5</v>
      </c>
      <c r="G2753" s="120">
        <f t="shared" si="1058"/>
        <v>24328</v>
      </c>
      <c r="H2753" s="245">
        <f t="shared" si="1059"/>
        <v>1</v>
      </c>
      <c r="I2753" s="121">
        <f t="shared" si="1060"/>
        <v>1.06</v>
      </c>
      <c r="J2753" s="121">
        <f t="shared" si="1061"/>
        <v>1.06</v>
      </c>
      <c r="K2753" s="120">
        <f t="shared" si="1062"/>
        <v>0</v>
      </c>
      <c r="L2753" s="120">
        <f t="shared" si="1063"/>
        <v>0</v>
      </c>
      <c r="M2753" s="246">
        <f t="shared" si="1064"/>
        <v>0</v>
      </c>
      <c r="N2753" s="121">
        <f t="shared" si="1065"/>
        <v>1.06</v>
      </c>
      <c r="O2753" s="246">
        <f t="shared" si="1066"/>
        <v>0.98502188183807438</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87">
        <v>30</v>
      </c>
      <c r="B2754" s="242">
        <f t="shared" si="1073"/>
        <v>46539</v>
      </c>
      <c r="C2754" s="243">
        <f t="shared" si="1054"/>
        <v>46568</v>
      </c>
      <c r="D2754" s="120">
        <f t="shared" si="1055"/>
        <v>30</v>
      </c>
      <c r="E2754" s="120">
        <f t="shared" si="1056"/>
        <v>6</v>
      </c>
      <c r="F2754" s="275">
        <f t="shared" si="1057"/>
        <v>46554</v>
      </c>
      <c r="G2754" s="120">
        <f t="shared" si="1058"/>
        <v>24329</v>
      </c>
      <c r="H2754" s="245">
        <f t="shared" si="1059"/>
        <v>1</v>
      </c>
      <c r="I2754" s="121">
        <f t="shared" si="1060"/>
        <v>1.06</v>
      </c>
      <c r="J2754" s="121">
        <f t="shared" si="1061"/>
        <v>1.06</v>
      </c>
      <c r="K2754" s="120">
        <f t="shared" si="1062"/>
        <v>0</v>
      </c>
      <c r="L2754" s="120">
        <f t="shared" si="1063"/>
        <v>0</v>
      </c>
      <c r="M2754" s="246">
        <f t="shared" si="1064"/>
        <v>0</v>
      </c>
      <c r="N2754" s="121">
        <f t="shared" si="1065"/>
        <v>1.06</v>
      </c>
      <c r="O2754" s="246">
        <f t="shared" si="1066"/>
        <v>0.98435448577680529</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87">
        <v>31</v>
      </c>
      <c r="B2755" s="242">
        <f t="shared" si="1073"/>
        <v>46569</v>
      </c>
      <c r="C2755" s="243">
        <f t="shared" si="1054"/>
        <v>46599</v>
      </c>
      <c r="D2755" s="120">
        <f t="shared" si="1055"/>
        <v>31</v>
      </c>
      <c r="E2755" s="120">
        <f t="shared" si="1056"/>
        <v>7</v>
      </c>
      <c r="F2755" s="275">
        <f t="shared" si="1057"/>
        <v>46584.5</v>
      </c>
      <c r="G2755" s="120">
        <f t="shared" si="1058"/>
        <v>24330</v>
      </c>
      <c r="H2755" s="245">
        <f t="shared" si="1059"/>
        <v>1</v>
      </c>
      <c r="I2755" s="121">
        <f t="shared" si="1060"/>
        <v>1.06</v>
      </c>
      <c r="J2755" s="121">
        <f t="shared" si="1061"/>
        <v>1.06</v>
      </c>
      <c r="K2755" s="120">
        <f t="shared" si="1062"/>
        <v>0</v>
      </c>
      <c r="L2755" s="120">
        <f t="shared" si="1063"/>
        <v>0</v>
      </c>
      <c r="M2755" s="246">
        <f t="shared" si="1064"/>
        <v>0</v>
      </c>
      <c r="N2755" s="121">
        <f t="shared" si="1065"/>
        <v>1.06</v>
      </c>
      <c r="O2755" s="246">
        <f t="shared" si="1066"/>
        <v>0.98368708971553609</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87">
        <v>32</v>
      </c>
      <c r="B2756" s="242">
        <f t="shared" si="1073"/>
        <v>46600</v>
      </c>
      <c r="C2756" s="243">
        <f t="shared" si="1054"/>
        <v>46630</v>
      </c>
      <c r="D2756" s="120">
        <f t="shared" si="1055"/>
        <v>31</v>
      </c>
      <c r="E2756" s="120">
        <f t="shared" si="1056"/>
        <v>8</v>
      </c>
      <c r="F2756" s="275">
        <f t="shared" si="1057"/>
        <v>46615.5</v>
      </c>
      <c r="G2756" s="120">
        <f t="shared" si="1058"/>
        <v>24331</v>
      </c>
      <c r="H2756" s="245">
        <f t="shared" si="1059"/>
        <v>1</v>
      </c>
      <c r="I2756" s="121">
        <f t="shared" si="1060"/>
        <v>1.06</v>
      </c>
      <c r="J2756" s="121">
        <f t="shared" si="1061"/>
        <v>1.06</v>
      </c>
      <c r="K2756" s="120">
        <f t="shared" si="1062"/>
        <v>0</v>
      </c>
      <c r="L2756" s="120">
        <f t="shared" si="1063"/>
        <v>0</v>
      </c>
      <c r="M2756" s="246">
        <f t="shared" si="1064"/>
        <v>0</v>
      </c>
      <c r="N2756" s="121">
        <f t="shared" si="1065"/>
        <v>1.06</v>
      </c>
      <c r="O2756" s="246">
        <f t="shared" si="1066"/>
        <v>0.9830087527352297</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87">
        <v>33</v>
      </c>
      <c r="B2757" s="242">
        <f t="shared" si="1073"/>
        <v>46631</v>
      </c>
      <c r="C2757" s="243">
        <f t="shared" si="1054"/>
        <v>46660</v>
      </c>
      <c r="D2757" s="120">
        <f t="shared" si="1055"/>
        <v>30</v>
      </c>
      <c r="E2757" s="120">
        <f t="shared" si="1056"/>
        <v>9</v>
      </c>
      <c r="F2757" s="275">
        <f t="shared" si="1057"/>
        <v>46646</v>
      </c>
      <c r="G2757" s="120">
        <f t="shared" si="1058"/>
        <v>24332</v>
      </c>
      <c r="H2757" s="245">
        <f t="shared" si="1059"/>
        <v>1</v>
      </c>
      <c r="I2757" s="121">
        <f t="shared" si="1060"/>
        <v>1.06</v>
      </c>
      <c r="J2757" s="121">
        <f t="shared" si="1061"/>
        <v>1.06</v>
      </c>
      <c r="K2757" s="120">
        <f t="shared" si="1062"/>
        <v>0</v>
      </c>
      <c r="L2757" s="120">
        <f t="shared" si="1063"/>
        <v>0</v>
      </c>
      <c r="M2757" s="246">
        <f t="shared" si="1064"/>
        <v>0</v>
      </c>
      <c r="N2757" s="121">
        <f t="shared" si="1065"/>
        <v>1.06</v>
      </c>
      <c r="O2757" s="246">
        <f t="shared" si="1066"/>
        <v>0.98234135667396061</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87">
        <v>34</v>
      </c>
      <c r="B2758" s="242">
        <f t="shared" si="1073"/>
        <v>46661</v>
      </c>
      <c r="C2758" s="243">
        <f t="shared" si="1054"/>
        <v>46691</v>
      </c>
      <c r="D2758" s="120">
        <f t="shared" si="1055"/>
        <v>31</v>
      </c>
      <c r="E2758" s="120">
        <f t="shared" si="1056"/>
        <v>10</v>
      </c>
      <c r="F2758" s="275">
        <f t="shared" si="1057"/>
        <v>46676.5</v>
      </c>
      <c r="G2758" s="120">
        <f t="shared" si="1058"/>
        <v>24333</v>
      </c>
      <c r="H2758" s="245">
        <f t="shared" si="1059"/>
        <v>1</v>
      </c>
      <c r="I2758" s="121">
        <f t="shared" si="1060"/>
        <v>1.06</v>
      </c>
      <c r="J2758" s="121">
        <f t="shared" si="1061"/>
        <v>1.1024</v>
      </c>
      <c r="K2758" s="120">
        <f t="shared" si="1062"/>
        <v>1</v>
      </c>
      <c r="L2758" s="120">
        <f t="shared" si="1063"/>
        <v>31</v>
      </c>
      <c r="M2758" s="246">
        <f t="shared" si="1064"/>
        <v>1</v>
      </c>
      <c r="N2758" s="121">
        <f t="shared" si="1065"/>
        <v>1.1024</v>
      </c>
      <c r="O2758" s="246">
        <f t="shared" si="1066"/>
        <v>0.98167396061269141</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87">
        <v>35</v>
      </c>
      <c r="B2759" s="242">
        <f t="shared" si="1073"/>
        <v>46692</v>
      </c>
      <c r="C2759" s="243">
        <f t="shared" si="1054"/>
        <v>46721</v>
      </c>
      <c r="D2759" s="120">
        <f t="shared" si="1055"/>
        <v>30</v>
      </c>
      <c r="E2759" s="120">
        <f t="shared" si="1056"/>
        <v>11</v>
      </c>
      <c r="F2759" s="275">
        <f t="shared" si="1057"/>
        <v>46707</v>
      </c>
      <c r="G2759" s="120">
        <f t="shared" si="1058"/>
        <v>24334</v>
      </c>
      <c r="H2759" s="245">
        <f t="shared" si="1059"/>
        <v>1</v>
      </c>
      <c r="I2759" s="121">
        <f t="shared" si="1060"/>
        <v>1.1024</v>
      </c>
      <c r="J2759" s="121">
        <f t="shared" si="1061"/>
        <v>1.1024</v>
      </c>
      <c r="K2759" s="120">
        <f t="shared" si="1062"/>
        <v>0</v>
      </c>
      <c r="L2759" s="120">
        <f t="shared" si="1063"/>
        <v>0</v>
      </c>
      <c r="M2759" s="246">
        <f t="shared" si="1064"/>
        <v>0</v>
      </c>
      <c r="N2759" s="121">
        <f t="shared" si="1065"/>
        <v>1.1024</v>
      </c>
      <c r="O2759" s="246">
        <f t="shared" si="1066"/>
        <v>0.98100656455142232</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87">
        <v>36</v>
      </c>
      <c r="B2760" s="242">
        <f t="shared" si="1073"/>
        <v>46722</v>
      </c>
      <c r="C2760" s="243">
        <f t="shared" si="1054"/>
        <v>46752</v>
      </c>
      <c r="D2760" s="120">
        <f t="shared" si="1055"/>
        <v>31</v>
      </c>
      <c r="E2760" s="120">
        <f t="shared" si="1056"/>
        <v>12</v>
      </c>
      <c r="F2760" s="275">
        <f t="shared" si="1057"/>
        <v>46737.5</v>
      </c>
      <c r="G2760" s="120">
        <f t="shared" si="1058"/>
        <v>24335</v>
      </c>
      <c r="H2760" s="245">
        <f t="shared" si="1059"/>
        <v>1</v>
      </c>
      <c r="I2760" s="121">
        <f t="shared" si="1060"/>
        <v>1.1024</v>
      </c>
      <c r="J2760" s="121">
        <f t="shared" si="1061"/>
        <v>1.1024</v>
      </c>
      <c r="K2760" s="120">
        <f t="shared" si="1062"/>
        <v>0</v>
      </c>
      <c r="L2760" s="120">
        <f t="shared" si="1063"/>
        <v>0</v>
      </c>
      <c r="M2760" s="246">
        <f t="shared" si="1064"/>
        <v>0</v>
      </c>
      <c r="N2760" s="121">
        <f t="shared" si="1065"/>
        <v>1.1024</v>
      </c>
      <c r="O2760" s="246">
        <f t="shared" si="1066"/>
        <v>0.98033916849015312</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87">
        <v>37</v>
      </c>
      <c r="B2761" s="242">
        <f t="shared" si="1073"/>
        <v>46753</v>
      </c>
      <c r="C2761" s="243">
        <f t="shared" si="1054"/>
        <v>46783</v>
      </c>
      <c r="D2761" s="120">
        <f t="shared" si="1055"/>
        <v>31</v>
      </c>
      <c r="E2761" s="120">
        <f t="shared" si="1056"/>
        <v>1</v>
      </c>
      <c r="F2761" s="275">
        <f t="shared" si="1057"/>
        <v>46768.5</v>
      </c>
      <c r="G2761" s="120">
        <f t="shared" si="1058"/>
        <v>24336</v>
      </c>
      <c r="H2761" s="245">
        <f t="shared" si="1059"/>
        <v>1</v>
      </c>
      <c r="I2761" s="121">
        <f t="shared" si="1060"/>
        <v>1.1024</v>
      </c>
      <c r="J2761" s="121">
        <f t="shared" si="1061"/>
        <v>1.1024</v>
      </c>
      <c r="K2761" s="120">
        <f t="shared" si="1062"/>
        <v>0</v>
      </c>
      <c r="L2761" s="120">
        <f t="shared" si="1063"/>
        <v>0</v>
      </c>
      <c r="M2761" s="246">
        <f t="shared" si="1064"/>
        <v>0</v>
      </c>
      <c r="N2761" s="121">
        <f t="shared" si="1065"/>
        <v>1.1024</v>
      </c>
      <c r="O2761" s="246">
        <f t="shared" si="1066"/>
        <v>0.98</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87">
        <v>38</v>
      </c>
      <c r="B2762" s="242">
        <f t="shared" si="1073"/>
        <v>46784</v>
      </c>
      <c r="C2762" s="243">
        <f t="shared" si="1054"/>
        <v>46812</v>
      </c>
      <c r="D2762" s="120">
        <f t="shared" si="1055"/>
        <v>29</v>
      </c>
      <c r="E2762" s="120">
        <f t="shared" si="1056"/>
        <v>2</v>
      </c>
      <c r="F2762" s="275">
        <f t="shared" si="1057"/>
        <v>46798.5</v>
      </c>
      <c r="G2762" s="120">
        <f t="shared" si="1058"/>
        <v>24337</v>
      </c>
      <c r="H2762" s="245">
        <f t="shared" si="1059"/>
        <v>1</v>
      </c>
      <c r="I2762" s="121">
        <f t="shared" si="1060"/>
        <v>1.1024</v>
      </c>
      <c r="J2762" s="121">
        <f t="shared" si="1061"/>
        <v>1.1024</v>
      </c>
      <c r="K2762" s="120">
        <f t="shared" si="1062"/>
        <v>0</v>
      </c>
      <c r="L2762" s="120">
        <f t="shared" si="1063"/>
        <v>0</v>
      </c>
      <c r="M2762" s="246">
        <f t="shared" si="1064"/>
        <v>0</v>
      </c>
      <c r="N2762" s="121">
        <f t="shared" si="1065"/>
        <v>1.1024</v>
      </c>
      <c r="O2762" s="246">
        <f t="shared" si="1066"/>
        <v>0.98</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87">
        <v>39</v>
      </c>
      <c r="B2763" s="242">
        <f t="shared" si="1073"/>
        <v>46813</v>
      </c>
      <c r="C2763" s="243">
        <f t="shared" si="1054"/>
        <v>46843</v>
      </c>
      <c r="D2763" s="120">
        <f t="shared" si="1055"/>
        <v>31</v>
      </c>
      <c r="E2763" s="120">
        <f t="shared" si="1056"/>
        <v>3</v>
      </c>
      <c r="F2763" s="275">
        <f t="shared" si="1057"/>
        <v>46828.5</v>
      </c>
      <c r="G2763" s="120">
        <f t="shared" si="1058"/>
        <v>24338</v>
      </c>
      <c r="H2763" s="245">
        <f t="shared" si="1059"/>
        <v>1</v>
      </c>
      <c r="I2763" s="121">
        <f t="shared" si="1060"/>
        <v>1.1024</v>
      </c>
      <c r="J2763" s="121">
        <f t="shared" si="1061"/>
        <v>1.1024</v>
      </c>
      <c r="K2763" s="120">
        <f t="shared" si="1062"/>
        <v>0</v>
      </c>
      <c r="L2763" s="120">
        <f t="shared" si="1063"/>
        <v>0</v>
      </c>
      <c r="M2763" s="246">
        <f t="shared" si="1064"/>
        <v>0</v>
      </c>
      <c r="N2763" s="121">
        <f t="shared" si="1065"/>
        <v>1.1024</v>
      </c>
      <c r="O2763" s="246">
        <f t="shared" si="1066"/>
        <v>0.98</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87">
        <v>40</v>
      </c>
      <c r="B2764" s="242">
        <f t="shared" si="1073"/>
        <v>46844</v>
      </c>
      <c r="C2764" s="243">
        <f t="shared" si="1054"/>
        <v>46873</v>
      </c>
      <c r="D2764" s="120">
        <f t="shared" si="1055"/>
        <v>30</v>
      </c>
      <c r="E2764" s="120">
        <f t="shared" si="1056"/>
        <v>4</v>
      </c>
      <c r="F2764" s="275">
        <f t="shared" si="1057"/>
        <v>46859</v>
      </c>
      <c r="G2764" s="120">
        <f t="shared" si="1058"/>
        <v>24339</v>
      </c>
      <c r="H2764" s="245">
        <f t="shared" si="1059"/>
        <v>1</v>
      </c>
      <c r="I2764" s="121">
        <f t="shared" si="1060"/>
        <v>1.1024</v>
      </c>
      <c r="J2764" s="121">
        <f t="shared" si="1061"/>
        <v>1.1024</v>
      </c>
      <c r="K2764" s="120">
        <f t="shared" si="1062"/>
        <v>0</v>
      </c>
      <c r="L2764" s="120">
        <f t="shared" si="1063"/>
        <v>0</v>
      </c>
      <c r="M2764" s="246">
        <f t="shared" si="1064"/>
        <v>0</v>
      </c>
      <c r="N2764" s="121">
        <f t="shared" si="1065"/>
        <v>1.1024</v>
      </c>
      <c r="O2764" s="246">
        <f t="shared" si="1066"/>
        <v>0.98</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87">
        <v>41</v>
      </c>
      <c r="B2765" s="242">
        <f t="shared" si="1073"/>
        <v>46874</v>
      </c>
      <c r="C2765" s="243">
        <f t="shared" si="1054"/>
        <v>46904</v>
      </c>
      <c r="D2765" s="120">
        <f t="shared" si="1055"/>
        <v>31</v>
      </c>
      <c r="E2765" s="120">
        <f t="shared" si="1056"/>
        <v>5</v>
      </c>
      <c r="F2765" s="275">
        <f t="shared" si="1057"/>
        <v>46889.5</v>
      </c>
      <c r="G2765" s="120">
        <f t="shared" si="1058"/>
        <v>24340</v>
      </c>
      <c r="H2765" s="245">
        <f t="shared" si="1059"/>
        <v>1</v>
      </c>
      <c r="I2765" s="121">
        <f t="shared" si="1060"/>
        <v>1.1024</v>
      </c>
      <c r="J2765" s="121">
        <f t="shared" si="1061"/>
        <v>1.1024</v>
      </c>
      <c r="K2765" s="120">
        <f t="shared" si="1062"/>
        <v>0</v>
      </c>
      <c r="L2765" s="120">
        <f t="shared" si="1063"/>
        <v>0</v>
      </c>
      <c r="M2765" s="246">
        <f t="shared" si="1064"/>
        <v>0</v>
      </c>
      <c r="N2765" s="121">
        <f t="shared" si="1065"/>
        <v>1.1024</v>
      </c>
      <c r="O2765" s="246">
        <f t="shared" si="1066"/>
        <v>0.98</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87">
        <v>42</v>
      </c>
      <c r="B2766" s="242">
        <f t="shared" si="1073"/>
        <v>46905</v>
      </c>
      <c r="C2766" s="243">
        <f t="shared" si="1054"/>
        <v>46934</v>
      </c>
      <c r="D2766" s="120">
        <f t="shared" si="1055"/>
        <v>30</v>
      </c>
      <c r="E2766" s="120">
        <f t="shared" si="1056"/>
        <v>6</v>
      </c>
      <c r="F2766" s="275">
        <f t="shared" si="1057"/>
        <v>46920</v>
      </c>
      <c r="G2766" s="120">
        <f t="shared" si="1058"/>
        <v>24341</v>
      </c>
      <c r="H2766" s="245">
        <f t="shared" si="1059"/>
        <v>1</v>
      </c>
      <c r="I2766" s="121">
        <f t="shared" si="1060"/>
        <v>1.1024</v>
      </c>
      <c r="J2766" s="121">
        <f t="shared" si="1061"/>
        <v>1.1024</v>
      </c>
      <c r="K2766" s="120">
        <f t="shared" si="1062"/>
        <v>0</v>
      </c>
      <c r="L2766" s="120">
        <f t="shared" si="1063"/>
        <v>0</v>
      </c>
      <c r="M2766" s="246">
        <f t="shared" si="1064"/>
        <v>0</v>
      </c>
      <c r="N2766" s="121">
        <f t="shared" si="1065"/>
        <v>1.1024</v>
      </c>
      <c r="O2766" s="246">
        <f t="shared" si="1066"/>
        <v>0.98</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87">
        <v>43</v>
      </c>
      <c r="B2767" s="242">
        <f t="shared" si="1073"/>
        <v>46935</v>
      </c>
      <c r="C2767" s="243">
        <f t="shared" si="1054"/>
        <v>46965</v>
      </c>
      <c r="D2767" s="120">
        <f t="shared" si="1055"/>
        <v>31</v>
      </c>
      <c r="E2767" s="120">
        <f t="shared" si="1056"/>
        <v>7</v>
      </c>
      <c r="F2767" s="275">
        <f t="shared" si="1057"/>
        <v>46950.5</v>
      </c>
      <c r="G2767" s="120">
        <f t="shared" si="1058"/>
        <v>24342</v>
      </c>
      <c r="H2767" s="245">
        <f t="shared" si="1059"/>
        <v>1</v>
      </c>
      <c r="I2767" s="121">
        <f t="shared" si="1060"/>
        <v>1.1024</v>
      </c>
      <c r="J2767" s="121">
        <f t="shared" si="1061"/>
        <v>1.1024</v>
      </c>
      <c r="K2767" s="120">
        <f t="shared" si="1062"/>
        <v>0</v>
      </c>
      <c r="L2767" s="120">
        <f t="shared" si="1063"/>
        <v>0</v>
      </c>
      <c r="M2767" s="246">
        <f t="shared" si="1064"/>
        <v>0</v>
      </c>
      <c r="N2767" s="121">
        <f t="shared" si="1065"/>
        <v>1.1024</v>
      </c>
      <c r="O2767" s="246">
        <f t="shared" si="1066"/>
        <v>0.98</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87">
        <v>44</v>
      </c>
      <c r="B2768" s="242">
        <f t="shared" si="1073"/>
        <v>46966</v>
      </c>
      <c r="C2768" s="243">
        <f t="shared" si="1054"/>
        <v>46996</v>
      </c>
      <c r="D2768" s="120">
        <f t="shared" si="1055"/>
        <v>31</v>
      </c>
      <c r="E2768" s="120">
        <f t="shared" si="1056"/>
        <v>8</v>
      </c>
      <c r="F2768" s="275">
        <f t="shared" si="1057"/>
        <v>46981.5</v>
      </c>
      <c r="G2768" s="120">
        <f t="shared" si="1058"/>
        <v>24343</v>
      </c>
      <c r="H2768" s="245">
        <f t="shared" si="1059"/>
        <v>1</v>
      </c>
      <c r="I2768" s="121">
        <f t="shared" si="1060"/>
        <v>1.1024</v>
      </c>
      <c r="J2768" s="121">
        <f t="shared" si="1061"/>
        <v>1.1024</v>
      </c>
      <c r="K2768" s="120">
        <f t="shared" si="1062"/>
        <v>0</v>
      </c>
      <c r="L2768" s="120">
        <f t="shared" si="1063"/>
        <v>0</v>
      </c>
      <c r="M2768" s="246">
        <f t="shared" si="1064"/>
        <v>0</v>
      </c>
      <c r="N2768" s="121">
        <f t="shared" si="1065"/>
        <v>1.1024</v>
      </c>
      <c r="O2768" s="246">
        <f t="shared" si="1066"/>
        <v>0.98</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87">
        <v>45</v>
      </c>
      <c r="B2769" s="242">
        <f t="shared" si="1073"/>
        <v>46997</v>
      </c>
      <c r="C2769" s="243">
        <f t="shared" si="1054"/>
        <v>47026</v>
      </c>
      <c r="D2769" s="120">
        <f t="shared" si="1055"/>
        <v>30</v>
      </c>
      <c r="E2769" s="120">
        <f t="shared" si="1056"/>
        <v>9</v>
      </c>
      <c r="F2769" s="275">
        <f t="shared" si="1057"/>
        <v>47012</v>
      </c>
      <c r="G2769" s="120">
        <f t="shared" si="1058"/>
        <v>24344</v>
      </c>
      <c r="H2769" s="245">
        <f t="shared" si="1059"/>
        <v>1</v>
      </c>
      <c r="I2769" s="121">
        <f t="shared" si="1060"/>
        <v>1.1024</v>
      </c>
      <c r="J2769" s="121">
        <f t="shared" si="1061"/>
        <v>1.1024</v>
      </c>
      <c r="K2769" s="120">
        <f t="shared" si="1062"/>
        <v>0</v>
      </c>
      <c r="L2769" s="120">
        <f t="shared" si="1063"/>
        <v>0</v>
      </c>
      <c r="M2769" s="246">
        <f t="shared" si="1064"/>
        <v>0</v>
      </c>
      <c r="N2769" s="121">
        <f t="shared" si="1065"/>
        <v>1.1024</v>
      </c>
      <c r="O2769" s="246">
        <f t="shared" si="1066"/>
        <v>0.98</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87">
        <v>46</v>
      </c>
      <c r="B2770" s="242">
        <f t="shared" si="1073"/>
        <v>47027</v>
      </c>
      <c r="C2770" s="243">
        <f t="shared" si="1054"/>
        <v>47057</v>
      </c>
      <c r="D2770" s="120">
        <f t="shared" si="1055"/>
        <v>31</v>
      </c>
      <c r="E2770" s="120">
        <f t="shared" si="1056"/>
        <v>10</v>
      </c>
      <c r="F2770" s="275">
        <f t="shared" si="1057"/>
        <v>47042.5</v>
      </c>
      <c r="G2770" s="120">
        <f t="shared" si="1058"/>
        <v>24345</v>
      </c>
      <c r="H2770" s="245">
        <f t="shared" si="1059"/>
        <v>1</v>
      </c>
      <c r="I2770" s="121">
        <f t="shared" si="1060"/>
        <v>1.1024</v>
      </c>
      <c r="J2770" s="121">
        <f t="shared" si="1061"/>
        <v>1.1024</v>
      </c>
      <c r="K2770" s="120">
        <f t="shared" si="1062"/>
        <v>0</v>
      </c>
      <c r="L2770" s="120">
        <f t="shared" si="1063"/>
        <v>0</v>
      </c>
      <c r="M2770" s="246">
        <f t="shared" si="1064"/>
        <v>0</v>
      </c>
      <c r="N2770" s="121">
        <f t="shared" si="1065"/>
        <v>1.1024</v>
      </c>
      <c r="O2770" s="246">
        <f t="shared" si="1066"/>
        <v>0.98</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87">
        <v>47</v>
      </c>
      <c r="B2771" s="242">
        <f t="shared" si="1073"/>
        <v>47058</v>
      </c>
      <c r="C2771" s="243">
        <f t="shared" si="1054"/>
        <v>47087</v>
      </c>
      <c r="D2771" s="120">
        <f t="shared" si="1055"/>
        <v>30</v>
      </c>
      <c r="E2771" s="120">
        <f t="shared" si="1056"/>
        <v>11</v>
      </c>
      <c r="F2771" s="275">
        <f t="shared" si="1057"/>
        <v>47073</v>
      </c>
      <c r="G2771" s="120">
        <f t="shared" si="1058"/>
        <v>24346</v>
      </c>
      <c r="H2771" s="245">
        <f t="shared" si="1059"/>
        <v>1</v>
      </c>
      <c r="I2771" s="121">
        <f t="shared" si="1060"/>
        <v>1.1024</v>
      </c>
      <c r="J2771" s="121">
        <f t="shared" si="1061"/>
        <v>1.1024</v>
      </c>
      <c r="K2771" s="120">
        <f t="shared" si="1062"/>
        <v>0</v>
      </c>
      <c r="L2771" s="120">
        <f t="shared" si="1063"/>
        <v>0</v>
      </c>
      <c r="M2771" s="246">
        <f t="shared" si="1064"/>
        <v>0</v>
      </c>
      <c r="N2771" s="121">
        <f t="shared" si="1065"/>
        <v>1.1024</v>
      </c>
      <c r="O2771" s="246">
        <f t="shared" si="1066"/>
        <v>0.98</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87">
        <v>48</v>
      </c>
      <c r="B2772" s="242">
        <f t="shared" si="1073"/>
        <v>47088</v>
      </c>
      <c r="C2772" s="243">
        <f t="shared" si="1054"/>
        <v>47118</v>
      </c>
      <c r="D2772" s="120">
        <f t="shared" si="1055"/>
        <v>31</v>
      </c>
      <c r="E2772" s="120">
        <f t="shared" si="1056"/>
        <v>12</v>
      </c>
      <c r="F2772" s="275">
        <f t="shared" si="1057"/>
        <v>47103.5</v>
      </c>
      <c r="G2772" s="120">
        <f t="shared" si="1058"/>
        <v>24347</v>
      </c>
      <c r="H2772" s="245">
        <f t="shared" si="1059"/>
        <v>1</v>
      </c>
      <c r="I2772" s="121">
        <f t="shared" si="1060"/>
        <v>1.1024</v>
      </c>
      <c r="J2772" s="121">
        <f t="shared" si="1061"/>
        <v>1.1024</v>
      </c>
      <c r="K2772" s="120">
        <f t="shared" si="1062"/>
        <v>0</v>
      </c>
      <c r="L2772" s="120">
        <f t="shared" si="1063"/>
        <v>0</v>
      </c>
      <c r="M2772" s="246">
        <f t="shared" si="1064"/>
        <v>0</v>
      </c>
      <c r="N2772" s="121">
        <f t="shared" si="1065"/>
        <v>1.1024</v>
      </c>
      <c r="O2772" s="246">
        <f t="shared" si="1066"/>
        <v>0.98</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1651</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24">
        <f>SUMPRODUCT($H$2725:$H$2772,$Q$2725:$Q$2772,$O$2725:$O$2772)/SUMPRODUCT($H$2725:$H$2772,$Q$2725:$Q$2772)</f>
        <v>0.98800419401896411</v>
      </c>
      <c r="G2773" s="224">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24">
        <f>IF(N(INDEX(lr_mind,51))=0,1,INDEX(lr_mind,51))</f>
        <v>1</v>
      </c>
      <c r="G2776" s="224">
        <f>IF(N(INDEX(lr_m0,51))=0,1,INDEX(lr_m0,51))</f>
        <v>0.99</v>
      </c>
      <c r="H2776" s="74">
        <f>IF(N(INDEX(lr_m0asof,51))=0,DATE(nr_PlanYear-1,10,1),INDEX(lr_m0asof,51))</f>
        <v>46295</v>
      </c>
      <c r="I2776" s="224">
        <f>IF(N(INDEX(lr_m1,51))=0,1,INDEX(lr_m1,51))</f>
        <v>0.995</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74">EOMONTH($B2779,0)</f>
        <v>45688</v>
      </c>
      <c r="D2779" s="120">
        <f t="shared" ref="D2779:D2826" si="1075">$C2779-$B2779+1</f>
        <v>31</v>
      </c>
      <c r="E2779" s="120">
        <f t="shared" ref="E2779:E2826" si="1076">MONTH($B2779)</f>
        <v>1</v>
      </c>
      <c r="F2779" s="275">
        <f t="shared" ref="F2779:F2826" si="1077">($B2779+$C2779+1)/2</f>
        <v>45673.5</v>
      </c>
      <c r="G2779" s="120">
        <f t="shared" ref="G2779:G2826" si="1078">YEAR($B2779)*12+MONTH($B2779)-1</f>
        <v>24300</v>
      </c>
      <c r="H2779" s="245">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46">
        <f t="shared" ref="M2779:M2826" si="1084">IF($K2779=0,0,MIN(1,$L2779/$D2779))</f>
        <v>0</v>
      </c>
      <c r="N2779" s="121">
        <f t="shared" ref="N2779:N2826" si="1085">IF($K2779=0,$J2779,(1-$M2779)*$I2779+$M2779*$J2779)</f>
        <v>1</v>
      </c>
      <c r="O2779" s="246">
        <f t="shared" ref="O2779:O2826" si="1086">IF($F2779&lt;$B$2777,$E$2777+$I$2777*($F2779-$A$2777),IF($F2779&lt;$C$2777,$F$2777+$J$2777*($F2779-$B$2777),$G$2777+$K$2777*($F2779-$C$2777)))</f>
        <v>0.98318927789934352</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0.98318927789934352</v>
      </c>
      <c r="T2779" s="121">
        <f t="shared" ref="T2779:T2826" si="1091">IF(NOT($L$2776),"",IF($G2779&lt;nr_MStartP,$S2779,$T2767*(1+IF($G2779&lt;nr_MStartP1,$M$2776,$N$2776))))</f>
        <v>0.98318927789934352</v>
      </c>
      <c r="U2779" s="121">
        <f t="shared" ref="U2779:U2826" si="1092">IF($L$2776,$T2779,$N2779)</f>
        <v>0.98318927789934352</v>
      </c>
    </row>
    <row r="2780" spans="1:21" x14ac:dyDescent="0.3">
      <c r="A2780" s="187">
        <v>2</v>
      </c>
      <c r="B2780" s="242">
        <f t="shared" ref="B2780:B2826" si="1093">EDATE($B2779,1)</f>
        <v>45689</v>
      </c>
      <c r="C2780" s="243">
        <f t="shared" si="1074"/>
        <v>45716</v>
      </c>
      <c r="D2780" s="120">
        <f t="shared" si="1075"/>
        <v>28</v>
      </c>
      <c r="E2780" s="120">
        <f t="shared" si="1076"/>
        <v>2</v>
      </c>
      <c r="F2780" s="275">
        <f t="shared" si="1077"/>
        <v>45703</v>
      </c>
      <c r="G2780" s="120">
        <f t="shared" si="1078"/>
        <v>24301</v>
      </c>
      <c r="H2780" s="245">
        <f t="shared" si="1079"/>
        <v>1</v>
      </c>
      <c r="I2780" s="121">
        <f t="shared" si="1080"/>
        <v>1</v>
      </c>
      <c r="J2780" s="121">
        <f t="shared" si="1081"/>
        <v>1</v>
      </c>
      <c r="K2780" s="120">
        <f t="shared" si="1082"/>
        <v>0</v>
      </c>
      <c r="L2780" s="120">
        <f t="shared" si="1083"/>
        <v>0</v>
      </c>
      <c r="M2780" s="246">
        <f t="shared" si="1084"/>
        <v>0</v>
      </c>
      <c r="N2780" s="121">
        <f t="shared" si="1085"/>
        <v>1</v>
      </c>
      <c r="O2780" s="246">
        <f t="shared" si="1086"/>
        <v>0.98351203501094098</v>
      </c>
      <c r="P2780" s="121">
        <f t="shared" si="1087"/>
        <v>0.125</v>
      </c>
      <c r="Q2780" s="121">
        <f t="shared" si="1088"/>
        <v>0</v>
      </c>
      <c r="R2780" s="121">
        <f t="shared" si="1089"/>
        <v>0</v>
      </c>
      <c r="S2780" s="121">
        <f t="shared" si="1090"/>
        <v>0.98351203501094098</v>
      </c>
      <c r="T2780" s="121">
        <f t="shared" si="1091"/>
        <v>0.98351203501094098</v>
      </c>
      <c r="U2780" s="121">
        <f t="shared" si="1092"/>
        <v>0.98351203501094098</v>
      </c>
    </row>
    <row r="2781" spans="1:21" x14ac:dyDescent="0.3">
      <c r="A2781" s="187">
        <v>3</v>
      </c>
      <c r="B2781" s="242">
        <f t="shared" si="1093"/>
        <v>45717</v>
      </c>
      <c r="C2781" s="243">
        <f t="shared" si="1074"/>
        <v>45747</v>
      </c>
      <c r="D2781" s="120">
        <f t="shared" si="1075"/>
        <v>31</v>
      </c>
      <c r="E2781" s="120">
        <f t="shared" si="1076"/>
        <v>3</v>
      </c>
      <c r="F2781" s="275">
        <f t="shared" si="1077"/>
        <v>45732.5</v>
      </c>
      <c r="G2781" s="120">
        <f t="shared" si="1078"/>
        <v>24302</v>
      </c>
      <c r="H2781" s="245">
        <f t="shared" si="1079"/>
        <v>1</v>
      </c>
      <c r="I2781" s="121">
        <f t="shared" si="1080"/>
        <v>1</v>
      </c>
      <c r="J2781" s="121">
        <f t="shared" si="1081"/>
        <v>1</v>
      </c>
      <c r="K2781" s="120">
        <f t="shared" si="1082"/>
        <v>0</v>
      </c>
      <c r="L2781" s="120">
        <f t="shared" si="1083"/>
        <v>0</v>
      </c>
      <c r="M2781" s="246">
        <f t="shared" si="1084"/>
        <v>0</v>
      </c>
      <c r="N2781" s="121">
        <f t="shared" si="1085"/>
        <v>1</v>
      </c>
      <c r="O2781" s="246">
        <f t="shared" si="1086"/>
        <v>0.98383479212253833</v>
      </c>
      <c r="P2781" s="121">
        <f t="shared" si="1087"/>
        <v>0.20833333333333337</v>
      </c>
      <c r="Q2781" s="121">
        <f t="shared" si="1088"/>
        <v>0</v>
      </c>
      <c r="R2781" s="121">
        <f t="shared" si="1089"/>
        <v>0</v>
      </c>
      <c r="S2781" s="121">
        <f t="shared" si="1090"/>
        <v>0.98383479212253833</v>
      </c>
      <c r="T2781" s="121">
        <f t="shared" si="1091"/>
        <v>0.98383479212253833</v>
      </c>
      <c r="U2781" s="121">
        <f t="shared" si="1092"/>
        <v>0.98383479212253833</v>
      </c>
    </row>
    <row r="2782" spans="1:21" x14ac:dyDescent="0.3">
      <c r="A2782" s="187">
        <v>4</v>
      </c>
      <c r="B2782" s="242">
        <f t="shared" si="1093"/>
        <v>45748</v>
      </c>
      <c r="C2782" s="243">
        <f t="shared" si="1074"/>
        <v>45777</v>
      </c>
      <c r="D2782" s="120">
        <f t="shared" si="1075"/>
        <v>30</v>
      </c>
      <c r="E2782" s="120">
        <f t="shared" si="1076"/>
        <v>4</v>
      </c>
      <c r="F2782" s="275">
        <f t="shared" si="1077"/>
        <v>45763</v>
      </c>
      <c r="G2782" s="120">
        <f t="shared" si="1078"/>
        <v>24303</v>
      </c>
      <c r="H2782" s="245">
        <f t="shared" si="1079"/>
        <v>1</v>
      </c>
      <c r="I2782" s="121">
        <f t="shared" si="1080"/>
        <v>1</v>
      </c>
      <c r="J2782" s="121">
        <f t="shared" si="1081"/>
        <v>1</v>
      </c>
      <c r="K2782" s="120">
        <f t="shared" si="1082"/>
        <v>0</v>
      </c>
      <c r="L2782" s="120">
        <f t="shared" si="1083"/>
        <v>0</v>
      </c>
      <c r="M2782" s="246">
        <f t="shared" si="1084"/>
        <v>0</v>
      </c>
      <c r="N2782" s="121">
        <f t="shared" si="1085"/>
        <v>1</v>
      </c>
      <c r="O2782" s="246">
        <f t="shared" si="1086"/>
        <v>0.98416849015317287</v>
      </c>
      <c r="P2782" s="121">
        <f t="shared" si="1087"/>
        <v>0.29166666666666663</v>
      </c>
      <c r="Q2782" s="121">
        <f t="shared" si="1088"/>
        <v>0</v>
      </c>
      <c r="R2782" s="121">
        <f t="shared" si="1089"/>
        <v>0</v>
      </c>
      <c r="S2782" s="121">
        <f t="shared" si="1090"/>
        <v>0.98416849015317287</v>
      </c>
      <c r="T2782" s="121">
        <f t="shared" si="1091"/>
        <v>0.98416849015317287</v>
      </c>
      <c r="U2782" s="121">
        <f t="shared" si="1092"/>
        <v>0.98416849015317287</v>
      </c>
    </row>
    <row r="2783" spans="1:21" x14ac:dyDescent="0.3">
      <c r="A2783" s="187">
        <v>5</v>
      </c>
      <c r="B2783" s="242">
        <f t="shared" si="1093"/>
        <v>45778</v>
      </c>
      <c r="C2783" s="243">
        <f t="shared" si="1074"/>
        <v>45808</v>
      </c>
      <c r="D2783" s="120">
        <f t="shared" si="1075"/>
        <v>31</v>
      </c>
      <c r="E2783" s="120">
        <f t="shared" si="1076"/>
        <v>5</v>
      </c>
      <c r="F2783" s="275">
        <f t="shared" si="1077"/>
        <v>45793.5</v>
      </c>
      <c r="G2783" s="120">
        <f t="shared" si="1078"/>
        <v>24304</v>
      </c>
      <c r="H2783" s="245">
        <f t="shared" si="1079"/>
        <v>1</v>
      </c>
      <c r="I2783" s="121">
        <f t="shared" si="1080"/>
        <v>1</v>
      </c>
      <c r="J2783" s="121">
        <f t="shared" si="1081"/>
        <v>1</v>
      </c>
      <c r="K2783" s="120">
        <f t="shared" si="1082"/>
        <v>0</v>
      </c>
      <c r="L2783" s="120">
        <f t="shared" si="1083"/>
        <v>0</v>
      </c>
      <c r="M2783" s="246">
        <f t="shared" si="1084"/>
        <v>0</v>
      </c>
      <c r="N2783" s="121">
        <f t="shared" si="1085"/>
        <v>1</v>
      </c>
      <c r="O2783" s="246">
        <f t="shared" si="1086"/>
        <v>0.98450218818380741</v>
      </c>
      <c r="P2783" s="121">
        <f t="shared" si="1087"/>
        <v>0.375</v>
      </c>
      <c r="Q2783" s="121">
        <f t="shared" si="1088"/>
        <v>0</v>
      </c>
      <c r="R2783" s="121">
        <f t="shared" si="1089"/>
        <v>0</v>
      </c>
      <c r="S2783" s="121">
        <f t="shared" si="1090"/>
        <v>0.98450218818380741</v>
      </c>
      <c r="T2783" s="121">
        <f t="shared" si="1091"/>
        <v>0.98450218818380741</v>
      </c>
      <c r="U2783" s="121">
        <f t="shared" si="1092"/>
        <v>0.98450218818380741</v>
      </c>
    </row>
    <row r="2784" spans="1:21" x14ac:dyDescent="0.3">
      <c r="A2784" s="187">
        <v>6</v>
      </c>
      <c r="B2784" s="242">
        <f t="shared" si="1093"/>
        <v>45809</v>
      </c>
      <c r="C2784" s="243">
        <f t="shared" si="1074"/>
        <v>45838</v>
      </c>
      <c r="D2784" s="120">
        <f t="shared" si="1075"/>
        <v>30</v>
      </c>
      <c r="E2784" s="120">
        <f t="shared" si="1076"/>
        <v>6</v>
      </c>
      <c r="F2784" s="275">
        <f t="shared" si="1077"/>
        <v>45824</v>
      </c>
      <c r="G2784" s="120">
        <f t="shared" si="1078"/>
        <v>24305</v>
      </c>
      <c r="H2784" s="245">
        <f t="shared" si="1079"/>
        <v>1</v>
      </c>
      <c r="I2784" s="121">
        <f t="shared" si="1080"/>
        <v>1</v>
      </c>
      <c r="J2784" s="121">
        <f t="shared" si="1081"/>
        <v>1</v>
      </c>
      <c r="K2784" s="120">
        <f t="shared" si="1082"/>
        <v>0</v>
      </c>
      <c r="L2784" s="120">
        <f t="shared" si="1083"/>
        <v>0</v>
      </c>
      <c r="M2784" s="246">
        <f t="shared" si="1084"/>
        <v>0</v>
      </c>
      <c r="N2784" s="121">
        <f t="shared" si="1085"/>
        <v>1</v>
      </c>
      <c r="O2784" s="246">
        <f t="shared" si="1086"/>
        <v>0.98483588621444207</v>
      </c>
      <c r="P2784" s="121">
        <f t="shared" si="1087"/>
        <v>0.45833333333333337</v>
      </c>
      <c r="Q2784" s="121">
        <f t="shared" si="1088"/>
        <v>0</v>
      </c>
      <c r="R2784" s="121">
        <f t="shared" si="1089"/>
        <v>0</v>
      </c>
      <c r="S2784" s="121">
        <f t="shared" si="1090"/>
        <v>0.98483588621444207</v>
      </c>
      <c r="T2784" s="121">
        <f t="shared" si="1091"/>
        <v>0.98483588621444207</v>
      </c>
      <c r="U2784" s="121">
        <f t="shared" si="1092"/>
        <v>0.98483588621444207</v>
      </c>
    </row>
    <row r="2785" spans="1:21" x14ac:dyDescent="0.3">
      <c r="A2785" s="187">
        <v>7</v>
      </c>
      <c r="B2785" s="242">
        <f t="shared" si="1093"/>
        <v>45839</v>
      </c>
      <c r="C2785" s="243">
        <f t="shared" si="1074"/>
        <v>45869</v>
      </c>
      <c r="D2785" s="120">
        <f t="shared" si="1075"/>
        <v>31</v>
      </c>
      <c r="E2785" s="120">
        <f t="shared" si="1076"/>
        <v>7</v>
      </c>
      <c r="F2785" s="275">
        <f t="shared" si="1077"/>
        <v>45854.5</v>
      </c>
      <c r="G2785" s="120">
        <f t="shared" si="1078"/>
        <v>24306</v>
      </c>
      <c r="H2785" s="245">
        <f t="shared" si="1079"/>
        <v>1</v>
      </c>
      <c r="I2785" s="121">
        <f t="shared" si="1080"/>
        <v>1</v>
      </c>
      <c r="J2785" s="121">
        <f t="shared" si="1081"/>
        <v>1</v>
      </c>
      <c r="K2785" s="120">
        <f t="shared" si="1082"/>
        <v>0</v>
      </c>
      <c r="L2785" s="120">
        <f t="shared" si="1083"/>
        <v>0</v>
      </c>
      <c r="M2785" s="246">
        <f t="shared" si="1084"/>
        <v>0</v>
      </c>
      <c r="N2785" s="121">
        <f t="shared" si="1085"/>
        <v>1</v>
      </c>
      <c r="O2785" s="246">
        <f t="shared" si="1086"/>
        <v>0.98516958424507661</v>
      </c>
      <c r="P2785" s="121">
        <f t="shared" si="1087"/>
        <v>0.54166666666666674</v>
      </c>
      <c r="Q2785" s="121">
        <f t="shared" si="1088"/>
        <v>0</v>
      </c>
      <c r="R2785" s="121">
        <f t="shared" si="1089"/>
        <v>0</v>
      </c>
      <c r="S2785" s="121">
        <f t="shared" si="1090"/>
        <v>0.98516958424507661</v>
      </c>
      <c r="T2785" s="121">
        <f t="shared" si="1091"/>
        <v>0.98516958424507661</v>
      </c>
      <c r="U2785" s="121">
        <f t="shared" si="1092"/>
        <v>0.98516958424507661</v>
      </c>
    </row>
    <row r="2786" spans="1:21" x14ac:dyDescent="0.3">
      <c r="A2786" s="187">
        <v>8</v>
      </c>
      <c r="B2786" s="242">
        <f t="shared" si="1093"/>
        <v>45870</v>
      </c>
      <c r="C2786" s="243">
        <f t="shared" si="1074"/>
        <v>45900</v>
      </c>
      <c r="D2786" s="120">
        <f t="shared" si="1075"/>
        <v>31</v>
      </c>
      <c r="E2786" s="120">
        <f t="shared" si="1076"/>
        <v>8</v>
      </c>
      <c r="F2786" s="275">
        <f t="shared" si="1077"/>
        <v>45885.5</v>
      </c>
      <c r="G2786" s="120">
        <f t="shared" si="1078"/>
        <v>24307</v>
      </c>
      <c r="H2786" s="245">
        <f t="shared" si="1079"/>
        <v>1</v>
      </c>
      <c r="I2786" s="121">
        <f t="shared" si="1080"/>
        <v>1</v>
      </c>
      <c r="J2786" s="121">
        <f t="shared" si="1081"/>
        <v>1</v>
      </c>
      <c r="K2786" s="120">
        <f t="shared" si="1082"/>
        <v>0</v>
      </c>
      <c r="L2786" s="120">
        <f t="shared" si="1083"/>
        <v>0</v>
      </c>
      <c r="M2786" s="246">
        <f t="shared" si="1084"/>
        <v>0</v>
      </c>
      <c r="N2786" s="121">
        <f t="shared" si="1085"/>
        <v>1</v>
      </c>
      <c r="O2786" s="246">
        <f t="shared" si="1086"/>
        <v>0.98550875273522975</v>
      </c>
      <c r="P2786" s="121">
        <f t="shared" si="1087"/>
        <v>0.625</v>
      </c>
      <c r="Q2786" s="121">
        <f t="shared" si="1088"/>
        <v>0</v>
      </c>
      <c r="R2786" s="121">
        <f t="shared" si="1089"/>
        <v>0</v>
      </c>
      <c r="S2786" s="121">
        <f t="shared" si="1090"/>
        <v>0.98550875273522975</v>
      </c>
      <c r="T2786" s="121">
        <f t="shared" si="1091"/>
        <v>0.98550875273522975</v>
      </c>
      <c r="U2786" s="121">
        <f t="shared" si="1092"/>
        <v>0.98550875273522975</v>
      </c>
    </row>
    <row r="2787" spans="1:21" x14ac:dyDescent="0.3">
      <c r="A2787" s="187">
        <v>9</v>
      </c>
      <c r="B2787" s="242">
        <f t="shared" si="1093"/>
        <v>45901</v>
      </c>
      <c r="C2787" s="243">
        <f t="shared" si="1074"/>
        <v>45930</v>
      </c>
      <c r="D2787" s="120">
        <f t="shared" si="1075"/>
        <v>30</v>
      </c>
      <c r="E2787" s="120">
        <f t="shared" si="1076"/>
        <v>9</v>
      </c>
      <c r="F2787" s="275">
        <f t="shared" si="1077"/>
        <v>45916</v>
      </c>
      <c r="G2787" s="120">
        <f t="shared" si="1078"/>
        <v>24308</v>
      </c>
      <c r="H2787" s="245">
        <f t="shared" si="1079"/>
        <v>1</v>
      </c>
      <c r="I2787" s="121">
        <f t="shared" si="1080"/>
        <v>1</v>
      </c>
      <c r="J2787" s="121">
        <f t="shared" si="1081"/>
        <v>1</v>
      </c>
      <c r="K2787" s="120">
        <f t="shared" si="1082"/>
        <v>0</v>
      </c>
      <c r="L2787" s="120">
        <f t="shared" si="1083"/>
        <v>0</v>
      </c>
      <c r="M2787" s="246">
        <f t="shared" si="1084"/>
        <v>0</v>
      </c>
      <c r="N2787" s="121">
        <f t="shared" si="1085"/>
        <v>1</v>
      </c>
      <c r="O2787" s="246">
        <f t="shared" si="1086"/>
        <v>0.9858424507658643</v>
      </c>
      <c r="P2787" s="121">
        <f t="shared" si="1087"/>
        <v>0.70833333333333326</v>
      </c>
      <c r="Q2787" s="121">
        <f t="shared" si="1088"/>
        <v>0</v>
      </c>
      <c r="R2787" s="121">
        <f t="shared" si="1089"/>
        <v>0</v>
      </c>
      <c r="S2787" s="121">
        <f t="shared" si="1090"/>
        <v>0.9858424507658643</v>
      </c>
      <c r="T2787" s="121">
        <f t="shared" si="1091"/>
        <v>0.9858424507658643</v>
      </c>
      <c r="U2787" s="121">
        <f t="shared" si="1092"/>
        <v>0.9858424507658643</v>
      </c>
    </row>
    <row r="2788" spans="1:21" x14ac:dyDescent="0.3">
      <c r="A2788" s="187">
        <v>10</v>
      </c>
      <c r="B2788" s="242">
        <f t="shared" si="1093"/>
        <v>45931</v>
      </c>
      <c r="C2788" s="243">
        <f t="shared" si="1074"/>
        <v>45961</v>
      </c>
      <c r="D2788" s="120">
        <f t="shared" si="1075"/>
        <v>31</v>
      </c>
      <c r="E2788" s="120">
        <f t="shared" si="1076"/>
        <v>10</v>
      </c>
      <c r="F2788" s="275">
        <f t="shared" si="1077"/>
        <v>45946.5</v>
      </c>
      <c r="G2788" s="120">
        <f t="shared" si="1078"/>
        <v>24309</v>
      </c>
      <c r="H2788" s="245">
        <f t="shared" si="1079"/>
        <v>1</v>
      </c>
      <c r="I2788" s="121">
        <f t="shared" si="1080"/>
        <v>1</v>
      </c>
      <c r="J2788" s="121">
        <f t="shared" si="1081"/>
        <v>1</v>
      </c>
      <c r="K2788" s="120">
        <f t="shared" si="1082"/>
        <v>0</v>
      </c>
      <c r="L2788" s="120">
        <f t="shared" si="1083"/>
        <v>0</v>
      </c>
      <c r="M2788" s="246">
        <f t="shared" si="1084"/>
        <v>0</v>
      </c>
      <c r="N2788" s="121">
        <f t="shared" si="1085"/>
        <v>1</v>
      </c>
      <c r="O2788" s="246">
        <f t="shared" si="1086"/>
        <v>0.98617614879649895</v>
      </c>
      <c r="P2788" s="121">
        <f t="shared" si="1087"/>
        <v>0.79166666666666663</v>
      </c>
      <c r="Q2788" s="121">
        <f t="shared" si="1088"/>
        <v>0</v>
      </c>
      <c r="R2788" s="121">
        <f t="shared" si="1089"/>
        <v>0</v>
      </c>
      <c r="S2788" s="121">
        <f t="shared" si="1090"/>
        <v>0.98617614879649895</v>
      </c>
      <c r="T2788" s="121">
        <f t="shared" si="1091"/>
        <v>0.98617614879649895</v>
      </c>
      <c r="U2788" s="121">
        <f t="shared" si="1092"/>
        <v>0.98617614879649895</v>
      </c>
    </row>
    <row r="2789" spans="1:21" x14ac:dyDescent="0.3">
      <c r="A2789" s="187">
        <v>11</v>
      </c>
      <c r="B2789" s="242">
        <f t="shared" si="1093"/>
        <v>45962</v>
      </c>
      <c r="C2789" s="243">
        <f t="shared" si="1074"/>
        <v>45991</v>
      </c>
      <c r="D2789" s="120">
        <f t="shared" si="1075"/>
        <v>30</v>
      </c>
      <c r="E2789" s="120">
        <f t="shared" si="1076"/>
        <v>11</v>
      </c>
      <c r="F2789" s="275">
        <f t="shared" si="1077"/>
        <v>45977</v>
      </c>
      <c r="G2789" s="120">
        <f t="shared" si="1078"/>
        <v>24310</v>
      </c>
      <c r="H2789" s="245">
        <f t="shared" si="1079"/>
        <v>1</v>
      </c>
      <c r="I2789" s="121">
        <f t="shared" si="1080"/>
        <v>1</v>
      </c>
      <c r="J2789" s="121">
        <f t="shared" si="1081"/>
        <v>1</v>
      </c>
      <c r="K2789" s="120">
        <f t="shared" si="1082"/>
        <v>0</v>
      </c>
      <c r="L2789" s="120">
        <f t="shared" si="1083"/>
        <v>0</v>
      </c>
      <c r="M2789" s="246">
        <f t="shared" si="1084"/>
        <v>0</v>
      </c>
      <c r="N2789" s="121">
        <f t="shared" si="1085"/>
        <v>1</v>
      </c>
      <c r="O2789" s="246">
        <f t="shared" si="1086"/>
        <v>0.9865098468271335</v>
      </c>
      <c r="P2789" s="121">
        <f t="shared" si="1087"/>
        <v>0.875</v>
      </c>
      <c r="Q2789" s="121">
        <f t="shared" si="1088"/>
        <v>0</v>
      </c>
      <c r="R2789" s="121">
        <f t="shared" si="1089"/>
        <v>0</v>
      </c>
      <c r="S2789" s="121">
        <f t="shared" si="1090"/>
        <v>0.9865098468271335</v>
      </c>
      <c r="T2789" s="121">
        <f t="shared" si="1091"/>
        <v>0.9865098468271335</v>
      </c>
      <c r="U2789" s="121">
        <f t="shared" si="1092"/>
        <v>0.9865098468271335</v>
      </c>
    </row>
    <row r="2790" spans="1:21" x14ac:dyDescent="0.3">
      <c r="A2790" s="187">
        <v>12</v>
      </c>
      <c r="B2790" s="242">
        <f t="shared" si="1093"/>
        <v>45992</v>
      </c>
      <c r="C2790" s="243">
        <f t="shared" si="1074"/>
        <v>46022</v>
      </c>
      <c r="D2790" s="120">
        <f t="shared" si="1075"/>
        <v>31</v>
      </c>
      <c r="E2790" s="120">
        <f t="shared" si="1076"/>
        <v>12</v>
      </c>
      <c r="F2790" s="275">
        <f t="shared" si="1077"/>
        <v>46007.5</v>
      </c>
      <c r="G2790" s="120">
        <f t="shared" si="1078"/>
        <v>24311</v>
      </c>
      <c r="H2790" s="245">
        <f t="shared" si="1079"/>
        <v>1</v>
      </c>
      <c r="I2790" s="121">
        <f t="shared" si="1080"/>
        <v>1</v>
      </c>
      <c r="J2790" s="121">
        <f t="shared" si="1081"/>
        <v>1</v>
      </c>
      <c r="K2790" s="120">
        <f t="shared" si="1082"/>
        <v>0</v>
      </c>
      <c r="L2790" s="120">
        <f t="shared" si="1083"/>
        <v>0</v>
      </c>
      <c r="M2790" s="246">
        <f t="shared" si="1084"/>
        <v>0</v>
      </c>
      <c r="N2790" s="121">
        <f t="shared" si="1085"/>
        <v>1</v>
      </c>
      <c r="O2790" s="246">
        <f t="shared" si="1086"/>
        <v>0.98684354485776804</v>
      </c>
      <c r="P2790" s="121">
        <f t="shared" si="1087"/>
        <v>0.95833333333333337</v>
      </c>
      <c r="Q2790" s="121">
        <f t="shared" si="1088"/>
        <v>0</v>
      </c>
      <c r="R2790" s="121">
        <f t="shared" si="1089"/>
        <v>0</v>
      </c>
      <c r="S2790" s="121">
        <f t="shared" si="1090"/>
        <v>0.98684354485776804</v>
      </c>
      <c r="T2790" s="121">
        <f t="shared" si="1091"/>
        <v>0.98684354485776804</v>
      </c>
      <c r="U2790" s="121">
        <f t="shared" si="1092"/>
        <v>0.98684354485776804</v>
      </c>
    </row>
    <row r="2791" spans="1:21" x14ac:dyDescent="0.3">
      <c r="A2791" s="187">
        <v>13</v>
      </c>
      <c r="B2791" s="242">
        <f t="shared" si="1093"/>
        <v>46023</v>
      </c>
      <c r="C2791" s="243">
        <f t="shared" si="1074"/>
        <v>46053</v>
      </c>
      <c r="D2791" s="120">
        <f t="shared" si="1075"/>
        <v>31</v>
      </c>
      <c r="E2791" s="120">
        <f t="shared" si="1076"/>
        <v>1</v>
      </c>
      <c r="F2791" s="275">
        <f t="shared" si="1077"/>
        <v>46038.5</v>
      </c>
      <c r="G2791" s="120">
        <f t="shared" si="1078"/>
        <v>24312</v>
      </c>
      <c r="H2791" s="245">
        <f t="shared" si="1079"/>
        <v>1</v>
      </c>
      <c r="I2791" s="121">
        <f t="shared" si="1080"/>
        <v>1</v>
      </c>
      <c r="J2791" s="121">
        <f t="shared" si="1081"/>
        <v>1</v>
      </c>
      <c r="K2791" s="120">
        <f t="shared" si="1082"/>
        <v>0</v>
      </c>
      <c r="L2791" s="120">
        <f t="shared" si="1083"/>
        <v>0</v>
      </c>
      <c r="M2791" s="246">
        <f t="shared" si="1084"/>
        <v>0</v>
      </c>
      <c r="N2791" s="121">
        <f t="shared" si="1085"/>
        <v>1</v>
      </c>
      <c r="O2791" s="246">
        <f t="shared" si="1086"/>
        <v>0.98718271334792118</v>
      </c>
      <c r="P2791" s="121">
        <f t="shared" si="1087"/>
        <v>0.95833333333333337</v>
      </c>
      <c r="Q2791" s="121">
        <f t="shared" si="1088"/>
        <v>4.166666666666663E-2</v>
      </c>
      <c r="R2791" s="121">
        <f t="shared" si="1089"/>
        <v>0</v>
      </c>
      <c r="S2791" s="121">
        <f t="shared" si="1090"/>
        <v>0.98718271334792118</v>
      </c>
      <c r="T2791" s="121">
        <f t="shared" si="1091"/>
        <v>0.98718271334792118</v>
      </c>
      <c r="U2791" s="121">
        <f t="shared" si="1092"/>
        <v>0.98718271334792118</v>
      </c>
    </row>
    <row r="2792" spans="1:21" x14ac:dyDescent="0.3">
      <c r="A2792" s="187">
        <v>14</v>
      </c>
      <c r="B2792" s="242">
        <f t="shared" si="1093"/>
        <v>46054</v>
      </c>
      <c r="C2792" s="243">
        <f t="shared" si="1074"/>
        <v>46081</v>
      </c>
      <c r="D2792" s="120">
        <f t="shared" si="1075"/>
        <v>28</v>
      </c>
      <c r="E2792" s="120">
        <f t="shared" si="1076"/>
        <v>2</v>
      </c>
      <c r="F2792" s="275">
        <f t="shared" si="1077"/>
        <v>46068</v>
      </c>
      <c r="G2792" s="120">
        <f t="shared" si="1078"/>
        <v>24313</v>
      </c>
      <c r="H2792" s="245">
        <f t="shared" si="1079"/>
        <v>1</v>
      </c>
      <c r="I2792" s="121">
        <f t="shared" si="1080"/>
        <v>1</v>
      </c>
      <c r="J2792" s="121">
        <f t="shared" si="1081"/>
        <v>1</v>
      </c>
      <c r="K2792" s="120">
        <f t="shared" si="1082"/>
        <v>0</v>
      </c>
      <c r="L2792" s="120">
        <f t="shared" si="1083"/>
        <v>0</v>
      </c>
      <c r="M2792" s="246">
        <f t="shared" si="1084"/>
        <v>0</v>
      </c>
      <c r="N2792" s="121">
        <f t="shared" si="1085"/>
        <v>1</v>
      </c>
      <c r="O2792" s="246">
        <f t="shared" si="1086"/>
        <v>0.98750547045951864</v>
      </c>
      <c r="P2792" s="121">
        <f t="shared" si="1087"/>
        <v>0.875</v>
      </c>
      <c r="Q2792" s="121">
        <f t="shared" si="1088"/>
        <v>0.125</v>
      </c>
      <c r="R2792" s="121">
        <f t="shared" si="1089"/>
        <v>0</v>
      </c>
      <c r="S2792" s="121">
        <f t="shared" si="1090"/>
        <v>0.98750547045951864</v>
      </c>
      <c r="T2792" s="121">
        <f t="shared" si="1091"/>
        <v>0.98750547045951864</v>
      </c>
      <c r="U2792" s="121">
        <f t="shared" si="1092"/>
        <v>0.98750547045951864</v>
      </c>
    </row>
    <row r="2793" spans="1:21" x14ac:dyDescent="0.3">
      <c r="A2793" s="187">
        <v>15</v>
      </c>
      <c r="B2793" s="242">
        <f t="shared" si="1093"/>
        <v>46082</v>
      </c>
      <c r="C2793" s="243">
        <f t="shared" si="1074"/>
        <v>46112</v>
      </c>
      <c r="D2793" s="120">
        <f t="shared" si="1075"/>
        <v>31</v>
      </c>
      <c r="E2793" s="120">
        <f t="shared" si="1076"/>
        <v>3</v>
      </c>
      <c r="F2793" s="275">
        <f t="shared" si="1077"/>
        <v>46097.5</v>
      </c>
      <c r="G2793" s="120">
        <f t="shared" si="1078"/>
        <v>24314</v>
      </c>
      <c r="H2793" s="245">
        <f t="shared" si="1079"/>
        <v>1</v>
      </c>
      <c r="I2793" s="121">
        <f t="shared" si="1080"/>
        <v>1</v>
      </c>
      <c r="J2793" s="121">
        <f t="shared" si="1081"/>
        <v>1</v>
      </c>
      <c r="K2793" s="120">
        <f t="shared" si="1082"/>
        <v>0</v>
      </c>
      <c r="L2793" s="120">
        <f t="shared" si="1083"/>
        <v>0</v>
      </c>
      <c r="M2793" s="246">
        <f t="shared" si="1084"/>
        <v>0</v>
      </c>
      <c r="N2793" s="121">
        <f t="shared" si="1085"/>
        <v>1</v>
      </c>
      <c r="O2793" s="246">
        <f t="shared" si="1086"/>
        <v>0.98782822757111599</v>
      </c>
      <c r="P2793" s="121">
        <f t="shared" si="1087"/>
        <v>0.79166666666666663</v>
      </c>
      <c r="Q2793" s="121">
        <f t="shared" si="1088"/>
        <v>0.20833333333333337</v>
      </c>
      <c r="R2793" s="121">
        <f t="shared" si="1089"/>
        <v>0</v>
      </c>
      <c r="S2793" s="121">
        <f t="shared" si="1090"/>
        <v>0.98782822757111599</v>
      </c>
      <c r="T2793" s="121">
        <f t="shared" si="1091"/>
        <v>0.98782822757111599</v>
      </c>
      <c r="U2793" s="121">
        <f t="shared" si="1092"/>
        <v>0.98782822757111599</v>
      </c>
    </row>
    <row r="2794" spans="1:21" x14ac:dyDescent="0.3">
      <c r="A2794" s="187">
        <v>16</v>
      </c>
      <c r="B2794" s="242">
        <f t="shared" si="1093"/>
        <v>46113</v>
      </c>
      <c r="C2794" s="243">
        <f t="shared" si="1074"/>
        <v>46142</v>
      </c>
      <c r="D2794" s="120">
        <f t="shared" si="1075"/>
        <v>30</v>
      </c>
      <c r="E2794" s="120">
        <f t="shared" si="1076"/>
        <v>4</v>
      </c>
      <c r="F2794" s="275">
        <f t="shared" si="1077"/>
        <v>46128</v>
      </c>
      <c r="G2794" s="120">
        <f t="shared" si="1078"/>
        <v>24315</v>
      </c>
      <c r="H2794" s="245">
        <f t="shared" si="1079"/>
        <v>1</v>
      </c>
      <c r="I2794" s="121">
        <f t="shared" si="1080"/>
        <v>1</v>
      </c>
      <c r="J2794" s="121">
        <f t="shared" si="1081"/>
        <v>1</v>
      </c>
      <c r="K2794" s="120">
        <f t="shared" si="1082"/>
        <v>0</v>
      </c>
      <c r="L2794" s="120">
        <f t="shared" si="1083"/>
        <v>0</v>
      </c>
      <c r="M2794" s="246">
        <f t="shared" si="1084"/>
        <v>0</v>
      </c>
      <c r="N2794" s="121">
        <f t="shared" si="1085"/>
        <v>1</v>
      </c>
      <c r="O2794" s="246">
        <f t="shared" si="1086"/>
        <v>0.98816192560175053</v>
      </c>
      <c r="P2794" s="121">
        <f t="shared" si="1087"/>
        <v>0.70833333333333337</v>
      </c>
      <c r="Q2794" s="121">
        <f t="shared" si="1088"/>
        <v>0.29166666666666663</v>
      </c>
      <c r="R2794" s="121">
        <f t="shared" si="1089"/>
        <v>0</v>
      </c>
      <c r="S2794" s="121">
        <f t="shared" si="1090"/>
        <v>0.98816192560175053</v>
      </c>
      <c r="T2794" s="121">
        <f t="shared" si="1091"/>
        <v>0.98816192560175053</v>
      </c>
      <c r="U2794" s="121">
        <f t="shared" si="1092"/>
        <v>0.98816192560175053</v>
      </c>
    </row>
    <row r="2795" spans="1:21" x14ac:dyDescent="0.3">
      <c r="A2795" s="187">
        <v>17</v>
      </c>
      <c r="B2795" s="242">
        <f t="shared" si="1093"/>
        <v>46143</v>
      </c>
      <c r="C2795" s="243">
        <f t="shared" si="1074"/>
        <v>46173</v>
      </c>
      <c r="D2795" s="120">
        <f t="shared" si="1075"/>
        <v>31</v>
      </c>
      <c r="E2795" s="120">
        <f t="shared" si="1076"/>
        <v>5</v>
      </c>
      <c r="F2795" s="275">
        <f t="shared" si="1077"/>
        <v>46158.5</v>
      </c>
      <c r="G2795" s="120">
        <f t="shared" si="1078"/>
        <v>24316</v>
      </c>
      <c r="H2795" s="245">
        <f t="shared" si="1079"/>
        <v>1</v>
      </c>
      <c r="I2795" s="121">
        <f t="shared" si="1080"/>
        <v>1</v>
      </c>
      <c r="J2795" s="121">
        <f t="shared" si="1081"/>
        <v>1</v>
      </c>
      <c r="K2795" s="120">
        <f t="shared" si="1082"/>
        <v>0</v>
      </c>
      <c r="L2795" s="120">
        <f t="shared" si="1083"/>
        <v>0</v>
      </c>
      <c r="M2795" s="246">
        <f t="shared" si="1084"/>
        <v>0</v>
      </c>
      <c r="N2795" s="121">
        <f t="shared" si="1085"/>
        <v>1</v>
      </c>
      <c r="O2795" s="246">
        <f t="shared" si="1086"/>
        <v>0.98849562363238508</v>
      </c>
      <c r="P2795" s="121">
        <f t="shared" si="1087"/>
        <v>0.625</v>
      </c>
      <c r="Q2795" s="121">
        <f t="shared" si="1088"/>
        <v>0.375</v>
      </c>
      <c r="R2795" s="121">
        <f t="shared" si="1089"/>
        <v>0</v>
      </c>
      <c r="S2795" s="121">
        <f t="shared" si="1090"/>
        <v>0.98849562363238508</v>
      </c>
      <c r="T2795" s="121">
        <f t="shared" si="1091"/>
        <v>0.98849562363238508</v>
      </c>
      <c r="U2795" s="121">
        <f t="shared" si="1092"/>
        <v>0.98849562363238508</v>
      </c>
    </row>
    <row r="2796" spans="1:21" x14ac:dyDescent="0.3">
      <c r="A2796" s="187">
        <v>18</v>
      </c>
      <c r="B2796" s="242">
        <f t="shared" si="1093"/>
        <v>46174</v>
      </c>
      <c r="C2796" s="243">
        <f t="shared" si="1074"/>
        <v>46203</v>
      </c>
      <c r="D2796" s="120">
        <f t="shared" si="1075"/>
        <v>30</v>
      </c>
      <c r="E2796" s="120">
        <f t="shared" si="1076"/>
        <v>6</v>
      </c>
      <c r="F2796" s="275">
        <f t="shared" si="1077"/>
        <v>46189</v>
      </c>
      <c r="G2796" s="120">
        <f t="shared" si="1078"/>
        <v>24317</v>
      </c>
      <c r="H2796" s="245">
        <f t="shared" si="1079"/>
        <v>1</v>
      </c>
      <c r="I2796" s="121">
        <f t="shared" si="1080"/>
        <v>1</v>
      </c>
      <c r="J2796" s="121">
        <f t="shared" si="1081"/>
        <v>1</v>
      </c>
      <c r="K2796" s="120">
        <f t="shared" si="1082"/>
        <v>0</v>
      </c>
      <c r="L2796" s="120">
        <f t="shared" si="1083"/>
        <v>0</v>
      </c>
      <c r="M2796" s="246">
        <f t="shared" si="1084"/>
        <v>0</v>
      </c>
      <c r="N2796" s="121">
        <f t="shared" si="1085"/>
        <v>1</v>
      </c>
      <c r="O2796" s="246">
        <f t="shared" si="1086"/>
        <v>0.98882932166301973</v>
      </c>
      <c r="P2796" s="121">
        <f t="shared" si="1087"/>
        <v>0.54166666666666663</v>
      </c>
      <c r="Q2796" s="121">
        <f t="shared" si="1088"/>
        <v>0.45833333333333337</v>
      </c>
      <c r="R2796" s="121">
        <f t="shared" si="1089"/>
        <v>0</v>
      </c>
      <c r="S2796" s="121">
        <f t="shared" si="1090"/>
        <v>0.98882932166301973</v>
      </c>
      <c r="T2796" s="121">
        <f t="shared" si="1091"/>
        <v>0.98882932166301973</v>
      </c>
      <c r="U2796" s="121">
        <f t="shared" si="1092"/>
        <v>0.98882932166301973</v>
      </c>
    </row>
    <row r="2797" spans="1:21" x14ac:dyDescent="0.3">
      <c r="A2797" s="187">
        <v>19</v>
      </c>
      <c r="B2797" s="242">
        <f t="shared" si="1093"/>
        <v>46204</v>
      </c>
      <c r="C2797" s="243">
        <f t="shared" si="1074"/>
        <v>46234</v>
      </c>
      <c r="D2797" s="120">
        <f t="shared" si="1075"/>
        <v>31</v>
      </c>
      <c r="E2797" s="120">
        <f t="shared" si="1076"/>
        <v>7</v>
      </c>
      <c r="F2797" s="275">
        <f t="shared" si="1077"/>
        <v>46219.5</v>
      </c>
      <c r="G2797" s="120">
        <f t="shared" si="1078"/>
        <v>24318</v>
      </c>
      <c r="H2797" s="245">
        <f t="shared" si="1079"/>
        <v>1</v>
      </c>
      <c r="I2797" s="121">
        <f t="shared" si="1080"/>
        <v>1</v>
      </c>
      <c r="J2797" s="121">
        <f t="shared" si="1081"/>
        <v>1</v>
      </c>
      <c r="K2797" s="120">
        <f t="shared" si="1082"/>
        <v>0</v>
      </c>
      <c r="L2797" s="120">
        <f t="shared" si="1083"/>
        <v>0</v>
      </c>
      <c r="M2797" s="246">
        <f t="shared" si="1084"/>
        <v>0</v>
      </c>
      <c r="N2797" s="121">
        <f t="shared" si="1085"/>
        <v>1</v>
      </c>
      <c r="O2797" s="246">
        <f t="shared" si="1086"/>
        <v>0.98916301969365428</v>
      </c>
      <c r="P2797" s="121">
        <f t="shared" si="1087"/>
        <v>0.45833333333333331</v>
      </c>
      <c r="Q2797" s="121">
        <f t="shared" si="1088"/>
        <v>0.54166666666666674</v>
      </c>
      <c r="R2797" s="121">
        <f t="shared" si="1089"/>
        <v>0</v>
      </c>
      <c r="S2797" s="121">
        <f t="shared" si="1090"/>
        <v>0.98916301969365428</v>
      </c>
      <c r="T2797" s="121">
        <f t="shared" si="1091"/>
        <v>0.98916301969365428</v>
      </c>
      <c r="U2797" s="121">
        <f t="shared" si="1092"/>
        <v>0.98916301969365428</v>
      </c>
    </row>
    <row r="2798" spans="1:21" x14ac:dyDescent="0.3">
      <c r="A2798" s="187">
        <v>20</v>
      </c>
      <c r="B2798" s="242">
        <f t="shared" si="1093"/>
        <v>46235</v>
      </c>
      <c r="C2798" s="243">
        <f t="shared" si="1074"/>
        <v>46265</v>
      </c>
      <c r="D2798" s="120">
        <f t="shared" si="1075"/>
        <v>31</v>
      </c>
      <c r="E2798" s="120">
        <f t="shared" si="1076"/>
        <v>8</v>
      </c>
      <c r="F2798" s="275">
        <f t="shared" si="1077"/>
        <v>46250.5</v>
      </c>
      <c r="G2798" s="120">
        <f t="shared" si="1078"/>
        <v>24319</v>
      </c>
      <c r="H2798" s="245">
        <f t="shared" si="1079"/>
        <v>1</v>
      </c>
      <c r="I2798" s="121">
        <f t="shared" si="1080"/>
        <v>1</v>
      </c>
      <c r="J2798" s="121">
        <f t="shared" si="1081"/>
        <v>1</v>
      </c>
      <c r="K2798" s="120">
        <f t="shared" si="1082"/>
        <v>0</v>
      </c>
      <c r="L2798" s="120">
        <f t="shared" si="1083"/>
        <v>0</v>
      </c>
      <c r="M2798" s="246">
        <f t="shared" si="1084"/>
        <v>0</v>
      </c>
      <c r="N2798" s="121">
        <f t="shared" si="1085"/>
        <v>1</v>
      </c>
      <c r="O2798" s="246">
        <f t="shared" si="1086"/>
        <v>0.98950218818380742</v>
      </c>
      <c r="P2798" s="121">
        <f t="shared" si="1087"/>
        <v>0.375</v>
      </c>
      <c r="Q2798" s="121">
        <f t="shared" si="1088"/>
        <v>0.625</v>
      </c>
      <c r="R2798" s="121">
        <f t="shared" si="1089"/>
        <v>0</v>
      </c>
      <c r="S2798" s="121">
        <f t="shared" si="1090"/>
        <v>0.98950218818380742</v>
      </c>
      <c r="T2798" s="121">
        <f t="shared" si="1091"/>
        <v>0.98950218818380742</v>
      </c>
      <c r="U2798" s="121">
        <f t="shared" si="1092"/>
        <v>0.98950218818380742</v>
      </c>
    </row>
    <row r="2799" spans="1:21" x14ac:dyDescent="0.3">
      <c r="A2799" s="187">
        <v>21</v>
      </c>
      <c r="B2799" s="242">
        <f t="shared" si="1093"/>
        <v>46266</v>
      </c>
      <c r="C2799" s="243">
        <f t="shared" si="1074"/>
        <v>46295</v>
      </c>
      <c r="D2799" s="120">
        <f t="shared" si="1075"/>
        <v>30</v>
      </c>
      <c r="E2799" s="120">
        <f t="shared" si="1076"/>
        <v>9</v>
      </c>
      <c r="F2799" s="275">
        <f t="shared" si="1077"/>
        <v>46281</v>
      </c>
      <c r="G2799" s="120">
        <f t="shared" si="1078"/>
        <v>24320</v>
      </c>
      <c r="H2799" s="245">
        <f t="shared" si="1079"/>
        <v>1</v>
      </c>
      <c r="I2799" s="121">
        <f t="shared" si="1080"/>
        <v>1</v>
      </c>
      <c r="J2799" s="121">
        <f t="shared" si="1081"/>
        <v>1</v>
      </c>
      <c r="K2799" s="120">
        <f t="shared" si="1082"/>
        <v>0</v>
      </c>
      <c r="L2799" s="120">
        <f t="shared" si="1083"/>
        <v>0</v>
      </c>
      <c r="M2799" s="246">
        <f t="shared" si="1084"/>
        <v>0</v>
      </c>
      <c r="N2799" s="121">
        <f t="shared" si="1085"/>
        <v>1</v>
      </c>
      <c r="O2799" s="246">
        <f t="shared" si="1086"/>
        <v>0.98983588621444196</v>
      </c>
      <c r="P2799" s="121">
        <f t="shared" si="1087"/>
        <v>0.29166666666666669</v>
      </c>
      <c r="Q2799" s="121">
        <f t="shared" si="1088"/>
        <v>0.70833333333333326</v>
      </c>
      <c r="R2799" s="121">
        <f t="shared" si="1089"/>
        <v>0</v>
      </c>
      <c r="S2799" s="121">
        <f t="shared" si="1090"/>
        <v>0.98983588621444196</v>
      </c>
      <c r="T2799" s="121">
        <f t="shared" si="1091"/>
        <v>0.98983588621444196</v>
      </c>
      <c r="U2799" s="121">
        <f t="shared" si="1092"/>
        <v>0.98983588621444196</v>
      </c>
    </row>
    <row r="2800" spans="1:21" x14ac:dyDescent="0.3">
      <c r="A2800" s="187">
        <v>22</v>
      </c>
      <c r="B2800" s="242">
        <f t="shared" si="1093"/>
        <v>46296</v>
      </c>
      <c r="C2800" s="243">
        <f t="shared" si="1074"/>
        <v>46326</v>
      </c>
      <c r="D2800" s="120">
        <f t="shared" si="1075"/>
        <v>31</v>
      </c>
      <c r="E2800" s="120">
        <f t="shared" si="1076"/>
        <v>10</v>
      </c>
      <c r="F2800" s="275">
        <f t="shared" si="1077"/>
        <v>46311.5</v>
      </c>
      <c r="G2800" s="120">
        <f t="shared" si="1078"/>
        <v>24321</v>
      </c>
      <c r="H2800" s="245">
        <f t="shared" si="1079"/>
        <v>1</v>
      </c>
      <c r="I2800" s="121">
        <f t="shared" si="1080"/>
        <v>1</v>
      </c>
      <c r="J2800" s="121">
        <f t="shared" si="1081"/>
        <v>1.1000000000000001</v>
      </c>
      <c r="K2800" s="120">
        <f t="shared" si="1082"/>
        <v>1</v>
      </c>
      <c r="L2800" s="120">
        <f t="shared" si="1083"/>
        <v>31</v>
      </c>
      <c r="M2800" s="246">
        <f t="shared" si="1084"/>
        <v>1</v>
      </c>
      <c r="N2800" s="121">
        <f t="shared" si="1085"/>
        <v>1.1000000000000001</v>
      </c>
      <c r="O2800" s="246">
        <f t="shared" si="1086"/>
        <v>0.99016958424507662</v>
      </c>
      <c r="P2800" s="121">
        <f t="shared" si="1087"/>
        <v>0.20833333333333334</v>
      </c>
      <c r="Q2800" s="121">
        <f t="shared" si="1088"/>
        <v>0.79166666666666663</v>
      </c>
      <c r="R2800" s="121">
        <f t="shared" si="1089"/>
        <v>0</v>
      </c>
      <c r="S2800" s="121">
        <f t="shared" si="1090"/>
        <v>1.0891865426695844</v>
      </c>
      <c r="T2800" s="121">
        <f t="shared" si="1091"/>
        <v>1.0891865426695844</v>
      </c>
      <c r="U2800" s="121">
        <f t="shared" si="1092"/>
        <v>1.0891865426695844</v>
      </c>
    </row>
    <row r="2801" spans="1:21" x14ac:dyDescent="0.3">
      <c r="A2801" s="187">
        <v>23</v>
      </c>
      <c r="B2801" s="242">
        <f t="shared" si="1093"/>
        <v>46327</v>
      </c>
      <c r="C2801" s="243">
        <f t="shared" si="1074"/>
        <v>46356</v>
      </c>
      <c r="D2801" s="120">
        <f t="shared" si="1075"/>
        <v>30</v>
      </c>
      <c r="E2801" s="120">
        <f t="shared" si="1076"/>
        <v>11</v>
      </c>
      <c r="F2801" s="275">
        <f t="shared" si="1077"/>
        <v>46342</v>
      </c>
      <c r="G2801" s="120">
        <f t="shared" si="1078"/>
        <v>24322</v>
      </c>
      <c r="H2801" s="245">
        <f t="shared" si="1079"/>
        <v>1</v>
      </c>
      <c r="I2801" s="121">
        <f t="shared" si="1080"/>
        <v>1.1000000000000001</v>
      </c>
      <c r="J2801" s="121">
        <f t="shared" si="1081"/>
        <v>1.1000000000000001</v>
      </c>
      <c r="K2801" s="120">
        <f t="shared" si="1082"/>
        <v>0</v>
      </c>
      <c r="L2801" s="120">
        <f t="shared" si="1083"/>
        <v>0</v>
      </c>
      <c r="M2801" s="246">
        <f t="shared" si="1084"/>
        <v>0</v>
      </c>
      <c r="N2801" s="121">
        <f t="shared" si="1085"/>
        <v>1.1000000000000001</v>
      </c>
      <c r="O2801" s="246">
        <f t="shared" si="1086"/>
        <v>0.99050328227571116</v>
      </c>
      <c r="P2801" s="121">
        <f t="shared" si="1087"/>
        <v>0.125</v>
      </c>
      <c r="Q2801" s="121">
        <f t="shared" si="1088"/>
        <v>0.875</v>
      </c>
      <c r="R2801" s="121">
        <f t="shared" si="1089"/>
        <v>0</v>
      </c>
      <c r="S2801" s="121">
        <f t="shared" si="1090"/>
        <v>1.0895536105032824</v>
      </c>
      <c r="T2801" s="121">
        <f t="shared" si="1091"/>
        <v>1.0895536105032824</v>
      </c>
      <c r="U2801" s="121">
        <f t="shared" si="1092"/>
        <v>1.0895536105032824</v>
      </c>
    </row>
    <row r="2802" spans="1:21" x14ac:dyDescent="0.3">
      <c r="A2802" s="187">
        <v>24</v>
      </c>
      <c r="B2802" s="242">
        <f t="shared" si="1093"/>
        <v>46357</v>
      </c>
      <c r="C2802" s="243">
        <f t="shared" si="1074"/>
        <v>46387</v>
      </c>
      <c r="D2802" s="120">
        <f t="shared" si="1075"/>
        <v>31</v>
      </c>
      <c r="E2802" s="120">
        <f t="shared" si="1076"/>
        <v>12</v>
      </c>
      <c r="F2802" s="275">
        <f t="shared" si="1077"/>
        <v>46372.5</v>
      </c>
      <c r="G2802" s="120">
        <f t="shared" si="1078"/>
        <v>24323</v>
      </c>
      <c r="H2802" s="245">
        <f t="shared" si="1079"/>
        <v>1</v>
      </c>
      <c r="I2802" s="121">
        <f t="shared" si="1080"/>
        <v>1.1000000000000001</v>
      </c>
      <c r="J2802" s="121">
        <f t="shared" si="1081"/>
        <v>1.1000000000000001</v>
      </c>
      <c r="K2802" s="120">
        <f t="shared" si="1082"/>
        <v>0</v>
      </c>
      <c r="L2802" s="120">
        <f t="shared" si="1083"/>
        <v>0</v>
      </c>
      <c r="M2802" s="246">
        <f t="shared" si="1084"/>
        <v>0</v>
      </c>
      <c r="N2802" s="121">
        <f t="shared" si="1085"/>
        <v>1.1000000000000001</v>
      </c>
      <c r="O2802" s="246">
        <f t="shared" si="1086"/>
        <v>0.9908369803063457</v>
      </c>
      <c r="P2802" s="121">
        <f t="shared" si="1087"/>
        <v>4.1666666666666664E-2</v>
      </c>
      <c r="Q2802" s="121">
        <f t="shared" si="1088"/>
        <v>0.95833333333333337</v>
      </c>
      <c r="R2802" s="121">
        <f t="shared" si="1089"/>
        <v>0</v>
      </c>
      <c r="S2802" s="121">
        <f t="shared" si="1090"/>
        <v>1.0899206783369804</v>
      </c>
      <c r="T2802" s="121">
        <f t="shared" si="1091"/>
        <v>1.0899206783369804</v>
      </c>
      <c r="U2802" s="121">
        <f t="shared" si="1092"/>
        <v>1.0899206783369804</v>
      </c>
    </row>
    <row r="2803" spans="1:21" x14ac:dyDescent="0.3">
      <c r="A2803" s="187">
        <v>25</v>
      </c>
      <c r="B2803" s="242">
        <f t="shared" si="1093"/>
        <v>46388</v>
      </c>
      <c r="C2803" s="243">
        <f t="shared" si="1074"/>
        <v>46418</v>
      </c>
      <c r="D2803" s="120">
        <f t="shared" si="1075"/>
        <v>31</v>
      </c>
      <c r="E2803" s="120">
        <f t="shared" si="1076"/>
        <v>1</v>
      </c>
      <c r="F2803" s="275">
        <f t="shared" si="1077"/>
        <v>46403.5</v>
      </c>
      <c r="G2803" s="120">
        <f t="shared" si="1078"/>
        <v>24324</v>
      </c>
      <c r="H2803" s="245">
        <f t="shared" si="1079"/>
        <v>1</v>
      </c>
      <c r="I2803" s="121">
        <f t="shared" si="1080"/>
        <v>1.1000000000000001</v>
      </c>
      <c r="J2803" s="121">
        <f t="shared" si="1081"/>
        <v>1.1000000000000001</v>
      </c>
      <c r="K2803" s="120">
        <f t="shared" si="1082"/>
        <v>0</v>
      </c>
      <c r="L2803" s="120">
        <f t="shared" si="1083"/>
        <v>0</v>
      </c>
      <c r="M2803" s="246">
        <f t="shared" si="1084"/>
        <v>0</v>
      </c>
      <c r="N2803" s="121">
        <f t="shared" si="1085"/>
        <v>1.1000000000000001</v>
      </c>
      <c r="O2803" s="246">
        <f t="shared" si="1086"/>
        <v>0.99117614879649885</v>
      </c>
      <c r="P2803" s="121">
        <f t="shared" si="1087"/>
        <v>0</v>
      </c>
      <c r="Q2803" s="121">
        <f t="shared" si="1088"/>
        <v>0.95833333333333337</v>
      </c>
      <c r="R2803" s="121">
        <f t="shared" si="1089"/>
        <v>4.166666666666663E-2</v>
      </c>
      <c r="S2803" s="121">
        <f t="shared" si="1090"/>
        <v>1.0902937636761487</v>
      </c>
      <c r="T2803" s="121">
        <f t="shared" si="1091"/>
        <v>1.0859009846827135</v>
      </c>
      <c r="U2803" s="121">
        <f t="shared" si="1092"/>
        <v>1.0859009846827135</v>
      </c>
    </row>
    <row r="2804" spans="1:21" x14ac:dyDescent="0.3">
      <c r="A2804" s="187">
        <v>26</v>
      </c>
      <c r="B2804" s="242">
        <f t="shared" si="1093"/>
        <v>46419</v>
      </c>
      <c r="C2804" s="243">
        <f t="shared" si="1074"/>
        <v>46446</v>
      </c>
      <c r="D2804" s="120">
        <f t="shared" si="1075"/>
        <v>28</v>
      </c>
      <c r="E2804" s="120">
        <f t="shared" si="1076"/>
        <v>2</v>
      </c>
      <c r="F2804" s="275">
        <f t="shared" si="1077"/>
        <v>46433</v>
      </c>
      <c r="G2804" s="120">
        <f t="shared" si="1078"/>
        <v>24325</v>
      </c>
      <c r="H2804" s="245">
        <f t="shared" si="1079"/>
        <v>1</v>
      </c>
      <c r="I2804" s="121">
        <f t="shared" si="1080"/>
        <v>1.1000000000000001</v>
      </c>
      <c r="J2804" s="121">
        <f t="shared" si="1081"/>
        <v>1.1000000000000001</v>
      </c>
      <c r="K2804" s="120">
        <f t="shared" si="1082"/>
        <v>0</v>
      </c>
      <c r="L2804" s="120">
        <f t="shared" si="1083"/>
        <v>0</v>
      </c>
      <c r="M2804" s="246">
        <f t="shared" si="1084"/>
        <v>0</v>
      </c>
      <c r="N2804" s="121">
        <f t="shared" si="1085"/>
        <v>1.1000000000000001</v>
      </c>
      <c r="O2804" s="246">
        <f t="shared" si="1086"/>
        <v>0.99149890590809631</v>
      </c>
      <c r="P2804" s="121">
        <f t="shared" si="1087"/>
        <v>0</v>
      </c>
      <c r="Q2804" s="121">
        <f t="shared" si="1088"/>
        <v>0.875</v>
      </c>
      <c r="R2804" s="121">
        <f t="shared" si="1089"/>
        <v>0.125</v>
      </c>
      <c r="S2804" s="121">
        <f t="shared" si="1090"/>
        <v>1.090648796498906</v>
      </c>
      <c r="T2804" s="121">
        <f t="shared" si="1091"/>
        <v>1.0862560175054705</v>
      </c>
      <c r="U2804" s="121">
        <f t="shared" si="1092"/>
        <v>1.0862560175054705</v>
      </c>
    </row>
    <row r="2805" spans="1:21" x14ac:dyDescent="0.3">
      <c r="A2805" s="187">
        <v>27</v>
      </c>
      <c r="B2805" s="242">
        <f t="shared" si="1093"/>
        <v>46447</v>
      </c>
      <c r="C2805" s="243">
        <f t="shared" si="1074"/>
        <v>46477</v>
      </c>
      <c r="D2805" s="120">
        <f t="shared" si="1075"/>
        <v>31</v>
      </c>
      <c r="E2805" s="120">
        <f t="shared" si="1076"/>
        <v>3</v>
      </c>
      <c r="F2805" s="275">
        <f t="shared" si="1077"/>
        <v>46462.5</v>
      </c>
      <c r="G2805" s="120">
        <f t="shared" si="1078"/>
        <v>24326</v>
      </c>
      <c r="H2805" s="245">
        <f t="shared" si="1079"/>
        <v>1</v>
      </c>
      <c r="I2805" s="121">
        <f t="shared" si="1080"/>
        <v>1.1000000000000001</v>
      </c>
      <c r="J2805" s="121">
        <f t="shared" si="1081"/>
        <v>1.1000000000000001</v>
      </c>
      <c r="K2805" s="120">
        <f t="shared" si="1082"/>
        <v>0</v>
      </c>
      <c r="L2805" s="120">
        <f t="shared" si="1083"/>
        <v>0</v>
      </c>
      <c r="M2805" s="246">
        <f t="shared" si="1084"/>
        <v>0</v>
      </c>
      <c r="N2805" s="121">
        <f t="shared" si="1085"/>
        <v>1.1000000000000001</v>
      </c>
      <c r="O2805" s="246">
        <f t="shared" si="1086"/>
        <v>0.99182166301969366</v>
      </c>
      <c r="P2805" s="121">
        <f t="shared" si="1087"/>
        <v>0</v>
      </c>
      <c r="Q2805" s="121">
        <f t="shared" si="1088"/>
        <v>0.79166666666666663</v>
      </c>
      <c r="R2805" s="121">
        <f t="shared" si="1089"/>
        <v>0.20833333333333337</v>
      </c>
      <c r="S2805" s="121">
        <f t="shared" si="1090"/>
        <v>1.0910038293216631</v>
      </c>
      <c r="T2805" s="121">
        <f t="shared" si="1091"/>
        <v>1.0866110503282276</v>
      </c>
      <c r="U2805" s="121">
        <f t="shared" si="1092"/>
        <v>1.0866110503282276</v>
      </c>
    </row>
    <row r="2806" spans="1:21" x14ac:dyDescent="0.3">
      <c r="A2806" s="187">
        <v>28</v>
      </c>
      <c r="B2806" s="242">
        <f t="shared" si="1093"/>
        <v>46478</v>
      </c>
      <c r="C2806" s="243">
        <f t="shared" si="1074"/>
        <v>46507</v>
      </c>
      <c r="D2806" s="120">
        <f t="shared" si="1075"/>
        <v>30</v>
      </c>
      <c r="E2806" s="120">
        <f t="shared" si="1076"/>
        <v>4</v>
      </c>
      <c r="F2806" s="275">
        <f t="shared" si="1077"/>
        <v>46493</v>
      </c>
      <c r="G2806" s="120">
        <f t="shared" si="1078"/>
        <v>24327</v>
      </c>
      <c r="H2806" s="245">
        <f t="shared" si="1079"/>
        <v>1</v>
      </c>
      <c r="I2806" s="121">
        <f t="shared" si="1080"/>
        <v>1.1000000000000001</v>
      </c>
      <c r="J2806" s="121">
        <f t="shared" si="1081"/>
        <v>1.1440000000000001</v>
      </c>
      <c r="K2806" s="120">
        <f t="shared" si="1082"/>
        <v>1</v>
      </c>
      <c r="L2806" s="120">
        <f t="shared" si="1083"/>
        <v>30</v>
      </c>
      <c r="M2806" s="246">
        <f t="shared" si="1084"/>
        <v>1</v>
      </c>
      <c r="N2806" s="121">
        <f t="shared" si="1085"/>
        <v>1.1440000000000001</v>
      </c>
      <c r="O2806" s="246">
        <f t="shared" si="1086"/>
        <v>0.9921553610503282</v>
      </c>
      <c r="P2806" s="121">
        <f t="shared" si="1087"/>
        <v>0</v>
      </c>
      <c r="Q2806" s="121">
        <f t="shared" si="1088"/>
        <v>0.70833333333333337</v>
      </c>
      <c r="R2806" s="121">
        <f t="shared" si="1089"/>
        <v>0.29166666666666663</v>
      </c>
      <c r="S2806" s="121">
        <f t="shared" si="1090"/>
        <v>1.1350257330415756</v>
      </c>
      <c r="T2806" s="121">
        <f t="shared" si="1091"/>
        <v>1.0869781181619256</v>
      </c>
      <c r="U2806" s="121">
        <f t="shared" si="1092"/>
        <v>1.0869781181619256</v>
      </c>
    </row>
    <row r="2807" spans="1:21" x14ac:dyDescent="0.3">
      <c r="A2807" s="187">
        <v>29</v>
      </c>
      <c r="B2807" s="242">
        <f t="shared" si="1093"/>
        <v>46508</v>
      </c>
      <c r="C2807" s="243">
        <f t="shared" si="1074"/>
        <v>46538</v>
      </c>
      <c r="D2807" s="120">
        <f t="shared" si="1075"/>
        <v>31</v>
      </c>
      <c r="E2807" s="120">
        <f t="shared" si="1076"/>
        <v>5</v>
      </c>
      <c r="F2807" s="275">
        <f t="shared" si="1077"/>
        <v>46523.5</v>
      </c>
      <c r="G2807" s="120">
        <f t="shared" si="1078"/>
        <v>24328</v>
      </c>
      <c r="H2807" s="245">
        <f t="shared" si="1079"/>
        <v>1</v>
      </c>
      <c r="I2807" s="121">
        <f t="shared" si="1080"/>
        <v>1.1440000000000001</v>
      </c>
      <c r="J2807" s="121">
        <f t="shared" si="1081"/>
        <v>1.1440000000000001</v>
      </c>
      <c r="K2807" s="120">
        <f t="shared" si="1082"/>
        <v>0</v>
      </c>
      <c r="L2807" s="120">
        <f t="shared" si="1083"/>
        <v>0</v>
      </c>
      <c r="M2807" s="246">
        <f t="shared" si="1084"/>
        <v>0</v>
      </c>
      <c r="N2807" s="121">
        <f t="shared" si="1085"/>
        <v>1.1440000000000001</v>
      </c>
      <c r="O2807" s="246">
        <f t="shared" si="1086"/>
        <v>0.99248905908096274</v>
      </c>
      <c r="P2807" s="121">
        <f t="shared" si="1087"/>
        <v>0</v>
      </c>
      <c r="Q2807" s="121">
        <f t="shared" si="1088"/>
        <v>0.625</v>
      </c>
      <c r="R2807" s="121">
        <f t="shared" si="1089"/>
        <v>0.375</v>
      </c>
      <c r="S2807" s="121">
        <f t="shared" si="1090"/>
        <v>1.1354074835886214</v>
      </c>
      <c r="T2807" s="121">
        <f t="shared" si="1091"/>
        <v>1.0873451859956236</v>
      </c>
      <c r="U2807" s="121">
        <f t="shared" si="1092"/>
        <v>1.0873451859956236</v>
      </c>
    </row>
    <row r="2808" spans="1:21" x14ac:dyDescent="0.3">
      <c r="A2808" s="187">
        <v>30</v>
      </c>
      <c r="B2808" s="242">
        <f t="shared" si="1093"/>
        <v>46539</v>
      </c>
      <c r="C2808" s="243">
        <f t="shared" si="1074"/>
        <v>46568</v>
      </c>
      <c r="D2808" s="120">
        <f t="shared" si="1075"/>
        <v>30</v>
      </c>
      <c r="E2808" s="120">
        <f t="shared" si="1076"/>
        <v>6</v>
      </c>
      <c r="F2808" s="275">
        <f t="shared" si="1077"/>
        <v>46554</v>
      </c>
      <c r="G2808" s="120">
        <f t="shared" si="1078"/>
        <v>24329</v>
      </c>
      <c r="H2808" s="245">
        <f t="shared" si="1079"/>
        <v>1</v>
      </c>
      <c r="I2808" s="121">
        <f t="shared" si="1080"/>
        <v>1.1440000000000001</v>
      </c>
      <c r="J2808" s="121">
        <f t="shared" si="1081"/>
        <v>1.1440000000000001</v>
      </c>
      <c r="K2808" s="120">
        <f t="shared" si="1082"/>
        <v>0</v>
      </c>
      <c r="L2808" s="120">
        <f t="shared" si="1083"/>
        <v>0</v>
      </c>
      <c r="M2808" s="246">
        <f t="shared" si="1084"/>
        <v>0</v>
      </c>
      <c r="N2808" s="121">
        <f t="shared" si="1085"/>
        <v>1.1440000000000001</v>
      </c>
      <c r="O2808" s="246">
        <f t="shared" si="1086"/>
        <v>0.9928227571115974</v>
      </c>
      <c r="P2808" s="121">
        <f t="shared" si="1087"/>
        <v>0</v>
      </c>
      <c r="Q2808" s="121">
        <f t="shared" si="1088"/>
        <v>0.54166666666666663</v>
      </c>
      <c r="R2808" s="121">
        <f t="shared" si="1089"/>
        <v>0.45833333333333337</v>
      </c>
      <c r="S2808" s="121">
        <f t="shared" si="1090"/>
        <v>1.1357892341356675</v>
      </c>
      <c r="T2808" s="121">
        <f t="shared" si="1091"/>
        <v>1.0877122538293218</v>
      </c>
      <c r="U2808" s="121">
        <f t="shared" si="1092"/>
        <v>1.0877122538293218</v>
      </c>
    </row>
    <row r="2809" spans="1:21" x14ac:dyDescent="0.3">
      <c r="A2809" s="187">
        <v>31</v>
      </c>
      <c r="B2809" s="242">
        <f t="shared" si="1093"/>
        <v>46569</v>
      </c>
      <c r="C2809" s="243">
        <f t="shared" si="1074"/>
        <v>46599</v>
      </c>
      <c r="D2809" s="120">
        <f t="shared" si="1075"/>
        <v>31</v>
      </c>
      <c r="E2809" s="120">
        <f t="shared" si="1076"/>
        <v>7</v>
      </c>
      <c r="F2809" s="275">
        <f t="shared" si="1077"/>
        <v>46584.5</v>
      </c>
      <c r="G2809" s="120">
        <f t="shared" si="1078"/>
        <v>24330</v>
      </c>
      <c r="H2809" s="245">
        <f t="shared" si="1079"/>
        <v>1</v>
      </c>
      <c r="I2809" s="121">
        <f t="shared" si="1080"/>
        <v>1.1440000000000001</v>
      </c>
      <c r="J2809" s="121">
        <f t="shared" si="1081"/>
        <v>1.1440000000000001</v>
      </c>
      <c r="K2809" s="120">
        <f t="shared" si="1082"/>
        <v>0</v>
      </c>
      <c r="L2809" s="120">
        <f t="shared" si="1083"/>
        <v>0</v>
      </c>
      <c r="M2809" s="246">
        <f t="shared" si="1084"/>
        <v>0</v>
      </c>
      <c r="N2809" s="121">
        <f t="shared" si="1085"/>
        <v>1.1440000000000001</v>
      </c>
      <c r="O2809" s="246">
        <f t="shared" si="1086"/>
        <v>0.99315645514223194</v>
      </c>
      <c r="P2809" s="121">
        <f t="shared" si="1087"/>
        <v>0</v>
      </c>
      <c r="Q2809" s="121">
        <f t="shared" si="1088"/>
        <v>0.45833333333333331</v>
      </c>
      <c r="R2809" s="121">
        <f t="shared" si="1089"/>
        <v>0.54166666666666674</v>
      </c>
      <c r="S2809" s="121">
        <f t="shared" si="1090"/>
        <v>1.1361709846827135</v>
      </c>
      <c r="T2809" s="121">
        <f t="shared" si="1091"/>
        <v>1.0880793216630198</v>
      </c>
      <c r="U2809" s="121">
        <f t="shared" si="1092"/>
        <v>1.0880793216630198</v>
      </c>
    </row>
    <row r="2810" spans="1:21" x14ac:dyDescent="0.3">
      <c r="A2810" s="187">
        <v>32</v>
      </c>
      <c r="B2810" s="242">
        <f t="shared" si="1093"/>
        <v>46600</v>
      </c>
      <c r="C2810" s="243">
        <f t="shared" si="1074"/>
        <v>46630</v>
      </c>
      <c r="D2810" s="120">
        <f t="shared" si="1075"/>
        <v>31</v>
      </c>
      <c r="E2810" s="120">
        <f t="shared" si="1076"/>
        <v>8</v>
      </c>
      <c r="F2810" s="275">
        <f t="shared" si="1077"/>
        <v>46615.5</v>
      </c>
      <c r="G2810" s="120">
        <f t="shared" si="1078"/>
        <v>24331</v>
      </c>
      <c r="H2810" s="245">
        <f t="shared" si="1079"/>
        <v>1</v>
      </c>
      <c r="I2810" s="121">
        <f t="shared" si="1080"/>
        <v>1.1440000000000001</v>
      </c>
      <c r="J2810" s="121">
        <f t="shared" si="1081"/>
        <v>1.1440000000000001</v>
      </c>
      <c r="K2810" s="120">
        <f t="shared" si="1082"/>
        <v>0</v>
      </c>
      <c r="L2810" s="120">
        <f t="shared" si="1083"/>
        <v>0</v>
      </c>
      <c r="M2810" s="246">
        <f t="shared" si="1084"/>
        <v>0</v>
      </c>
      <c r="N2810" s="121">
        <f t="shared" si="1085"/>
        <v>1.1440000000000001</v>
      </c>
      <c r="O2810" s="246">
        <f t="shared" si="1086"/>
        <v>0.99349562363238508</v>
      </c>
      <c r="P2810" s="121">
        <f t="shared" si="1087"/>
        <v>0</v>
      </c>
      <c r="Q2810" s="121">
        <f t="shared" si="1088"/>
        <v>0.375</v>
      </c>
      <c r="R2810" s="121">
        <f t="shared" si="1089"/>
        <v>0.625</v>
      </c>
      <c r="S2810" s="121">
        <f t="shared" si="1090"/>
        <v>1.1365589934354488</v>
      </c>
      <c r="T2810" s="121">
        <f t="shared" si="1091"/>
        <v>1.0884524070021881</v>
      </c>
      <c r="U2810" s="121">
        <f t="shared" si="1092"/>
        <v>1.0884524070021881</v>
      </c>
    </row>
    <row r="2811" spans="1:21" x14ac:dyDescent="0.3">
      <c r="A2811" s="187">
        <v>33</v>
      </c>
      <c r="B2811" s="242">
        <f t="shared" si="1093"/>
        <v>46631</v>
      </c>
      <c r="C2811" s="243">
        <f t="shared" si="1074"/>
        <v>46660</v>
      </c>
      <c r="D2811" s="120">
        <f t="shared" si="1075"/>
        <v>30</v>
      </c>
      <c r="E2811" s="120">
        <f t="shared" si="1076"/>
        <v>9</v>
      </c>
      <c r="F2811" s="275">
        <f t="shared" si="1077"/>
        <v>46646</v>
      </c>
      <c r="G2811" s="120">
        <f t="shared" si="1078"/>
        <v>24332</v>
      </c>
      <c r="H2811" s="245">
        <f t="shared" si="1079"/>
        <v>1</v>
      </c>
      <c r="I2811" s="121">
        <f t="shared" si="1080"/>
        <v>1.1440000000000001</v>
      </c>
      <c r="J2811" s="121">
        <f t="shared" si="1081"/>
        <v>1.1440000000000001</v>
      </c>
      <c r="K2811" s="120">
        <f t="shared" si="1082"/>
        <v>0</v>
      </c>
      <c r="L2811" s="120">
        <f t="shared" si="1083"/>
        <v>0</v>
      </c>
      <c r="M2811" s="246">
        <f t="shared" si="1084"/>
        <v>0</v>
      </c>
      <c r="N2811" s="121">
        <f t="shared" si="1085"/>
        <v>1.1440000000000001</v>
      </c>
      <c r="O2811" s="246">
        <f t="shared" si="1086"/>
        <v>0.99382932166301974</v>
      </c>
      <c r="P2811" s="121">
        <f t="shared" si="1087"/>
        <v>0</v>
      </c>
      <c r="Q2811" s="121">
        <f t="shared" si="1088"/>
        <v>0.29166666666666669</v>
      </c>
      <c r="R2811" s="121">
        <f t="shared" si="1089"/>
        <v>0.70833333333333326</v>
      </c>
      <c r="S2811" s="121">
        <f t="shared" si="1090"/>
        <v>1.1369407439824948</v>
      </c>
      <c r="T2811" s="121">
        <f t="shared" si="1091"/>
        <v>1.0888194748358861</v>
      </c>
      <c r="U2811" s="121">
        <f t="shared" si="1092"/>
        <v>1.0888194748358861</v>
      </c>
    </row>
    <row r="2812" spans="1:21" x14ac:dyDescent="0.3">
      <c r="A2812" s="187">
        <v>34</v>
      </c>
      <c r="B2812" s="242">
        <f t="shared" si="1093"/>
        <v>46661</v>
      </c>
      <c r="C2812" s="243">
        <f t="shared" si="1074"/>
        <v>46691</v>
      </c>
      <c r="D2812" s="120">
        <f t="shared" si="1075"/>
        <v>31</v>
      </c>
      <c r="E2812" s="120">
        <f t="shared" si="1076"/>
        <v>10</v>
      </c>
      <c r="F2812" s="275">
        <f t="shared" si="1077"/>
        <v>46676.5</v>
      </c>
      <c r="G2812" s="120">
        <f t="shared" si="1078"/>
        <v>24333</v>
      </c>
      <c r="H2812" s="245">
        <f t="shared" si="1079"/>
        <v>1</v>
      </c>
      <c r="I2812" s="121">
        <f t="shared" si="1080"/>
        <v>1.1440000000000001</v>
      </c>
      <c r="J2812" s="121">
        <f t="shared" si="1081"/>
        <v>1.1440000000000001</v>
      </c>
      <c r="K2812" s="120">
        <f t="shared" si="1082"/>
        <v>0</v>
      </c>
      <c r="L2812" s="120">
        <f t="shared" si="1083"/>
        <v>0</v>
      </c>
      <c r="M2812" s="246">
        <f t="shared" si="1084"/>
        <v>0</v>
      </c>
      <c r="N2812" s="121">
        <f t="shared" si="1085"/>
        <v>1.1440000000000001</v>
      </c>
      <c r="O2812" s="246">
        <f t="shared" si="1086"/>
        <v>0.99416301969365428</v>
      </c>
      <c r="P2812" s="121">
        <f t="shared" si="1087"/>
        <v>0</v>
      </c>
      <c r="Q2812" s="121">
        <f t="shared" si="1088"/>
        <v>0.20833333333333334</v>
      </c>
      <c r="R2812" s="121">
        <f t="shared" si="1089"/>
        <v>0.79166666666666663</v>
      </c>
      <c r="S2812" s="121">
        <f t="shared" si="1090"/>
        <v>1.1373224945295406</v>
      </c>
      <c r="T2812" s="121">
        <f t="shared" si="1091"/>
        <v>1.1981051969365428</v>
      </c>
      <c r="U2812" s="121">
        <f t="shared" si="1092"/>
        <v>1.1981051969365428</v>
      </c>
    </row>
    <row r="2813" spans="1:21" x14ac:dyDescent="0.3">
      <c r="A2813" s="187">
        <v>35</v>
      </c>
      <c r="B2813" s="242">
        <f t="shared" si="1093"/>
        <v>46692</v>
      </c>
      <c r="C2813" s="243">
        <f t="shared" si="1074"/>
        <v>46721</v>
      </c>
      <c r="D2813" s="120">
        <f t="shared" si="1075"/>
        <v>30</v>
      </c>
      <c r="E2813" s="120">
        <f t="shared" si="1076"/>
        <v>11</v>
      </c>
      <c r="F2813" s="275">
        <f t="shared" si="1077"/>
        <v>46707</v>
      </c>
      <c r="G2813" s="120">
        <f t="shared" si="1078"/>
        <v>24334</v>
      </c>
      <c r="H2813" s="245">
        <f t="shared" si="1079"/>
        <v>1</v>
      </c>
      <c r="I2813" s="121">
        <f t="shared" si="1080"/>
        <v>1.1440000000000001</v>
      </c>
      <c r="J2813" s="121">
        <f t="shared" si="1081"/>
        <v>1.1440000000000001</v>
      </c>
      <c r="K2813" s="120">
        <f t="shared" si="1082"/>
        <v>0</v>
      </c>
      <c r="L2813" s="120">
        <f t="shared" si="1083"/>
        <v>0</v>
      </c>
      <c r="M2813" s="246">
        <f t="shared" si="1084"/>
        <v>0</v>
      </c>
      <c r="N2813" s="121">
        <f t="shared" si="1085"/>
        <v>1.1440000000000001</v>
      </c>
      <c r="O2813" s="246">
        <f t="shared" si="1086"/>
        <v>0.99449671772428883</v>
      </c>
      <c r="P2813" s="121">
        <f t="shared" si="1087"/>
        <v>0</v>
      </c>
      <c r="Q2813" s="121">
        <f t="shared" si="1088"/>
        <v>0.125</v>
      </c>
      <c r="R2813" s="121">
        <f t="shared" si="1089"/>
        <v>0.875</v>
      </c>
      <c r="S2813" s="121">
        <f t="shared" si="1090"/>
        <v>1.1377042450765866</v>
      </c>
      <c r="T2813" s="121">
        <f t="shared" si="1091"/>
        <v>1.1985089715536108</v>
      </c>
      <c r="U2813" s="121">
        <f t="shared" si="1092"/>
        <v>1.1985089715536108</v>
      </c>
    </row>
    <row r="2814" spans="1:21" x14ac:dyDescent="0.3">
      <c r="A2814" s="187">
        <v>36</v>
      </c>
      <c r="B2814" s="242">
        <f t="shared" si="1093"/>
        <v>46722</v>
      </c>
      <c r="C2814" s="243">
        <f t="shared" si="1074"/>
        <v>46752</v>
      </c>
      <c r="D2814" s="120">
        <f t="shared" si="1075"/>
        <v>31</v>
      </c>
      <c r="E2814" s="120">
        <f t="shared" si="1076"/>
        <v>12</v>
      </c>
      <c r="F2814" s="275">
        <f t="shared" si="1077"/>
        <v>46737.5</v>
      </c>
      <c r="G2814" s="120">
        <f t="shared" si="1078"/>
        <v>24335</v>
      </c>
      <c r="H2814" s="245">
        <f t="shared" si="1079"/>
        <v>1</v>
      </c>
      <c r="I2814" s="121">
        <f t="shared" si="1080"/>
        <v>1.1440000000000001</v>
      </c>
      <c r="J2814" s="121">
        <f t="shared" si="1081"/>
        <v>1.1440000000000001</v>
      </c>
      <c r="K2814" s="120">
        <f t="shared" si="1082"/>
        <v>0</v>
      </c>
      <c r="L2814" s="120">
        <f t="shared" si="1083"/>
        <v>0</v>
      </c>
      <c r="M2814" s="246">
        <f t="shared" si="1084"/>
        <v>0</v>
      </c>
      <c r="N2814" s="121">
        <f t="shared" si="1085"/>
        <v>1.1440000000000001</v>
      </c>
      <c r="O2814" s="246">
        <f t="shared" si="1086"/>
        <v>0.99483041575492337</v>
      </c>
      <c r="P2814" s="121">
        <f t="shared" si="1087"/>
        <v>0</v>
      </c>
      <c r="Q2814" s="121">
        <f t="shared" si="1088"/>
        <v>4.1666666666666664E-2</v>
      </c>
      <c r="R2814" s="121">
        <f t="shared" si="1089"/>
        <v>0.95833333333333337</v>
      </c>
      <c r="S2814" s="121">
        <f t="shared" si="1090"/>
        <v>1.1380859956236324</v>
      </c>
      <c r="T2814" s="121">
        <f t="shared" si="1091"/>
        <v>1.1989127461706786</v>
      </c>
      <c r="U2814" s="121">
        <f t="shared" si="1092"/>
        <v>1.1989127461706786</v>
      </c>
    </row>
    <row r="2815" spans="1:21" x14ac:dyDescent="0.3">
      <c r="A2815" s="187">
        <v>37</v>
      </c>
      <c r="B2815" s="242">
        <f t="shared" si="1093"/>
        <v>46753</v>
      </c>
      <c r="C2815" s="243">
        <f t="shared" si="1074"/>
        <v>46783</v>
      </c>
      <c r="D2815" s="120">
        <f t="shared" si="1075"/>
        <v>31</v>
      </c>
      <c r="E2815" s="120">
        <f t="shared" si="1076"/>
        <v>1</v>
      </c>
      <c r="F2815" s="275">
        <f t="shared" si="1077"/>
        <v>46768.5</v>
      </c>
      <c r="G2815" s="120">
        <f t="shared" si="1078"/>
        <v>24336</v>
      </c>
      <c r="H2815" s="245">
        <f t="shared" si="1079"/>
        <v>1</v>
      </c>
      <c r="I2815" s="121">
        <f t="shared" si="1080"/>
        <v>1.1440000000000001</v>
      </c>
      <c r="J2815" s="121">
        <f t="shared" si="1081"/>
        <v>1.1440000000000001</v>
      </c>
      <c r="K2815" s="120">
        <f t="shared" si="1082"/>
        <v>0</v>
      </c>
      <c r="L2815" s="120">
        <f t="shared" si="1083"/>
        <v>0</v>
      </c>
      <c r="M2815" s="246">
        <f t="shared" si="1084"/>
        <v>0</v>
      </c>
      <c r="N2815" s="121">
        <f t="shared" si="1085"/>
        <v>1.1440000000000001</v>
      </c>
      <c r="O2815" s="246">
        <f t="shared" si="1086"/>
        <v>0.995</v>
      </c>
      <c r="P2815" s="121">
        <f t="shared" si="1087"/>
        <v>0</v>
      </c>
      <c r="Q2815" s="121">
        <f t="shared" si="1088"/>
        <v>0</v>
      </c>
      <c r="R2815" s="121">
        <f t="shared" si="1089"/>
        <v>0.95833333333333337</v>
      </c>
      <c r="S2815" s="121">
        <f t="shared" si="1090"/>
        <v>1.1382800000000002</v>
      </c>
      <c r="T2815" s="121">
        <f t="shared" si="1091"/>
        <v>1.194491083150985</v>
      </c>
      <c r="U2815" s="121">
        <f t="shared" si="1092"/>
        <v>1.194491083150985</v>
      </c>
    </row>
    <row r="2816" spans="1:21" x14ac:dyDescent="0.3">
      <c r="A2816" s="187">
        <v>38</v>
      </c>
      <c r="B2816" s="242">
        <f t="shared" si="1093"/>
        <v>46784</v>
      </c>
      <c r="C2816" s="243">
        <f t="shared" si="1074"/>
        <v>46812</v>
      </c>
      <c r="D2816" s="120">
        <f t="shared" si="1075"/>
        <v>29</v>
      </c>
      <c r="E2816" s="120">
        <f t="shared" si="1076"/>
        <v>2</v>
      </c>
      <c r="F2816" s="275">
        <f t="shared" si="1077"/>
        <v>46798.5</v>
      </c>
      <c r="G2816" s="120">
        <f t="shared" si="1078"/>
        <v>24337</v>
      </c>
      <c r="H2816" s="245">
        <f t="shared" si="1079"/>
        <v>1</v>
      </c>
      <c r="I2816" s="121">
        <f t="shared" si="1080"/>
        <v>1.1440000000000001</v>
      </c>
      <c r="J2816" s="121">
        <f t="shared" si="1081"/>
        <v>1.1440000000000001</v>
      </c>
      <c r="K2816" s="120">
        <f t="shared" si="1082"/>
        <v>0</v>
      </c>
      <c r="L2816" s="120">
        <f t="shared" si="1083"/>
        <v>0</v>
      </c>
      <c r="M2816" s="246">
        <f t="shared" si="1084"/>
        <v>0</v>
      </c>
      <c r="N2816" s="121">
        <f t="shared" si="1085"/>
        <v>1.1440000000000001</v>
      </c>
      <c r="O2816" s="246">
        <f t="shared" si="1086"/>
        <v>0.995</v>
      </c>
      <c r="P2816" s="121">
        <f t="shared" si="1087"/>
        <v>0</v>
      </c>
      <c r="Q2816" s="121">
        <f t="shared" si="1088"/>
        <v>0</v>
      </c>
      <c r="R2816" s="121">
        <f t="shared" si="1089"/>
        <v>0.875</v>
      </c>
      <c r="S2816" s="121">
        <f t="shared" si="1090"/>
        <v>1.1382800000000002</v>
      </c>
      <c r="T2816" s="121">
        <f t="shared" si="1091"/>
        <v>1.1948816192560177</v>
      </c>
      <c r="U2816" s="121">
        <f t="shared" si="1092"/>
        <v>1.1948816192560177</v>
      </c>
    </row>
    <row r="2817" spans="1:21" x14ac:dyDescent="0.3">
      <c r="A2817" s="187">
        <v>39</v>
      </c>
      <c r="B2817" s="242">
        <f t="shared" si="1093"/>
        <v>46813</v>
      </c>
      <c r="C2817" s="243">
        <f t="shared" si="1074"/>
        <v>46843</v>
      </c>
      <c r="D2817" s="120">
        <f t="shared" si="1075"/>
        <v>31</v>
      </c>
      <c r="E2817" s="120">
        <f t="shared" si="1076"/>
        <v>3</v>
      </c>
      <c r="F2817" s="275">
        <f t="shared" si="1077"/>
        <v>46828.5</v>
      </c>
      <c r="G2817" s="120">
        <f t="shared" si="1078"/>
        <v>24338</v>
      </c>
      <c r="H2817" s="245">
        <f t="shared" si="1079"/>
        <v>1</v>
      </c>
      <c r="I2817" s="121">
        <f t="shared" si="1080"/>
        <v>1.1440000000000001</v>
      </c>
      <c r="J2817" s="121">
        <f t="shared" si="1081"/>
        <v>1.1440000000000001</v>
      </c>
      <c r="K2817" s="120">
        <f t="shared" si="1082"/>
        <v>0</v>
      </c>
      <c r="L2817" s="120">
        <f t="shared" si="1083"/>
        <v>0</v>
      </c>
      <c r="M2817" s="246">
        <f t="shared" si="1084"/>
        <v>0</v>
      </c>
      <c r="N2817" s="121">
        <f t="shared" si="1085"/>
        <v>1.1440000000000001</v>
      </c>
      <c r="O2817" s="246">
        <f t="shared" si="1086"/>
        <v>0.995</v>
      </c>
      <c r="P2817" s="121">
        <f t="shared" si="1087"/>
        <v>0</v>
      </c>
      <c r="Q2817" s="121">
        <f t="shared" si="1088"/>
        <v>0</v>
      </c>
      <c r="R2817" s="121">
        <f t="shared" si="1089"/>
        <v>0.79166666666666663</v>
      </c>
      <c r="S2817" s="121">
        <f t="shared" si="1090"/>
        <v>1.1382800000000002</v>
      </c>
      <c r="T2817" s="121">
        <f t="shared" si="1091"/>
        <v>1.1952721553610504</v>
      </c>
      <c r="U2817" s="121">
        <f t="shared" si="1092"/>
        <v>1.1952721553610504</v>
      </c>
    </row>
    <row r="2818" spans="1:21" x14ac:dyDescent="0.3">
      <c r="A2818" s="187">
        <v>40</v>
      </c>
      <c r="B2818" s="242">
        <f t="shared" si="1093"/>
        <v>46844</v>
      </c>
      <c r="C2818" s="243">
        <f t="shared" si="1074"/>
        <v>46873</v>
      </c>
      <c r="D2818" s="120">
        <f t="shared" si="1075"/>
        <v>30</v>
      </c>
      <c r="E2818" s="120">
        <f t="shared" si="1076"/>
        <v>4</v>
      </c>
      <c r="F2818" s="275">
        <f t="shared" si="1077"/>
        <v>46859</v>
      </c>
      <c r="G2818" s="120">
        <f t="shared" si="1078"/>
        <v>24339</v>
      </c>
      <c r="H2818" s="245">
        <f t="shared" si="1079"/>
        <v>1</v>
      </c>
      <c r="I2818" s="121">
        <f t="shared" si="1080"/>
        <v>1.1440000000000001</v>
      </c>
      <c r="J2818" s="121">
        <f t="shared" si="1081"/>
        <v>1.1440000000000001</v>
      </c>
      <c r="K2818" s="120">
        <f t="shared" si="1082"/>
        <v>0</v>
      </c>
      <c r="L2818" s="120">
        <f t="shared" si="1083"/>
        <v>0</v>
      </c>
      <c r="M2818" s="246">
        <f t="shared" si="1084"/>
        <v>0</v>
      </c>
      <c r="N2818" s="121">
        <f t="shared" si="1085"/>
        <v>1.1440000000000001</v>
      </c>
      <c r="O2818" s="246">
        <f t="shared" si="1086"/>
        <v>0.995</v>
      </c>
      <c r="P2818" s="121">
        <f t="shared" si="1087"/>
        <v>0</v>
      </c>
      <c r="Q2818" s="121">
        <f t="shared" si="1088"/>
        <v>0</v>
      </c>
      <c r="R2818" s="121">
        <f t="shared" si="1089"/>
        <v>0.70833333333333337</v>
      </c>
      <c r="S2818" s="121">
        <f t="shared" si="1090"/>
        <v>1.1382800000000002</v>
      </c>
      <c r="T2818" s="121">
        <f t="shared" si="1091"/>
        <v>1.1956759299781183</v>
      </c>
      <c r="U2818" s="121">
        <f t="shared" si="1092"/>
        <v>1.1956759299781183</v>
      </c>
    </row>
    <row r="2819" spans="1:21" x14ac:dyDescent="0.3">
      <c r="A2819" s="187">
        <v>41</v>
      </c>
      <c r="B2819" s="242">
        <f t="shared" si="1093"/>
        <v>46874</v>
      </c>
      <c r="C2819" s="243">
        <f t="shared" si="1074"/>
        <v>46904</v>
      </c>
      <c r="D2819" s="120">
        <f t="shared" si="1075"/>
        <v>31</v>
      </c>
      <c r="E2819" s="120">
        <f t="shared" si="1076"/>
        <v>5</v>
      </c>
      <c r="F2819" s="275">
        <f t="shared" si="1077"/>
        <v>46889.5</v>
      </c>
      <c r="G2819" s="120">
        <f t="shared" si="1078"/>
        <v>24340</v>
      </c>
      <c r="H2819" s="245">
        <f t="shared" si="1079"/>
        <v>1</v>
      </c>
      <c r="I2819" s="121">
        <f t="shared" si="1080"/>
        <v>1.1440000000000001</v>
      </c>
      <c r="J2819" s="121">
        <f t="shared" si="1081"/>
        <v>1.1440000000000001</v>
      </c>
      <c r="K2819" s="120">
        <f t="shared" si="1082"/>
        <v>0</v>
      </c>
      <c r="L2819" s="120">
        <f t="shared" si="1083"/>
        <v>0</v>
      </c>
      <c r="M2819" s="246">
        <f t="shared" si="1084"/>
        <v>0</v>
      </c>
      <c r="N2819" s="121">
        <f t="shared" si="1085"/>
        <v>1.1440000000000001</v>
      </c>
      <c r="O2819" s="246">
        <f t="shared" si="1086"/>
        <v>0.995</v>
      </c>
      <c r="P2819" s="121">
        <f t="shared" si="1087"/>
        <v>0</v>
      </c>
      <c r="Q2819" s="121">
        <f t="shared" si="1088"/>
        <v>0</v>
      </c>
      <c r="R2819" s="121">
        <f t="shared" si="1089"/>
        <v>0.625</v>
      </c>
      <c r="S2819" s="121">
        <f t="shared" si="1090"/>
        <v>1.1382800000000002</v>
      </c>
      <c r="T2819" s="121">
        <f t="shared" si="1091"/>
        <v>1.1960797045951861</v>
      </c>
      <c r="U2819" s="121">
        <f t="shared" si="1092"/>
        <v>1.1960797045951861</v>
      </c>
    </row>
    <row r="2820" spans="1:21" x14ac:dyDescent="0.3">
      <c r="A2820" s="187">
        <v>42</v>
      </c>
      <c r="B2820" s="242">
        <f t="shared" si="1093"/>
        <v>46905</v>
      </c>
      <c r="C2820" s="243">
        <f t="shared" si="1074"/>
        <v>46934</v>
      </c>
      <c r="D2820" s="120">
        <f t="shared" si="1075"/>
        <v>30</v>
      </c>
      <c r="E2820" s="120">
        <f t="shared" si="1076"/>
        <v>6</v>
      </c>
      <c r="F2820" s="275">
        <f t="shared" si="1077"/>
        <v>46920</v>
      </c>
      <c r="G2820" s="120">
        <f t="shared" si="1078"/>
        <v>24341</v>
      </c>
      <c r="H2820" s="245">
        <f t="shared" si="1079"/>
        <v>1</v>
      </c>
      <c r="I2820" s="121">
        <f t="shared" si="1080"/>
        <v>1.1440000000000001</v>
      </c>
      <c r="J2820" s="121">
        <f t="shared" si="1081"/>
        <v>1.1440000000000001</v>
      </c>
      <c r="K2820" s="120">
        <f t="shared" si="1082"/>
        <v>0</v>
      </c>
      <c r="L2820" s="120">
        <f t="shared" si="1083"/>
        <v>0</v>
      </c>
      <c r="M2820" s="246">
        <f t="shared" si="1084"/>
        <v>0</v>
      </c>
      <c r="N2820" s="121">
        <f t="shared" si="1085"/>
        <v>1.1440000000000001</v>
      </c>
      <c r="O2820" s="246">
        <f t="shared" si="1086"/>
        <v>0.995</v>
      </c>
      <c r="P2820" s="121">
        <f t="shared" si="1087"/>
        <v>0</v>
      </c>
      <c r="Q2820" s="121">
        <f t="shared" si="1088"/>
        <v>0</v>
      </c>
      <c r="R2820" s="121">
        <f t="shared" si="1089"/>
        <v>0.54166666666666663</v>
      </c>
      <c r="S2820" s="121">
        <f t="shared" si="1090"/>
        <v>1.1382800000000002</v>
      </c>
      <c r="T2820" s="121">
        <f t="shared" si="1091"/>
        <v>1.1964834792122541</v>
      </c>
      <c r="U2820" s="121">
        <f t="shared" si="1092"/>
        <v>1.1964834792122541</v>
      </c>
    </row>
    <row r="2821" spans="1:21" x14ac:dyDescent="0.3">
      <c r="A2821" s="187">
        <v>43</v>
      </c>
      <c r="B2821" s="242">
        <f t="shared" si="1093"/>
        <v>46935</v>
      </c>
      <c r="C2821" s="243">
        <f t="shared" si="1074"/>
        <v>46965</v>
      </c>
      <c r="D2821" s="120">
        <f t="shared" si="1075"/>
        <v>31</v>
      </c>
      <c r="E2821" s="120">
        <f t="shared" si="1076"/>
        <v>7</v>
      </c>
      <c r="F2821" s="275">
        <f t="shared" si="1077"/>
        <v>46950.5</v>
      </c>
      <c r="G2821" s="120">
        <f t="shared" si="1078"/>
        <v>24342</v>
      </c>
      <c r="H2821" s="245">
        <f t="shared" si="1079"/>
        <v>1</v>
      </c>
      <c r="I2821" s="121">
        <f t="shared" si="1080"/>
        <v>1.1440000000000001</v>
      </c>
      <c r="J2821" s="121">
        <f t="shared" si="1081"/>
        <v>1.1440000000000001</v>
      </c>
      <c r="K2821" s="120">
        <f t="shared" si="1082"/>
        <v>0</v>
      </c>
      <c r="L2821" s="120">
        <f t="shared" si="1083"/>
        <v>0</v>
      </c>
      <c r="M2821" s="246">
        <f t="shared" si="1084"/>
        <v>0</v>
      </c>
      <c r="N2821" s="121">
        <f t="shared" si="1085"/>
        <v>1.1440000000000001</v>
      </c>
      <c r="O2821" s="246">
        <f t="shared" si="1086"/>
        <v>0.995</v>
      </c>
      <c r="P2821" s="121">
        <f t="shared" si="1087"/>
        <v>0</v>
      </c>
      <c r="Q2821" s="121">
        <f t="shared" si="1088"/>
        <v>0</v>
      </c>
      <c r="R2821" s="121">
        <f t="shared" si="1089"/>
        <v>0.45833333333333331</v>
      </c>
      <c r="S2821" s="121">
        <f t="shared" si="1090"/>
        <v>1.1382800000000002</v>
      </c>
      <c r="T2821" s="121">
        <f t="shared" si="1091"/>
        <v>1.1968872538293218</v>
      </c>
      <c r="U2821" s="121">
        <f t="shared" si="1092"/>
        <v>1.1968872538293218</v>
      </c>
    </row>
    <row r="2822" spans="1:21" x14ac:dyDescent="0.3">
      <c r="A2822" s="187">
        <v>44</v>
      </c>
      <c r="B2822" s="242">
        <f t="shared" si="1093"/>
        <v>46966</v>
      </c>
      <c r="C2822" s="243">
        <f t="shared" si="1074"/>
        <v>46996</v>
      </c>
      <c r="D2822" s="120">
        <f t="shared" si="1075"/>
        <v>31</v>
      </c>
      <c r="E2822" s="120">
        <f t="shared" si="1076"/>
        <v>8</v>
      </c>
      <c r="F2822" s="275">
        <f t="shared" si="1077"/>
        <v>46981.5</v>
      </c>
      <c r="G2822" s="120">
        <f t="shared" si="1078"/>
        <v>24343</v>
      </c>
      <c r="H2822" s="245">
        <f t="shared" si="1079"/>
        <v>1</v>
      </c>
      <c r="I2822" s="121">
        <f t="shared" si="1080"/>
        <v>1.1440000000000001</v>
      </c>
      <c r="J2822" s="121">
        <f t="shared" si="1081"/>
        <v>1.1440000000000001</v>
      </c>
      <c r="K2822" s="120">
        <f t="shared" si="1082"/>
        <v>0</v>
      </c>
      <c r="L2822" s="120">
        <f t="shared" si="1083"/>
        <v>0</v>
      </c>
      <c r="M2822" s="246">
        <f t="shared" si="1084"/>
        <v>0</v>
      </c>
      <c r="N2822" s="121">
        <f t="shared" si="1085"/>
        <v>1.1440000000000001</v>
      </c>
      <c r="O2822" s="246">
        <f t="shared" si="1086"/>
        <v>0.995</v>
      </c>
      <c r="P2822" s="121">
        <f t="shared" si="1087"/>
        <v>0</v>
      </c>
      <c r="Q2822" s="121">
        <f t="shared" si="1088"/>
        <v>0</v>
      </c>
      <c r="R2822" s="121">
        <f t="shared" si="1089"/>
        <v>0.375</v>
      </c>
      <c r="S2822" s="121">
        <f t="shared" si="1090"/>
        <v>1.1382800000000002</v>
      </c>
      <c r="T2822" s="121">
        <f t="shared" si="1091"/>
        <v>1.1972976477024071</v>
      </c>
      <c r="U2822" s="121">
        <f t="shared" si="1092"/>
        <v>1.1972976477024071</v>
      </c>
    </row>
    <row r="2823" spans="1:21" x14ac:dyDescent="0.3">
      <c r="A2823" s="187">
        <v>45</v>
      </c>
      <c r="B2823" s="242">
        <f t="shared" si="1093"/>
        <v>46997</v>
      </c>
      <c r="C2823" s="243">
        <f t="shared" si="1074"/>
        <v>47026</v>
      </c>
      <c r="D2823" s="120">
        <f t="shared" si="1075"/>
        <v>30</v>
      </c>
      <c r="E2823" s="120">
        <f t="shared" si="1076"/>
        <v>9</v>
      </c>
      <c r="F2823" s="275">
        <f t="shared" si="1077"/>
        <v>47012</v>
      </c>
      <c r="G2823" s="120">
        <f t="shared" si="1078"/>
        <v>24344</v>
      </c>
      <c r="H2823" s="245">
        <f t="shared" si="1079"/>
        <v>1</v>
      </c>
      <c r="I2823" s="121">
        <f t="shared" si="1080"/>
        <v>1.1440000000000001</v>
      </c>
      <c r="J2823" s="121">
        <f t="shared" si="1081"/>
        <v>1.1440000000000001</v>
      </c>
      <c r="K2823" s="120">
        <f t="shared" si="1082"/>
        <v>0</v>
      </c>
      <c r="L2823" s="120">
        <f t="shared" si="1083"/>
        <v>0</v>
      </c>
      <c r="M2823" s="246">
        <f t="shared" si="1084"/>
        <v>0</v>
      </c>
      <c r="N2823" s="121">
        <f t="shared" si="1085"/>
        <v>1.1440000000000001</v>
      </c>
      <c r="O2823" s="246">
        <f t="shared" si="1086"/>
        <v>0.995</v>
      </c>
      <c r="P2823" s="121">
        <f t="shared" si="1087"/>
        <v>0</v>
      </c>
      <c r="Q2823" s="121">
        <f t="shared" si="1088"/>
        <v>0</v>
      </c>
      <c r="R2823" s="121">
        <f t="shared" si="1089"/>
        <v>0.29166666666666669</v>
      </c>
      <c r="S2823" s="121">
        <f t="shared" si="1090"/>
        <v>1.1382800000000002</v>
      </c>
      <c r="T2823" s="121">
        <f t="shared" si="1091"/>
        <v>1.1977014223194749</v>
      </c>
      <c r="U2823" s="121">
        <f t="shared" si="1092"/>
        <v>1.1977014223194749</v>
      </c>
    </row>
    <row r="2824" spans="1:21" x14ac:dyDescent="0.3">
      <c r="A2824" s="187">
        <v>46</v>
      </c>
      <c r="B2824" s="242">
        <f t="shared" si="1093"/>
        <v>47027</v>
      </c>
      <c r="C2824" s="243">
        <f t="shared" si="1074"/>
        <v>47057</v>
      </c>
      <c r="D2824" s="120">
        <f t="shared" si="1075"/>
        <v>31</v>
      </c>
      <c r="E2824" s="120">
        <f t="shared" si="1076"/>
        <v>10</v>
      </c>
      <c r="F2824" s="275">
        <f t="shared" si="1077"/>
        <v>47042.5</v>
      </c>
      <c r="G2824" s="120">
        <f t="shared" si="1078"/>
        <v>24345</v>
      </c>
      <c r="H2824" s="245">
        <f t="shared" si="1079"/>
        <v>1</v>
      </c>
      <c r="I2824" s="121">
        <f t="shared" si="1080"/>
        <v>1.1440000000000001</v>
      </c>
      <c r="J2824" s="121">
        <f t="shared" si="1081"/>
        <v>1.1440000000000001</v>
      </c>
      <c r="K2824" s="120">
        <f t="shared" si="1082"/>
        <v>0</v>
      </c>
      <c r="L2824" s="120">
        <f t="shared" si="1083"/>
        <v>0</v>
      </c>
      <c r="M2824" s="246">
        <f t="shared" si="1084"/>
        <v>0</v>
      </c>
      <c r="N2824" s="121">
        <f t="shared" si="1085"/>
        <v>1.1440000000000001</v>
      </c>
      <c r="O2824" s="246">
        <f t="shared" si="1086"/>
        <v>0.995</v>
      </c>
      <c r="P2824" s="121">
        <f t="shared" si="1087"/>
        <v>0</v>
      </c>
      <c r="Q2824" s="121">
        <f t="shared" si="1088"/>
        <v>0</v>
      </c>
      <c r="R2824" s="121">
        <f t="shared" si="1089"/>
        <v>0.20833333333333334</v>
      </c>
      <c r="S2824" s="121">
        <f t="shared" si="1090"/>
        <v>1.1382800000000002</v>
      </c>
      <c r="T2824" s="121">
        <f t="shared" si="1091"/>
        <v>1.3179157166301971</v>
      </c>
      <c r="U2824" s="121">
        <f t="shared" si="1092"/>
        <v>1.3179157166301971</v>
      </c>
    </row>
    <row r="2825" spans="1:21" x14ac:dyDescent="0.3">
      <c r="A2825" s="187">
        <v>47</v>
      </c>
      <c r="B2825" s="242">
        <f t="shared" si="1093"/>
        <v>47058</v>
      </c>
      <c r="C2825" s="243">
        <f t="shared" si="1074"/>
        <v>47087</v>
      </c>
      <c r="D2825" s="120">
        <f t="shared" si="1075"/>
        <v>30</v>
      </c>
      <c r="E2825" s="120">
        <f t="shared" si="1076"/>
        <v>11</v>
      </c>
      <c r="F2825" s="275">
        <f t="shared" si="1077"/>
        <v>47073</v>
      </c>
      <c r="G2825" s="120">
        <f t="shared" si="1078"/>
        <v>24346</v>
      </c>
      <c r="H2825" s="245">
        <f t="shared" si="1079"/>
        <v>1</v>
      </c>
      <c r="I2825" s="121">
        <f t="shared" si="1080"/>
        <v>1.1440000000000001</v>
      </c>
      <c r="J2825" s="121">
        <f t="shared" si="1081"/>
        <v>1.1440000000000001</v>
      </c>
      <c r="K2825" s="120">
        <f t="shared" si="1082"/>
        <v>0</v>
      </c>
      <c r="L2825" s="120">
        <f t="shared" si="1083"/>
        <v>0</v>
      </c>
      <c r="M2825" s="246">
        <f t="shared" si="1084"/>
        <v>0</v>
      </c>
      <c r="N2825" s="121">
        <f t="shared" si="1085"/>
        <v>1.1440000000000001</v>
      </c>
      <c r="O2825" s="246">
        <f t="shared" si="1086"/>
        <v>0.995</v>
      </c>
      <c r="P2825" s="121">
        <f t="shared" si="1087"/>
        <v>0</v>
      </c>
      <c r="Q2825" s="121">
        <f t="shared" si="1088"/>
        <v>0</v>
      </c>
      <c r="R2825" s="121">
        <f t="shared" si="1089"/>
        <v>0.125</v>
      </c>
      <c r="S2825" s="121">
        <f t="shared" si="1090"/>
        <v>1.1382800000000002</v>
      </c>
      <c r="T2825" s="121">
        <f t="shared" si="1091"/>
        <v>1.3183598687089719</v>
      </c>
      <c r="U2825" s="121">
        <f t="shared" si="1092"/>
        <v>1.3183598687089719</v>
      </c>
    </row>
    <row r="2826" spans="1:21" x14ac:dyDescent="0.3">
      <c r="A2826" s="187">
        <v>48</v>
      </c>
      <c r="B2826" s="242">
        <f t="shared" si="1093"/>
        <v>47088</v>
      </c>
      <c r="C2826" s="243">
        <f t="shared" si="1074"/>
        <v>47118</v>
      </c>
      <c r="D2826" s="120">
        <f t="shared" si="1075"/>
        <v>31</v>
      </c>
      <c r="E2826" s="120">
        <f t="shared" si="1076"/>
        <v>12</v>
      </c>
      <c r="F2826" s="275">
        <f t="shared" si="1077"/>
        <v>47103.5</v>
      </c>
      <c r="G2826" s="120">
        <f t="shared" si="1078"/>
        <v>24347</v>
      </c>
      <c r="H2826" s="245">
        <f t="shared" si="1079"/>
        <v>1</v>
      </c>
      <c r="I2826" s="121">
        <f t="shared" si="1080"/>
        <v>1.1440000000000001</v>
      </c>
      <c r="J2826" s="121">
        <f t="shared" si="1081"/>
        <v>1.1440000000000001</v>
      </c>
      <c r="K2826" s="120">
        <f t="shared" si="1082"/>
        <v>0</v>
      </c>
      <c r="L2826" s="120">
        <f t="shared" si="1083"/>
        <v>0</v>
      </c>
      <c r="M2826" s="246">
        <f t="shared" si="1084"/>
        <v>0</v>
      </c>
      <c r="N2826" s="121">
        <f t="shared" si="1085"/>
        <v>1.1440000000000001</v>
      </c>
      <c r="O2826" s="246">
        <f t="shared" si="1086"/>
        <v>0.995</v>
      </c>
      <c r="P2826" s="121">
        <f t="shared" si="1087"/>
        <v>0</v>
      </c>
      <c r="Q2826" s="121">
        <f t="shared" si="1088"/>
        <v>0</v>
      </c>
      <c r="R2826" s="121">
        <f t="shared" si="1089"/>
        <v>4.1666666666666664E-2</v>
      </c>
      <c r="S2826" s="121">
        <f t="shared" si="1090"/>
        <v>1.1382800000000002</v>
      </c>
      <c r="T2826" s="121">
        <f t="shared" si="1091"/>
        <v>1.3188040207877465</v>
      </c>
      <c r="U2826" s="121">
        <f t="shared" si="1092"/>
        <v>1.3188040207877465</v>
      </c>
    </row>
    <row r="2827" spans="1:21" x14ac:dyDescent="0.3">
      <c r="A2827" s="6" t="s">
        <v>1651</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224">
        <f>SUMPRODUCT($H$2779:$H$2826,$Q$2779:$Q$2826,$O$2779:$O$2826)/SUMPRODUCT($H$2779:$H$2826,$Q$2779:$Q$2826)</f>
        <v>0.99099790299051793</v>
      </c>
      <c r="G2827" s="224">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24">
        <f>IF(N(INDEX(lr_mind,52))=0,1,INDEX(lr_mind,52))</f>
        <v>1</v>
      </c>
      <c r="G2830" s="224">
        <f>IF(N(INDEX(lr_m0,52))=0,1,INDEX(lr_m0,52))</f>
        <v>0.99</v>
      </c>
      <c r="H2830" s="74">
        <f>IF(N(INDEX(lr_m0asof,52))=0,DATE(nr_PlanYear-1,10,1),INDEX(lr_m0asof,52))</f>
        <v>46295</v>
      </c>
      <c r="I2830" s="224">
        <f>IF(N(INDEX(lr_m1,52))=0,1,INDEX(lr_m1,52))</f>
        <v>1.01</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94">EOMONTH($B2833,0)</f>
        <v>45688</v>
      </c>
      <c r="D2833" s="120">
        <f t="shared" ref="D2833:D2880" si="1095">$C2833-$B2833+1</f>
        <v>31</v>
      </c>
      <c r="E2833" s="120">
        <f t="shared" ref="E2833:E2880" si="1096">MONTH($B2833)</f>
        <v>1</v>
      </c>
      <c r="F2833" s="275">
        <f t="shared" ref="F2833:F2880" si="1097">($B2833+$C2833+1)/2</f>
        <v>45673.5</v>
      </c>
      <c r="G2833" s="120">
        <f t="shared" ref="G2833:G2880" si="1098">YEAR($B2833)*12+MONTH($B2833)-1</f>
        <v>24300</v>
      </c>
      <c r="H2833" s="245">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46">
        <f t="shared" ref="M2833:M2880" si="1104">IF($K2833=0,0,MIN(1,$L2833/$D2833))</f>
        <v>0</v>
      </c>
      <c r="N2833" s="121">
        <f t="shared" ref="N2833:N2880" si="1105">IF($K2833=0,$J2833,(1-$M2833)*$I2833+$M2833*$J2833)</f>
        <v>1</v>
      </c>
      <c r="O2833" s="246">
        <f t="shared" ref="O2833:O2880" si="1106">IF($F2833&lt;$B$2831,$E$2831+$I$2831*($F2833-$A$2831),IF($F2833&lt;$C$2831,$F$2831+$J$2831*($F2833-$B$2831),$G$2831+$K$2831*($F2833-$C$2831)))</f>
        <v>0.96275711159737409</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87">
        <v>2</v>
      </c>
      <c r="B2834" s="242">
        <f t="shared" ref="B2834:B2880" si="1113">EDATE($B2833,1)</f>
        <v>45689</v>
      </c>
      <c r="C2834" s="243">
        <f t="shared" si="1094"/>
        <v>45716</v>
      </c>
      <c r="D2834" s="120">
        <f t="shared" si="1095"/>
        <v>28</v>
      </c>
      <c r="E2834" s="120">
        <f t="shared" si="1096"/>
        <v>2</v>
      </c>
      <c r="F2834" s="275">
        <f t="shared" si="1097"/>
        <v>45703</v>
      </c>
      <c r="G2834" s="120">
        <f t="shared" si="1098"/>
        <v>24301</v>
      </c>
      <c r="H2834" s="245">
        <f t="shared" si="1099"/>
        <v>1</v>
      </c>
      <c r="I2834" s="121">
        <f t="shared" si="1100"/>
        <v>1</v>
      </c>
      <c r="J2834" s="121">
        <f t="shared" si="1101"/>
        <v>1</v>
      </c>
      <c r="K2834" s="120">
        <f t="shared" si="1102"/>
        <v>0</v>
      </c>
      <c r="L2834" s="120">
        <f t="shared" si="1103"/>
        <v>0</v>
      </c>
      <c r="M2834" s="246">
        <f t="shared" si="1104"/>
        <v>0</v>
      </c>
      <c r="N2834" s="121">
        <f t="shared" si="1105"/>
        <v>1</v>
      </c>
      <c r="O2834" s="246">
        <f t="shared" si="1106"/>
        <v>0.9640481400437636</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87">
        <v>3</v>
      </c>
      <c r="B2835" s="242">
        <f t="shared" si="1113"/>
        <v>45717</v>
      </c>
      <c r="C2835" s="243">
        <f t="shared" si="1094"/>
        <v>45747</v>
      </c>
      <c r="D2835" s="120">
        <f t="shared" si="1095"/>
        <v>31</v>
      </c>
      <c r="E2835" s="120">
        <f t="shared" si="1096"/>
        <v>3</v>
      </c>
      <c r="F2835" s="275">
        <f t="shared" si="1097"/>
        <v>45732.5</v>
      </c>
      <c r="G2835" s="120">
        <f t="shared" si="1098"/>
        <v>24302</v>
      </c>
      <c r="H2835" s="245">
        <f t="shared" si="1099"/>
        <v>1</v>
      </c>
      <c r="I2835" s="121">
        <f t="shared" si="1100"/>
        <v>1</v>
      </c>
      <c r="J2835" s="121">
        <f t="shared" si="1101"/>
        <v>1</v>
      </c>
      <c r="K2835" s="120">
        <f t="shared" si="1102"/>
        <v>0</v>
      </c>
      <c r="L2835" s="120">
        <f t="shared" si="1103"/>
        <v>0</v>
      </c>
      <c r="M2835" s="246">
        <f t="shared" si="1104"/>
        <v>0</v>
      </c>
      <c r="N2835" s="121">
        <f t="shared" si="1105"/>
        <v>1</v>
      </c>
      <c r="O2835" s="246">
        <f t="shared" si="1106"/>
        <v>0.96533916849015311</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87">
        <v>4</v>
      </c>
      <c r="B2836" s="242">
        <f t="shared" si="1113"/>
        <v>45748</v>
      </c>
      <c r="C2836" s="243">
        <f t="shared" si="1094"/>
        <v>45777</v>
      </c>
      <c r="D2836" s="120">
        <f t="shared" si="1095"/>
        <v>30</v>
      </c>
      <c r="E2836" s="120">
        <f t="shared" si="1096"/>
        <v>4</v>
      </c>
      <c r="F2836" s="275">
        <f t="shared" si="1097"/>
        <v>45763</v>
      </c>
      <c r="G2836" s="120">
        <f t="shared" si="1098"/>
        <v>24303</v>
      </c>
      <c r="H2836" s="245">
        <f t="shared" si="1099"/>
        <v>1</v>
      </c>
      <c r="I2836" s="121">
        <f t="shared" si="1100"/>
        <v>1</v>
      </c>
      <c r="J2836" s="121">
        <f t="shared" si="1101"/>
        <v>1</v>
      </c>
      <c r="K2836" s="120">
        <f t="shared" si="1102"/>
        <v>0</v>
      </c>
      <c r="L2836" s="120">
        <f t="shared" si="1103"/>
        <v>0</v>
      </c>
      <c r="M2836" s="246">
        <f t="shared" si="1104"/>
        <v>0</v>
      </c>
      <c r="N2836" s="121">
        <f t="shared" si="1105"/>
        <v>1</v>
      </c>
      <c r="O2836" s="246">
        <f t="shared" si="1106"/>
        <v>0.9666739606126914</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87">
        <v>5</v>
      </c>
      <c r="B2837" s="242">
        <f t="shared" si="1113"/>
        <v>45778</v>
      </c>
      <c r="C2837" s="243">
        <f t="shared" si="1094"/>
        <v>45808</v>
      </c>
      <c r="D2837" s="120">
        <f t="shared" si="1095"/>
        <v>31</v>
      </c>
      <c r="E2837" s="120">
        <f t="shared" si="1096"/>
        <v>5</v>
      </c>
      <c r="F2837" s="275">
        <f t="shared" si="1097"/>
        <v>45793.5</v>
      </c>
      <c r="G2837" s="120">
        <f t="shared" si="1098"/>
        <v>24304</v>
      </c>
      <c r="H2837" s="245">
        <f t="shared" si="1099"/>
        <v>1</v>
      </c>
      <c r="I2837" s="121">
        <f t="shared" si="1100"/>
        <v>1</v>
      </c>
      <c r="J2837" s="121">
        <f t="shared" si="1101"/>
        <v>1</v>
      </c>
      <c r="K2837" s="120">
        <f t="shared" si="1102"/>
        <v>0</v>
      </c>
      <c r="L2837" s="120">
        <f t="shared" si="1103"/>
        <v>0</v>
      </c>
      <c r="M2837" s="246">
        <f t="shared" si="1104"/>
        <v>0</v>
      </c>
      <c r="N2837" s="121">
        <f t="shared" si="1105"/>
        <v>1</v>
      </c>
      <c r="O2837" s="246">
        <f t="shared" si="1106"/>
        <v>0.96800875273522968</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87">
        <v>6</v>
      </c>
      <c r="B2838" s="242">
        <f t="shared" si="1113"/>
        <v>45809</v>
      </c>
      <c r="C2838" s="243">
        <f t="shared" si="1094"/>
        <v>45838</v>
      </c>
      <c r="D2838" s="120">
        <f t="shared" si="1095"/>
        <v>30</v>
      </c>
      <c r="E2838" s="120">
        <f t="shared" si="1096"/>
        <v>6</v>
      </c>
      <c r="F2838" s="275">
        <f t="shared" si="1097"/>
        <v>45824</v>
      </c>
      <c r="G2838" s="120">
        <f t="shared" si="1098"/>
        <v>24305</v>
      </c>
      <c r="H2838" s="245">
        <f t="shared" si="1099"/>
        <v>1</v>
      </c>
      <c r="I2838" s="121">
        <f t="shared" si="1100"/>
        <v>1</v>
      </c>
      <c r="J2838" s="121">
        <f t="shared" si="1101"/>
        <v>1</v>
      </c>
      <c r="K2838" s="120">
        <f t="shared" si="1102"/>
        <v>0</v>
      </c>
      <c r="L2838" s="120">
        <f t="shared" si="1103"/>
        <v>0</v>
      </c>
      <c r="M2838" s="246">
        <f t="shared" si="1104"/>
        <v>0</v>
      </c>
      <c r="N2838" s="121">
        <f t="shared" si="1105"/>
        <v>1</v>
      </c>
      <c r="O2838" s="246">
        <f t="shared" si="1106"/>
        <v>0.96934354485776797</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87">
        <v>7</v>
      </c>
      <c r="B2839" s="242">
        <f t="shared" si="1113"/>
        <v>45839</v>
      </c>
      <c r="C2839" s="243">
        <f t="shared" si="1094"/>
        <v>45869</v>
      </c>
      <c r="D2839" s="120">
        <f t="shared" si="1095"/>
        <v>31</v>
      </c>
      <c r="E2839" s="120">
        <f t="shared" si="1096"/>
        <v>7</v>
      </c>
      <c r="F2839" s="275">
        <f t="shared" si="1097"/>
        <v>45854.5</v>
      </c>
      <c r="G2839" s="120">
        <f t="shared" si="1098"/>
        <v>24306</v>
      </c>
      <c r="H2839" s="245">
        <f t="shared" si="1099"/>
        <v>1</v>
      </c>
      <c r="I2839" s="121">
        <f t="shared" si="1100"/>
        <v>1</v>
      </c>
      <c r="J2839" s="121">
        <f t="shared" si="1101"/>
        <v>1</v>
      </c>
      <c r="K2839" s="120">
        <f t="shared" si="1102"/>
        <v>0</v>
      </c>
      <c r="L2839" s="120">
        <f t="shared" si="1103"/>
        <v>0</v>
      </c>
      <c r="M2839" s="246">
        <f t="shared" si="1104"/>
        <v>0</v>
      </c>
      <c r="N2839" s="121">
        <f t="shared" si="1105"/>
        <v>1</v>
      </c>
      <c r="O2839" s="246">
        <f t="shared" si="1106"/>
        <v>0.97067833698030626</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87">
        <v>8</v>
      </c>
      <c r="B2840" s="242">
        <f t="shared" si="1113"/>
        <v>45870</v>
      </c>
      <c r="C2840" s="243">
        <f t="shared" si="1094"/>
        <v>45900</v>
      </c>
      <c r="D2840" s="120">
        <f t="shared" si="1095"/>
        <v>31</v>
      </c>
      <c r="E2840" s="120">
        <f t="shared" si="1096"/>
        <v>8</v>
      </c>
      <c r="F2840" s="275">
        <f t="shared" si="1097"/>
        <v>45885.5</v>
      </c>
      <c r="G2840" s="120">
        <f t="shared" si="1098"/>
        <v>24307</v>
      </c>
      <c r="H2840" s="245">
        <f t="shared" si="1099"/>
        <v>1</v>
      </c>
      <c r="I2840" s="121">
        <f t="shared" si="1100"/>
        <v>1</v>
      </c>
      <c r="J2840" s="121">
        <f t="shared" si="1101"/>
        <v>1</v>
      </c>
      <c r="K2840" s="120">
        <f t="shared" si="1102"/>
        <v>0</v>
      </c>
      <c r="L2840" s="120">
        <f t="shared" si="1103"/>
        <v>0</v>
      </c>
      <c r="M2840" s="246">
        <f t="shared" si="1104"/>
        <v>0</v>
      </c>
      <c r="N2840" s="121">
        <f t="shared" si="1105"/>
        <v>1</v>
      </c>
      <c r="O2840" s="246">
        <f t="shared" si="1106"/>
        <v>0.97203501094091893</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87">
        <v>9</v>
      </c>
      <c r="B2841" s="242">
        <f t="shared" si="1113"/>
        <v>45901</v>
      </c>
      <c r="C2841" s="243">
        <f t="shared" si="1094"/>
        <v>45930</v>
      </c>
      <c r="D2841" s="120">
        <f t="shared" si="1095"/>
        <v>30</v>
      </c>
      <c r="E2841" s="120">
        <f t="shared" si="1096"/>
        <v>9</v>
      </c>
      <c r="F2841" s="275">
        <f t="shared" si="1097"/>
        <v>45916</v>
      </c>
      <c r="G2841" s="120">
        <f t="shared" si="1098"/>
        <v>24308</v>
      </c>
      <c r="H2841" s="245">
        <f t="shared" si="1099"/>
        <v>1</v>
      </c>
      <c r="I2841" s="121">
        <f t="shared" si="1100"/>
        <v>1</v>
      </c>
      <c r="J2841" s="121">
        <f t="shared" si="1101"/>
        <v>1</v>
      </c>
      <c r="K2841" s="120">
        <f t="shared" si="1102"/>
        <v>0</v>
      </c>
      <c r="L2841" s="120">
        <f t="shared" si="1103"/>
        <v>0</v>
      </c>
      <c r="M2841" s="246">
        <f t="shared" si="1104"/>
        <v>0</v>
      </c>
      <c r="N2841" s="121">
        <f t="shared" si="1105"/>
        <v>1</v>
      </c>
      <c r="O2841" s="246">
        <f t="shared" si="1106"/>
        <v>0.97336980306345722</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87">
        <v>10</v>
      </c>
      <c r="B2842" s="242">
        <f t="shared" si="1113"/>
        <v>45931</v>
      </c>
      <c r="C2842" s="243">
        <f t="shared" si="1094"/>
        <v>45961</v>
      </c>
      <c r="D2842" s="120">
        <f t="shared" si="1095"/>
        <v>31</v>
      </c>
      <c r="E2842" s="120">
        <f t="shared" si="1096"/>
        <v>10</v>
      </c>
      <c r="F2842" s="275">
        <f t="shared" si="1097"/>
        <v>45946.5</v>
      </c>
      <c r="G2842" s="120">
        <f t="shared" si="1098"/>
        <v>24309</v>
      </c>
      <c r="H2842" s="245">
        <f t="shared" si="1099"/>
        <v>1</v>
      </c>
      <c r="I2842" s="121">
        <f t="shared" si="1100"/>
        <v>1</v>
      </c>
      <c r="J2842" s="121">
        <f t="shared" si="1101"/>
        <v>1</v>
      </c>
      <c r="K2842" s="120">
        <f t="shared" si="1102"/>
        <v>0</v>
      </c>
      <c r="L2842" s="120">
        <f t="shared" si="1103"/>
        <v>0</v>
      </c>
      <c r="M2842" s="246">
        <f t="shared" si="1104"/>
        <v>0</v>
      </c>
      <c r="N2842" s="121">
        <f t="shared" si="1105"/>
        <v>1</v>
      </c>
      <c r="O2842" s="246">
        <f t="shared" si="1106"/>
        <v>0.97470459518599561</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87">
        <v>11</v>
      </c>
      <c r="B2843" s="242">
        <f t="shared" si="1113"/>
        <v>45962</v>
      </c>
      <c r="C2843" s="243">
        <f t="shared" si="1094"/>
        <v>45991</v>
      </c>
      <c r="D2843" s="120">
        <f t="shared" si="1095"/>
        <v>30</v>
      </c>
      <c r="E2843" s="120">
        <f t="shared" si="1096"/>
        <v>11</v>
      </c>
      <c r="F2843" s="275">
        <f t="shared" si="1097"/>
        <v>45977</v>
      </c>
      <c r="G2843" s="120">
        <f t="shared" si="1098"/>
        <v>24310</v>
      </c>
      <c r="H2843" s="245">
        <f t="shared" si="1099"/>
        <v>1</v>
      </c>
      <c r="I2843" s="121">
        <f t="shared" si="1100"/>
        <v>1</v>
      </c>
      <c r="J2843" s="121">
        <f t="shared" si="1101"/>
        <v>1</v>
      </c>
      <c r="K2843" s="120">
        <f t="shared" si="1102"/>
        <v>0</v>
      </c>
      <c r="L2843" s="120">
        <f t="shared" si="1103"/>
        <v>0</v>
      </c>
      <c r="M2843" s="246">
        <f t="shared" si="1104"/>
        <v>0</v>
      </c>
      <c r="N2843" s="121">
        <f t="shared" si="1105"/>
        <v>1</v>
      </c>
      <c r="O2843" s="246">
        <f t="shared" si="1106"/>
        <v>0.9760393873085339</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87">
        <v>12</v>
      </c>
      <c r="B2844" s="242">
        <f t="shared" si="1113"/>
        <v>45992</v>
      </c>
      <c r="C2844" s="243">
        <f t="shared" si="1094"/>
        <v>46022</v>
      </c>
      <c r="D2844" s="120">
        <f t="shared" si="1095"/>
        <v>31</v>
      </c>
      <c r="E2844" s="120">
        <f t="shared" si="1096"/>
        <v>12</v>
      </c>
      <c r="F2844" s="275">
        <f t="shared" si="1097"/>
        <v>46007.5</v>
      </c>
      <c r="G2844" s="120">
        <f t="shared" si="1098"/>
        <v>24311</v>
      </c>
      <c r="H2844" s="245">
        <f t="shared" si="1099"/>
        <v>1</v>
      </c>
      <c r="I2844" s="121">
        <f t="shared" si="1100"/>
        <v>1</v>
      </c>
      <c r="J2844" s="121">
        <f t="shared" si="1101"/>
        <v>1</v>
      </c>
      <c r="K2844" s="120">
        <f t="shared" si="1102"/>
        <v>0</v>
      </c>
      <c r="L2844" s="120">
        <f t="shared" si="1103"/>
        <v>0</v>
      </c>
      <c r="M2844" s="246">
        <f t="shared" si="1104"/>
        <v>0</v>
      </c>
      <c r="N2844" s="121">
        <f t="shared" si="1105"/>
        <v>1</v>
      </c>
      <c r="O2844" s="246">
        <f t="shared" si="1106"/>
        <v>0.97737417943107219</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87">
        <v>13</v>
      </c>
      <c r="B2845" s="242">
        <f t="shared" si="1113"/>
        <v>46023</v>
      </c>
      <c r="C2845" s="243">
        <f t="shared" si="1094"/>
        <v>46053</v>
      </c>
      <c r="D2845" s="120">
        <f t="shared" si="1095"/>
        <v>31</v>
      </c>
      <c r="E2845" s="120">
        <f t="shared" si="1096"/>
        <v>1</v>
      </c>
      <c r="F2845" s="275">
        <f t="shared" si="1097"/>
        <v>46038.5</v>
      </c>
      <c r="G2845" s="120">
        <f t="shared" si="1098"/>
        <v>24312</v>
      </c>
      <c r="H2845" s="245">
        <f t="shared" si="1099"/>
        <v>1</v>
      </c>
      <c r="I2845" s="121">
        <f t="shared" si="1100"/>
        <v>1</v>
      </c>
      <c r="J2845" s="121">
        <f t="shared" si="1101"/>
        <v>1</v>
      </c>
      <c r="K2845" s="120">
        <f t="shared" si="1102"/>
        <v>0</v>
      </c>
      <c r="L2845" s="120">
        <f t="shared" si="1103"/>
        <v>0</v>
      </c>
      <c r="M2845" s="246">
        <f t="shared" si="1104"/>
        <v>0</v>
      </c>
      <c r="N2845" s="121">
        <f t="shared" si="1105"/>
        <v>1</v>
      </c>
      <c r="O2845" s="246">
        <f t="shared" si="1106"/>
        <v>0.97873085339168486</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87">
        <v>14</v>
      </c>
      <c r="B2846" s="242">
        <f t="shared" si="1113"/>
        <v>46054</v>
      </c>
      <c r="C2846" s="243">
        <f t="shared" si="1094"/>
        <v>46081</v>
      </c>
      <c r="D2846" s="120">
        <f t="shared" si="1095"/>
        <v>28</v>
      </c>
      <c r="E2846" s="120">
        <f t="shared" si="1096"/>
        <v>2</v>
      </c>
      <c r="F2846" s="275">
        <f t="shared" si="1097"/>
        <v>46068</v>
      </c>
      <c r="G2846" s="120">
        <f t="shared" si="1098"/>
        <v>24313</v>
      </c>
      <c r="H2846" s="245">
        <f t="shared" si="1099"/>
        <v>1</v>
      </c>
      <c r="I2846" s="121">
        <f t="shared" si="1100"/>
        <v>1</v>
      </c>
      <c r="J2846" s="121">
        <f t="shared" si="1101"/>
        <v>1</v>
      </c>
      <c r="K2846" s="120">
        <f t="shared" si="1102"/>
        <v>0</v>
      </c>
      <c r="L2846" s="120">
        <f t="shared" si="1103"/>
        <v>0</v>
      </c>
      <c r="M2846" s="246">
        <f t="shared" si="1104"/>
        <v>0</v>
      </c>
      <c r="N2846" s="121">
        <f t="shared" si="1105"/>
        <v>1</v>
      </c>
      <c r="O2846" s="246">
        <f t="shared" si="1106"/>
        <v>0.98002188183807437</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87">
        <v>15</v>
      </c>
      <c r="B2847" s="242">
        <f t="shared" si="1113"/>
        <v>46082</v>
      </c>
      <c r="C2847" s="243">
        <f t="shared" si="1094"/>
        <v>46112</v>
      </c>
      <c r="D2847" s="120">
        <f t="shared" si="1095"/>
        <v>31</v>
      </c>
      <c r="E2847" s="120">
        <f t="shared" si="1096"/>
        <v>3</v>
      </c>
      <c r="F2847" s="275">
        <f t="shared" si="1097"/>
        <v>46097.5</v>
      </c>
      <c r="G2847" s="120">
        <f t="shared" si="1098"/>
        <v>24314</v>
      </c>
      <c r="H2847" s="245">
        <f t="shared" si="1099"/>
        <v>1</v>
      </c>
      <c r="I2847" s="121">
        <f t="shared" si="1100"/>
        <v>1</v>
      </c>
      <c r="J2847" s="121">
        <f t="shared" si="1101"/>
        <v>1</v>
      </c>
      <c r="K2847" s="120">
        <f t="shared" si="1102"/>
        <v>0</v>
      </c>
      <c r="L2847" s="120">
        <f t="shared" si="1103"/>
        <v>0</v>
      </c>
      <c r="M2847" s="246">
        <f t="shared" si="1104"/>
        <v>0</v>
      </c>
      <c r="N2847" s="121">
        <f t="shared" si="1105"/>
        <v>1</v>
      </c>
      <c r="O2847" s="246">
        <f t="shared" si="1106"/>
        <v>0.98131291028446388</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87">
        <v>16</v>
      </c>
      <c r="B2848" s="242">
        <f t="shared" si="1113"/>
        <v>46113</v>
      </c>
      <c r="C2848" s="243">
        <f t="shared" si="1094"/>
        <v>46142</v>
      </c>
      <c r="D2848" s="120">
        <f t="shared" si="1095"/>
        <v>30</v>
      </c>
      <c r="E2848" s="120">
        <f t="shared" si="1096"/>
        <v>4</v>
      </c>
      <c r="F2848" s="275">
        <f t="shared" si="1097"/>
        <v>46128</v>
      </c>
      <c r="G2848" s="120">
        <f t="shared" si="1098"/>
        <v>24315</v>
      </c>
      <c r="H2848" s="245">
        <f t="shared" si="1099"/>
        <v>1</v>
      </c>
      <c r="I2848" s="121">
        <f t="shared" si="1100"/>
        <v>1</v>
      </c>
      <c r="J2848" s="121">
        <f t="shared" si="1101"/>
        <v>1.03</v>
      </c>
      <c r="K2848" s="120">
        <f t="shared" si="1102"/>
        <v>1</v>
      </c>
      <c r="L2848" s="120">
        <f t="shared" si="1103"/>
        <v>30</v>
      </c>
      <c r="M2848" s="246">
        <f t="shared" si="1104"/>
        <v>1</v>
      </c>
      <c r="N2848" s="121">
        <f t="shared" si="1105"/>
        <v>1.03</v>
      </c>
      <c r="O2848" s="246">
        <f t="shared" si="1106"/>
        <v>0.98264770240700217</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87">
        <v>17</v>
      </c>
      <c r="B2849" s="242">
        <f t="shared" si="1113"/>
        <v>46143</v>
      </c>
      <c r="C2849" s="243">
        <f t="shared" si="1094"/>
        <v>46173</v>
      </c>
      <c r="D2849" s="120">
        <f t="shared" si="1095"/>
        <v>31</v>
      </c>
      <c r="E2849" s="120">
        <f t="shared" si="1096"/>
        <v>5</v>
      </c>
      <c r="F2849" s="275">
        <f t="shared" si="1097"/>
        <v>46158.5</v>
      </c>
      <c r="G2849" s="120">
        <f t="shared" si="1098"/>
        <v>24316</v>
      </c>
      <c r="H2849" s="245">
        <f t="shared" si="1099"/>
        <v>1</v>
      </c>
      <c r="I2849" s="121">
        <f t="shared" si="1100"/>
        <v>1.03</v>
      </c>
      <c r="J2849" s="121">
        <f t="shared" si="1101"/>
        <v>1.03</v>
      </c>
      <c r="K2849" s="120">
        <f t="shared" si="1102"/>
        <v>0</v>
      </c>
      <c r="L2849" s="120">
        <f t="shared" si="1103"/>
        <v>0</v>
      </c>
      <c r="M2849" s="246">
        <f t="shared" si="1104"/>
        <v>0</v>
      </c>
      <c r="N2849" s="121">
        <f t="shared" si="1105"/>
        <v>1.03</v>
      </c>
      <c r="O2849" s="246">
        <f t="shared" si="1106"/>
        <v>0.98398249452954045</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87">
        <v>18</v>
      </c>
      <c r="B2850" s="242">
        <f t="shared" si="1113"/>
        <v>46174</v>
      </c>
      <c r="C2850" s="243">
        <f t="shared" si="1094"/>
        <v>46203</v>
      </c>
      <c r="D2850" s="120">
        <f t="shared" si="1095"/>
        <v>30</v>
      </c>
      <c r="E2850" s="120">
        <f t="shared" si="1096"/>
        <v>6</v>
      </c>
      <c r="F2850" s="275">
        <f t="shared" si="1097"/>
        <v>46189</v>
      </c>
      <c r="G2850" s="120">
        <f t="shared" si="1098"/>
        <v>24317</v>
      </c>
      <c r="H2850" s="245">
        <f t="shared" si="1099"/>
        <v>1</v>
      </c>
      <c r="I2850" s="121">
        <f t="shared" si="1100"/>
        <v>1.03</v>
      </c>
      <c r="J2850" s="121">
        <f t="shared" si="1101"/>
        <v>1.03</v>
      </c>
      <c r="K2850" s="120">
        <f t="shared" si="1102"/>
        <v>0</v>
      </c>
      <c r="L2850" s="120">
        <f t="shared" si="1103"/>
        <v>0</v>
      </c>
      <c r="M2850" s="246">
        <f t="shared" si="1104"/>
        <v>0</v>
      </c>
      <c r="N2850" s="121">
        <f t="shared" si="1105"/>
        <v>1.03</v>
      </c>
      <c r="O2850" s="246">
        <f t="shared" si="1106"/>
        <v>0.98531728665207874</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87">
        <v>19</v>
      </c>
      <c r="B2851" s="242">
        <f t="shared" si="1113"/>
        <v>46204</v>
      </c>
      <c r="C2851" s="243">
        <f t="shared" si="1094"/>
        <v>46234</v>
      </c>
      <c r="D2851" s="120">
        <f t="shared" si="1095"/>
        <v>31</v>
      </c>
      <c r="E2851" s="120">
        <f t="shared" si="1096"/>
        <v>7</v>
      </c>
      <c r="F2851" s="275">
        <f t="shared" si="1097"/>
        <v>46219.5</v>
      </c>
      <c r="G2851" s="120">
        <f t="shared" si="1098"/>
        <v>24318</v>
      </c>
      <c r="H2851" s="245">
        <f t="shared" si="1099"/>
        <v>1</v>
      </c>
      <c r="I2851" s="121">
        <f t="shared" si="1100"/>
        <v>1.03</v>
      </c>
      <c r="J2851" s="121">
        <f t="shared" si="1101"/>
        <v>1.03</v>
      </c>
      <c r="K2851" s="120">
        <f t="shared" si="1102"/>
        <v>0</v>
      </c>
      <c r="L2851" s="120">
        <f t="shared" si="1103"/>
        <v>0</v>
      </c>
      <c r="M2851" s="246">
        <f t="shared" si="1104"/>
        <v>0</v>
      </c>
      <c r="N2851" s="121">
        <f t="shared" si="1105"/>
        <v>1.03</v>
      </c>
      <c r="O2851" s="246">
        <f t="shared" si="1106"/>
        <v>0.98665207877461703</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87">
        <v>20</v>
      </c>
      <c r="B2852" s="242">
        <f t="shared" si="1113"/>
        <v>46235</v>
      </c>
      <c r="C2852" s="243">
        <f t="shared" si="1094"/>
        <v>46265</v>
      </c>
      <c r="D2852" s="120">
        <f t="shared" si="1095"/>
        <v>31</v>
      </c>
      <c r="E2852" s="120">
        <f t="shared" si="1096"/>
        <v>8</v>
      </c>
      <c r="F2852" s="275">
        <f t="shared" si="1097"/>
        <v>46250.5</v>
      </c>
      <c r="G2852" s="120">
        <f t="shared" si="1098"/>
        <v>24319</v>
      </c>
      <c r="H2852" s="245">
        <f t="shared" si="1099"/>
        <v>1</v>
      </c>
      <c r="I2852" s="121">
        <f t="shared" si="1100"/>
        <v>1.03</v>
      </c>
      <c r="J2852" s="121">
        <f t="shared" si="1101"/>
        <v>1.03</v>
      </c>
      <c r="K2852" s="120">
        <f t="shared" si="1102"/>
        <v>0</v>
      </c>
      <c r="L2852" s="120">
        <f t="shared" si="1103"/>
        <v>0</v>
      </c>
      <c r="M2852" s="246">
        <f t="shared" si="1104"/>
        <v>0</v>
      </c>
      <c r="N2852" s="121">
        <f t="shared" si="1105"/>
        <v>1.03</v>
      </c>
      <c r="O2852" s="246">
        <f t="shared" si="1106"/>
        <v>0.9880087527352297</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87">
        <v>21</v>
      </c>
      <c r="B2853" s="242">
        <f t="shared" si="1113"/>
        <v>46266</v>
      </c>
      <c r="C2853" s="243">
        <f t="shared" si="1094"/>
        <v>46295</v>
      </c>
      <c r="D2853" s="120">
        <f t="shared" si="1095"/>
        <v>30</v>
      </c>
      <c r="E2853" s="120">
        <f t="shared" si="1096"/>
        <v>9</v>
      </c>
      <c r="F2853" s="275">
        <f t="shared" si="1097"/>
        <v>46281</v>
      </c>
      <c r="G2853" s="120">
        <f t="shared" si="1098"/>
        <v>24320</v>
      </c>
      <c r="H2853" s="245">
        <f t="shared" si="1099"/>
        <v>1</v>
      </c>
      <c r="I2853" s="121">
        <f t="shared" si="1100"/>
        <v>1.03</v>
      </c>
      <c r="J2853" s="121">
        <f t="shared" si="1101"/>
        <v>1.03</v>
      </c>
      <c r="K2853" s="120">
        <f t="shared" si="1102"/>
        <v>0</v>
      </c>
      <c r="L2853" s="120">
        <f t="shared" si="1103"/>
        <v>0</v>
      </c>
      <c r="M2853" s="246">
        <f t="shared" si="1104"/>
        <v>0</v>
      </c>
      <c r="N2853" s="121">
        <f t="shared" si="1105"/>
        <v>1.03</v>
      </c>
      <c r="O2853" s="246">
        <f t="shared" si="1106"/>
        <v>0.98934354485776799</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87">
        <v>22</v>
      </c>
      <c r="B2854" s="242">
        <f t="shared" si="1113"/>
        <v>46296</v>
      </c>
      <c r="C2854" s="243">
        <f t="shared" si="1094"/>
        <v>46326</v>
      </c>
      <c r="D2854" s="120">
        <f t="shared" si="1095"/>
        <v>31</v>
      </c>
      <c r="E2854" s="120">
        <f t="shared" si="1096"/>
        <v>10</v>
      </c>
      <c r="F2854" s="275">
        <f t="shared" si="1097"/>
        <v>46311.5</v>
      </c>
      <c r="G2854" s="120">
        <f t="shared" si="1098"/>
        <v>24321</v>
      </c>
      <c r="H2854" s="245">
        <f t="shared" si="1099"/>
        <v>1</v>
      </c>
      <c r="I2854" s="121">
        <f t="shared" si="1100"/>
        <v>1.03</v>
      </c>
      <c r="J2854" s="121">
        <f t="shared" si="1101"/>
        <v>1.03</v>
      </c>
      <c r="K2854" s="120">
        <f t="shared" si="1102"/>
        <v>0</v>
      </c>
      <c r="L2854" s="120">
        <f t="shared" si="1103"/>
        <v>0</v>
      </c>
      <c r="M2854" s="246">
        <f t="shared" si="1104"/>
        <v>0</v>
      </c>
      <c r="N2854" s="121">
        <f t="shared" si="1105"/>
        <v>1.03</v>
      </c>
      <c r="O2854" s="246">
        <f t="shared" si="1106"/>
        <v>0.99067833698030638</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87">
        <v>23</v>
      </c>
      <c r="B2855" s="242">
        <f t="shared" si="1113"/>
        <v>46327</v>
      </c>
      <c r="C2855" s="243">
        <f t="shared" si="1094"/>
        <v>46356</v>
      </c>
      <c r="D2855" s="120">
        <f t="shared" si="1095"/>
        <v>30</v>
      </c>
      <c r="E2855" s="120">
        <f t="shared" si="1096"/>
        <v>11</v>
      </c>
      <c r="F2855" s="275">
        <f t="shared" si="1097"/>
        <v>46342</v>
      </c>
      <c r="G2855" s="120">
        <f t="shared" si="1098"/>
        <v>24322</v>
      </c>
      <c r="H2855" s="245">
        <f t="shared" si="1099"/>
        <v>1</v>
      </c>
      <c r="I2855" s="121">
        <f t="shared" si="1100"/>
        <v>1.03</v>
      </c>
      <c r="J2855" s="121">
        <f t="shared" si="1101"/>
        <v>1.03</v>
      </c>
      <c r="K2855" s="120">
        <f t="shared" si="1102"/>
        <v>0</v>
      </c>
      <c r="L2855" s="120">
        <f t="shared" si="1103"/>
        <v>0</v>
      </c>
      <c r="M2855" s="246">
        <f t="shared" si="1104"/>
        <v>0</v>
      </c>
      <c r="N2855" s="121">
        <f t="shared" si="1105"/>
        <v>1.03</v>
      </c>
      <c r="O2855" s="246">
        <f t="shared" si="1106"/>
        <v>0.99201312910284467</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87">
        <v>24</v>
      </c>
      <c r="B2856" s="242">
        <f t="shared" si="1113"/>
        <v>46357</v>
      </c>
      <c r="C2856" s="243">
        <f t="shared" si="1094"/>
        <v>46387</v>
      </c>
      <c r="D2856" s="120">
        <f t="shared" si="1095"/>
        <v>31</v>
      </c>
      <c r="E2856" s="120">
        <f t="shared" si="1096"/>
        <v>12</v>
      </c>
      <c r="F2856" s="275">
        <f t="shared" si="1097"/>
        <v>46372.5</v>
      </c>
      <c r="G2856" s="120">
        <f t="shared" si="1098"/>
        <v>24323</v>
      </c>
      <c r="H2856" s="245">
        <f t="shared" si="1099"/>
        <v>1</v>
      </c>
      <c r="I2856" s="121">
        <f t="shared" si="1100"/>
        <v>1.03</v>
      </c>
      <c r="J2856" s="121">
        <f t="shared" si="1101"/>
        <v>1.03</v>
      </c>
      <c r="K2856" s="120">
        <f t="shared" si="1102"/>
        <v>0</v>
      </c>
      <c r="L2856" s="120">
        <f t="shared" si="1103"/>
        <v>0</v>
      </c>
      <c r="M2856" s="246">
        <f t="shared" si="1104"/>
        <v>0</v>
      </c>
      <c r="N2856" s="121">
        <f t="shared" si="1105"/>
        <v>1.03</v>
      </c>
      <c r="O2856" s="246">
        <f t="shared" si="1106"/>
        <v>0.99334792122538296</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87">
        <v>25</v>
      </c>
      <c r="B2857" s="242">
        <f t="shared" si="1113"/>
        <v>46388</v>
      </c>
      <c r="C2857" s="243">
        <f t="shared" si="1094"/>
        <v>46418</v>
      </c>
      <c r="D2857" s="120">
        <f t="shared" si="1095"/>
        <v>31</v>
      </c>
      <c r="E2857" s="120">
        <f t="shared" si="1096"/>
        <v>1</v>
      </c>
      <c r="F2857" s="275">
        <f t="shared" si="1097"/>
        <v>46403.5</v>
      </c>
      <c r="G2857" s="120">
        <f t="shared" si="1098"/>
        <v>24324</v>
      </c>
      <c r="H2857" s="245">
        <f t="shared" si="1099"/>
        <v>1</v>
      </c>
      <c r="I2857" s="121">
        <f t="shared" si="1100"/>
        <v>1.03</v>
      </c>
      <c r="J2857" s="121">
        <f t="shared" si="1101"/>
        <v>1.03</v>
      </c>
      <c r="K2857" s="120">
        <f t="shared" si="1102"/>
        <v>0</v>
      </c>
      <c r="L2857" s="120">
        <f t="shared" si="1103"/>
        <v>0</v>
      </c>
      <c r="M2857" s="246">
        <f t="shared" si="1104"/>
        <v>0</v>
      </c>
      <c r="N2857" s="121">
        <f t="shared" si="1105"/>
        <v>1.03</v>
      </c>
      <c r="O2857" s="246">
        <f t="shared" si="1106"/>
        <v>0.99470459518599563</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87">
        <v>26</v>
      </c>
      <c r="B2858" s="242">
        <f t="shared" si="1113"/>
        <v>46419</v>
      </c>
      <c r="C2858" s="243">
        <f t="shared" si="1094"/>
        <v>46446</v>
      </c>
      <c r="D2858" s="120">
        <f t="shared" si="1095"/>
        <v>28</v>
      </c>
      <c r="E2858" s="120">
        <f t="shared" si="1096"/>
        <v>2</v>
      </c>
      <c r="F2858" s="275">
        <f t="shared" si="1097"/>
        <v>46433</v>
      </c>
      <c r="G2858" s="120">
        <f t="shared" si="1098"/>
        <v>24325</v>
      </c>
      <c r="H2858" s="245">
        <f t="shared" si="1099"/>
        <v>1</v>
      </c>
      <c r="I2858" s="121">
        <f t="shared" si="1100"/>
        <v>1.03</v>
      </c>
      <c r="J2858" s="121">
        <f t="shared" si="1101"/>
        <v>1.03</v>
      </c>
      <c r="K2858" s="120">
        <f t="shared" si="1102"/>
        <v>0</v>
      </c>
      <c r="L2858" s="120">
        <f t="shared" si="1103"/>
        <v>0</v>
      </c>
      <c r="M2858" s="246">
        <f t="shared" si="1104"/>
        <v>0</v>
      </c>
      <c r="N2858" s="121">
        <f t="shared" si="1105"/>
        <v>1.03</v>
      </c>
      <c r="O2858" s="246">
        <f t="shared" si="1106"/>
        <v>0.99599562363238514</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87">
        <v>27</v>
      </c>
      <c r="B2859" s="242">
        <f t="shared" si="1113"/>
        <v>46447</v>
      </c>
      <c r="C2859" s="243">
        <f t="shared" si="1094"/>
        <v>46477</v>
      </c>
      <c r="D2859" s="120">
        <f t="shared" si="1095"/>
        <v>31</v>
      </c>
      <c r="E2859" s="120">
        <f t="shared" si="1096"/>
        <v>3</v>
      </c>
      <c r="F2859" s="275">
        <f t="shared" si="1097"/>
        <v>46462.5</v>
      </c>
      <c r="G2859" s="120">
        <f t="shared" si="1098"/>
        <v>24326</v>
      </c>
      <c r="H2859" s="245">
        <f t="shared" si="1099"/>
        <v>1</v>
      </c>
      <c r="I2859" s="121">
        <f t="shared" si="1100"/>
        <v>1.03</v>
      </c>
      <c r="J2859" s="121">
        <f t="shared" si="1101"/>
        <v>1.03</v>
      </c>
      <c r="K2859" s="120">
        <f t="shared" si="1102"/>
        <v>0</v>
      </c>
      <c r="L2859" s="120">
        <f t="shared" si="1103"/>
        <v>0</v>
      </c>
      <c r="M2859" s="246">
        <f t="shared" si="1104"/>
        <v>0</v>
      </c>
      <c r="N2859" s="121">
        <f t="shared" si="1105"/>
        <v>1.03</v>
      </c>
      <c r="O2859" s="246">
        <f t="shared" si="1106"/>
        <v>0.99728665207877465</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87">
        <v>28</v>
      </c>
      <c r="B2860" s="242">
        <f t="shared" si="1113"/>
        <v>46478</v>
      </c>
      <c r="C2860" s="243">
        <f t="shared" si="1094"/>
        <v>46507</v>
      </c>
      <c r="D2860" s="120">
        <f t="shared" si="1095"/>
        <v>30</v>
      </c>
      <c r="E2860" s="120">
        <f t="shared" si="1096"/>
        <v>4</v>
      </c>
      <c r="F2860" s="275">
        <f t="shared" si="1097"/>
        <v>46493</v>
      </c>
      <c r="G2860" s="120">
        <f t="shared" si="1098"/>
        <v>24327</v>
      </c>
      <c r="H2860" s="245">
        <f t="shared" si="1099"/>
        <v>1</v>
      </c>
      <c r="I2860" s="121">
        <f t="shared" si="1100"/>
        <v>1.03</v>
      </c>
      <c r="J2860" s="121">
        <f t="shared" si="1101"/>
        <v>1.03</v>
      </c>
      <c r="K2860" s="120">
        <f t="shared" si="1102"/>
        <v>0</v>
      </c>
      <c r="L2860" s="120">
        <f t="shared" si="1103"/>
        <v>0</v>
      </c>
      <c r="M2860" s="246">
        <f t="shared" si="1104"/>
        <v>0</v>
      </c>
      <c r="N2860" s="121">
        <f t="shared" si="1105"/>
        <v>1.03</v>
      </c>
      <c r="O2860" s="246">
        <f t="shared" si="1106"/>
        <v>0.99862144420131294</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87">
        <v>29</v>
      </c>
      <c r="B2861" s="242">
        <f t="shared" si="1113"/>
        <v>46508</v>
      </c>
      <c r="C2861" s="243">
        <f t="shared" si="1094"/>
        <v>46538</v>
      </c>
      <c r="D2861" s="120">
        <f t="shared" si="1095"/>
        <v>31</v>
      </c>
      <c r="E2861" s="120">
        <f t="shared" si="1096"/>
        <v>5</v>
      </c>
      <c r="F2861" s="275">
        <f t="shared" si="1097"/>
        <v>46523.5</v>
      </c>
      <c r="G2861" s="120">
        <f t="shared" si="1098"/>
        <v>24328</v>
      </c>
      <c r="H2861" s="245">
        <f t="shared" si="1099"/>
        <v>1</v>
      </c>
      <c r="I2861" s="121">
        <f t="shared" si="1100"/>
        <v>1.03</v>
      </c>
      <c r="J2861" s="121">
        <f t="shared" si="1101"/>
        <v>1.03</v>
      </c>
      <c r="K2861" s="120">
        <f t="shared" si="1102"/>
        <v>0</v>
      </c>
      <c r="L2861" s="120">
        <f t="shared" si="1103"/>
        <v>0</v>
      </c>
      <c r="M2861" s="246">
        <f t="shared" si="1104"/>
        <v>0</v>
      </c>
      <c r="N2861" s="121">
        <f t="shared" si="1105"/>
        <v>1.03</v>
      </c>
      <c r="O2861" s="246">
        <f t="shared" si="1106"/>
        <v>0.99995623632385122</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87">
        <v>30</v>
      </c>
      <c r="B2862" s="242">
        <f t="shared" si="1113"/>
        <v>46539</v>
      </c>
      <c r="C2862" s="243">
        <f t="shared" si="1094"/>
        <v>46568</v>
      </c>
      <c r="D2862" s="120">
        <f t="shared" si="1095"/>
        <v>30</v>
      </c>
      <c r="E2862" s="120">
        <f t="shared" si="1096"/>
        <v>6</v>
      </c>
      <c r="F2862" s="275">
        <f t="shared" si="1097"/>
        <v>46554</v>
      </c>
      <c r="G2862" s="120">
        <f t="shared" si="1098"/>
        <v>24329</v>
      </c>
      <c r="H2862" s="245">
        <f t="shared" si="1099"/>
        <v>1</v>
      </c>
      <c r="I2862" s="121">
        <f t="shared" si="1100"/>
        <v>1.03</v>
      </c>
      <c r="J2862" s="121">
        <f t="shared" si="1101"/>
        <v>1.03</v>
      </c>
      <c r="K2862" s="120">
        <f t="shared" si="1102"/>
        <v>0</v>
      </c>
      <c r="L2862" s="120">
        <f t="shared" si="1103"/>
        <v>0</v>
      </c>
      <c r="M2862" s="246">
        <f t="shared" si="1104"/>
        <v>0</v>
      </c>
      <c r="N2862" s="121">
        <f t="shared" si="1105"/>
        <v>1.03</v>
      </c>
      <c r="O2862" s="246">
        <f t="shared" si="1106"/>
        <v>1.0012910284463894</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87">
        <v>31</v>
      </c>
      <c r="B2863" s="242">
        <f t="shared" si="1113"/>
        <v>46569</v>
      </c>
      <c r="C2863" s="243">
        <f t="shared" si="1094"/>
        <v>46599</v>
      </c>
      <c r="D2863" s="120">
        <f t="shared" si="1095"/>
        <v>31</v>
      </c>
      <c r="E2863" s="120">
        <f t="shared" si="1096"/>
        <v>7</v>
      </c>
      <c r="F2863" s="275">
        <f t="shared" si="1097"/>
        <v>46584.5</v>
      </c>
      <c r="G2863" s="120">
        <f t="shared" si="1098"/>
        <v>24330</v>
      </c>
      <c r="H2863" s="245">
        <f t="shared" si="1099"/>
        <v>1</v>
      </c>
      <c r="I2863" s="121">
        <f t="shared" si="1100"/>
        <v>1.03</v>
      </c>
      <c r="J2863" s="121">
        <f t="shared" si="1101"/>
        <v>1.03</v>
      </c>
      <c r="K2863" s="120">
        <f t="shared" si="1102"/>
        <v>0</v>
      </c>
      <c r="L2863" s="120">
        <f t="shared" si="1103"/>
        <v>0</v>
      </c>
      <c r="M2863" s="246">
        <f t="shared" si="1104"/>
        <v>0</v>
      </c>
      <c r="N2863" s="121">
        <f t="shared" si="1105"/>
        <v>1.03</v>
      </c>
      <c r="O2863" s="246">
        <f t="shared" si="1106"/>
        <v>1.0026258205689278</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87">
        <v>32</v>
      </c>
      <c r="B2864" s="242">
        <f t="shared" si="1113"/>
        <v>46600</v>
      </c>
      <c r="C2864" s="243">
        <f t="shared" si="1094"/>
        <v>46630</v>
      </c>
      <c r="D2864" s="120">
        <f t="shared" si="1095"/>
        <v>31</v>
      </c>
      <c r="E2864" s="120">
        <f t="shared" si="1096"/>
        <v>8</v>
      </c>
      <c r="F2864" s="275">
        <f t="shared" si="1097"/>
        <v>46615.5</v>
      </c>
      <c r="G2864" s="120">
        <f t="shared" si="1098"/>
        <v>24331</v>
      </c>
      <c r="H2864" s="245">
        <f t="shared" si="1099"/>
        <v>1</v>
      </c>
      <c r="I2864" s="121">
        <f t="shared" si="1100"/>
        <v>1.03</v>
      </c>
      <c r="J2864" s="121">
        <f t="shared" si="1101"/>
        <v>1.03</v>
      </c>
      <c r="K2864" s="120">
        <f t="shared" si="1102"/>
        <v>0</v>
      </c>
      <c r="L2864" s="120">
        <f t="shared" si="1103"/>
        <v>0</v>
      </c>
      <c r="M2864" s="246">
        <f t="shared" si="1104"/>
        <v>0</v>
      </c>
      <c r="N2864" s="121">
        <f t="shared" si="1105"/>
        <v>1.03</v>
      </c>
      <c r="O2864" s="246">
        <f t="shared" si="1106"/>
        <v>1.0039824945295406</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87">
        <v>33</v>
      </c>
      <c r="B2865" s="242">
        <f t="shared" si="1113"/>
        <v>46631</v>
      </c>
      <c r="C2865" s="243">
        <f t="shared" si="1094"/>
        <v>46660</v>
      </c>
      <c r="D2865" s="120">
        <f t="shared" si="1095"/>
        <v>30</v>
      </c>
      <c r="E2865" s="120">
        <f t="shared" si="1096"/>
        <v>9</v>
      </c>
      <c r="F2865" s="275">
        <f t="shared" si="1097"/>
        <v>46646</v>
      </c>
      <c r="G2865" s="120">
        <f t="shared" si="1098"/>
        <v>24332</v>
      </c>
      <c r="H2865" s="245">
        <f t="shared" si="1099"/>
        <v>1</v>
      </c>
      <c r="I2865" s="121">
        <f t="shared" si="1100"/>
        <v>1.03</v>
      </c>
      <c r="J2865" s="121">
        <f t="shared" si="1101"/>
        <v>1.03</v>
      </c>
      <c r="K2865" s="120">
        <f t="shared" si="1102"/>
        <v>0</v>
      </c>
      <c r="L2865" s="120">
        <f t="shared" si="1103"/>
        <v>0</v>
      </c>
      <c r="M2865" s="246">
        <f t="shared" si="1104"/>
        <v>0</v>
      </c>
      <c r="N2865" s="121">
        <f t="shared" si="1105"/>
        <v>1.03</v>
      </c>
      <c r="O2865" s="246">
        <f t="shared" si="1106"/>
        <v>1.0053172866520788</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87">
        <v>34</v>
      </c>
      <c r="B2866" s="242">
        <f t="shared" si="1113"/>
        <v>46661</v>
      </c>
      <c r="C2866" s="243">
        <f t="shared" si="1094"/>
        <v>46691</v>
      </c>
      <c r="D2866" s="120">
        <f t="shared" si="1095"/>
        <v>31</v>
      </c>
      <c r="E2866" s="120">
        <f t="shared" si="1096"/>
        <v>10</v>
      </c>
      <c r="F2866" s="275">
        <f t="shared" si="1097"/>
        <v>46676.5</v>
      </c>
      <c r="G2866" s="120">
        <f t="shared" si="1098"/>
        <v>24333</v>
      </c>
      <c r="H2866" s="245">
        <f t="shared" si="1099"/>
        <v>1</v>
      </c>
      <c r="I2866" s="121">
        <f t="shared" si="1100"/>
        <v>1.03</v>
      </c>
      <c r="J2866" s="121">
        <f t="shared" si="1101"/>
        <v>1.03</v>
      </c>
      <c r="K2866" s="120">
        <f t="shared" si="1102"/>
        <v>0</v>
      </c>
      <c r="L2866" s="120">
        <f t="shared" si="1103"/>
        <v>0</v>
      </c>
      <c r="M2866" s="246">
        <f t="shared" si="1104"/>
        <v>0</v>
      </c>
      <c r="N2866" s="121">
        <f t="shared" si="1105"/>
        <v>1.03</v>
      </c>
      <c r="O2866" s="246">
        <f t="shared" si="1106"/>
        <v>1.0066520787746172</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87">
        <v>35</v>
      </c>
      <c r="B2867" s="242">
        <f t="shared" si="1113"/>
        <v>46692</v>
      </c>
      <c r="C2867" s="243">
        <f t="shared" si="1094"/>
        <v>46721</v>
      </c>
      <c r="D2867" s="120">
        <f t="shared" si="1095"/>
        <v>30</v>
      </c>
      <c r="E2867" s="120">
        <f t="shared" si="1096"/>
        <v>11</v>
      </c>
      <c r="F2867" s="275">
        <f t="shared" si="1097"/>
        <v>46707</v>
      </c>
      <c r="G2867" s="120">
        <f t="shared" si="1098"/>
        <v>24334</v>
      </c>
      <c r="H2867" s="245">
        <f t="shared" si="1099"/>
        <v>1</v>
      </c>
      <c r="I2867" s="121">
        <f t="shared" si="1100"/>
        <v>1.03</v>
      </c>
      <c r="J2867" s="121">
        <f t="shared" si="1101"/>
        <v>1.03</v>
      </c>
      <c r="K2867" s="120">
        <f t="shared" si="1102"/>
        <v>0</v>
      </c>
      <c r="L2867" s="120">
        <f t="shared" si="1103"/>
        <v>0</v>
      </c>
      <c r="M2867" s="246">
        <f t="shared" si="1104"/>
        <v>0</v>
      </c>
      <c r="N2867" s="121">
        <f t="shared" si="1105"/>
        <v>1.03</v>
      </c>
      <c r="O2867" s="246">
        <f t="shared" si="1106"/>
        <v>1.0079868708971553</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87">
        <v>36</v>
      </c>
      <c r="B2868" s="242">
        <f t="shared" si="1113"/>
        <v>46722</v>
      </c>
      <c r="C2868" s="243">
        <f t="shared" si="1094"/>
        <v>46752</v>
      </c>
      <c r="D2868" s="120">
        <f t="shared" si="1095"/>
        <v>31</v>
      </c>
      <c r="E2868" s="120">
        <f t="shared" si="1096"/>
        <v>12</v>
      </c>
      <c r="F2868" s="275">
        <f t="shared" si="1097"/>
        <v>46737.5</v>
      </c>
      <c r="G2868" s="120">
        <f t="shared" si="1098"/>
        <v>24335</v>
      </c>
      <c r="H2868" s="245">
        <f t="shared" si="1099"/>
        <v>1</v>
      </c>
      <c r="I2868" s="121">
        <f t="shared" si="1100"/>
        <v>1.03</v>
      </c>
      <c r="J2868" s="121">
        <f t="shared" si="1101"/>
        <v>1.03</v>
      </c>
      <c r="K2868" s="120">
        <f t="shared" si="1102"/>
        <v>0</v>
      </c>
      <c r="L2868" s="120">
        <f t="shared" si="1103"/>
        <v>0</v>
      </c>
      <c r="M2868" s="246">
        <f t="shared" si="1104"/>
        <v>0</v>
      </c>
      <c r="N2868" s="121">
        <f t="shared" si="1105"/>
        <v>1.03</v>
      </c>
      <c r="O2868" s="246">
        <f t="shared" si="1106"/>
        <v>1.0093216630196937</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87">
        <v>37</v>
      </c>
      <c r="B2869" s="242">
        <f t="shared" si="1113"/>
        <v>46753</v>
      </c>
      <c r="C2869" s="243">
        <f t="shared" si="1094"/>
        <v>46783</v>
      </c>
      <c r="D2869" s="120">
        <f t="shared" si="1095"/>
        <v>31</v>
      </c>
      <c r="E2869" s="120">
        <f t="shared" si="1096"/>
        <v>1</v>
      </c>
      <c r="F2869" s="275">
        <f t="shared" si="1097"/>
        <v>46768.5</v>
      </c>
      <c r="G2869" s="120">
        <f t="shared" si="1098"/>
        <v>24336</v>
      </c>
      <c r="H2869" s="245">
        <f t="shared" si="1099"/>
        <v>1</v>
      </c>
      <c r="I2869" s="121">
        <f t="shared" si="1100"/>
        <v>1.03</v>
      </c>
      <c r="J2869" s="121">
        <f t="shared" si="1101"/>
        <v>1.03</v>
      </c>
      <c r="K2869" s="120">
        <f t="shared" si="1102"/>
        <v>0</v>
      </c>
      <c r="L2869" s="120">
        <f t="shared" si="1103"/>
        <v>0</v>
      </c>
      <c r="M2869" s="246">
        <f t="shared" si="1104"/>
        <v>0</v>
      </c>
      <c r="N2869" s="121">
        <f t="shared" si="1105"/>
        <v>1.03</v>
      </c>
      <c r="O2869" s="246">
        <f t="shared" si="1106"/>
        <v>1.01</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87">
        <v>38</v>
      </c>
      <c r="B2870" s="242">
        <f t="shared" si="1113"/>
        <v>46784</v>
      </c>
      <c r="C2870" s="243">
        <f t="shared" si="1094"/>
        <v>46812</v>
      </c>
      <c r="D2870" s="120">
        <f t="shared" si="1095"/>
        <v>29</v>
      </c>
      <c r="E2870" s="120">
        <f t="shared" si="1096"/>
        <v>2</v>
      </c>
      <c r="F2870" s="275">
        <f t="shared" si="1097"/>
        <v>46798.5</v>
      </c>
      <c r="G2870" s="120">
        <f t="shared" si="1098"/>
        <v>24337</v>
      </c>
      <c r="H2870" s="245">
        <f t="shared" si="1099"/>
        <v>1</v>
      </c>
      <c r="I2870" s="121">
        <f t="shared" si="1100"/>
        <v>1.03</v>
      </c>
      <c r="J2870" s="121">
        <f t="shared" si="1101"/>
        <v>1.03</v>
      </c>
      <c r="K2870" s="120">
        <f t="shared" si="1102"/>
        <v>0</v>
      </c>
      <c r="L2870" s="120">
        <f t="shared" si="1103"/>
        <v>0</v>
      </c>
      <c r="M2870" s="246">
        <f t="shared" si="1104"/>
        <v>0</v>
      </c>
      <c r="N2870" s="121">
        <f t="shared" si="1105"/>
        <v>1.03</v>
      </c>
      <c r="O2870" s="246">
        <f t="shared" si="1106"/>
        <v>1.01</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87">
        <v>39</v>
      </c>
      <c r="B2871" s="242">
        <f t="shared" si="1113"/>
        <v>46813</v>
      </c>
      <c r="C2871" s="243">
        <f t="shared" si="1094"/>
        <v>46843</v>
      </c>
      <c r="D2871" s="120">
        <f t="shared" si="1095"/>
        <v>31</v>
      </c>
      <c r="E2871" s="120">
        <f t="shared" si="1096"/>
        <v>3</v>
      </c>
      <c r="F2871" s="275">
        <f t="shared" si="1097"/>
        <v>46828.5</v>
      </c>
      <c r="G2871" s="120">
        <f t="shared" si="1098"/>
        <v>24338</v>
      </c>
      <c r="H2871" s="245">
        <f t="shared" si="1099"/>
        <v>1</v>
      </c>
      <c r="I2871" s="121">
        <f t="shared" si="1100"/>
        <v>1.03</v>
      </c>
      <c r="J2871" s="121">
        <f t="shared" si="1101"/>
        <v>1.03</v>
      </c>
      <c r="K2871" s="120">
        <f t="shared" si="1102"/>
        <v>0</v>
      </c>
      <c r="L2871" s="120">
        <f t="shared" si="1103"/>
        <v>0</v>
      </c>
      <c r="M2871" s="246">
        <f t="shared" si="1104"/>
        <v>0</v>
      </c>
      <c r="N2871" s="121">
        <f t="shared" si="1105"/>
        <v>1.03</v>
      </c>
      <c r="O2871" s="246">
        <f t="shared" si="1106"/>
        <v>1.01</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87">
        <v>40</v>
      </c>
      <c r="B2872" s="242">
        <f t="shared" si="1113"/>
        <v>46844</v>
      </c>
      <c r="C2872" s="243">
        <f t="shared" si="1094"/>
        <v>46873</v>
      </c>
      <c r="D2872" s="120">
        <f t="shared" si="1095"/>
        <v>30</v>
      </c>
      <c r="E2872" s="120">
        <f t="shared" si="1096"/>
        <v>4</v>
      </c>
      <c r="F2872" s="275">
        <f t="shared" si="1097"/>
        <v>46859</v>
      </c>
      <c r="G2872" s="120">
        <f t="shared" si="1098"/>
        <v>24339</v>
      </c>
      <c r="H2872" s="245">
        <f t="shared" si="1099"/>
        <v>1</v>
      </c>
      <c r="I2872" s="121">
        <f t="shared" si="1100"/>
        <v>1.03</v>
      </c>
      <c r="J2872" s="121">
        <f t="shared" si="1101"/>
        <v>1.03</v>
      </c>
      <c r="K2872" s="120">
        <f t="shared" si="1102"/>
        <v>0</v>
      </c>
      <c r="L2872" s="120">
        <f t="shared" si="1103"/>
        <v>0</v>
      </c>
      <c r="M2872" s="246">
        <f t="shared" si="1104"/>
        <v>0</v>
      </c>
      <c r="N2872" s="121">
        <f t="shared" si="1105"/>
        <v>1.03</v>
      </c>
      <c r="O2872" s="246">
        <f t="shared" si="1106"/>
        <v>1.01</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87">
        <v>41</v>
      </c>
      <c r="B2873" s="242">
        <f t="shared" si="1113"/>
        <v>46874</v>
      </c>
      <c r="C2873" s="243">
        <f t="shared" si="1094"/>
        <v>46904</v>
      </c>
      <c r="D2873" s="120">
        <f t="shared" si="1095"/>
        <v>31</v>
      </c>
      <c r="E2873" s="120">
        <f t="shared" si="1096"/>
        <v>5</v>
      </c>
      <c r="F2873" s="275">
        <f t="shared" si="1097"/>
        <v>46889.5</v>
      </c>
      <c r="G2873" s="120">
        <f t="shared" si="1098"/>
        <v>24340</v>
      </c>
      <c r="H2873" s="245">
        <f t="shared" si="1099"/>
        <v>1</v>
      </c>
      <c r="I2873" s="121">
        <f t="shared" si="1100"/>
        <v>1.03</v>
      </c>
      <c r="J2873" s="121">
        <f t="shared" si="1101"/>
        <v>1.03</v>
      </c>
      <c r="K2873" s="120">
        <f t="shared" si="1102"/>
        <v>0</v>
      </c>
      <c r="L2873" s="120">
        <f t="shared" si="1103"/>
        <v>0</v>
      </c>
      <c r="M2873" s="246">
        <f t="shared" si="1104"/>
        <v>0</v>
      </c>
      <c r="N2873" s="121">
        <f t="shared" si="1105"/>
        <v>1.03</v>
      </c>
      <c r="O2873" s="246">
        <f t="shared" si="1106"/>
        <v>1.01</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87">
        <v>42</v>
      </c>
      <c r="B2874" s="242">
        <f t="shared" si="1113"/>
        <v>46905</v>
      </c>
      <c r="C2874" s="243">
        <f t="shared" si="1094"/>
        <v>46934</v>
      </c>
      <c r="D2874" s="120">
        <f t="shared" si="1095"/>
        <v>30</v>
      </c>
      <c r="E2874" s="120">
        <f t="shared" si="1096"/>
        <v>6</v>
      </c>
      <c r="F2874" s="275">
        <f t="shared" si="1097"/>
        <v>46920</v>
      </c>
      <c r="G2874" s="120">
        <f t="shared" si="1098"/>
        <v>24341</v>
      </c>
      <c r="H2874" s="245">
        <f t="shared" si="1099"/>
        <v>1</v>
      </c>
      <c r="I2874" s="121">
        <f t="shared" si="1100"/>
        <v>1.03</v>
      </c>
      <c r="J2874" s="121">
        <f t="shared" si="1101"/>
        <v>1.03</v>
      </c>
      <c r="K2874" s="120">
        <f t="shared" si="1102"/>
        <v>0</v>
      </c>
      <c r="L2874" s="120">
        <f t="shared" si="1103"/>
        <v>0</v>
      </c>
      <c r="M2874" s="246">
        <f t="shared" si="1104"/>
        <v>0</v>
      </c>
      <c r="N2874" s="121">
        <f t="shared" si="1105"/>
        <v>1.03</v>
      </c>
      <c r="O2874" s="246">
        <f t="shared" si="1106"/>
        <v>1.01</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87">
        <v>43</v>
      </c>
      <c r="B2875" s="242">
        <f t="shared" si="1113"/>
        <v>46935</v>
      </c>
      <c r="C2875" s="243">
        <f t="shared" si="1094"/>
        <v>46965</v>
      </c>
      <c r="D2875" s="120">
        <f t="shared" si="1095"/>
        <v>31</v>
      </c>
      <c r="E2875" s="120">
        <f t="shared" si="1096"/>
        <v>7</v>
      </c>
      <c r="F2875" s="275">
        <f t="shared" si="1097"/>
        <v>46950.5</v>
      </c>
      <c r="G2875" s="120">
        <f t="shared" si="1098"/>
        <v>24342</v>
      </c>
      <c r="H2875" s="245">
        <f t="shared" si="1099"/>
        <v>1</v>
      </c>
      <c r="I2875" s="121">
        <f t="shared" si="1100"/>
        <v>1.03</v>
      </c>
      <c r="J2875" s="121">
        <f t="shared" si="1101"/>
        <v>1.03</v>
      </c>
      <c r="K2875" s="120">
        <f t="shared" si="1102"/>
        <v>0</v>
      </c>
      <c r="L2875" s="120">
        <f t="shared" si="1103"/>
        <v>0</v>
      </c>
      <c r="M2875" s="246">
        <f t="shared" si="1104"/>
        <v>0</v>
      </c>
      <c r="N2875" s="121">
        <f t="shared" si="1105"/>
        <v>1.03</v>
      </c>
      <c r="O2875" s="246">
        <f t="shared" si="1106"/>
        <v>1.01</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87">
        <v>44</v>
      </c>
      <c r="B2876" s="242">
        <f t="shared" si="1113"/>
        <v>46966</v>
      </c>
      <c r="C2876" s="243">
        <f t="shared" si="1094"/>
        <v>46996</v>
      </c>
      <c r="D2876" s="120">
        <f t="shared" si="1095"/>
        <v>31</v>
      </c>
      <c r="E2876" s="120">
        <f t="shared" si="1096"/>
        <v>8</v>
      </c>
      <c r="F2876" s="275">
        <f t="shared" si="1097"/>
        <v>46981.5</v>
      </c>
      <c r="G2876" s="120">
        <f t="shared" si="1098"/>
        <v>24343</v>
      </c>
      <c r="H2876" s="245">
        <f t="shared" si="1099"/>
        <v>1</v>
      </c>
      <c r="I2876" s="121">
        <f t="shared" si="1100"/>
        <v>1.03</v>
      </c>
      <c r="J2876" s="121">
        <f t="shared" si="1101"/>
        <v>1.03</v>
      </c>
      <c r="K2876" s="120">
        <f t="shared" si="1102"/>
        <v>0</v>
      </c>
      <c r="L2876" s="120">
        <f t="shared" si="1103"/>
        <v>0</v>
      </c>
      <c r="M2876" s="246">
        <f t="shared" si="1104"/>
        <v>0</v>
      </c>
      <c r="N2876" s="121">
        <f t="shared" si="1105"/>
        <v>1.03</v>
      </c>
      <c r="O2876" s="246">
        <f t="shared" si="1106"/>
        <v>1.01</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87">
        <v>45</v>
      </c>
      <c r="B2877" s="242">
        <f t="shared" si="1113"/>
        <v>46997</v>
      </c>
      <c r="C2877" s="243">
        <f t="shared" si="1094"/>
        <v>47026</v>
      </c>
      <c r="D2877" s="120">
        <f t="shared" si="1095"/>
        <v>30</v>
      </c>
      <c r="E2877" s="120">
        <f t="shared" si="1096"/>
        <v>9</v>
      </c>
      <c r="F2877" s="275">
        <f t="shared" si="1097"/>
        <v>47012</v>
      </c>
      <c r="G2877" s="120">
        <f t="shared" si="1098"/>
        <v>24344</v>
      </c>
      <c r="H2877" s="245">
        <f t="shared" si="1099"/>
        <v>1</v>
      </c>
      <c r="I2877" s="121">
        <f t="shared" si="1100"/>
        <v>1.03</v>
      </c>
      <c r="J2877" s="121">
        <f t="shared" si="1101"/>
        <v>1.03</v>
      </c>
      <c r="K2877" s="120">
        <f t="shared" si="1102"/>
        <v>0</v>
      </c>
      <c r="L2877" s="120">
        <f t="shared" si="1103"/>
        <v>0</v>
      </c>
      <c r="M2877" s="246">
        <f t="shared" si="1104"/>
        <v>0</v>
      </c>
      <c r="N2877" s="121">
        <f t="shared" si="1105"/>
        <v>1.03</v>
      </c>
      <c r="O2877" s="246">
        <f t="shared" si="1106"/>
        <v>1.01</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87">
        <v>46</v>
      </c>
      <c r="B2878" s="242">
        <f t="shared" si="1113"/>
        <v>47027</v>
      </c>
      <c r="C2878" s="243">
        <f t="shared" si="1094"/>
        <v>47057</v>
      </c>
      <c r="D2878" s="120">
        <f t="shared" si="1095"/>
        <v>31</v>
      </c>
      <c r="E2878" s="120">
        <f t="shared" si="1096"/>
        <v>10</v>
      </c>
      <c r="F2878" s="275">
        <f t="shared" si="1097"/>
        <v>47042.5</v>
      </c>
      <c r="G2878" s="120">
        <f t="shared" si="1098"/>
        <v>24345</v>
      </c>
      <c r="H2878" s="245">
        <f t="shared" si="1099"/>
        <v>1</v>
      </c>
      <c r="I2878" s="121">
        <f t="shared" si="1100"/>
        <v>1.03</v>
      </c>
      <c r="J2878" s="121">
        <f t="shared" si="1101"/>
        <v>1.03</v>
      </c>
      <c r="K2878" s="120">
        <f t="shared" si="1102"/>
        <v>0</v>
      </c>
      <c r="L2878" s="120">
        <f t="shared" si="1103"/>
        <v>0</v>
      </c>
      <c r="M2878" s="246">
        <f t="shared" si="1104"/>
        <v>0</v>
      </c>
      <c r="N2878" s="121">
        <f t="shared" si="1105"/>
        <v>1.03</v>
      </c>
      <c r="O2878" s="246">
        <f t="shared" si="1106"/>
        <v>1.01</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87">
        <v>47</v>
      </c>
      <c r="B2879" s="242">
        <f t="shared" si="1113"/>
        <v>47058</v>
      </c>
      <c r="C2879" s="243">
        <f t="shared" si="1094"/>
        <v>47087</v>
      </c>
      <c r="D2879" s="120">
        <f t="shared" si="1095"/>
        <v>30</v>
      </c>
      <c r="E2879" s="120">
        <f t="shared" si="1096"/>
        <v>11</v>
      </c>
      <c r="F2879" s="275">
        <f t="shared" si="1097"/>
        <v>47073</v>
      </c>
      <c r="G2879" s="120">
        <f t="shared" si="1098"/>
        <v>24346</v>
      </c>
      <c r="H2879" s="245">
        <f t="shared" si="1099"/>
        <v>1</v>
      </c>
      <c r="I2879" s="121">
        <f t="shared" si="1100"/>
        <v>1.03</v>
      </c>
      <c r="J2879" s="121">
        <f t="shared" si="1101"/>
        <v>1.03</v>
      </c>
      <c r="K2879" s="120">
        <f t="shared" si="1102"/>
        <v>0</v>
      </c>
      <c r="L2879" s="120">
        <f t="shared" si="1103"/>
        <v>0</v>
      </c>
      <c r="M2879" s="246">
        <f t="shared" si="1104"/>
        <v>0</v>
      </c>
      <c r="N2879" s="121">
        <f t="shared" si="1105"/>
        <v>1.03</v>
      </c>
      <c r="O2879" s="246">
        <f t="shared" si="1106"/>
        <v>1.01</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87">
        <v>48</v>
      </c>
      <c r="B2880" s="242">
        <f t="shared" si="1113"/>
        <v>47088</v>
      </c>
      <c r="C2880" s="243">
        <f t="shared" si="1094"/>
        <v>47118</v>
      </c>
      <c r="D2880" s="120">
        <f t="shared" si="1095"/>
        <v>31</v>
      </c>
      <c r="E2880" s="120">
        <f t="shared" si="1096"/>
        <v>12</v>
      </c>
      <c r="F2880" s="275">
        <f t="shared" si="1097"/>
        <v>47103.5</v>
      </c>
      <c r="G2880" s="120">
        <f t="shared" si="1098"/>
        <v>24347</v>
      </c>
      <c r="H2880" s="245">
        <f t="shared" si="1099"/>
        <v>1</v>
      </c>
      <c r="I2880" s="121">
        <f t="shared" si="1100"/>
        <v>1.03</v>
      </c>
      <c r="J2880" s="121">
        <f t="shared" si="1101"/>
        <v>1.03</v>
      </c>
      <c r="K2880" s="120">
        <f t="shared" si="1102"/>
        <v>0</v>
      </c>
      <c r="L2880" s="120">
        <f t="shared" si="1103"/>
        <v>0</v>
      </c>
      <c r="M2880" s="246">
        <f t="shared" si="1104"/>
        <v>0</v>
      </c>
      <c r="N2880" s="121">
        <f t="shared" si="1105"/>
        <v>1.03</v>
      </c>
      <c r="O2880" s="246">
        <f t="shared" si="1106"/>
        <v>1.01</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1651</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24">
        <f>SUMPRODUCT($H$2833:$H$2880,$Q$2833:$Q$2880,$O$2833:$O$2880)/SUMPRODUCT($H$2833:$H$2880,$Q$2833:$Q$2880)</f>
        <v>0.99399161196207142</v>
      </c>
      <c r="G2881" s="224">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24">
        <f>IF(N(INDEX(lr_mind,53))=0,1,INDEX(lr_mind,53))</f>
        <v>1</v>
      </c>
      <c r="G2884" s="224">
        <f>IF(N(INDEX(lr_m0,53))=0,1,INDEX(lr_m0,53))</f>
        <v>0.99</v>
      </c>
      <c r="H2884" s="74">
        <f>IF(N(INDEX(lr_m0asof,53))=0,DATE(nr_PlanYear-1,10,1),INDEX(lr_m0asof,53))</f>
        <v>46295</v>
      </c>
      <c r="I2884" s="224">
        <f>IF(N(INDEX(lr_m1,53))=0,1,INDEX(lr_m1,53))</f>
        <v>0.99</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114">EOMONTH($B2887,0)</f>
        <v>45688</v>
      </c>
      <c r="D2887" s="120">
        <f t="shared" ref="D2887:D2934" si="1115">$C2887-$B2887+1</f>
        <v>31</v>
      </c>
      <c r="E2887" s="120">
        <f t="shared" ref="E2887:E2934" si="1116">MONTH($B2887)</f>
        <v>1</v>
      </c>
      <c r="F2887" s="275">
        <f t="shared" ref="F2887:F2934" si="1117">($B2887+$C2887+1)/2</f>
        <v>45673.5</v>
      </c>
      <c r="G2887" s="120">
        <f t="shared" ref="G2887:G2934" si="1118">YEAR($B2887)*12+MONTH($B2887)-1</f>
        <v>24300</v>
      </c>
      <c r="H2887" s="245">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46">
        <f t="shared" ref="M2887:M2934" si="1124">IF($K2887=0,0,MIN(1,$L2887/$D2887))</f>
        <v>0</v>
      </c>
      <c r="N2887" s="121">
        <f t="shared" ref="N2887:N2934" si="1125">IF($K2887=0,$J2887,(1-$M2887)*$I2887+$M2887*$J2887)</f>
        <v>1</v>
      </c>
      <c r="O2887" s="246">
        <f t="shared" ref="O2887:O2934" si="1126">IF($F2887&lt;$B$2885,$E$2885+$I$2885*($F2887-$A$2885),IF($F2887&lt;$C$2885,$F$2885+$J$2885*($F2887-$B$2885),$G$2885+$K$2885*($F2887-$C$2885)))</f>
        <v>0.99</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87">
        <v>2</v>
      </c>
      <c r="B2888" s="242">
        <f t="shared" ref="B2888:B2934" si="1133">EDATE($B2887,1)</f>
        <v>45689</v>
      </c>
      <c r="C2888" s="243">
        <f t="shared" si="1114"/>
        <v>45716</v>
      </c>
      <c r="D2888" s="120">
        <f t="shared" si="1115"/>
        <v>28</v>
      </c>
      <c r="E2888" s="120">
        <f t="shared" si="1116"/>
        <v>2</v>
      </c>
      <c r="F2888" s="275">
        <f t="shared" si="1117"/>
        <v>45703</v>
      </c>
      <c r="G2888" s="120">
        <f t="shared" si="1118"/>
        <v>24301</v>
      </c>
      <c r="H2888" s="245">
        <f t="shared" si="1119"/>
        <v>1</v>
      </c>
      <c r="I2888" s="121">
        <f t="shared" si="1120"/>
        <v>1</v>
      </c>
      <c r="J2888" s="121">
        <f t="shared" si="1121"/>
        <v>1</v>
      </c>
      <c r="K2888" s="120">
        <f t="shared" si="1122"/>
        <v>0</v>
      </c>
      <c r="L2888" s="120">
        <f t="shared" si="1123"/>
        <v>0</v>
      </c>
      <c r="M2888" s="246">
        <f t="shared" si="1124"/>
        <v>0</v>
      </c>
      <c r="N2888" s="121">
        <f t="shared" si="1125"/>
        <v>1</v>
      </c>
      <c r="O2888" s="246">
        <f t="shared" si="1126"/>
        <v>0.99</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87">
        <v>3</v>
      </c>
      <c r="B2889" s="242">
        <f t="shared" si="1133"/>
        <v>45717</v>
      </c>
      <c r="C2889" s="243">
        <f t="shared" si="1114"/>
        <v>45747</v>
      </c>
      <c r="D2889" s="120">
        <f t="shared" si="1115"/>
        <v>31</v>
      </c>
      <c r="E2889" s="120">
        <f t="shared" si="1116"/>
        <v>3</v>
      </c>
      <c r="F2889" s="275">
        <f t="shared" si="1117"/>
        <v>45732.5</v>
      </c>
      <c r="G2889" s="120">
        <f t="shared" si="1118"/>
        <v>24302</v>
      </c>
      <c r="H2889" s="245">
        <f t="shared" si="1119"/>
        <v>1</v>
      </c>
      <c r="I2889" s="121">
        <f t="shared" si="1120"/>
        <v>1</v>
      </c>
      <c r="J2889" s="121">
        <f t="shared" si="1121"/>
        <v>1</v>
      </c>
      <c r="K2889" s="120">
        <f t="shared" si="1122"/>
        <v>0</v>
      </c>
      <c r="L2889" s="120">
        <f t="shared" si="1123"/>
        <v>0</v>
      </c>
      <c r="M2889" s="246">
        <f t="shared" si="1124"/>
        <v>0</v>
      </c>
      <c r="N2889" s="121">
        <f t="shared" si="1125"/>
        <v>1</v>
      </c>
      <c r="O2889" s="246">
        <f t="shared" si="1126"/>
        <v>0.99</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87">
        <v>4</v>
      </c>
      <c r="B2890" s="242">
        <f t="shared" si="1133"/>
        <v>45748</v>
      </c>
      <c r="C2890" s="243">
        <f t="shared" si="1114"/>
        <v>45777</v>
      </c>
      <c r="D2890" s="120">
        <f t="shared" si="1115"/>
        <v>30</v>
      </c>
      <c r="E2890" s="120">
        <f t="shared" si="1116"/>
        <v>4</v>
      </c>
      <c r="F2890" s="275">
        <f t="shared" si="1117"/>
        <v>45763</v>
      </c>
      <c r="G2890" s="120">
        <f t="shared" si="1118"/>
        <v>24303</v>
      </c>
      <c r="H2890" s="245">
        <f t="shared" si="1119"/>
        <v>1</v>
      </c>
      <c r="I2890" s="121">
        <f t="shared" si="1120"/>
        <v>1</v>
      </c>
      <c r="J2890" s="121">
        <f t="shared" si="1121"/>
        <v>1</v>
      </c>
      <c r="K2890" s="120">
        <f t="shared" si="1122"/>
        <v>0</v>
      </c>
      <c r="L2890" s="120">
        <f t="shared" si="1123"/>
        <v>0</v>
      </c>
      <c r="M2890" s="246">
        <f t="shared" si="1124"/>
        <v>0</v>
      </c>
      <c r="N2890" s="121">
        <f t="shared" si="1125"/>
        <v>1</v>
      </c>
      <c r="O2890" s="246">
        <f t="shared" si="1126"/>
        <v>0.99</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87">
        <v>5</v>
      </c>
      <c r="B2891" s="242">
        <f t="shared" si="1133"/>
        <v>45778</v>
      </c>
      <c r="C2891" s="243">
        <f t="shared" si="1114"/>
        <v>45808</v>
      </c>
      <c r="D2891" s="120">
        <f t="shared" si="1115"/>
        <v>31</v>
      </c>
      <c r="E2891" s="120">
        <f t="shared" si="1116"/>
        <v>5</v>
      </c>
      <c r="F2891" s="275">
        <f t="shared" si="1117"/>
        <v>45793.5</v>
      </c>
      <c r="G2891" s="120">
        <f t="shared" si="1118"/>
        <v>24304</v>
      </c>
      <c r="H2891" s="245">
        <f t="shared" si="1119"/>
        <v>1</v>
      </c>
      <c r="I2891" s="121">
        <f t="shared" si="1120"/>
        <v>1</v>
      </c>
      <c r="J2891" s="121">
        <f t="shared" si="1121"/>
        <v>1</v>
      </c>
      <c r="K2891" s="120">
        <f t="shared" si="1122"/>
        <v>0</v>
      </c>
      <c r="L2891" s="120">
        <f t="shared" si="1123"/>
        <v>0</v>
      </c>
      <c r="M2891" s="246">
        <f t="shared" si="1124"/>
        <v>0</v>
      </c>
      <c r="N2891" s="121">
        <f t="shared" si="1125"/>
        <v>1</v>
      </c>
      <c r="O2891" s="246">
        <f t="shared" si="1126"/>
        <v>0.99</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87">
        <v>6</v>
      </c>
      <c r="B2892" s="242">
        <f t="shared" si="1133"/>
        <v>45809</v>
      </c>
      <c r="C2892" s="243">
        <f t="shared" si="1114"/>
        <v>45838</v>
      </c>
      <c r="D2892" s="120">
        <f t="shared" si="1115"/>
        <v>30</v>
      </c>
      <c r="E2892" s="120">
        <f t="shared" si="1116"/>
        <v>6</v>
      </c>
      <c r="F2892" s="275">
        <f t="shared" si="1117"/>
        <v>45824</v>
      </c>
      <c r="G2892" s="120">
        <f t="shared" si="1118"/>
        <v>24305</v>
      </c>
      <c r="H2892" s="245">
        <f t="shared" si="1119"/>
        <v>1</v>
      </c>
      <c r="I2892" s="121">
        <f t="shared" si="1120"/>
        <v>1</v>
      </c>
      <c r="J2892" s="121">
        <f t="shared" si="1121"/>
        <v>1</v>
      </c>
      <c r="K2892" s="120">
        <f t="shared" si="1122"/>
        <v>0</v>
      </c>
      <c r="L2892" s="120">
        <f t="shared" si="1123"/>
        <v>0</v>
      </c>
      <c r="M2892" s="246">
        <f t="shared" si="1124"/>
        <v>0</v>
      </c>
      <c r="N2892" s="121">
        <f t="shared" si="1125"/>
        <v>1</v>
      </c>
      <c r="O2892" s="246">
        <f t="shared" si="1126"/>
        <v>0.99</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87">
        <v>7</v>
      </c>
      <c r="B2893" s="242">
        <f t="shared" si="1133"/>
        <v>45839</v>
      </c>
      <c r="C2893" s="243">
        <f t="shared" si="1114"/>
        <v>45869</v>
      </c>
      <c r="D2893" s="120">
        <f t="shared" si="1115"/>
        <v>31</v>
      </c>
      <c r="E2893" s="120">
        <f t="shared" si="1116"/>
        <v>7</v>
      </c>
      <c r="F2893" s="275">
        <f t="shared" si="1117"/>
        <v>45854.5</v>
      </c>
      <c r="G2893" s="120">
        <f t="shared" si="1118"/>
        <v>24306</v>
      </c>
      <c r="H2893" s="245">
        <f t="shared" si="1119"/>
        <v>1</v>
      </c>
      <c r="I2893" s="121">
        <f t="shared" si="1120"/>
        <v>1</v>
      </c>
      <c r="J2893" s="121">
        <f t="shared" si="1121"/>
        <v>1</v>
      </c>
      <c r="K2893" s="120">
        <f t="shared" si="1122"/>
        <v>0</v>
      </c>
      <c r="L2893" s="120">
        <f t="shared" si="1123"/>
        <v>0</v>
      </c>
      <c r="M2893" s="246">
        <f t="shared" si="1124"/>
        <v>0</v>
      </c>
      <c r="N2893" s="121">
        <f t="shared" si="1125"/>
        <v>1</v>
      </c>
      <c r="O2893" s="246">
        <f t="shared" si="1126"/>
        <v>0.99</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87">
        <v>8</v>
      </c>
      <c r="B2894" s="242">
        <f t="shared" si="1133"/>
        <v>45870</v>
      </c>
      <c r="C2894" s="243">
        <f t="shared" si="1114"/>
        <v>45900</v>
      </c>
      <c r="D2894" s="120">
        <f t="shared" si="1115"/>
        <v>31</v>
      </c>
      <c r="E2894" s="120">
        <f t="shared" si="1116"/>
        <v>8</v>
      </c>
      <c r="F2894" s="275">
        <f t="shared" si="1117"/>
        <v>45885.5</v>
      </c>
      <c r="G2894" s="120">
        <f t="shared" si="1118"/>
        <v>24307</v>
      </c>
      <c r="H2894" s="245">
        <f t="shared" si="1119"/>
        <v>1</v>
      </c>
      <c r="I2894" s="121">
        <f t="shared" si="1120"/>
        <v>1</v>
      </c>
      <c r="J2894" s="121">
        <f t="shared" si="1121"/>
        <v>1</v>
      </c>
      <c r="K2894" s="120">
        <f t="shared" si="1122"/>
        <v>0</v>
      </c>
      <c r="L2894" s="120">
        <f t="shared" si="1123"/>
        <v>0</v>
      </c>
      <c r="M2894" s="246">
        <f t="shared" si="1124"/>
        <v>0</v>
      </c>
      <c r="N2894" s="121">
        <f t="shared" si="1125"/>
        <v>1</v>
      </c>
      <c r="O2894" s="246">
        <f t="shared" si="1126"/>
        <v>0.99</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87">
        <v>9</v>
      </c>
      <c r="B2895" s="242">
        <f t="shared" si="1133"/>
        <v>45901</v>
      </c>
      <c r="C2895" s="243">
        <f t="shared" si="1114"/>
        <v>45930</v>
      </c>
      <c r="D2895" s="120">
        <f t="shared" si="1115"/>
        <v>30</v>
      </c>
      <c r="E2895" s="120">
        <f t="shared" si="1116"/>
        <v>9</v>
      </c>
      <c r="F2895" s="275">
        <f t="shared" si="1117"/>
        <v>45916</v>
      </c>
      <c r="G2895" s="120">
        <f t="shared" si="1118"/>
        <v>24308</v>
      </c>
      <c r="H2895" s="245">
        <f t="shared" si="1119"/>
        <v>1</v>
      </c>
      <c r="I2895" s="121">
        <f t="shared" si="1120"/>
        <v>1</v>
      </c>
      <c r="J2895" s="121">
        <f t="shared" si="1121"/>
        <v>1</v>
      </c>
      <c r="K2895" s="120">
        <f t="shared" si="1122"/>
        <v>0</v>
      </c>
      <c r="L2895" s="120">
        <f t="shared" si="1123"/>
        <v>0</v>
      </c>
      <c r="M2895" s="246">
        <f t="shared" si="1124"/>
        <v>0</v>
      </c>
      <c r="N2895" s="121">
        <f t="shared" si="1125"/>
        <v>1</v>
      </c>
      <c r="O2895" s="246">
        <f t="shared" si="1126"/>
        <v>0.99</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87">
        <v>10</v>
      </c>
      <c r="B2896" s="242">
        <f t="shared" si="1133"/>
        <v>45931</v>
      </c>
      <c r="C2896" s="243">
        <f t="shared" si="1114"/>
        <v>45961</v>
      </c>
      <c r="D2896" s="120">
        <f t="shared" si="1115"/>
        <v>31</v>
      </c>
      <c r="E2896" s="120">
        <f t="shared" si="1116"/>
        <v>10</v>
      </c>
      <c r="F2896" s="275">
        <f t="shared" si="1117"/>
        <v>45946.5</v>
      </c>
      <c r="G2896" s="120">
        <f t="shared" si="1118"/>
        <v>24309</v>
      </c>
      <c r="H2896" s="245">
        <f t="shared" si="1119"/>
        <v>1</v>
      </c>
      <c r="I2896" s="121">
        <f t="shared" si="1120"/>
        <v>1</v>
      </c>
      <c r="J2896" s="121">
        <f t="shared" si="1121"/>
        <v>1</v>
      </c>
      <c r="K2896" s="120">
        <f t="shared" si="1122"/>
        <v>0</v>
      </c>
      <c r="L2896" s="120">
        <f t="shared" si="1123"/>
        <v>0</v>
      </c>
      <c r="M2896" s="246">
        <f t="shared" si="1124"/>
        <v>0</v>
      </c>
      <c r="N2896" s="121">
        <f t="shared" si="1125"/>
        <v>1</v>
      </c>
      <c r="O2896" s="246">
        <f t="shared" si="1126"/>
        <v>0.99</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87">
        <v>11</v>
      </c>
      <c r="B2897" s="242">
        <f t="shared" si="1133"/>
        <v>45962</v>
      </c>
      <c r="C2897" s="243">
        <f t="shared" si="1114"/>
        <v>45991</v>
      </c>
      <c r="D2897" s="120">
        <f t="shared" si="1115"/>
        <v>30</v>
      </c>
      <c r="E2897" s="120">
        <f t="shared" si="1116"/>
        <v>11</v>
      </c>
      <c r="F2897" s="275">
        <f t="shared" si="1117"/>
        <v>45977</v>
      </c>
      <c r="G2897" s="120">
        <f t="shared" si="1118"/>
        <v>24310</v>
      </c>
      <c r="H2897" s="245">
        <f t="shared" si="1119"/>
        <v>1</v>
      </c>
      <c r="I2897" s="121">
        <f t="shared" si="1120"/>
        <v>1</v>
      </c>
      <c r="J2897" s="121">
        <f t="shared" si="1121"/>
        <v>1</v>
      </c>
      <c r="K2897" s="120">
        <f t="shared" si="1122"/>
        <v>0</v>
      </c>
      <c r="L2897" s="120">
        <f t="shared" si="1123"/>
        <v>0</v>
      </c>
      <c r="M2897" s="246">
        <f t="shared" si="1124"/>
        <v>0</v>
      </c>
      <c r="N2897" s="121">
        <f t="shared" si="1125"/>
        <v>1</v>
      </c>
      <c r="O2897" s="246">
        <f t="shared" si="1126"/>
        <v>0.99</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87">
        <v>12</v>
      </c>
      <c r="B2898" s="242">
        <f t="shared" si="1133"/>
        <v>45992</v>
      </c>
      <c r="C2898" s="243">
        <f t="shared" si="1114"/>
        <v>46022</v>
      </c>
      <c r="D2898" s="120">
        <f t="shared" si="1115"/>
        <v>31</v>
      </c>
      <c r="E2898" s="120">
        <f t="shared" si="1116"/>
        <v>12</v>
      </c>
      <c r="F2898" s="275">
        <f t="shared" si="1117"/>
        <v>46007.5</v>
      </c>
      <c r="G2898" s="120">
        <f t="shared" si="1118"/>
        <v>24311</v>
      </c>
      <c r="H2898" s="245">
        <f t="shared" si="1119"/>
        <v>1</v>
      </c>
      <c r="I2898" s="121">
        <f t="shared" si="1120"/>
        <v>1</v>
      </c>
      <c r="J2898" s="121">
        <f t="shared" si="1121"/>
        <v>1</v>
      </c>
      <c r="K2898" s="120">
        <f t="shared" si="1122"/>
        <v>0</v>
      </c>
      <c r="L2898" s="120">
        <f t="shared" si="1123"/>
        <v>0</v>
      </c>
      <c r="M2898" s="246">
        <f t="shared" si="1124"/>
        <v>0</v>
      </c>
      <c r="N2898" s="121">
        <f t="shared" si="1125"/>
        <v>1</v>
      </c>
      <c r="O2898" s="246">
        <f t="shared" si="1126"/>
        <v>0.99</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87">
        <v>13</v>
      </c>
      <c r="B2899" s="242">
        <f t="shared" si="1133"/>
        <v>46023</v>
      </c>
      <c r="C2899" s="243">
        <f t="shared" si="1114"/>
        <v>46053</v>
      </c>
      <c r="D2899" s="120">
        <f t="shared" si="1115"/>
        <v>31</v>
      </c>
      <c r="E2899" s="120">
        <f t="shared" si="1116"/>
        <v>1</v>
      </c>
      <c r="F2899" s="275">
        <f t="shared" si="1117"/>
        <v>46038.5</v>
      </c>
      <c r="G2899" s="120">
        <f t="shared" si="1118"/>
        <v>24312</v>
      </c>
      <c r="H2899" s="245">
        <f t="shared" si="1119"/>
        <v>1</v>
      </c>
      <c r="I2899" s="121">
        <f t="shared" si="1120"/>
        <v>1</v>
      </c>
      <c r="J2899" s="121">
        <f t="shared" si="1121"/>
        <v>1</v>
      </c>
      <c r="K2899" s="120">
        <f t="shared" si="1122"/>
        <v>0</v>
      </c>
      <c r="L2899" s="120">
        <f t="shared" si="1123"/>
        <v>0</v>
      </c>
      <c r="M2899" s="246">
        <f t="shared" si="1124"/>
        <v>0</v>
      </c>
      <c r="N2899" s="121">
        <f t="shared" si="1125"/>
        <v>1</v>
      </c>
      <c r="O2899" s="246">
        <f t="shared" si="1126"/>
        <v>0.99</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87">
        <v>14</v>
      </c>
      <c r="B2900" s="242">
        <f t="shared" si="1133"/>
        <v>46054</v>
      </c>
      <c r="C2900" s="243">
        <f t="shared" si="1114"/>
        <v>46081</v>
      </c>
      <c r="D2900" s="120">
        <f t="shared" si="1115"/>
        <v>28</v>
      </c>
      <c r="E2900" s="120">
        <f t="shared" si="1116"/>
        <v>2</v>
      </c>
      <c r="F2900" s="275">
        <f t="shared" si="1117"/>
        <v>46068</v>
      </c>
      <c r="G2900" s="120">
        <f t="shared" si="1118"/>
        <v>24313</v>
      </c>
      <c r="H2900" s="245">
        <f t="shared" si="1119"/>
        <v>1</v>
      </c>
      <c r="I2900" s="121">
        <f t="shared" si="1120"/>
        <v>1</v>
      </c>
      <c r="J2900" s="121">
        <f t="shared" si="1121"/>
        <v>1</v>
      </c>
      <c r="K2900" s="120">
        <f t="shared" si="1122"/>
        <v>0</v>
      </c>
      <c r="L2900" s="120">
        <f t="shared" si="1123"/>
        <v>0</v>
      </c>
      <c r="M2900" s="246">
        <f t="shared" si="1124"/>
        <v>0</v>
      </c>
      <c r="N2900" s="121">
        <f t="shared" si="1125"/>
        <v>1</v>
      </c>
      <c r="O2900" s="246">
        <f t="shared" si="1126"/>
        <v>0.99</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87">
        <v>15</v>
      </c>
      <c r="B2901" s="242">
        <f t="shared" si="1133"/>
        <v>46082</v>
      </c>
      <c r="C2901" s="243">
        <f t="shared" si="1114"/>
        <v>46112</v>
      </c>
      <c r="D2901" s="120">
        <f t="shared" si="1115"/>
        <v>31</v>
      </c>
      <c r="E2901" s="120">
        <f t="shared" si="1116"/>
        <v>3</v>
      </c>
      <c r="F2901" s="275">
        <f t="shared" si="1117"/>
        <v>46097.5</v>
      </c>
      <c r="G2901" s="120">
        <f t="shared" si="1118"/>
        <v>24314</v>
      </c>
      <c r="H2901" s="245">
        <f t="shared" si="1119"/>
        <v>1</v>
      </c>
      <c r="I2901" s="121">
        <f t="shared" si="1120"/>
        <v>1</v>
      </c>
      <c r="J2901" s="121">
        <f t="shared" si="1121"/>
        <v>1</v>
      </c>
      <c r="K2901" s="120">
        <f t="shared" si="1122"/>
        <v>0</v>
      </c>
      <c r="L2901" s="120">
        <f t="shared" si="1123"/>
        <v>0</v>
      </c>
      <c r="M2901" s="246">
        <f t="shared" si="1124"/>
        <v>0</v>
      </c>
      <c r="N2901" s="121">
        <f t="shared" si="1125"/>
        <v>1</v>
      </c>
      <c r="O2901" s="246">
        <f t="shared" si="1126"/>
        <v>0.99</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87">
        <v>16</v>
      </c>
      <c r="B2902" s="242">
        <f t="shared" si="1133"/>
        <v>46113</v>
      </c>
      <c r="C2902" s="243">
        <f t="shared" si="1114"/>
        <v>46142</v>
      </c>
      <c r="D2902" s="120">
        <f t="shared" si="1115"/>
        <v>30</v>
      </c>
      <c r="E2902" s="120">
        <f t="shared" si="1116"/>
        <v>4</v>
      </c>
      <c r="F2902" s="275">
        <f t="shared" si="1117"/>
        <v>46128</v>
      </c>
      <c r="G2902" s="120">
        <f t="shared" si="1118"/>
        <v>24315</v>
      </c>
      <c r="H2902" s="245">
        <f t="shared" si="1119"/>
        <v>1</v>
      </c>
      <c r="I2902" s="121">
        <f t="shared" si="1120"/>
        <v>1</v>
      </c>
      <c r="J2902" s="121">
        <f t="shared" si="1121"/>
        <v>1</v>
      </c>
      <c r="K2902" s="120">
        <f t="shared" si="1122"/>
        <v>0</v>
      </c>
      <c r="L2902" s="120">
        <f t="shared" si="1123"/>
        <v>0</v>
      </c>
      <c r="M2902" s="246">
        <f t="shared" si="1124"/>
        <v>0</v>
      </c>
      <c r="N2902" s="121">
        <f t="shared" si="1125"/>
        <v>1</v>
      </c>
      <c r="O2902" s="246">
        <f t="shared" si="1126"/>
        <v>0.99</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87">
        <v>17</v>
      </c>
      <c r="B2903" s="242">
        <f t="shared" si="1133"/>
        <v>46143</v>
      </c>
      <c r="C2903" s="243">
        <f t="shared" si="1114"/>
        <v>46173</v>
      </c>
      <c r="D2903" s="120">
        <f t="shared" si="1115"/>
        <v>31</v>
      </c>
      <c r="E2903" s="120">
        <f t="shared" si="1116"/>
        <v>5</v>
      </c>
      <c r="F2903" s="275">
        <f t="shared" si="1117"/>
        <v>46158.5</v>
      </c>
      <c r="G2903" s="120">
        <f t="shared" si="1118"/>
        <v>24316</v>
      </c>
      <c r="H2903" s="245">
        <f t="shared" si="1119"/>
        <v>1</v>
      </c>
      <c r="I2903" s="121">
        <f t="shared" si="1120"/>
        <v>1</v>
      </c>
      <c r="J2903" s="121">
        <f t="shared" si="1121"/>
        <v>1.04</v>
      </c>
      <c r="K2903" s="120">
        <f t="shared" si="1122"/>
        <v>1</v>
      </c>
      <c r="L2903" s="120">
        <f t="shared" si="1123"/>
        <v>31</v>
      </c>
      <c r="M2903" s="246">
        <f t="shared" si="1124"/>
        <v>1</v>
      </c>
      <c r="N2903" s="121">
        <f t="shared" si="1125"/>
        <v>1.04</v>
      </c>
      <c r="O2903" s="246">
        <f t="shared" si="1126"/>
        <v>0.99</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87">
        <v>18</v>
      </c>
      <c r="B2904" s="242">
        <f t="shared" si="1133"/>
        <v>46174</v>
      </c>
      <c r="C2904" s="243">
        <f t="shared" si="1114"/>
        <v>46203</v>
      </c>
      <c r="D2904" s="120">
        <f t="shared" si="1115"/>
        <v>30</v>
      </c>
      <c r="E2904" s="120">
        <f t="shared" si="1116"/>
        <v>6</v>
      </c>
      <c r="F2904" s="275">
        <f t="shared" si="1117"/>
        <v>46189</v>
      </c>
      <c r="G2904" s="120">
        <f t="shared" si="1118"/>
        <v>24317</v>
      </c>
      <c r="H2904" s="245">
        <f t="shared" si="1119"/>
        <v>1</v>
      </c>
      <c r="I2904" s="121">
        <f t="shared" si="1120"/>
        <v>1.04</v>
      </c>
      <c r="J2904" s="121">
        <f t="shared" si="1121"/>
        <v>1.04</v>
      </c>
      <c r="K2904" s="120">
        <f t="shared" si="1122"/>
        <v>0</v>
      </c>
      <c r="L2904" s="120">
        <f t="shared" si="1123"/>
        <v>0</v>
      </c>
      <c r="M2904" s="246">
        <f t="shared" si="1124"/>
        <v>0</v>
      </c>
      <c r="N2904" s="121">
        <f t="shared" si="1125"/>
        <v>1.04</v>
      </c>
      <c r="O2904" s="246">
        <f t="shared" si="1126"/>
        <v>0.99</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87">
        <v>19</v>
      </c>
      <c r="B2905" s="242">
        <f t="shared" si="1133"/>
        <v>46204</v>
      </c>
      <c r="C2905" s="243">
        <f t="shared" si="1114"/>
        <v>46234</v>
      </c>
      <c r="D2905" s="120">
        <f t="shared" si="1115"/>
        <v>31</v>
      </c>
      <c r="E2905" s="120">
        <f t="shared" si="1116"/>
        <v>7</v>
      </c>
      <c r="F2905" s="275">
        <f t="shared" si="1117"/>
        <v>46219.5</v>
      </c>
      <c r="G2905" s="120">
        <f t="shared" si="1118"/>
        <v>24318</v>
      </c>
      <c r="H2905" s="245">
        <f t="shared" si="1119"/>
        <v>1</v>
      </c>
      <c r="I2905" s="121">
        <f t="shared" si="1120"/>
        <v>1.04</v>
      </c>
      <c r="J2905" s="121">
        <f t="shared" si="1121"/>
        <v>1.04</v>
      </c>
      <c r="K2905" s="120">
        <f t="shared" si="1122"/>
        <v>0</v>
      </c>
      <c r="L2905" s="120">
        <f t="shared" si="1123"/>
        <v>0</v>
      </c>
      <c r="M2905" s="246">
        <f t="shared" si="1124"/>
        <v>0</v>
      </c>
      <c r="N2905" s="121">
        <f t="shared" si="1125"/>
        <v>1.04</v>
      </c>
      <c r="O2905" s="246">
        <f t="shared" si="1126"/>
        <v>0.99</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87">
        <v>20</v>
      </c>
      <c r="B2906" s="242">
        <f t="shared" si="1133"/>
        <v>46235</v>
      </c>
      <c r="C2906" s="243">
        <f t="shared" si="1114"/>
        <v>46265</v>
      </c>
      <c r="D2906" s="120">
        <f t="shared" si="1115"/>
        <v>31</v>
      </c>
      <c r="E2906" s="120">
        <f t="shared" si="1116"/>
        <v>8</v>
      </c>
      <c r="F2906" s="275">
        <f t="shared" si="1117"/>
        <v>46250.5</v>
      </c>
      <c r="G2906" s="120">
        <f t="shared" si="1118"/>
        <v>24319</v>
      </c>
      <c r="H2906" s="245">
        <f t="shared" si="1119"/>
        <v>1</v>
      </c>
      <c r="I2906" s="121">
        <f t="shared" si="1120"/>
        <v>1.04</v>
      </c>
      <c r="J2906" s="121">
        <f t="shared" si="1121"/>
        <v>1.04</v>
      </c>
      <c r="K2906" s="120">
        <f t="shared" si="1122"/>
        <v>0</v>
      </c>
      <c r="L2906" s="120">
        <f t="shared" si="1123"/>
        <v>0</v>
      </c>
      <c r="M2906" s="246">
        <f t="shared" si="1124"/>
        <v>0</v>
      </c>
      <c r="N2906" s="121">
        <f t="shared" si="1125"/>
        <v>1.04</v>
      </c>
      <c r="O2906" s="246">
        <f t="shared" si="1126"/>
        <v>0.99</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87">
        <v>21</v>
      </c>
      <c r="B2907" s="242">
        <f t="shared" si="1133"/>
        <v>46266</v>
      </c>
      <c r="C2907" s="243">
        <f t="shared" si="1114"/>
        <v>46295</v>
      </c>
      <c r="D2907" s="120">
        <f t="shared" si="1115"/>
        <v>30</v>
      </c>
      <c r="E2907" s="120">
        <f t="shared" si="1116"/>
        <v>9</v>
      </c>
      <c r="F2907" s="275">
        <f t="shared" si="1117"/>
        <v>46281</v>
      </c>
      <c r="G2907" s="120">
        <f t="shared" si="1118"/>
        <v>24320</v>
      </c>
      <c r="H2907" s="245">
        <f t="shared" si="1119"/>
        <v>1</v>
      </c>
      <c r="I2907" s="121">
        <f t="shared" si="1120"/>
        <v>1.04</v>
      </c>
      <c r="J2907" s="121">
        <f t="shared" si="1121"/>
        <v>1.04</v>
      </c>
      <c r="K2907" s="120">
        <f t="shared" si="1122"/>
        <v>0</v>
      </c>
      <c r="L2907" s="120">
        <f t="shared" si="1123"/>
        <v>0</v>
      </c>
      <c r="M2907" s="246">
        <f t="shared" si="1124"/>
        <v>0</v>
      </c>
      <c r="N2907" s="121">
        <f t="shared" si="1125"/>
        <v>1.04</v>
      </c>
      <c r="O2907" s="246">
        <f t="shared" si="1126"/>
        <v>0.99</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87">
        <v>22</v>
      </c>
      <c r="B2908" s="242">
        <f t="shared" si="1133"/>
        <v>46296</v>
      </c>
      <c r="C2908" s="243">
        <f t="shared" si="1114"/>
        <v>46326</v>
      </c>
      <c r="D2908" s="120">
        <f t="shared" si="1115"/>
        <v>31</v>
      </c>
      <c r="E2908" s="120">
        <f t="shared" si="1116"/>
        <v>10</v>
      </c>
      <c r="F2908" s="275">
        <f t="shared" si="1117"/>
        <v>46311.5</v>
      </c>
      <c r="G2908" s="120">
        <f t="shared" si="1118"/>
        <v>24321</v>
      </c>
      <c r="H2908" s="245">
        <f t="shared" si="1119"/>
        <v>1</v>
      </c>
      <c r="I2908" s="121">
        <f t="shared" si="1120"/>
        <v>1.04</v>
      </c>
      <c r="J2908" s="121">
        <f t="shared" si="1121"/>
        <v>1.04</v>
      </c>
      <c r="K2908" s="120">
        <f t="shared" si="1122"/>
        <v>0</v>
      </c>
      <c r="L2908" s="120">
        <f t="shared" si="1123"/>
        <v>0</v>
      </c>
      <c r="M2908" s="246">
        <f t="shared" si="1124"/>
        <v>0</v>
      </c>
      <c r="N2908" s="121">
        <f t="shared" si="1125"/>
        <v>1.04</v>
      </c>
      <c r="O2908" s="246">
        <f t="shared" si="1126"/>
        <v>0.99</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87">
        <v>23</v>
      </c>
      <c r="B2909" s="242">
        <f t="shared" si="1133"/>
        <v>46327</v>
      </c>
      <c r="C2909" s="243">
        <f t="shared" si="1114"/>
        <v>46356</v>
      </c>
      <c r="D2909" s="120">
        <f t="shared" si="1115"/>
        <v>30</v>
      </c>
      <c r="E2909" s="120">
        <f t="shared" si="1116"/>
        <v>11</v>
      </c>
      <c r="F2909" s="275">
        <f t="shared" si="1117"/>
        <v>46342</v>
      </c>
      <c r="G2909" s="120">
        <f t="shared" si="1118"/>
        <v>24322</v>
      </c>
      <c r="H2909" s="245">
        <f t="shared" si="1119"/>
        <v>1</v>
      </c>
      <c r="I2909" s="121">
        <f t="shared" si="1120"/>
        <v>1.04</v>
      </c>
      <c r="J2909" s="121">
        <f t="shared" si="1121"/>
        <v>1.04</v>
      </c>
      <c r="K2909" s="120">
        <f t="shared" si="1122"/>
        <v>0</v>
      </c>
      <c r="L2909" s="120">
        <f t="shared" si="1123"/>
        <v>0</v>
      </c>
      <c r="M2909" s="246">
        <f t="shared" si="1124"/>
        <v>0</v>
      </c>
      <c r="N2909" s="121">
        <f t="shared" si="1125"/>
        <v>1.04</v>
      </c>
      <c r="O2909" s="246">
        <f t="shared" si="1126"/>
        <v>0.99</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87">
        <v>24</v>
      </c>
      <c r="B2910" s="242">
        <f t="shared" si="1133"/>
        <v>46357</v>
      </c>
      <c r="C2910" s="243">
        <f t="shared" si="1114"/>
        <v>46387</v>
      </c>
      <c r="D2910" s="120">
        <f t="shared" si="1115"/>
        <v>31</v>
      </c>
      <c r="E2910" s="120">
        <f t="shared" si="1116"/>
        <v>12</v>
      </c>
      <c r="F2910" s="275">
        <f t="shared" si="1117"/>
        <v>46372.5</v>
      </c>
      <c r="G2910" s="120">
        <f t="shared" si="1118"/>
        <v>24323</v>
      </c>
      <c r="H2910" s="245">
        <f t="shared" si="1119"/>
        <v>1</v>
      </c>
      <c r="I2910" s="121">
        <f t="shared" si="1120"/>
        <v>1.04</v>
      </c>
      <c r="J2910" s="121">
        <f t="shared" si="1121"/>
        <v>1.04</v>
      </c>
      <c r="K2910" s="120">
        <f t="shared" si="1122"/>
        <v>0</v>
      </c>
      <c r="L2910" s="120">
        <f t="shared" si="1123"/>
        <v>0</v>
      </c>
      <c r="M2910" s="246">
        <f t="shared" si="1124"/>
        <v>0</v>
      </c>
      <c r="N2910" s="121">
        <f t="shared" si="1125"/>
        <v>1.04</v>
      </c>
      <c r="O2910" s="246">
        <f t="shared" si="1126"/>
        <v>0.99</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87">
        <v>25</v>
      </c>
      <c r="B2911" s="242">
        <f t="shared" si="1133"/>
        <v>46388</v>
      </c>
      <c r="C2911" s="243">
        <f t="shared" si="1114"/>
        <v>46418</v>
      </c>
      <c r="D2911" s="120">
        <f t="shared" si="1115"/>
        <v>31</v>
      </c>
      <c r="E2911" s="120">
        <f t="shared" si="1116"/>
        <v>1</v>
      </c>
      <c r="F2911" s="275">
        <f t="shared" si="1117"/>
        <v>46403.5</v>
      </c>
      <c r="G2911" s="120">
        <f t="shared" si="1118"/>
        <v>24324</v>
      </c>
      <c r="H2911" s="245">
        <f t="shared" si="1119"/>
        <v>1</v>
      </c>
      <c r="I2911" s="121">
        <f t="shared" si="1120"/>
        <v>1.04</v>
      </c>
      <c r="J2911" s="121">
        <f t="shared" si="1121"/>
        <v>1.04</v>
      </c>
      <c r="K2911" s="120">
        <f t="shared" si="1122"/>
        <v>0</v>
      </c>
      <c r="L2911" s="120">
        <f t="shared" si="1123"/>
        <v>0</v>
      </c>
      <c r="M2911" s="246">
        <f t="shared" si="1124"/>
        <v>0</v>
      </c>
      <c r="N2911" s="121">
        <f t="shared" si="1125"/>
        <v>1.04</v>
      </c>
      <c r="O2911" s="246">
        <f t="shared" si="1126"/>
        <v>0.99</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87">
        <v>26</v>
      </c>
      <c r="B2912" s="242">
        <f t="shared" si="1133"/>
        <v>46419</v>
      </c>
      <c r="C2912" s="243">
        <f t="shared" si="1114"/>
        <v>46446</v>
      </c>
      <c r="D2912" s="120">
        <f t="shared" si="1115"/>
        <v>28</v>
      </c>
      <c r="E2912" s="120">
        <f t="shared" si="1116"/>
        <v>2</v>
      </c>
      <c r="F2912" s="275">
        <f t="shared" si="1117"/>
        <v>46433</v>
      </c>
      <c r="G2912" s="120">
        <f t="shared" si="1118"/>
        <v>24325</v>
      </c>
      <c r="H2912" s="245">
        <f t="shared" si="1119"/>
        <v>1</v>
      </c>
      <c r="I2912" s="121">
        <f t="shared" si="1120"/>
        <v>1.04</v>
      </c>
      <c r="J2912" s="121">
        <f t="shared" si="1121"/>
        <v>1.04</v>
      </c>
      <c r="K2912" s="120">
        <f t="shared" si="1122"/>
        <v>0</v>
      </c>
      <c r="L2912" s="120">
        <f t="shared" si="1123"/>
        <v>0</v>
      </c>
      <c r="M2912" s="246">
        <f t="shared" si="1124"/>
        <v>0</v>
      </c>
      <c r="N2912" s="121">
        <f t="shared" si="1125"/>
        <v>1.04</v>
      </c>
      <c r="O2912" s="246">
        <f t="shared" si="1126"/>
        <v>0.99</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87">
        <v>27</v>
      </c>
      <c r="B2913" s="242">
        <f t="shared" si="1133"/>
        <v>46447</v>
      </c>
      <c r="C2913" s="243">
        <f t="shared" si="1114"/>
        <v>46477</v>
      </c>
      <c r="D2913" s="120">
        <f t="shared" si="1115"/>
        <v>31</v>
      </c>
      <c r="E2913" s="120">
        <f t="shared" si="1116"/>
        <v>3</v>
      </c>
      <c r="F2913" s="275">
        <f t="shared" si="1117"/>
        <v>46462.5</v>
      </c>
      <c r="G2913" s="120">
        <f t="shared" si="1118"/>
        <v>24326</v>
      </c>
      <c r="H2913" s="245">
        <f t="shared" si="1119"/>
        <v>1</v>
      </c>
      <c r="I2913" s="121">
        <f t="shared" si="1120"/>
        <v>1.04</v>
      </c>
      <c r="J2913" s="121">
        <f t="shared" si="1121"/>
        <v>1.04</v>
      </c>
      <c r="K2913" s="120">
        <f t="shared" si="1122"/>
        <v>0</v>
      </c>
      <c r="L2913" s="120">
        <f t="shared" si="1123"/>
        <v>0</v>
      </c>
      <c r="M2913" s="246">
        <f t="shared" si="1124"/>
        <v>0</v>
      </c>
      <c r="N2913" s="121">
        <f t="shared" si="1125"/>
        <v>1.04</v>
      </c>
      <c r="O2913" s="246">
        <f t="shared" si="1126"/>
        <v>0.99</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87">
        <v>28</v>
      </c>
      <c r="B2914" s="242">
        <f t="shared" si="1133"/>
        <v>46478</v>
      </c>
      <c r="C2914" s="243">
        <f t="shared" si="1114"/>
        <v>46507</v>
      </c>
      <c r="D2914" s="120">
        <f t="shared" si="1115"/>
        <v>30</v>
      </c>
      <c r="E2914" s="120">
        <f t="shared" si="1116"/>
        <v>4</v>
      </c>
      <c r="F2914" s="275">
        <f t="shared" si="1117"/>
        <v>46493</v>
      </c>
      <c r="G2914" s="120">
        <f t="shared" si="1118"/>
        <v>24327</v>
      </c>
      <c r="H2914" s="245">
        <f t="shared" si="1119"/>
        <v>1</v>
      </c>
      <c r="I2914" s="121">
        <f t="shared" si="1120"/>
        <v>1.04</v>
      </c>
      <c r="J2914" s="121">
        <f t="shared" si="1121"/>
        <v>1.04</v>
      </c>
      <c r="K2914" s="120">
        <f t="shared" si="1122"/>
        <v>0</v>
      </c>
      <c r="L2914" s="120">
        <f t="shared" si="1123"/>
        <v>0</v>
      </c>
      <c r="M2914" s="246">
        <f t="shared" si="1124"/>
        <v>0</v>
      </c>
      <c r="N2914" s="121">
        <f t="shared" si="1125"/>
        <v>1.04</v>
      </c>
      <c r="O2914" s="246">
        <f t="shared" si="1126"/>
        <v>0.99</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87">
        <v>29</v>
      </c>
      <c r="B2915" s="242">
        <f t="shared" si="1133"/>
        <v>46508</v>
      </c>
      <c r="C2915" s="243">
        <f t="shared" si="1114"/>
        <v>46538</v>
      </c>
      <c r="D2915" s="120">
        <f t="shared" si="1115"/>
        <v>31</v>
      </c>
      <c r="E2915" s="120">
        <f t="shared" si="1116"/>
        <v>5</v>
      </c>
      <c r="F2915" s="275">
        <f t="shared" si="1117"/>
        <v>46523.5</v>
      </c>
      <c r="G2915" s="120">
        <f t="shared" si="1118"/>
        <v>24328</v>
      </c>
      <c r="H2915" s="245">
        <f t="shared" si="1119"/>
        <v>1</v>
      </c>
      <c r="I2915" s="121">
        <f t="shared" si="1120"/>
        <v>1.04</v>
      </c>
      <c r="J2915" s="121">
        <f t="shared" si="1121"/>
        <v>1.04</v>
      </c>
      <c r="K2915" s="120">
        <f t="shared" si="1122"/>
        <v>0</v>
      </c>
      <c r="L2915" s="120">
        <f t="shared" si="1123"/>
        <v>0</v>
      </c>
      <c r="M2915" s="246">
        <f t="shared" si="1124"/>
        <v>0</v>
      </c>
      <c r="N2915" s="121">
        <f t="shared" si="1125"/>
        <v>1.04</v>
      </c>
      <c r="O2915" s="246">
        <f t="shared" si="1126"/>
        <v>0.99</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87">
        <v>30</v>
      </c>
      <c r="B2916" s="242">
        <f t="shared" si="1133"/>
        <v>46539</v>
      </c>
      <c r="C2916" s="243">
        <f t="shared" si="1114"/>
        <v>46568</v>
      </c>
      <c r="D2916" s="120">
        <f t="shared" si="1115"/>
        <v>30</v>
      </c>
      <c r="E2916" s="120">
        <f t="shared" si="1116"/>
        <v>6</v>
      </c>
      <c r="F2916" s="275">
        <f t="shared" si="1117"/>
        <v>46554</v>
      </c>
      <c r="G2916" s="120">
        <f t="shared" si="1118"/>
        <v>24329</v>
      </c>
      <c r="H2916" s="245">
        <f t="shared" si="1119"/>
        <v>1</v>
      </c>
      <c r="I2916" s="121">
        <f t="shared" si="1120"/>
        <v>1.04</v>
      </c>
      <c r="J2916" s="121">
        <f t="shared" si="1121"/>
        <v>1.04</v>
      </c>
      <c r="K2916" s="120">
        <f t="shared" si="1122"/>
        <v>0</v>
      </c>
      <c r="L2916" s="120">
        <f t="shared" si="1123"/>
        <v>0</v>
      </c>
      <c r="M2916" s="246">
        <f t="shared" si="1124"/>
        <v>0</v>
      </c>
      <c r="N2916" s="121">
        <f t="shared" si="1125"/>
        <v>1.04</v>
      </c>
      <c r="O2916" s="246">
        <f t="shared" si="1126"/>
        <v>0.99</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87">
        <v>31</v>
      </c>
      <c r="B2917" s="242">
        <f t="shared" si="1133"/>
        <v>46569</v>
      </c>
      <c r="C2917" s="243">
        <f t="shared" si="1114"/>
        <v>46599</v>
      </c>
      <c r="D2917" s="120">
        <f t="shared" si="1115"/>
        <v>31</v>
      </c>
      <c r="E2917" s="120">
        <f t="shared" si="1116"/>
        <v>7</v>
      </c>
      <c r="F2917" s="275">
        <f t="shared" si="1117"/>
        <v>46584.5</v>
      </c>
      <c r="G2917" s="120">
        <f t="shared" si="1118"/>
        <v>24330</v>
      </c>
      <c r="H2917" s="245">
        <f t="shared" si="1119"/>
        <v>1</v>
      </c>
      <c r="I2917" s="121">
        <f t="shared" si="1120"/>
        <v>1.04</v>
      </c>
      <c r="J2917" s="121">
        <f t="shared" si="1121"/>
        <v>1.04</v>
      </c>
      <c r="K2917" s="120">
        <f t="shared" si="1122"/>
        <v>0</v>
      </c>
      <c r="L2917" s="120">
        <f t="shared" si="1123"/>
        <v>0</v>
      </c>
      <c r="M2917" s="246">
        <f t="shared" si="1124"/>
        <v>0</v>
      </c>
      <c r="N2917" s="121">
        <f t="shared" si="1125"/>
        <v>1.04</v>
      </c>
      <c r="O2917" s="246">
        <f t="shared" si="1126"/>
        <v>0.99</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87">
        <v>32</v>
      </c>
      <c r="B2918" s="242">
        <f t="shared" si="1133"/>
        <v>46600</v>
      </c>
      <c r="C2918" s="243">
        <f t="shared" si="1114"/>
        <v>46630</v>
      </c>
      <c r="D2918" s="120">
        <f t="shared" si="1115"/>
        <v>31</v>
      </c>
      <c r="E2918" s="120">
        <f t="shared" si="1116"/>
        <v>8</v>
      </c>
      <c r="F2918" s="275">
        <f t="shared" si="1117"/>
        <v>46615.5</v>
      </c>
      <c r="G2918" s="120">
        <f t="shared" si="1118"/>
        <v>24331</v>
      </c>
      <c r="H2918" s="245">
        <f t="shared" si="1119"/>
        <v>1</v>
      </c>
      <c r="I2918" s="121">
        <f t="shared" si="1120"/>
        <v>1.04</v>
      </c>
      <c r="J2918" s="121">
        <f t="shared" si="1121"/>
        <v>1.04</v>
      </c>
      <c r="K2918" s="120">
        <f t="shared" si="1122"/>
        <v>0</v>
      </c>
      <c r="L2918" s="120">
        <f t="shared" si="1123"/>
        <v>0</v>
      </c>
      <c r="M2918" s="246">
        <f t="shared" si="1124"/>
        <v>0</v>
      </c>
      <c r="N2918" s="121">
        <f t="shared" si="1125"/>
        <v>1.04</v>
      </c>
      <c r="O2918" s="246">
        <f t="shared" si="1126"/>
        <v>0.99</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87">
        <v>33</v>
      </c>
      <c r="B2919" s="242">
        <f t="shared" si="1133"/>
        <v>46631</v>
      </c>
      <c r="C2919" s="243">
        <f t="shared" si="1114"/>
        <v>46660</v>
      </c>
      <c r="D2919" s="120">
        <f t="shared" si="1115"/>
        <v>30</v>
      </c>
      <c r="E2919" s="120">
        <f t="shared" si="1116"/>
        <v>9</v>
      </c>
      <c r="F2919" s="275">
        <f t="shared" si="1117"/>
        <v>46646</v>
      </c>
      <c r="G2919" s="120">
        <f t="shared" si="1118"/>
        <v>24332</v>
      </c>
      <c r="H2919" s="245">
        <f t="shared" si="1119"/>
        <v>1</v>
      </c>
      <c r="I2919" s="121">
        <f t="shared" si="1120"/>
        <v>1.04</v>
      </c>
      <c r="J2919" s="121">
        <f t="shared" si="1121"/>
        <v>1.04</v>
      </c>
      <c r="K2919" s="120">
        <f t="shared" si="1122"/>
        <v>0</v>
      </c>
      <c r="L2919" s="120">
        <f t="shared" si="1123"/>
        <v>0</v>
      </c>
      <c r="M2919" s="246">
        <f t="shared" si="1124"/>
        <v>0</v>
      </c>
      <c r="N2919" s="121">
        <f t="shared" si="1125"/>
        <v>1.04</v>
      </c>
      <c r="O2919" s="246">
        <f t="shared" si="1126"/>
        <v>0.99</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87">
        <v>34</v>
      </c>
      <c r="B2920" s="242">
        <f t="shared" si="1133"/>
        <v>46661</v>
      </c>
      <c r="C2920" s="243">
        <f t="shared" si="1114"/>
        <v>46691</v>
      </c>
      <c r="D2920" s="120">
        <f t="shared" si="1115"/>
        <v>31</v>
      </c>
      <c r="E2920" s="120">
        <f t="shared" si="1116"/>
        <v>10</v>
      </c>
      <c r="F2920" s="275">
        <f t="shared" si="1117"/>
        <v>46676.5</v>
      </c>
      <c r="G2920" s="120">
        <f t="shared" si="1118"/>
        <v>24333</v>
      </c>
      <c r="H2920" s="245">
        <f t="shared" si="1119"/>
        <v>1</v>
      </c>
      <c r="I2920" s="121">
        <f t="shared" si="1120"/>
        <v>1.04</v>
      </c>
      <c r="J2920" s="121">
        <f t="shared" si="1121"/>
        <v>1.04</v>
      </c>
      <c r="K2920" s="120">
        <f t="shared" si="1122"/>
        <v>0</v>
      </c>
      <c r="L2920" s="120">
        <f t="shared" si="1123"/>
        <v>0</v>
      </c>
      <c r="M2920" s="246">
        <f t="shared" si="1124"/>
        <v>0</v>
      </c>
      <c r="N2920" s="121">
        <f t="shared" si="1125"/>
        <v>1.04</v>
      </c>
      <c r="O2920" s="246">
        <f t="shared" si="1126"/>
        <v>0.99</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87">
        <v>35</v>
      </c>
      <c r="B2921" s="242">
        <f t="shared" si="1133"/>
        <v>46692</v>
      </c>
      <c r="C2921" s="243">
        <f t="shared" si="1114"/>
        <v>46721</v>
      </c>
      <c r="D2921" s="120">
        <f t="shared" si="1115"/>
        <v>30</v>
      </c>
      <c r="E2921" s="120">
        <f t="shared" si="1116"/>
        <v>11</v>
      </c>
      <c r="F2921" s="275">
        <f t="shared" si="1117"/>
        <v>46707</v>
      </c>
      <c r="G2921" s="120">
        <f t="shared" si="1118"/>
        <v>24334</v>
      </c>
      <c r="H2921" s="245">
        <f t="shared" si="1119"/>
        <v>1</v>
      </c>
      <c r="I2921" s="121">
        <f t="shared" si="1120"/>
        <v>1.04</v>
      </c>
      <c r="J2921" s="121">
        <f t="shared" si="1121"/>
        <v>1.04</v>
      </c>
      <c r="K2921" s="120">
        <f t="shared" si="1122"/>
        <v>0</v>
      </c>
      <c r="L2921" s="120">
        <f t="shared" si="1123"/>
        <v>0</v>
      </c>
      <c r="M2921" s="246">
        <f t="shared" si="1124"/>
        <v>0</v>
      </c>
      <c r="N2921" s="121">
        <f t="shared" si="1125"/>
        <v>1.04</v>
      </c>
      <c r="O2921" s="246">
        <f t="shared" si="1126"/>
        <v>0.99</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87">
        <v>36</v>
      </c>
      <c r="B2922" s="242">
        <f t="shared" si="1133"/>
        <v>46722</v>
      </c>
      <c r="C2922" s="243">
        <f t="shared" si="1114"/>
        <v>46752</v>
      </c>
      <c r="D2922" s="120">
        <f t="shared" si="1115"/>
        <v>31</v>
      </c>
      <c r="E2922" s="120">
        <f t="shared" si="1116"/>
        <v>12</v>
      </c>
      <c r="F2922" s="275">
        <f t="shared" si="1117"/>
        <v>46737.5</v>
      </c>
      <c r="G2922" s="120">
        <f t="shared" si="1118"/>
        <v>24335</v>
      </c>
      <c r="H2922" s="245">
        <f t="shared" si="1119"/>
        <v>1</v>
      </c>
      <c r="I2922" s="121">
        <f t="shared" si="1120"/>
        <v>1.04</v>
      </c>
      <c r="J2922" s="121">
        <f t="shared" si="1121"/>
        <v>1.04</v>
      </c>
      <c r="K2922" s="120">
        <f t="shared" si="1122"/>
        <v>0</v>
      </c>
      <c r="L2922" s="120">
        <f t="shared" si="1123"/>
        <v>0</v>
      </c>
      <c r="M2922" s="246">
        <f t="shared" si="1124"/>
        <v>0</v>
      </c>
      <c r="N2922" s="121">
        <f t="shared" si="1125"/>
        <v>1.04</v>
      </c>
      <c r="O2922" s="246">
        <f t="shared" si="1126"/>
        <v>0.99</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87">
        <v>37</v>
      </c>
      <c r="B2923" s="242">
        <f t="shared" si="1133"/>
        <v>46753</v>
      </c>
      <c r="C2923" s="243">
        <f t="shared" si="1114"/>
        <v>46783</v>
      </c>
      <c r="D2923" s="120">
        <f t="shared" si="1115"/>
        <v>31</v>
      </c>
      <c r="E2923" s="120">
        <f t="shared" si="1116"/>
        <v>1</v>
      </c>
      <c r="F2923" s="275">
        <f t="shared" si="1117"/>
        <v>46768.5</v>
      </c>
      <c r="G2923" s="120">
        <f t="shared" si="1118"/>
        <v>24336</v>
      </c>
      <c r="H2923" s="245">
        <f t="shared" si="1119"/>
        <v>1</v>
      </c>
      <c r="I2923" s="121">
        <f t="shared" si="1120"/>
        <v>1.04</v>
      </c>
      <c r="J2923" s="121">
        <f t="shared" si="1121"/>
        <v>1.04</v>
      </c>
      <c r="K2923" s="120">
        <f t="shared" si="1122"/>
        <v>0</v>
      </c>
      <c r="L2923" s="120">
        <f t="shared" si="1123"/>
        <v>0</v>
      </c>
      <c r="M2923" s="246">
        <f t="shared" si="1124"/>
        <v>0</v>
      </c>
      <c r="N2923" s="121">
        <f t="shared" si="1125"/>
        <v>1.04</v>
      </c>
      <c r="O2923" s="246">
        <f t="shared" si="1126"/>
        <v>0.99</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87">
        <v>38</v>
      </c>
      <c r="B2924" s="242">
        <f t="shared" si="1133"/>
        <v>46784</v>
      </c>
      <c r="C2924" s="243">
        <f t="shared" si="1114"/>
        <v>46812</v>
      </c>
      <c r="D2924" s="120">
        <f t="shared" si="1115"/>
        <v>29</v>
      </c>
      <c r="E2924" s="120">
        <f t="shared" si="1116"/>
        <v>2</v>
      </c>
      <c r="F2924" s="275">
        <f t="shared" si="1117"/>
        <v>46798.5</v>
      </c>
      <c r="G2924" s="120">
        <f t="shared" si="1118"/>
        <v>24337</v>
      </c>
      <c r="H2924" s="245">
        <f t="shared" si="1119"/>
        <v>1</v>
      </c>
      <c r="I2924" s="121">
        <f t="shared" si="1120"/>
        <v>1.04</v>
      </c>
      <c r="J2924" s="121">
        <f t="shared" si="1121"/>
        <v>1.04</v>
      </c>
      <c r="K2924" s="120">
        <f t="shared" si="1122"/>
        <v>0</v>
      </c>
      <c r="L2924" s="120">
        <f t="shared" si="1123"/>
        <v>0</v>
      </c>
      <c r="M2924" s="246">
        <f t="shared" si="1124"/>
        <v>0</v>
      </c>
      <c r="N2924" s="121">
        <f t="shared" si="1125"/>
        <v>1.04</v>
      </c>
      <c r="O2924" s="246">
        <f t="shared" si="1126"/>
        <v>0.99</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87">
        <v>39</v>
      </c>
      <c r="B2925" s="242">
        <f t="shared" si="1133"/>
        <v>46813</v>
      </c>
      <c r="C2925" s="243">
        <f t="shared" si="1114"/>
        <v>46843</v>
      </c>
      <c r="D2925" s="120">
        <f t="shared" si="1115"/>
        <v>31</v>
      </c>
      <c r="E2925" s="120">
        <f t="shared" si="1116"/>
        <v>3</v>
      </c>
      <c r="F2925" s="275">
        <f t="shared" si="1117"/>
        <v>46828.5</v>
      </c>
      <c r="G2925" s="120">
        <f t="shared" si="1118"/>
        <v>24338</v>
      </c>
      <c r="H2925" s="245">
        <f t="shared" si="1119"/>
        <v>1</v>
      </c>
      <c r="I2925" s="121">
        <f t="shared" si="1120"/>
        <v>1.04</v>
      </c>
      <c r="J2925" s="121">
        <f t="shared" si="1121"/>
        <v>1.04</v>
      </c>
      <c r="K2925" s="120">
        <f t="shared" si="1122"/>
        <v>0</v>
      </c>
      <c r="L2925" s="120">
        <f t="shared" si="1123"/>
        <v>0</v>
      </c>
      <c r="M2925" s="246">
        <f t="shared" si="1124"/>
        <v>0</v>
      </c>
      <c r="N2925" s="121">
        <f t="shared" si="1125"/>
        <v>1.04</v>
      </c>
      <c r="O2925" s="246">
        <f t="shared" si="1126"/>
        <v>0.99</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87">
        <v>40</v>
      </c>
      <c r="B2926" s="242">
        <f t="shared" si="1133"/>
        <v>46844</v>
      </c>
      <c r="C2926" s="243">
        <f t="shared" si="1114"/>
        <v>46873</v>
      </c>
      <c r="D2926" s="120">
        <f t="shared" si="1115"/>
        <v>30</v>
      </c>
      <c r="E2926" s="120">
        <f t="shared" si="1116"/>
        <v>4</v>
      </c>
      <c r="F2926" s="275">
        <f t="shared" si="1117"/>
        <v>46859</v>
      </c>
      <c r="G2926" s="120">
        <f t="shared" si="1118"/>
        <v>24339</v>
      </c>
      <c r="H2926" s="245">
        <f t="shared" si="1119"/>
        <v>1</v>
      </c>
      <c r="I2926" s="121">
        <f t="shared" si="1120"/>
        <v>1.04</v>
      </c>
      <c r="J2926" s="121">
        <f t="shared" si="1121"/>
        <v>1.04</v>
      </c>
      <c r="K2926" s="120">
        <f t="shared" si="1122"/>
        <v>0</v>
      </c>
      <c r="L2926" s="120">
        <f t="shared" si="1123"/>
        <v>0</v>
      </c>
      <c r="M2926" s="246">
        <f t="shared" si="1124"/>
        <v>0</v>
      </c>
      <c r="N2926" s="121">
        <f t="shared" si="1125"/>
        <v>1.04</v>
      </c>
      <c r="O2926" s="246">
        <f t="shared" si="1126"/>
        <v>0.99</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87">
        <v>41</v>
      </c>
      <c r="B2927" s="242">
        <f t="shared" si="1133"/>
        <v>46874</v>
      </c>
      <c r="C2927" s="243">
        <f t="shared" si="1114"/>
        <v>46904</v>
      </c>
      <c r="D2927" s="120">
        <f t="shared" si="1115"/>
        <v>31</v>
      </c>
      <c r="E2927" s="120">
        <f t="shared" si="1116"/>
        <v>5</v>
      </c>
      <c r="F2927" s="275">
        <f t="shared" si="1117"/>
        <v>46889.5</v>
      </c>
      <c r="G2927" s="120">
        <f t="shared" si="1118"/>
        <v>24340</v>
      </c>
      <c r="H2927" s="245">
        <f t="shared" si="1119"/>
        <v>1</v>
      </c>
      <c r="I2927" s="121">
        <f t="shared" si="1120"/>
        <v>1.04</v>
      </c>
      <c r="J2927" s="121">
        <f t="shared" si="1121"/>
        <v>1.04</v>
      </c>
      <c r="K2927" s="120">
        <f t="shared" si="1122"/>
        <v>0</v>
      </c>
      <c r="L2927" s="120">
        <f t="shared" si="1123"/>
        <v>0</v>
      </c>
      <c r="M2927" s="246">
        <f t="shared" si="1124"/>
        <v>0</v>
      </c>
      <c r="N2927" s="121">
        <f t="shared" si="1125"/>
        <v>1.04</v>
      </c>
      <c r="O2927" s="246">
        <f t="shared" si="1126"/>
        <v>0.99</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87">
        <v>42</v>
      </c>
      <c r="B2928" s="242">
        <f t="shared" si="1133"/>
        <v>46905</v>
      </c>
      <c r="C2928" s="243">
        <f t="shared" si="1114"/>
        <v>46934</v>
      </c>
      <c r="D2928" s="120">
        <f t="shared" si="1115"/>
        <v>30</v>
      </c>
      <c r="E2928" s="120">
        <f t="shared" si="1116"/>
        <v>6</v>
      </c>
      <c r="F2928" s="275">
        <f t="shared" si="1117"/>
        <v>46920</v>
      </c>
      <c r="G2928" s="120">
        <f t="shared" si="1118"/>
        <v>24341</v>
      </c>
      <c r="H2928" s="245">
        <f t="shared" si="1119"/>
        <v>1</v>
      </c>
      <c r="I2928" s="121">
        <f t="shared" si="1120"/>
        <v>1.04</v>
      </c>
      <c r="J2928" s="121">
        <f t="shared" si="1121"/>
        <v>1.04</v>
      </c>
      <c r="K2928" s="120">
        <f t="shared" si="1122"/>
        <v>0</v>
      </c>
      <c r="L2928" s="120">
        <f t="shared" si="1123"/>
        <v>0</v>
      </c>
      <c r="M2928" s="246">
        <f t="shared" si="1124"/>
        <v>0</v>
      </c>
      <c r="N2928" s="121">
        <f t="shared" si="1125"/>
        <v>1.04</v>
      </c>
      <c r="O2928" s="246">
        <f t="shared" si="1126"/>
        <v>0.99</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87">
        <v>43</v>
      </c>
      <c r="B2929" s="242">
        <f t="shared" si="1133"/>
        <v>46935</v>
      </c>
      <c r="C2929" s="243">
        <f t="shared" si="1114"/>
        <v>46965</v>
      </c>
      <c r="D2929" s="120">
        <f t="shared" si="1115"/>
        <v>31</v>
      </c>
      <c r="E2929" s="120">
        <f t="shared" si="1116"/>
        <v>7</v>
      </c>
      <c r="F2929" s="275">
        <f t="shared" si="1117"/>
        <v>46950.5</v>
      </c>
      <c r="G2929" s="120">
        <f t="shared" si="1118"/>
        <v>24342</v>
      </c>
      <c r="H2929" s="245">
        <f t="shared" si="1119"/>
        <v>1</v>
      </c>
      <c r="I2929" s="121">
        <f t="shared" si="1120"/>
        <v>1.04</v>
      </c>
      <c r="J2929" s="121">
        <f t="shared" si="1121"/>
        <v>1.04</v>
      </c>
      <c r="K2929" s="120">
        <f t="shared" si="1122"/>
        <v>0</v>
      </c>
      <c r="L2929" s="120">
        <f t="shared" si="1123"/>
        <v>0</v>
      </c>
      <c r="M2929" s="246">
        <f t="shared" si="1124"/>
        <v>0</v>
      </c>
      <c r="N2929" s="121">
        <f t="shared" si="1125"/>
        <v>1.04</v>
      </c>
      <c r="O2929" s="246">
        <f t="shared" si="1126"/>
        <v>0.99</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87">
        <v>44</v>
      </c>
      <c r="B2930" s="242">
        <f t="shared" si="1133"/>
        <v>46966</v>
      </c>
      <c r="C2930" s="243">
        <f t="shared" si="1114"/>
        <v>46996</v>
      </c>
      <c r="D2930" s="120">
        <f t="shared" si="1115"/>
        <v>31</v>
      </c>
      <c r="E2930" s="120">
        <f t="shared" si="1116"/>
        <v>8</v>
      </c>
      <c r="F2930" s="275">
        <f t="shared" si="1117"/>
        <v>46981.5</v>
      </c>
      <c r="G2930" s="120">
        <f t="shared" si="1118"/>
        <v>24343</v>
      </c>
      <c r="H2930" s="245">
        <f t="shared" si="1119"/>
        <v>1</v>
      </c>
      <c r="I2930" s="121">
        <f t="shared" si="1120"/>
        <v>1.04</v>
      </c>
      <c r="J2930" s="121">
        <f t="shared" si="1121"/>
        <v>1.04</v>
      </c>
      <c r="K2930" s="120">
        <f t="shared" si="1122"/>
        <v>0</v>
      </c>
      <c r="L2930" s="120">
        <f t="shared" si="1123"/>
        <v>0</v>
      </c>
      <c r="M2930" s="246">
        <f t="shared" si="1124"/>
        <v>0</v>
      </c>
      <c r="N2930" s="121">
        <f t="shared" si="1125"/>
        <v>1.04</v>
      </c>
      <c r="O2930" s="246">
        <f t="shared" si="1126"/>
        <v>0.99</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87">
        <v>45</v>
      </c>
      <c r="B2931" s="242">
        <f t="shared" si="1133"/>
        <v>46997</v>
      </c>
      <c r="C2931" s="243">
        <f t="shared" si="1114"/>
        <v>47026</v>
      </c>
      <c r="D2931" s="120">
        <f t="shared" si="1115"/>
        <v>30</v>
      </c>
      <c r="E2931" s="120">
        <f t="shared" si="1116"/>
        <v>9</v>
      </c>
      <c r="F2931" s="275">
        <f t="shared" si="1117"/>
        <v>47012</v>
      </c>
      <c r="G2931" s="120">
        <f t="shared" si="1118"/>
        <v>24344</v>
      </c>
      <c r="H2931" s="245">
        <f t="shared" si="1119"/>
        <v>1</v>
      </c>
      <c r="I2931" s="121">
        <f t="shared" si="1120"/>
        <v>1.04</v>
      </c>
      <c r="J2931" s="121">
        <f t="shared" si="1121"/>
        <v>1.04</v>
      </c>
      <c r="K2931" s="120">
        <f t="shared" si="1122"/>
        <v>0</v>
      </c>
      <c r="L2931" s="120">
        <f t="shared" si="1123"/>
        <v>0</v>
      </c>
      <c r="M2931" s="246">
        <f t="shared" si="1124"/>
        <v>0</v>
      </c>
      <c r="N2931" s="121">
        <f t="shared" si="1125"/>
        <v>1.04</v>
      </c>
      <c r="O2931" s="246">
        <f t="shared" si="1126"/>
        <v>0.99</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87">
        <v>46</v>
      </c>
      <c r="B2932" s="242">
        <f t="shared" si="1133"/>
        <v>47027</v>
      </c>
      <c r="C2932" s="243">
        <f t="shared" si="1114"/>
        <v>47057</v>
      </c>
      <c r="D2932" s="120">
        <f t="shared" si="1115"/>
        <v>31</v>
      </c>
      <c r="E2932" s="120">
        <f t="shared" si="1116"/>
        <v>10</v>
      </c>
      <c r="F2932" s="275">
        <f t="shared" si="1117"/>
        <v>47042.5</v>
      </c>
      <c r="G2932" s="120">
        <f t="shared" si="1118"/>
        <v>24345</v>
      </c>
      <c r="H2932" s="245">
        <f t="shared" si="1119"/>
        <v>1</v>
      </c>
      <c r="I2932" s="121">
        <f t="shared" si="1120"/>
        <v>1.04</v>
      </c>
      <c r="J2932" s="121">
        <f t="shared" si="1121"/>
        <v>1.04</v>
      </c>
      <c r="K2932" s="120">
        <f t="shared" si="1122"/>
        <v>0</v>
      </c>
      <c r="L2932" s="120">
        <f t="shared" si="1123"/>
        <v>0</v>
      </c>
      <c r="M2932" s="246">
        <f t="shared" si="1124"/>
        <v>0</v>
      </c>
      <c r="N2932" s="121">
        <f t="shared" si="1125"/>
        <v>1.04</v>
      </c>
      <c r="O2932" s="246">
        <f t="shared" si="1126"/>
        <v>0.99</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87">
        <v>47</v>
      </c>
      <c r="B2933" s="242">
        <f t="shared" si="1133"/>
        <v>47058</v>
      </c>
      <c r="C2933" s="243">
        <f t="shared" si="1114"/>
        <v>47087</v>
      </c>
      <c r="D2933" s="120">
        <f t="shared" si="1115"/>
        <v>30</v>
      </c>
      <c r="E2933" s="120">
        <f t="shared" si="1116"/>
        <v>11</v>
      </c>
      <c r="F2933" s="275">
        <f t="shared" si="1117"/>
        <v>47073</v>
      </c>
      <c r="G2933" s="120">
        <f t="shared" si="1118"/>
        <v>24346</v>
      </c>
      <c r="H2933" s="245">
        <f t="shared" si="1119"/>
        <v>1</v>
      </c>
      <c r="I2933" s="121">
        <f t="shared" si="1120"/>
        <v>1.04</v>
      </c>
      <c r="J2933" s="121">
        <f t="shared" si="1121"/>
        <v>1.04</v>
      </c>
      <c r="K2933" s="120">
        <f t="shared" si="1122"/>
        <v>0</v>
      </c>
      <c r="L2933" s="120">
        <f t="shared" si="1123"/>
        <v>0</v>
      </c>
      <c r="M2933" s="246">
        <f t="shared" si="1124"/>
        <v>0</v>
      </c>
      <c r="N2933" s="121">
        <f t="shared" si="1125"/>
        <v>1.04</v>
      </c>
      <c r="O2933" s="246">
        <f t="shared" si="1126"/>
        <v>0.99</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87">
        <v>48</v>
      </c>
      <c r="B2934" s="242">
        <f t="shared" si="1133"/>
        <v>47088</v>
      </c>
      <c r="C2934" s="243">
        <f t="shared" si="1114"/>
        <v>47118</v>
      </c>
      <c r="D2934" s="120">
        <f t="shared" si="1115"/>
        <v>31</v>
      </c>
      <c r="E2934" s="120">
        <f t="shared" si="1116"/>
        <v>12</v>
      </c>
      <c r="F2934" s="275">
        <f t="shared" si="1117"/>
        <v>47103.5</v>
      </c>
      <c r="G2934" s="120">
        <f t="shared" si="1118"/>
        <v>24347</v>
      </c>
      <c r="H2934" s="245">
        <f t="shared" si="1119"/>
        <v>1</v>
      </c>
      <c r="I2934" s="121">
        <f t="shared" si="1120"/>
        <v>1.04</v>
      </c>
      <c r="J2934" s="121">
        <f t="shared" si="1121"/>
        <v>1.04</v>
      </c>
      <c r="K2934" s="120">
        <f t="shared" si="1122"/>
        <v>0</v>
      </c>
      <c r="L2934" s="120">
        <f t="shared" si="1123"/>
        <v>0</v>
      </c>
      <c r="M2934" s="246">
        <f t="shared" si="1124"/>
        <v>0</v>
      </c>
      <c r="N2934" s="121">
        <f t="shared" si="1125"/>
        <v>1.04</v>
      </c>
      <c r="O2934" s="246">
        <f t="shared" si="1126"/>
        <v>0.99</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1651</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24">
        <f>SUMPRODUCT($H$2887:$H$2934,$Q$2887:$Q$2934,$O$2887:$O$2934)/SUMPRODUCT($H$2887:$H$2934,$Q$2887:$Q$2934)</f>
        <v>0.9900000000000001</v>
      </c>
      <c r="G2935" s="224">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24">
        <f>IF(N(INDEX(lr_mind,54))=0,1,INDEX(lr_mind,54))</f>
        <v>1</v>
      </c>
      <c r="G2938" s="224">
        <f>IF(N(INDEX(lr_m0,54))=0,1,INDEX(lr_m0,54))</f>
        <v>0.99</v>
      </c>
      <c r="H2938" s="74">
        <f>IF(N(INDEX(lr_m0asof,54))=0,DATE(nr_PlanYear-1,10,1),INDEX(lr_m0asof,54))</f>
        <v>46295</v>
      </c>
      <c r="I2938" s="224">
        <f>IF(N(INDEX(lr_m1,54))=0,1,INDEX(lr_m1,54))</f>
        <v>1.0049999999999999</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34">EOMONTH($B2941,0)</f>
        <v>45688</v>
      </c>
      <c r="D2941" s="120">
        <f t="shared" ref="D2941:D2988" si="1135">$C2941-$B2941+1</f>
        <v>31</v>
      </c>
      <c r="E2941" s="120">
        <f t="shared" ref="E2941:E2988" si="1136">MONTH($B2941)</f>
        <v>1</v>
      </c>
      <c r="F2941" s="275">
        <f t="shared" ref="F2941:F2988" si="1137">($B2941+$C2941+1)/2</f>
        <v>45673.5</v>
      </c>
      <c r="G2941" s="120">
        <f t="shared" ref="G2941:G2988" si="1138">YEAR($B2941)*12+MONTH($B2941)-1</f>
        <v>24300</v>
      </c>
      <c r="H2941" s="245">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46">
        <f t="shared" ref="M2941:M2988" si="1144">IF($K2941=0,0,MIN(1,$L2941/$D2941))</f>
        <v>0</v>
      </c>
      <c r="N2941" s="121">
        <f t="shared" ref="N2941:N2988" si="1145">IF($K2941=0,$J2941,(1-$M2941)*$I2941+$M2941*$J2941)</f>
        <v>1</v>
      </c>
      <c r="O2941" s="246">
        <f t="shared" ref="O2941:O2988" si="1146">IF($F2941&lt;$B$2939,$E$2939+$I$2939*($F2941-$A$2939),IF($F2941&lt;$C$2939,$F$2939+$J$2939*($F2941-$B$2939),$G$2939+$K$2939*($F2941-$C$2939)))</f>
        <v>0.96956783369803068</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87">
        <v>2</v>
      </c>
      <c r="B2942" s="242">
        <f t="shared" ref="B2942:B2988" si="1153">EDATE($B2941,1)</f>
        <v>45689</v>
      </c>
      <c r="C2942" s="243">
        <f t="shared" si="1134"/>
        <v>45716</v>
      </c>
      <c r="D2942" s="120">
        <f t="shared" si="1135"/>
        <v>28</v>
      </c>
      <c r="E2942" s="120">
        <f t="shared" si="1136"/>
        <v>2</v>
      </c>
      <c r="F2942" s="275">
        <f t="shared" si="1137"/>
        <v>45703</v>
      </c>
      <c r="G2942" s="120">
        <f t="shared" si="1138"/>
        <v>24301</v>
      </c>
      <c r="H2942" s="245">
        <f t="shared" si="1139"/>
        <v>1</v>
      </c>
      <c r="I2942" s="121">
        <f t="shared" si="1140"/>
        <v>1</v>
      </c>
      <c r="J2942" s="121">
        <f t="shared" si="1141"/>
        <v>1</v>
      </c>
      <c r="K2942" s="120">
        <f t="shared" si="1142"/>
        <v>0</v>
      </c>
      <c r="L2942" s="120">
        <f t="shared" si="1143"/>
        <v>0</v>
      </c>
      <c r="M2942" s="246">
        <f t="shared" si="1144"/>
        <v>0</v>
      </c>
      <c r="N2942" s="121">
        <f t="shared" si="1145"/>
        <v>1</v>
      </c>
      <c r="O2942" s="246">
        <f t="shared" si="1146"/>
        <v>0.97053610503282284</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87">
        <v>3</v>
      </c>
      <c r="B2943" s="242">
        <f t="shared" si="1153"/>
        <v>45717</v>
      </c>
      <c r="C2943" s="243">
        <f t="shared" si="1134"/>
        <v>45747</v>
      </c>
      <c r="D2943" s="120">
        <f t="shared" si="1135"/>
        <v>31</v>
      </c>
      <c r="E2943" s="120">
        <f t="shared" si="1136"/>
        <v>3</v>
      </c>
      <c r="F2943" s="275">
        <f t="shared" si="1137"/>
        <v>45732.5</v>
      </c>
      <c r="G2943" s="120">
        <f t="shared" si="1138"/>
        <v>24302</v>
      </c>
      <c r="H2943" s="245">
        <f t="shared" si="1139"/>
        <v>1</v>
      </c>
      <c r="I2943" s="121">
        <f t="shared" si="1140"/>
        <v>1</v>
      </c>
      <c r="J2943" s="121">
        <f t="shared" si="1141"/>
        <v>1</v>
      </c>
      <c r="K2943" s="120">
        <f t="shared" si="1142"/>
        <v>0</v>
      </c>
      <c r="L2943" s="120">
        <f t="shared" si="1143"/>
        <v>0</v>
      </c>
      <c r="M2943" s="246">
        <f t="shared" si="1144"/>
        <v>0</v>
      </c>
      <c r="N2943" s="121">
        <f t="shared" si="1145"/>
        <v>1</v>
      </c>
      <c r="O2943" s="246">
        <f t="shared" si="1146"/>
        <v>0.971504376367615</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87">
        <v>4</v>
      </c>
      <c r="B2944" s="242">
        <f t="shared" si="1153"/>
        <v>45748</v>
      </c>
      <c r="C2944" s="243">
        <f t="shared" si="1134"/>
        <v>45777</v>
      </c>
      <c r="D2944" s="120">
        <f t="shared" si="1135"/>
        <v>30</v>
      </c>
      <c r="E2944" s="120">
        <f t="shared" si="1136"/>
        <v>4</v>
      </c>
      <c r="F2944" s="275">
        <f t="shared" si="1137"/>
        <v>45763</v>
      </c>
      <c r="G2944" s="120">
        <f t="shared" si="1138"/>
        <v>24303</v>
      </c>
      <c r="H2944" s="245">
        <f t="shared" si="1139"/>
        <v>1</v>
      </c>
      <c r="I2944" s="121">
        <f t="shared" si="1140"/>
        <v>1</v>
      </c>
      <c r="J2944" s="121">
        <f t="shared" si="1141"/>
        <v>1</v>
      </c>
      <c r="K2944" s="120">
        <f t="shared" si="1142"/>
        <v>0</v>
      </c>
      <c r="L2944" s="120">
        <f t="shared" si="1143"/>
        <v>0</v>
      </c>
      <c r="M2944" s="246">
        <f t="shared" si="1144"/>
        <v>0</v>
      </c>
      <c r="N2944" s="121">
        <f t="shared" si="1145"/>
        <v>1</v>
      </c>
      <c r="O2944" s="246">
        <f t="shared" si="1146"/>
        <v>0.97250547045951863</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87">
        <v>5</v>
      </c>
      <c r="B2945" s="242">
        <f t="shared" si="1153"/>
        <v>45778</v>
      </c>
      <c r="C2945" s="243">
        <f t="shared" si="1134"/>
        <v>45808</v>
      </c>
      <c r="D2945" s="120">
        <f t="shared" si="1135"/>
        <v>31</v>
      </c>
      <c r="E2945" s="120">
        <f t="shared" si="1136"/>
        <v>5</v>
      </c>
      <c r="F2945" s="275">
        <f t="shared" si="1137"/>
        <v>45793.5</v>
      </c>
      <c r="G2945" s="120">
        <f t="shared" si="1138"/>
        <v>24304</v>
      </c>
      <c r="H2945" s="245">
        <f t="shared" si="1139"/>
        <v>1</v>
      </c>
      <c r="I2945" s="121">
        <f t="shared" si="1140"/>
        <v>1</v>
      </c>
      <c r="J2945" s="121">
        <f t="shared" si="1141"/>
        <v>1</v>
      </c>
      <c r="K2945" s="120">
        <f t="shared" si="1142"/>
        <v>0</v>
      </c>
      <c r="L2945" s="120">
        <f t="shared" si="1143"/>
        <v>0</v>
      </c>
      <c r="M2945" s="246">
        <f t="shared" si="1144"/>
        <v>0</v>
      </c>
      <c r="N2945" s="121">
        <f t="shared" si="1145"/>
        <v>1</v>
      </c>
      <c r="O2945" s="246">
        <f t="shared" si="1146"/>
        <v>0.97350656455142237</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87">
        <v>6</v>
      </c>
      <c r="B2946" s="242">
        <f t="shared" si="1153"/>
        <v>45809</v>
      </c>
      <c r="C2946" s="243">
        <f t="shared" si="1134"/>
        <v>45838</v>
      </c>
      <c r="D2946" s="120">
        <f t="shared" si="1135"/>
        <v>30</v>
      </c>
      <c r="E2946" s="120">
        <f t="shared" si="1136"/>
        <v>6</v>
      </c>
      <c r="F2946" s="275">
        <f t="shared" si="1137"/>
        <v>45824</v>
      </c>
      <c r="G2946" s="120">
        <f t="shared" si="1138"/>
        <v>24305</v>
      </c>
      <c r="H2946" s="245">
        <f t="shared" si="1139"/>
        <v>1</v>
      </c>
      <c r="I2946" s="121">
        <f t="shared" si="1140"/>
        <v>1</v>
      </c>
      <c r="J2946" s="121">
        <f t="shared" si="1141"/>
        <v>1</v>
      </c>
      <c r="K2946" s="120">
        <f t="shared" si="1142"/>
        <v>0</v>
      </c>
      <c r="L2946" s="120">
        <f t="shared" si="1143"/>
        <v>0</v>
      </c>
      <c r="M2946" s="246">
        <f t="shared" si="1144"/>
        <v>0</v>
      </c>
      <c r="N2946" s="121">
        <f t="shared" si="1145"/>
        <v>1</v>
      </c>
      <c r="O2946" s="246">
        <f t="shared" si="1146"/>
        <v>0.97450765864332611</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87">
        <v>7</v>
      </c>
      <c r="B2947" s="242">
        <f t="shared" si="1153"/>
        <v>45839</v>
      </c>
      <c r="C2947" s="243">
        <f t="shared" si="1134"/>
        <v>45869</v>
      </c>
      <c r="D2947" s="120">
        <f t="shared" si="1135"/>
        <v>31</v>
      </c>
      <c r="E2947" s="120">
        <f t="shared" si="1136"/>
        <v>7</v>
      </c>
      <c r="F2947" s="275">
        <f t="shared" si="1137"/>
        <v>45854.5</v>
      </c>
      <c r="G2947" s="120">
        <f t="shared" si="1138"/>
        <v>24306</v>
      </c>
      <c r="H2947" s="245">
        <f t="shared" si="1139"/>
        <v>1</v>
      </c>
      <c r="I2947" s="121">
        <f t="shared" si="1140"/>
        <v>1</v>
      </c>
      <c r="J2947" s="121">
        <f t="shared" si="1141"/>
        <v>1</v>
      </c>
      <c r="K2947" s="120">
        <f t="shared" si="1142"/>
        <v>0</v>
      </c>
      <c r="L2947" s="120">
        <f t="shared" si="1143"/>
        <v>0</v>
      </c>
      <c r="M2947" s="246">
        <f t="shared" si="1144"/>
        <v>0</v>
      </c>
      <c r="N2947" s="121">
        <f t="shared" si="1145"/>
        <v>1</v>
      </c>
      <c r="O2947" s="246">
        <f t="shared" si="1146"/>
        <v>0.97550875273522986</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87">
        <v>8</v>
      </c>
      <c r="B2948" s="242">
        <f t="shared" si="1153"/>
        <v>45870</v>
      </c>
      <c r="C2948" s="243">
        <f t="shared" si="1134"/>
        <v>45900</v>
      </c>
      <c r="D2948" s="120">
        <f t="shared" si="1135"/>
        <v>31</v>
      </c>
      <c r="E2948" s="120">
        <f t="shared" si="1136"/>
        <v>8</v>
      </c>
      <c r="F2948" s="275">
        <f t="shared" si="1137"/>
        <v>45885.5</v>
      </c>
      <c r="G2948" s="120">
        <f t="shared" si="1138"/>
        <v>24307</v>
      </c>
      <c r="H2948" s="245">
        <f t="shared" si="1139"/>
        <v>1</v>
      </c>
      <c r="I2948" s="121">
        <f t="shared" si="1140"/>
        <v>1</v>
      </c>
      <c r="J2948" s="121">
        <f t="shared" si="1141"/>
        <v>1</v>
      </c>
      <c r="K2948" s="120">
        <f t="shared" si="1142"/>
        <v>0</v>
      </c>
      <c r="L2948" s="120">
        <f t="shared" si="1143"/>
        <v>0</v>
      </c>
      <c r="M2948" s="246">
        <f t="shared" si="1144"/>
        <v>0</v>
      </c>
      <c r="N2948" s="121">
        <f t="shared" si="1145"/>
        <v>1</v>
      </c>
      <c r="O2948" s="246">
        <f t="shared" si="1146"/>
        <v>0.97652625820568928</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87">
        <v>9</v>
      </c>
      <c r="B2949" s="242">
        <f t="shared" si="1153"/>
        <v>45901</v>
      </c>
      <c r="C2949" s="243">
        <f t="shared" si="1134"/>
        <v>45930</v>
      </c>
      <c r="D2949" s="120">
        <f t="shared" si="1135"/>
        <v>30</v>
      </c>
      <c r="E2949" s="120">
        <f t="shared" si="1136"/>
        <v>9</v>
      </c>
      <c r="F2949" s="275">
        <f t="shared" si="1137"/>
        <v>45916</v>
      </c>
      <c r="G2949" s="120">
        <f t="shared" si="1138"/>
        <v>24308</v>
      </c>
      <c r="H2949" s="245">
        <f t="shared" si="1139"/>
        <v>1</v>
      </c>
      <c r="I2949" s="121">
        <f t="shared" si="1140"/>
        <v>1</v>
      </c>
      <c r="J2949" s="121">
        <f t="shared" si="1141"/>
        <v>1</v>
      </c>
      <c r="K2949" s="120">
        <f t="shared" si="1142"/>
        <v>0</v>
      </c>
      <c r="L2949" s="120">
        <f t="shared" si="1143"/>
        <v>0</v>
      </c>
      <c r="M2949" s="246">
        <f t="shared" si="1144"/>
        <v>0</v>
      </c>
      <c r="N2949" s="121">
        <f t="shared" si="1145"/>
        <v>1</v>
      </c>
      <c r="O2949" s="246">
        <f t="shared" si="1146"/>
        <v>0.97752735229759302</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87">
        <v>10</v>
      </c>
      <c r="B2950" s="242">
        <f t="shared" si="1153"/>
        <v>45931</v>
      </c>
      <c r="C2950" s="243">
        <f t="shared" si="1134"/>
        <v>45961</v>
      </c>
      <c r="D2950" s="120">
        <f t="shared" si="1135"/>
        <v>31</v>
      </c>
      <c r="E2950" s="120">
        <f t="shared" si="1136"/>
        <v>10</v>
      </c>
      <c r="F2950" s="275">
        <f t="shared" si="1137"/>
        <v>45946.5</v>
      </c>
      <c r="G2950" s="120">
        <f t="shared" si="1138"/>
        <v>24309</v>
      </c>
      <c r="H2950" s="245">
        <f t="shared" si="1139"/>
        <v>1</v>
      </c>
      <c r="I2950" s="121">
        <f t="shared" si="1140"/>
        <v>1</v>
      </c>
      <c r="J2950" s="121">
        <f t="shared" si="1141"/>
        <v>1</v>
      </c>
      <c r="K2950" s="120">
        <f t="shared" si="1142"/>
        <v>0</v>
      </c>
      <c r="L2950" s="120">
        <f t="shared" si="1143"/>
        <v>0</v>
      </c>
      <c r="M2950" s="246">
        <f t="shared" si="1144"/>
        <v>0</v>
      </c>
      <c r="N2950" s="121">
        <f t="shared" si="1145"/>
        <v>1</v>
      </c>
      <c r="O2950" s="246">
        <f t="shared" si="1146"/>
        <v>0.97852844638949676</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87">
        <v>11</v>
      </c>
      <c r="B2951" s="242">
        <f t="shared" si="1153"/>
        <v>45962</v>
      </c>
      <c r="C2951" s="243">
        <f t="shared" si="1134"/>
        <v>45991</v>
      </c>
      <c r="D2951" s="120">
        <f t="shared" si="1135"/>
        <v>30</v>
      </c>
      <c r="E2951" s="120">
        <f t="shared" si="1136"/>
        <v>11</v>
      </c>
      <c r="F2951" s="275">
        <f t="shared" si="1137"/>
        <v>45977</v>
      </c>
      <c r="G2951" s="120">
        <f t="shared" si="1138"/>
        <v>24310</v>
      </c>
      <c r="H2951" s="245">
        <f t="shared" si="1139"/>
        <v>1</v>
      </c>
      <c r="I2951" s="121">
        <f t="shared" si="1140"/>
        <v>1</v>
      </c>
      <c r="J2951" s="121">
        <f t="shared" si="1141"/>
        <v>1</v>
      </c>
      <c r="K2951" s="120">
        <f t="shared" si="1142"/>
        <v>0</v>
      </c>
      <c r="L2951" s="120">
        <f t="shared" si="1143"/>
        <v>0</v>
      </c>
      <c r="M2951" s="246">
        <f t="shared" si="1144"/>
        <v>0</v>
      </c>
      <c r="N2951" s="121">
        <f t="shared" si="1145"/>
        <v>1</v>
      </c>
      <c r="O2951" s="246">
        <f t="shared" si="1146"/>
        <v>0.97952954048140051</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87">
        <v>12</v>
      </c>
      <c r="B2952" s="242">
        <f t="shared" si="1153"/>
        <v>45992</v>
      </c>
      <c r="C2952" s="243">
        <f t="shared" si="1134"/>
        <v>46022</v>
      </c>
      <c r="D2952" s="120">
        <f t="shared" si="1135"/>
        <v>31</v>
      </c>
      <c r="E2952" s="120">
        <f t="shared" si="1136"/>
        <v>12</v>
      </c>
      <c r="F2952" s="275">
        <f t="shared" si="1137"/>
        <v>46007.5</v>
      </c>
      <c r="G2952" s="120">
        <f t="shared" si="1138"/>
        <v>24311</v>
      </c>
      <c r="H2952" s="245">
        <f t="shared" si="1139"/>
        <v>1</v>
      </c>
      <c r="I2952" s="121">
        <f t="shared" si="1140"/>
        <v>1</v>
      </c>
      <c r="J2952" s="121">
        <f t="shared" si="1141"/>
        <v>1</v>
      </c>
      <c r="K2952" s="120">
        <f t="shared" si="1142"/>
        <v>0</v>
      </c>
      <c r="L2952" s="120">
        <f t="shared" si="1143"/>
        <v>0</v>
      </c>
      <c r="M2952" s="246">
        <f t="shared" si="1144"/>
        <v>0</v>
      </c>
      <c r="N2952" s="121">
        <f t="shared" si="1145"/>
        <v>1</v>
      </c>
      <c r="O2952" s="246">
        <f t="shared" si="1146"/>
        <v>0.98053063457330414</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87">
        <v>13</v>
      </c>
      <c r="B2953" s="242">
        <f t="shared" si="1153"/>
        <v>46023</v>
      </c>
      <c r="C2953" s="243">
        <f t="shared" si="1134"/>
        <v>46053</v>
      </c>
      <c r="D2953" s="120">
        <f t="shared" si="1135"/>
        <v>31</v>
      </c>
      <c r="E2953" s="120">
        <f t="shared" si="1136"/>
        <v>1</v>
      </c>
      <c r="F2953" s="275">
        <f t="shared" si="1137"/>
        <v>46038.5</v>
      </c>
      <c r="G2953" s="120">
        <f t="shared" si="1138"/>
        <v>24312</v>
      </c>
      <c r="H2953" s="245">
        <f t="shared" si="1139"/>
        <v>1</v>
      </c>
      <c r="I2953" s="121">
        <f t="shared" si="1140"/>
        <v>1</v>
      </c>
      <c r="J2953" s="121">
        <f t="shared" si="1141"/>
        <v>1</v>
      </c>
      <c r="K2953" s="120">
        <f t="shared" si="1142"/>
        <v>0</v>
      </c>
      <c r="L2953" s="120">
        <f t="shared" si="1143"/>
        <v>0</v>
      </c>
      <c r="M2953" s="246">
        <f t="shared" si="1144"/>
        <v>0</v>
      </c>
      <c r="N2953" s="121">
        <f t="shared" si="1145"/>
        <v>1</v>
      </c>
      <c r="O2953" s="246">
        <f t="shared" si="1146"/>
        <v>0.98154814004376367</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87">
        <v>14</v>
      </c>
      <c r="B2954" s="242">
        <f t="shared" si="1153"/>
        <v>46054</v>
      </c>
      <c r="C2954" s="243">
        <f t="shared" si="1134"/>
        <v>46081</v>
      </c>
      <c r="D2954" s="120">
        <f t="shared" si="1135"/>
        <v>28</v>
      </c>
      <c r="E2954" s="120">
        <f t="shared" si="1136"/>
        <v>2</v>
      </c>
      <c r="F2954" s="275">
        <f t="shared" si="1137"/>
        <v>46068</v>
      </c>
      <c r="G2954" s="120">
        <f t="shared" si="1138"/>
        <v>24313</v>
      </c>
      <c r="H2954" s="245">
        <f t="shared" si="1139"/>
        <v>1</v>
      </c>
      <c r="I2954" s="121">
        <f t="shared" si="1140"/>
        <v>1</v>
      </c>
      <c r="J2954" s="121">
        <f t="shared" si="1141"/>
        <v>1</v>
      </c>
      <c r="K2954" s="120">
        <f t="shared" si="1142"/>
        <v>0</v>
      </c>
      <c r="L2954" s="120">
        <f t="shared" si="1143"/>
        <v>0</v>
      </c>
      <c r="M2954" s="246">
        <f t="shared" si="1144"/>
        <v>0</v>
      </c>
      <c r="N2954" s="121">
        <f t="shared" si="1145"/>
        <v>1</v>
      </c>
      <c r="O2954" s="246">
        <f t="shared" si="1146"/>
        <v>0.98251641137855583</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87">
        <v>15</v>
      </c>
      <c r="B2955" s="242">
        <f t="shared" si="1153"/>
        <v>46082</v>
      </c>
      <c r="C2955" s="243">
        <f t="shared" si="1134"/>
        <v>46112</v>
      </c>
      <c r="D2955" s="120">
        <f t="shared" si="1135"/>
        <v>31</v>
      </c>
      <c r="E2955" s="120">
        <f t="shared" si="1136"/>
        <v>3</v>
      </c>
      <c r="F2955" s="275">
        <f t="shared" si="1137"/>
        <v>46097.5</v>
      </c>
      <c r="G2955" s="120">
        <f t="shared" si="1138"/>
        <v>24314</v>
      </c>
      <c r="H2955" s="245">
        <f t="shared" si="1139"/>
        <v>1</v>
      </c>
      <c r="I2955" s="121">
        <f t="shared" si="1140"/>
        <v>1</v>
      </c>
      <c r="J2955" s="121">
        <f t="shared" si="1141"/>
        <v>1</v>
      </c>
      <c r="K2955" s="120">
        <f t="shared" si="1142"/>
        <v>0</v>
      </c>
      <c r="L2955" s="120">
        <f t="shared" si="1143"/>
        <v>0</v>
      </c>
      <c r="M2955" s="246">
        <f t="shared" si="1144"/>
        <v>0</v>
      </c>
      <c r="N2955" s="121">
        <f t="shared" si="1145"/>
        <v>1</v>
      </c>
      <c r="O2955" s="246">
        <f t="shared" si="1146"/>
        <v>0.98348468271334799</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87">
        <v>16</v>
      </c>
      <c r="B2956" s="242">
        <f t="shared" si="1153"/>
        <v>46113</v>
      </c>
      <c r="C2956" s="243">
        <f t="shared" si="1134"/>
        <v>46142</v>
      </c>
      <c r="D2956" s="120">
        <f t="shared" si="1135"/>
        <v>30</v>
      </c>
      <c r="E2956" s="120">
        <f t="shared" si="1136"/>
        <v>4</v>
      </c>
      <c r="F2956" s="275">
        <f t="shared" si="1137"/>
        <v>46128</v>
      </c>
      <c r="G2956" s="120">
        <f t="shared" si="1138"/>
        <v>24315</v>
      </c>
      <c r="H2956" s="245">
        <f t="shared" si="1139"/>
        <v>1</v>
      </c>
      <c r="I2956" s="121">
        <f t="shared" si="1140"/>
        <v>1</v>
      </c>
      <c r="J2956" s="121">
        <f t="shared" si="1141"/>
        <v>1</v>
      </c>
      <c r="K2956" s="120">
        <f t="shared" si="1142"/>
        <v>0</v>
      </c>
      <c r="L2956" s="120">
        <f t="shared" si="1143"/>
        <v>0</v>
      </c>
      <c r="M2956" s="246">
        <f t="shared" si="1144"/>
        <v>0</v>
      </c>
      <c r="N2956" s="121">
        <f t="shared" si="1145"/>
        <v>1</v>
      </c>
      <c r="O2956" s="246">
        <f t="shared" si="1146"/>
        <v>0.98448577680525162</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87">
        <v>17</v>
      </c>
      <c r="B2957" s="242">
        <f t="shared" si="1153"/>
        <v>46143</v>
      </c>
      <c r="C2957" s="243">
        <f t="shared" si="1134"/>
        <v>46173</v>
      </c>
      <c r="D2957" s="120">
        <f t="shared" si="1135"/>
        <v>31</v>
      </c>
      <c r="E2957" s="120">
        <f t="shared" si="1136"/>
        <v>5</v>
      </c>
      <c r="F2957" s="275">
        <f t="shared" si="1137"/>
        <v>46158.5</v>
      </c>
      <c r="G2957" s="120">
        <f t="shared" si="1138"/>
        <v>24316</v>
      </c>
      <c r="H2957" s="245">
        <f t="shared" si="1139"/>
        <v>1</v>
      </c>
      <c r="I2957" s="121">
        <f t="shared" si="1140"/>
        <v>1</v>
      </c>
      <c r="J2957" s="121">
        <f t="shared" si="1141"/>
        <v>1</v>
      </c>
      <c r="K2957" s="120">
        <f t="shared" si="1142"/>
        <v>0</v>
      </c>
      <c r="L2957" s="120">
        <f t="shared" si="1143"/>
        <v>0</v>
      </c>
      <c r="M2957" s="246">
        <f t="shared" si="1144"/>
        <v>0</v>
      </c>
      <c r="N2957" s="121">
        <f t="shared" si="1145"/>
        <v>1</v>
      </c>
      <c r="O2957" s="246">
        <f t="shared" si="1146"/>
        <v>0.98548687089715536</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87">
        <v>18</v>
      </c>
      <c r="B2958" s="242">
        <f t="shared" si="1153"/>
        <v>46174</v>
      </c>
      <c r="C2958" s="243">
        <f t="shared" si="1134"/>
        <v>46203</v>
      </c>
      <c r="D2958" s="120">
        <f t="shared" si="1135"/>
        <v>30</v>
      </c>
      <c r="E2958" s="120">
        <f t="shared" si="1136"/>
        <v>6</v>
      </c>
      <c r="F2958" s="275">
        <f t="shared" si="1137"/>
        <v>46189</v>
      </c>
      <c r="G2958" s="120">
        <f t="shared" si="1138"/>
        <v>24317</v>
      </c>
      <c r="H2958" s="245">
        <f t="shared" si="1139"/>
        <v>1</v>
      </c>
      <c r="I2958" s="121">
        <f t="shared" si="1140"/>
        <v>1</v>
      </c>
      <c r="J2958" s="121">
        <f t="shared" si="1141"/>
        <v>1</v>
      </c>
      <c r="K2958" s="120">
        <f t="shared" si="1142"/>
        <v>0</v>
      </c>
      <c r="L2958" s="120">
        <f t="shared" si="1143"/>
        <v>0</v>
      </c>
      <c r="M2958" s="246">
        <f t="shared" si="1144"/>
        <v>0</v>
      </c>
      <c r="N2958" s="121">
        <f t="shared" si="1145"/>
        <v>1</v>
      </c>
      <c r="O2958" s="246">
        <f t="shared" si="1146"/>
        <v>0.98648796498905911</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87">
        <v>19</v>
      </c>
      <c r="B2959" s="242">
        <f t="shared" si="1153"/>
        <v>46204</v>
      </c>
      <c r="C2959" s="243">
        <f t="shared" si="1134"/>
        <v>46234</v>
      </c>
      <c r="D2959" s="120">
        <f t="shared" si="1135"/>
        <v>31</v>
      </c>
      <c r="E2959" s="120">
        <f t="shared" si="1136"/>
        <v>7</v>
      </c>
      <c r="F2959" s="275">
        <f t="shared" si="1137"/>
        <v>46219.5</v>
      </c>
      <c r="G2959" s="120">
        <f t="shared" si="1138"/>
        <v>24318</v>
      </c>
      <c r="H2959" s="245">
        <f t="shared" si="1139"/>
        <v>1</v>
      </c>
      <c r="I2959" s="121">
        <f t="shared" si="1140"/>
        <v>1</v>
      </c>
      <c r="J2959" s="121">
        <f t="shared" si="1141"/>
        <v>1</v>
      </c>
      <c r="K2959" s="120">
        <f t="shared" si="1142"/>
        <v>0</v>
      </c>
      <c r="L2959" s="120">
        <f t="shared" si="1143"/>
        <v>0</v>
      </c>
      <c r="M2959" s="246">
        <f t="shared" si="1144"/>
        <v>0</v>
      </c>
      <c r="N2959" s="121">
        <f t="shared" si="1145"/>
        <v>1</v>
      </c>
      <c r="O2959" s="246">
        <f t="shared" si="1146"/>
        <v>0.98748905908096285</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87">
        <v>20</v>
      </c>
      <c r="B2960" s="242">
        <f t="shared" si="1153"/>
        <v>46235</v>
      </c>
      <c r="C2960" s="243">
        <f t="shared" si="1134"/>
        <v>46265</v>
      </c>
      <c r="D2960" s="120">
        <f t="shared" si="1135"/>
        <v>31</v>
      </c>
      <c r="E2960" s="120">
        <f t="shared" si="1136"/>
        <v>8</v>
      </c>
      <c r="F2960" s="275">
        <f t="shared" si="1137"/>
        <v>46250.5</v>
      </c>
      <c r="G2960" s="120">
        <f t="shared" si="1138"/>
        <v>24319</v>
      </c>
      <c r="H2960" s="245">
        <f t="shared" si="1139"/>
        <v>1</v>
      </c>
      <c r="I2960" s="121">
        <f t="shared" si="1140"/>
        <v>1</v>
      </c>
      <c r="J2960" s="121">
        <f t="shared" si="1141"/>
        <v>1</v>
      </c>
      <c r="K2960" s="120">
        <f t="shared" si="1142"/>
        <v>0</v>
      </c>
      <c r="L2960" s="120">
        <f t="shared" si="1143"/>
        <v>0</v>
      </c>
      <c r="M2960" s="246">
        <f t="shared" si="1144"/>
        <v>0</v>
      </c>
      <c r="N2960" s="121">
        <f t="shared" si="1145"/>
        <v>1</v>
      </c>
      <c r="O2960" s="246">
        <f t="shared" si="1146"/>
        <v>0.98850656455142227</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87">
        <v>21</v>
      </c>
      <c r="B2961" s="242">
        <f t="shared" si="1153"/>
        <v>46266</v>
      </c>
      <c r="C2961" s="243">
        <f t="shared" si="1134"/>
        <v>46295</v>
      </c>
      <c r="D2961" s="120">
        <f t="shared" si="1135"/>
        <v>30</v>
      </c>
      <c r="E2961" s="120">
        <f t="shared" si="1136"/>
        <v>9</v>
      </c>
      <c r="F2961" s="275">
        <f t="shared" si="1137"/>
        <v>46281</v>
      </c>
      <c r="G2961" s="120">
        <f t="shared" si="1138"/>
        <v>24320</v>
      </c>
      <c r="H2961" s="245">
        <f t="shared" si="1139"/>
        <v>1</v>
      </c>
      <c r="I2961" s="121">
        <f t="shared" si="1140"/>
        <v>1</v>
      </c>
      <c r="J2961" s="121">
        <f t="shared" si="1141"/>
        <v>1</v>
      </c>
      <c r="K2961" s="120">
        <f t="shared" si="1142"/>
        <v>0</v>
      </c>
      <c r="L2961" s="120">
        <f t="shared" si="1143"/>
        <v>0</v>
      </c>
      <c r="M2961" s="246">
        <f t="shared" si="1144"/>
        <v>0</v>
      </c>
      <c r="N2961" s="121">
        <f t="shared" si="1145"/>
        <v>1</v>
      </c>
      <c r="O2961" s="246">
        <f t="shared" si="1146"/>
        <v>0.98950765864332602</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87">
        <v>22</v>
      </c>
      <c r="B2962" s="242">
        <f t="shared" si="1153"/>
        <v>46296</v>
      </c>
      <c r="C2962" s="243">
        <f t="shared" si="1134"/>
        <v>46326</v>
      </c>
      <c r="D2962" s="120">
        <f t="shared" si="1135"/>
        <v>31</v>
      </c>
      <c r="E2962" s="120">
        <f t="shared" si="1136"/>
        <v>10</v>
      </c>
      <c r="F2962" s="275">
        <f t="shared" si="1137"/>
        <v>46311.5</v>
      </c>
      <c r="G2962" s="120">
        <f t="shared" si="1138"/>
        <v>24321</v>
      </c>
      <c r="H2962" s="245">
        <f t="shared" si="1139"/>
        <v>1</v>
      </c>
      <c r="I2962" s="121">
        <f t="shared" si="1140"/>
        <v>1</v>
      </c>
      <c r="J2962" s="121">
        <f t="shared" si="1141"/>
        <v>1</v>
      </c>
      <c r="K2962" s="120">
        <f t="shared" si="1142"/>
        <v>0</v>
      </c>
      <c r="L2962" s="120">
        <f t="shared" si="1143"/>
        <v>0</v>
      </c>
      <c r="M2962" s="246">
        <f t="shared" si="1144"/>
        <v>0</v>
      </c>
      <c r="N2962" s="121">
        <f t="shared" si="1145"/>
        <v>1</v>
      </c>
      <c r="O2962" s="246">
        <f t="shared" si="1146"/>
        <v>0.99050875273522976</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87">
        <v>23</v>
      </c>
      <c r="B2963" s="242">
        <f t="shared" si="1153"/>
        <v>46327</v>
      </c>
      <c r="C2963" s="243">
        <f t="shared" si="1134"/>
        <v>46356</v>
      </c>
      <c r="D2963" s="120">
        <f t="shared" si="1135"/>
        <v>30</v>
      </c>
      <c r="E2963" s="120">
        <f t="shared" si="1136"/>
        <v>11</v>
      </c>
      <c r="F2963" s="275">
        <f t="shared" si="1137"/>
        <v>46342</v>
      </c>
      <c r="G2963" s="120">
        <f t="shared" si="1138"/>
        <v>24322</v>
      </c>
      <c r="H2963" s="245">
        <f t="shared" si="1139"/>
        <v>1</v>
      </c>
      <c r="I2963" s="121">
        <f t="shared" si="1140"/>
        <v>1</v>
      </c>
      <c r="J2963" s="121">
        <f t="shared" si="1141"/>
        <v>1</v>
      </c>
      <c r="K2963" s="120">
        <f t="shared" si="1142"/>
        <v>0</v>
      </c>
      <c r="L2963" s="120">
        <f t="shared" si="1143"/>
        <v>0</v>
      </c>
      <c r="M2963" s="246">
        <f t="shared" si="1144"/>
        <v>0</v>
      </c>
      <c r="N2963" s="121">
        <f t="shared" si="1145"/>
        <v>1</v>
      </c>
      <c r="O2963" s="246">
        <f t="shared" si="1146"/>
        <v>0.9915098468271335</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87">
        <v>24</v>
      </c>
      <c r="B2964" s="242">
        <f t="shared" si="1153"/>
        <v>46357</v>
      </c>
      <c r="C2964" s="243">
        <f t="shared" si="1134"/>
        <v>46387</v>
      </c>
      <c r="D2964" s="120">
        <f t="shared" si="1135"/>
        <v>31</v>
      </c>
      <c r="E2964" s="120">
        <f t="shared" si="1136"/>
        <v>12</v>
      </c>
      <c r="F2964" s="275">
        <f t="shared" si="1137"/>
        <v>46372.5</v>
      </c>
      <c r="G2964" s="120">
        <f t="shared" si="1138"/>
        <v>24323</v>
      </c>
      <c r="H2964" s="245">
        <f t="shared" si="1139"/>
        <v>1</v>
      </c>
      <c r="I2964" s="121">
        <f t="shared" si="1140"/>
        <v>1</v>
      </c>
      <c r="J2964" s="121">
        <f t="shared" si="1141"/>
        <v>1</v>
      </c>
      <c r="K2964" s="120">
        <f t="shared" si="1142"/>
        <v>0</v>
      </c>
      <c r="L2964" s="120">
        <f t="shared" si="1143"/>
        <v>0</v>
      </c>
      <c r="M2964" s="246">
        <f t="shared" si="1144"/>
        <v>0</v>
      </c>
      <c r="N2964" s="121">
        <f t="shared" si="1145"/>
        <v>1</v>
      </c>
      <c r="O2964" s="246">
        <f t="shared" si="1146"/>
        <v>0.99251094091903713</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87">
        <v>25</v>
      </c>
      <c r="B2965" s="242">
        <f t="shared" si="1153"/>
        <v>46388</v>
      </c>
      <c r="C2965" s="243">
        <f t="shared" si="1134"/>
        <v>46418</v>
      </c>
      <c r="D2965" s="120">
        <f t="shared" si="1135"/>
        <v>31</v>
      </c>
      <c r="E2965" s="120">
        <f t="shared" si="1136"/>
        <v>1</v>
      </c>
      <c r="F2965" s="275">
        <f t="shared" si="1137"/>
        <v>46403.5</v>
      </c>
      <c r="G2965" s="120">
        <f t="shared" si="1138"/>
        <v>24324</v>
      </c>
      <c r="H2965" s="245">
        <f t="shared" si="1139"/>
        <v>1</v>
      </c>
      <c r="I2965" s="121">
        <f t="shared" si="1140"/>
        <v>1</v>
      </c>
      <c r="J2965" s="121">
        <f t="shared" si="1141"/>
        <v>1</v>
      </c>
      <c r="K2965" s="120">
        <f t="shared" si="1142"/>
        <v>0</v>
      </c>
      <c r="L2965" s="120">
        <f t="shared" si="1143"/>
        <v>0</v>
      </c>
      <c r="M2965" s="246">
        <f t="shared" si="1144"/>
        <v>0</v>
      </c>
      <c r="N2965" s="121">
        <f t="shared" si="1145"/>
        <v>1</v>
      </c>
      <c r="O2965" s="246">
        <f t="shared" si="1146"/>
        <v>0.99352844638949667</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87">
        <v>26</v>
      </c>
      <c r="B2966" s="242">
        <f t="shared" si="1153"/>
        <v>46419</v>
      </c>
      <c r="C2966" s="243">
        <f t="shared" si="1134"/>
        <v>46446</v>
      </c>
      <c r="D2966" s="120">
        <f t="shared" si="1135"/>
        <v>28</v>
      </c>
      <c r="E2966" s="120">
        <f t="shared" si="1136"/>
        <v>2</v>
      </c>
      <c r="F2966" s="275">
        <f t="shared" si="1137"/>
        <v>46433</v>
      </c>
      <c r="G2966" s="120">
        <f t="shared" si="1138"/>
        <v>24325</v>
      </c>
      <c r="H2966" s="245">
        <f t="shared" si="1139"/>
        <v>1</v>
      </c>
      <c r="I2966" s="121">
        <f t="shared" si="1140"/>
        <v>1</v>
      </c>
      <c r="J2966" s="121">
        <f t="shared" si="1141"/>
        <v>1</v>
      </c>
      <c r="K2966" s="120">
        <f t="shared" si="1142"/>
        <v>0</v>
      </c>
      <c r="L2966" s="120">
        <f t="shared" si="1143"/>
        <v>0</v>
      </c>
      <c r="M2966" s="246">
        <f t="shared" si="1144"/>
        <v>0</v>
      </c>
      <c r="N2966" s="121">
        <f t="shared" si="1145"/>
        <v>1</v>
      </c>
      <c r="O2966" s="246">
        <f t="shared" si="1146"/>
        <v>0.99449671772428883</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87">
        <v>27</v>
      </c>
      <c r="B2967" s="242">
        <f t="shared" si="1153"/>
        <v>46447</v>
      </c>
      <c r="C2967" s="243">
        <f t="shared" si="1134"/>
        <v>46477</v>
      </c>
      <c r="D2967" s="120">
        <f t="shared" si="1135"/>
        <v>31</v>
      </c>
      <c r="E2967" s="120">
        <f t="shared" si="1136"/>
        <v>3</v>
      </c>
      <c r="F2967" s="275">
        <f t="shared" si="1137"/>
        <v>46462.5</v>
      </c>
      <c r="G2967" s="120">
        <f t="shared" si="1138"/>
        <v>24326</v>
      </c>
      <c r="H2967" s="245">
        <f t="shared" si="1139"/>
        <v>1</v>
      </c>
      <c r="I2967" s="121">
        <f t="shared" si="1140"/>
        <v>1</v>
      </c>
      <c r="J2967" s="121">
        <f t="shared" si="1141"/>
        <v>1</v>
      </c>
      <c r="K2967" s="120">
        <f t="shared" si="1142"/>
        <v>0</v>
      </c>
      <c r="L2967" s="120">
        <f t="shared" si="1143"/>
        <v>0</v>
      </c>
      <c r="M2967" s="246">
        <f t="shared" si="1144"/>
        <v>0</v>
      </c>
      <c r="N2967" s="121">
        <f t="shared" si="1145"/>
        <v>1</v>
      </c>
      <c r="O2967" s="246">
        <f t="shared" si="1146"/>
        <v>0.99546498905908087</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87">
        <v>28</v>
      </c>
      <c r="B2968" s="242">
        <f t="shared" si="1153"/>
        <v>46478</v>
      </c>
      <c r="C2968" s="243">
        <f t="shared" si="1134"/>
        <v>46507</v>
      </c>
      <c r="D2968" s="120">
        <f t="shared" si="1135"/>
        <v>30</v>
      </c>
      <c r="E2968" s="120">
        <f t="shared" si="1136"/>
        <v>4</v>
      </c>
      <c r="F2968" s="275">
        <f t="shared" si="1137"/>
        <v>46493</v>
      </c>
      <c r="G2968" s="120">
        <f t="shared" si="1138"/>
        <v>24327</v>
      </c>
      <c r="H2968" s="245">
        <f t="shared" si="1139"/>
        <v>1</v>
      </c>
      <c r="I2968" s="121">
        <f t="shared" si="1140"/>
        <v>1</v>
      </c>
      <c r="J2968" s="121">
        <f t="shared" si="1141"/>
        <v>1.04</v>
      </c>
      <c r="K2968" s="120">
        <f t="shared" si="1142"/>
        <v>1</v>
      </c>
      <c r="L2968" s="120">
        <f t="shared" si="1143"/>
        <v>30</v>
      </c>
      <c r="M2968" s="246">
        <f t="shared" si="1144"/>
        <v>1</v>
      </c>
      <c r="N2968" s="121">
        <f t="shared" si="1145"/>
        <v>1.04</v>
      </c>
      <c r="O2968" s="246">
        <f t="shared" si="1146"/>
        <v>0.99646608315098462</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87">
        <v>29</v>
      </c>
      <c r="B2969" s="242">
        <f t="shared" si="1153"/>
        <v>46508</v>
      </c>
      <c r="C2969" s="243">
        <f t="shared" si="1134"/>
        <v>46538</v>
      </c>
      <c r="D2969" s="120">
        <f t="shared" si="1135"/>
        <v>31</v>
      </c>
      <c r="E2969" s="120">
        <f t="shared" si="1136"/>
        <v>5</v>
      </c>
      <c r="F2969" s="275">
        <f t="shared" si="1137"/>
        <v>46523.5</v>
      </c>
      <c r="G2969" s="120">
        <f t="shared" si="1138"/>
        <v>24328</v>
      </c>
      <c r="H2969" s="245">
        <f t="shared" si="1139"/>
        <v>1</v>
      </c>
      <c r="I2969" s="121">
        <f t="shared" si="1140"/>
        <v>1.04</v>
      </c>
      <c r="J2969" s="121">
        <f t="shared" si="1141"/>
        <v>1.04</v>
      </c>
      <c r="K2969" s="120">
        <f t="shared" si="1142"/>
        <v>0</v>
      </c>
      <c r="L2969" s="120">
        <f t="shared" si="1143"/>
        <v>0</v>
      </c>
      <c r="M2969" s="246">
        <f t="shared" si="1144"/>
        <v>0</v>
      </c>
      <c r="N2969" s="121">
        <f t="shared" si="1145"/>
        <v>1.04</v>
      </c>
      <c r="O2969" s="246">
        <f t="shared" si="1146"/>
        <v>0.99746717724288836</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87">
        <v>30</v>
      </c>
      <c r="B2970" s="242">
        <f t="shared" si="1153"/>
        <v>46539</v>
      </c>
      <c r="C2970" s="243">
        <f t="shared" si="1134"/>
        <v>46568</v>
      </c>
      <c r="D2970" s="120">
        <f t="shared" si="1135"/>
        <v>30</v>
      </c>
      <c r="E2970" s="120">
        <f t="shared" si="1136"/>
        <v>6</v>
      </c>
      <c r="F2970" s="275">
        <f t="shared" si="1137"/>
        <v>46554</v>
      </c>
      <c r="G2970" s="120">
        <f t="shared" si="1138"/>
        <v>24329</v>
      </c>
      <c r="H2970" s="245">
        <f t="shared" si="1139"/>
        <v>1</v>
      </c>
      <c r="I2970" s="121">
        <f t="shared" si="1140"/>
        <v>1.04</v>
      </c>
      <c r="J2970" s="121">
        <f t="shared" si="1141"/>
        <v>1.04</v>
      </c>
      <c r="K2970" s="120">
        <f t="shared" si="1142"/>
        <v>0</v>
      </c>
      <c r="L2970" s="120">
        <f t="shared" si="1143"/>
        <v>0</v>
      </c>
      <c r="M2970" s="246">
        <f t="shared" si="1144"/>
        <v>0</v>
      </c>
      <c r="N2970" s="121">
        <f t="shared" si="1145"/>
        <v>1.04</v>
      </c>
      <c r="O2970" s="246">
        <f t="shared" si="1146"/>
        <v>0.9984682713347921</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87">
        <v>31</v>
      </c>
      <c r="B2971" s="242">
        <f t="shared" si="1153"/>
        <v>46569</v>
      </c>
      <c r="C2971" s="243">
        <f t="shared" si="1134"/>
        <v>46599</v>
      </c>
      <c r="D2971" s="120">
        <f t="shared" si="1135"/>
        <v>31</v>
      </c>
      <c r="E2971" s="120">
        <f t="shared" si="1136"/>
        <v>7</v>
      </c>
      <c r="F2971" s="275">
        <f t="shared" si="1137"/>
        <v>46584.5</v>
      </c>
      <c r="G2971" s="120">
        <f t="shared" si="1138"/>
        <v>24330</v>
      </c>
      <c r="H2971" s="245">
        <f t="shared" si="1139"/>
        <v>1</v>
      </c>
      <c r="I2971" s="121">
        <f t="shared" si="1140"/>
        <v>1.04</v>
      </c>
      <c r="J2971" s="121">
        <f t="shared" si="1141"/>
        <v>1.04</v>
      </c>
      <c r="K2971" s="120">
        <f t="shared" si="1142"/>
        <v>0</v>
      </c>
      <c r="L2971" s="120">
        <f t="shared" si="1143"/>
        <v>0</v>
      </c>
      <c r="M2971" s="246">
        <f t="shared" si="1144"/>
        <v>0</v>
      </c>
      <c r="N2971" s="121">
        <f t="shared" si="1145"/>
        <v>1.04</v>
      </c>
      <c r="O2971" s="246">
        <f t="shared" si="1146"/>
        <v>0.99946936542669573</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87">
        <v>32</v>
      </c>
      <c r="B2972" s="242">
        <f t="shared" si="1153"/>
        <v>46600</v>
      </c>
      <c r="C2972" s="243">
        <f t="shared" si="1134"/>
        <v>46630</v>
      </c>
      <c r="D2972" s="120">
        <f t="shared" si="1135"/>
        <v>31</v>
      </c>
      <c r="E2972" s="120">
        <f t="shared" si="1136"/>
        <v>8</v>
      </c>
      <c r="F2972" s="275">
        <f t="shared" si="1137"/>
        <v>46615.5</v>
      </c>
      <c r="G2972" s="120">
        <f t="shared" si="1138"/>
        <v>24331</v>
      </c>
      <c r="H2972" s="245">
        <f t="shared" si="1139"/>
        <v>1</v>
      </c>
      <c r="I2972" s="121">
        <f t="shared" si="1140"/>
        <v>1.04</v>
      </c>
      <c r="J2972" s="121">
        <f t="shared" si="1141"/>
        <v>1.04</v>
      </c>
      <c r="K2972" s="120">
        <f t="shared" si="1142"/>
        <v>0</v>
      </c>
      <c r="L2972" s="120">
        <f t="shared" si="1143"/>
        <v>0</v>
      </c>
      <c r="M2972" s="246">
        <f t="shared" si="1144"/>
        <v>0</v>
      </c>
      <c r="N2972" s="121">
        <f t="shared" si="1145"/>
        <v>1.04</v>
      </c>
      <c r="O2972" s="246">
        <f t="shared" si="1146"/>
        <v>1.0004868708971553</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87">
        <v>33</v>
      </c>
      <c r="B2973" s="242">
        <f t="shared" si="1153"/>
        <v>46631</v>
      </c>
      <c r="C2973" s="243">
        <f t="shared" si="1134"/>
        <v>46660</v>
      </c>
      <c r="D2973" s="120">
        <f t="shared" si="1135"/>
        <v>30</v>
      </c>
      <c r="E2973" s="120">
        <f t="shared" si="1136"/>
        <v>9</v>
      </c>
      <c r="F2973" s="275">
        <f t="shared" si="1137"/>
        <v>46646</v>
      </c>
      <c r="G2973" s="120">
        <f t="shared" si="1138"/>
        <v>24332</v>
      </c>
      <c r="H2973" s="245">
        <f t="shared" si="1139"/>
        <v>1</v>
      </c>
      <c r="I2973" s="121">
        <f t="shared" si="1140"/>
        <v>1.04</v>
      </c>
      <c r="J2973" s="121">
        <f t="shared" si="1141"/>
        <v>1.04</v>
      </c>
      <c r="K2973" s="120">
        <f t="shared" si="1142"/>
        <v>0</v>
      </c>
      <c r="L2973" s="120">
        <f t="shared" si="1143"/>
        <v>0</v>
      </c>
      <c r="M2973" s="246">
        <f t="shared" si="1144"/>
        <v>0</v>
      </c>
      <c r="N2973" s="121">
        <f t="shared" si="1145"/>
        <v>1.04</v>
      </c>
      <c r="O2973" s="246">
        <f t="shared" si="1146"/>
        <v>1.0014879649890589</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87">
        <v>34</v>
      </c>
      <c r="B2974" s="242">
        <f t="shared" si="1153"/>
        <v>46661</v>
      </c>
      <c r="C2974" s="243">
        <f t="shared" si="1134"/>
        <v>46691</v>
      </c>
      <c r="D2974" s="120">
        <f t="shared" si="1135"/>
        <v>31</v>
      </c>
      <c r="E2974" s="120">
        <f t="shared" si="1136"/>
        <v>10</v>
      </c>
      <c r="F2974" s="275">
        <f t="shared" si="1137"/>
        <v>46676.5</v>
      </c>
      <c r="G2974" s="120">
        <f t="shared" si="1138"/>
        <v>24333</v>
      </c>
      <c r="H2974" s="245">
        <f t="shared" si="1139"/>
        <v>1</v>
      </c>
      <c r="I2974" s="121">
        <f t="shared" si="1140"/>
        <v>1.04</v>
      </c>
      <c r="J2974" s="121">
        <f t="shared" si="1141"/>
        <v>1.04</v>
      </c>
      <c r="K2974" s="120">
        <f t="shared" si="1142"/>
        <v>0</v>
      </c>
      <c r="L2974" s="120">
        <f t="shared" si="1143"/>
        <v>0</v>
      </c>
      <c r="M2974" s="246">
        <f t="shared" si="1144"/>
        <v>0</v>
      </c>
      <c r="N2974" s="121">
        <f t="shared" si="1145"/>
        <v>1.04</v>
      </c>
      <c r="O2974" s="246">
        <f t="shared" si="1146"/>
        <v>1.0024890590809628</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87">
        <v>35</v>
      </c>
      <c r="B2975" s="242">
        <f t="shared" si="1153"/>
        <v>46692</v>
      </c>
      <c r="C2975" s="243">
        <f t="shared" si="1134"/>
        <v>46721</v>
      </c>
      <c r="D2975" s="120">
        <f t="shared" si="1135"/>
        <v>30</v>
      </c>
      <c r="E2975" s="120">
        <f t="shared" si="1136"/>
        <v>11</v>
      </c>
      <c r="F2975" s="275">
        <f t="shared" si="1137"/>
        <v>46707</v>
      </c>
      <c r="G2975" s="120">
        <f t="shared" si="1138"/>
        <v>24334</v>
      </c>
      <c r="H2975" s="245">
        <f t="shared" si="1139"/>
        <v>1</v>
      </c>
      <c r="I2975" s="121">
        <f t="shared" si="1140"/>
        <v>1.04</v>
      </c>
      <c r="J2975" s="121">
        <f t="shared" si="1141"/>
        <v>1.04</v>
      </c>
      <c r="K2975" s="120">
        <f t="shared" si="1142"/>
        <v>0</v>
      </c>
      <c r="L2975" s="120">
        <f t="shared" si="1143"/>
        <v>0</v>
      </c>
      <c r="M2975" s="246">
        <f t="shared" si="1144"/>
        <v>0</v>
      </c>
      <c r="N2975" s="121">
        <f t="shared" si="1145"/>
        <v>1.04</v>
      </c>
      <c r="O2975" s="246">
        <f t="shared" si="1146"/>
        <v>1.0034901531728664</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87">
        <v>36</v>
      </c>
      <c r="B2976" s="242">
        <f t="shared" si="1153"/>
        <v>46722</v>
      </c>
      <c r="C2976" s="243">
        <f t="shared" si="1134"/>
        <v>46752</v>
      </c>
      <c r="D2976" s="120">
        <f t="shared" si="1135"/>
        <v>31</v>
      </c>
      <c r="E2976" s="120">
        <f t="shared" si="1136"/>
        <v>12</v>
      </c>
      <c r="F2976" s="275">
        <f t="shared" si="1137"/>
        <v>46737.5</v>
      </c>
      <c r="G2976" s="120">
        <f t="shared" si="1138"/>
        <v>24335</v>
      </c>
      <c r="H2976" s="245">
        <f t="shared" si="1139"/>
        <v>1</v>
      </c>
      <c r="I2976" s="121">
        <f t="shared" si="1140"/>
        <v>1.04</v>
      </c>
      <c r="J2976" s="121">
        <f t="shared" si="1141"/>
        <v>1.04</v>
      </c>
      <c r="K2976" s="120">
        <f t="shared" si="1142"/>
        <v>0</v>
      </c>
      <c r="L2976" s="120">
        <f t="shared" si="1143"/>
        <v>0</v>
      </c>
      <c r="M2976" s="246">
        <f t="shared" si="1144"/>
        <v>0</v>
      </c>
      <c r="N2976" s="121">
        <f t="shared" si="1145"/>
        <v>1.04</v>
      </c>
      <c r="O2976" s="246">
        <f t="shared" si="1146"/>
        <v>1.0044912472647702</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87">
        <v>37</v>
      </c>
      <c r="B2977" s="242">
        <f t="shared" si="1153"/>
        <v>46753</v>
      </c>
      <c r="C2977" s="243">
        <f t="shared" si="1134"/>
        <v>46783</v>
      </c>
      <c r="D2977" s="120">
        <f t="shared" si="1135"/>
        <v>31</v>
      </c>
      <c r="E2977" s="120">
        <f t="shared" si="1136"/>
        <v>1</v>
      </c>
      <c r="F2977" s="275">
        <f t="shared" si="1137"/>
        <v>46768.5</v>
      </c>
      <c r="G2977" s="120">
        <f t="shared" si="1138"/>
        <v>24336</v>
      </c>
      <c r="H2977" s="245">
        <f t="shared" si="1139"/>
        <v>1</v>
      </c>
      <c r="I2977" s="121">
        <f t="shared" si="1140"/>
        <v>1.04</v>
      </c>
      <c r="J2977" s="121">
        <f t="shared" si="1141"/>
        <v>1.04</v>
      </c>
      <c r="K2977" s="120">
        <f t="shared" si="1142"/>
        <v>0</v>
      </c>
      <c r="L2977" s="120">
        <f t="shared" si="1143"/>
        <v>0</v>
      </c>
      <c r="M2977" s="246">
        <f t="shared" si="1144"/>
        <v>0</v>
      </c>
      <c r="N2977" s="121">
        <f t="shared" si="1145"/>
        <v>1.04</v>
      </c>
      <c r="O2977" s="246">
        <f t="shared" si="1146"/>
        <v>1.0049999999999999</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87">
        <v>38</v>
      </c>
      <c r="B2978" s="242">
        <f t="shared" si="1153"/>
        <v>46784</v>
      </c>
      <c r="C2978" s="243">
        <f t="shared" si="1134"/>
        <v>46812</v>
      </c>
      <c r="D2978" s="120">
        <f t="shared" si="1135"/>
        <v>29</v>
      </c>
      <c r="E2978" s="120">
        <f t="shared" si="1136"/>
        <v>2</v>
      </c>
      <c r="F2978" s="275">
        <f t="shared" si="1137"/>
        <v>46798.5</v>
      </c>
      <c r="G2978" s="120">
        <f t="shared" si="1138"/>
        <v>24337</v>
      </c>
      <c r="H2978" s="245">
        <f t="shared" si="1139"/>
        <v>1</v>
      </c>
      <c r="I2978" s="121">
        <f t="shared" si="1140"/>
        <v>1.04</v>
      </c>
      <c r="J2978" s="121">
        <f t="shared" si="1141"/>
        <v>1.04</v>
      </c>
      <c r="K2978" s="120">
        <f t="shared" si="1142"/>
        <v>0</v>
      </c>
      <c r="L2978" s="120">
        <f t="shared" si="1143"/>
        <v>0</v>
      </c>
      <c r="M2978" s="246">
        <f t="shared" si="1144"/>
        <v>0</v>
      </c>
      <c r="N2978" s="121">
        <f t="shared" si="1145"/>
        <v>1.04</v>
      </c>
      <c r="O2978" s="246">
        <f t="shared" si="1146"/>
        <v>1.0049999999999999</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87">
        <v>39</v>
      </c>
      <c r="B2979" s="242">
        <f t="shared" si="1153"/>
        <v>46813</v>
      </c>
      <c r="C2979" s="243">
        <f t="shared" si="1134"/>
        <v>46843</v>
      </c>
      <c r="D2979" s="120">
        <f t="shared" si="1135"/>
        <v>31</v>
      </c>
      <c r="E2979" s="120">
        <f t="shared" si="1136"/>
        <v>3</v>
      </c>
      <c r="F2979" s="275">
        <f t="shared" si="1137"/>
        <v>46828.5</v>
      </c>
      <c r="G2979" s="120">
        <f t="shared" si="1138"/>
        <v>24338</v>
      </c>
      <c r="H2979" s="245">
        <f t="shared" si="1139"/>
        <v>1</v>
      </c>
      <c r="I2979" s="121">
        <f t="shared" si="1140"/>
        <v>1.04</v>
      </c>
      <c r="J2979" s="121">
        <f t="shared" si="1141"/>
        <v>1.04</v>
      </c>
      <c r="K2979" s="120">
        <f t="shared" si="1142"/>
        <v>0</v>
      </c>
      <c r="L2979" s="120">
        <f t="shared" si="1143"/>
        <v>0</v>
      </c>
      <c r="M2979" s="246">
        <f t="shared" si="1144"/>
        <v>0</v>
      </c>
      <c r="N2979" s="121">
        <f t="shared" si="1145"/>
        <v>1.04</v>
      </c>
      <c r="O2979" s="246">
        <f t="shared" si="1146"/>
        <v>1.0049999999999999</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87">
        <v>40</v>
      </c>
      <c r="B2980" s="242">
        <f t="shared" si="1153"/>
        <v>46844</v>
      </c>
      <c r="C2980" s="243">
        <f t="shared" si="1134"/>
        <v>46873</v>
      </c>
      <c r="D2980" s="120">
        <f t="shared" si="1135"/>
        <v>30</v>
      </c>
      <c r="E2980" s="120">
        <f t="shared" si="1136"/>
        <v>4</v>
      </c>
      <c r="F2980" s="275">
        <f t="shared" si="1137"/>
        <v>46859</v>
      </c>
      <c r="G2980" s="120">
        <f t="shared" si="1138"/>
        <v>24339</v>
      </c>
      <c r="H2980" s="245">
        <f t="shared" si="1139"/>
        <v>1</v>
      </c>
      <c r="I2980" s="121">
        <f t="shared" si="1140"/>
        <v>1.04</v>
      </c>
      <c r="J2980" s="121">
        <f t="shared" si="1141"/>
        <v>1.04</v>
      </c>
      <c r="K2980" s="120">
        <f t="shared" si="1142"/>
        <v>0</v>
      </c>
      <c r="L2980" s="120">
        <f t="shared" si="1143"/>
        <v>0</v>
      </c>
      <c r="M2980" s="246">
        <f t="shared" si="1144"/>
        <v>0</v>
      </c>
      <c r="N2980" s="121">
        <f t="shared" si="1145"/>
        <v>1.04</v>
      </c>
      <c r="O2980" s="246">
        <f t="shared" si="1146"/>
        <v>1.0049999999999999</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87">
        <v>41</v>
      </c>
      <c r="B2981" s="242">
        <f t="shared" si="1153"/>
        <v>46874</v>
      </c>
      <c r="C2981" s="243">
        <f t="shared" si="1134"/>
        <v>46904</v>
      </c>
      <c r="D2981" s="120">
        <f t="shared" si="1135"/>
        <v>31</v>
      </c>
      <c r="E2981" s="120">
        <f t="shared" si="1136"/>
        <v>5</v>
      </c>
      <c r="F2981" s="275">
        <f t="shared" si="1137"/>
        <v>46889.5</v>
      </c>
      <c r="G2981" s="120">
        <f t="shared" si="1138"/>
        <v>24340</v>
      </c>
      <c r="H2981" s="245">
        <f t="shared" si="1139"/>
        <v>1</v>
      </c>
      <c r="I2981" s="121">
        <f t="shared" si="1140"/>
        <v>1.04</v>
      </c>
      <c r="J2981" s="121">
        <f t="shared" si="1141"/>
        <v>1.04</v>
      </c>
      <c r="K2981" s="120">
        <f t="shared" si="1142"/>
        <v>0</v>
      </c>
      <c r="L2981" s="120">
        <f t="shared" si="1143"/>
        <v>0</v>
      </c>
      <c r="M2981" s="246">
        <f t="shared" si="1144"/>
        <v>0</v>
      </c>
      <c r="N2981" s="121">
        <f t="shared" si="1145"/>
        <v>1.04</v>
      </c>
      <c r="O2981" s="246">
        <f t="shared" si="1146"/>
        <v>1.0049999999999999</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87">
        <v>42</v>
      </c>
      <c r="B2982" s="242">
        <f t="shared" si="1153"/>
        <v>46905</v>
      </c>
      <c r="C2982" s="243">
        <f t="shared" si="1134"/>
        <v>46934</v>
      </c>
      <c r="D2982" s="120">
        <f t="shared" si="1135"/>
        <v>30</v>
      </c>
      <c r="E2982" s="120">
        <f t="shared" si="1136"/>
        <v>6</v>
      </c>
      <c r="F2982" s="275">
        <f t="shared" si="1137"/>
        <v>46920</v>
      </c>
      <c r="G2982" s="120">
        <f t="shared" si="1138"/>
        <v>24341</v>
      </c>
      <c r="H2982" s="245">
        <f t="shared" si="1139"/>
        <v>1</v>
      </c>
      <c r="I2982" s="121">
        <f t="shared" si="1140"/>
        <v>1.04</v>
      </c>
      <c r="J2982" s="121">
        <f t="shared" si="1141"/>
        <v>1.04</v>
      </c>
      <c r="K2982" s="120">
        <f t="shared" si="1142"/>
        <v>0</v>
      </c>
      <c r="L2982" s="120">
        <f t="shared" si="1143"/>
        <v>0</v>
      </c>
      <c r="M2982" s="246">
        <f t="shared" si="1144"/>
        <v>0</v>
      </c>
      <c r="N2982" s="121">
        <f t="shared" si="1145"/>
        <v>1.04</v>
      </c>
      <c r="O2982" s="246">
        <f t="shared" si="1146"/>
        <v>1.0049999999999999</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87">
        <v>43</v>
      </c>
      <c r="B2983" s="242">
        <f t="shared" si="1153"/>
        <v>46935</v>
      </c>
      <c r="C2983" s="243">
        <f t="shared" si="1134"/>
        <v>46965</v>
      </c>
      <c r="D2983" s="120">
        <f t="shared" si="1135"/>
        <v>31</v>
      </c>
      <c r="E2983" s="120">
        <f t="shared" si="1136"/>
        <v>7</v>
      </c>
      <c r="F2983" s="275">
        <f t="shared" si="1137"/>
        <v>46950.5</v>
      </c>
      <c r="G2983" s="120">
        <f t="shared" si="1138"/>
        <v>24342</v>
      </c>
      <c r="H2983" s="245">
        <f t="shared" si="1139"/>
        <v>1</v>
      </c>
      <c r="I2983" s="121">
        <f t="shared" si="1140"/>
        <v>1.04</v>
      </c>
      <c r="J2983" s="121">
        <f t="shared" si="1141"/>
        <v>1.04</v>
      </c>
      <c r="K2983" s="120">
        <f t="shared" si="1142"/>
        <v>0</v>
      </c>
      <c r="L2983" s="120">
        <f t="shared" si="1143"/>
        <v>0</v>
      </c>
      <c r="M2983" s="246">
        <f t="shared" si="1144"/>
        <v>0</v>
      </c>
      <c r="N2983" s="121">
        <f t="shared" si="1145"/>
        <v>1.04</v>
      </c>
      <c r="O2983" s="246">
        <f t="shared" si="1146"/>
        <v>1.0049999999999999</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87">
        <v>44</v>
      </c>
      <c r="B2984" s="242">
        <f t="shared" si="1153"/>
        <v>46966</v>
      </c>
      <c r="C2984" s="243">
        <f t="shared" si="1134"/>
        <v>46996</v>
      </c>
      <c r="D2984" s="120">
        <f t="shared" si="1135"/>
        <v>31</v>
      </c>
      <c r="E2984" s="120">
        <f t="shared" si="1136"/>
        <v>8</v>
      </c>
      <c r="F2984" s="275">
        <f t="shared" si="1137"/>
        <v>46981.5</v>
      </c>
      <c r="G2984" s="120">
        <f t="shared" si="1138"/>
        <v>24343</v>
      </c>
      <c r="H2984" s="245">
        <f t="shared" si="1139"/>
        <v>1</v>
      </c>
      <c r="I2984" s="121">
        <f t="shared" si="1140"/>
        <v>1.04</v>
      </c>
      <c r="J2984" s="121">
        <f t="shared" si="1141"/>
        <v>1.04</v>
      </c>
      <c r="K2984" s="120">
        <f t="shared" si="1142"/>
        <v>0</v>
      </c>
      <c r="L2984" s="120">
        <f t="shared" si="1143"/>
        <v>0</v>
      </c>
      <c r="M2984" s="246">
        <f t="shared" si="1144"/>
        <v>0</v>
      </c>
      <c r="N2984" s="121">
        <f t="shared" si="1145"/>
        <v>1.04</v>
      </c>
      <c r="O2984" s="246">
        <f t="shared" si="1146"/>
        <v>1.0049999999999999</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87">
        <v>45</v>
      </c>
      <c r="B2985" s="242">
        <f t="shared" si="1153"/>
        <v>46997</v>
      </c>
      <c r="C2985" s="243">
        <f t="shared" si="1134"/>
        <v>47026</v>
      </c>
      <c r="D2985" s="120">
        <f t="shared" si="1135"/>
        <v>30</v>
      </c>
      <c r="E2985" s="120">
        <f t="shared" si="1136"/>
        <v>9</v>
      </c>
      <c r="F2985" s="275">
        <f t="shared" si="1137"/>
        <v>47012</v>
      </c>
      <c r="G2985" s="120">
        <f t="shared" si="1138"/>
        <v>24344</v>
      </c>
      <c r="H2985" s="245">
        <f t="shared" si="1139"/>
        <v>1</v>
      </c>
      <c r="I2985" s="121">
        <f t="shared" si="1140"/>
        <v>1.04</v>
      </c>
      <c r="J2985" s="121">
        <f t="shared" si="1141"/>
        <v>1.04</v>
      </c>
      <c r="K2985" s="120">
        <f t="shared" si="1142"/>
        <v>0</v>
      </c>
      <c r="L2985" s="120">
        <f t="shared" si="1143"/>
        <v>0</v>
      </c>
      <c r="M2985" s="246">
        <f t="shared" si="1144"/>
        <v>0</v>
      </c>
      <c r="N2985" s="121">
        <f t="shared" si="1145"/>
        <v>1.04</v>
      </c>
      <c r="O2985" s="246">
        <f t="shared" si="1146"/>
        <v>1.0049999999999999</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87">
        <v>46</v>
      </c>
      <c r="B2986" s="242">
        <f t="shared" si="1153"/>
        <v>47027</v>
      </c>
      <c r="C2986" s="243">
        <f t="shared" si="1134"/>
        <v>47057</v>
      </c>
      <c r="D2986" s="120">
        <f t="shared" si="1135"/>
        <v>31</v>
      </c>
      <c r="E2986" s="120">
        <f t="shared" si="1136"/>
        <v>10</v>
      </c>
      <c r="F2986" s="275">
        <f t="shared" si="1137"/>
        <v>47042.5</v>
      </c>
      <c r="G2986" s="120">
        <f t="shared" si="1138"/>
        <v>24345</v>
      </c>
      <c r="H2986" s="245">
        <f t="shared" si="1139"/>
        <v>1</v>
      </c>
      <c r="I2986" s="121">
        <f t="shared" si="1140"/>
        <v>1.04</v>
      </c>
      <c r="J2986" s="121">
        <f t="shared" si="1141"/>
        <v>1.04</v>
      </c>
      <c r="K2986" s="120">
        <f t="shared" si="1142"/>
        <v>0</v>
      </c>
      <c r="L2986" s="120">
        <f t="shared" si="1143"/>
        <v>0</v>
      </c>
      <c r="M2986" s="246">
        <f t="shared" si="1144"/>
        <v>0</v>
      </c>
      <c r="N2986" s="121">
        <f t="shared" si="1145"/>
        <v>1.04</v>
      </c>
      <c r="O2986" s="246">
        <f t="shared" si="1146"/>
        <v>1.0049999999999999</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87">
        <v>47</v>
      </c>
      <c r="B2987" s="242">
        <f t="shared" si="1153"/>
        <v>47058</v>
      </c>
      <c r="C2987" s="243">
        <f t="shared" si="1134"/>
        <v>47087</v>
      </c>
      <c r="D2987" s="120">
        <f t="shared" si="1135"/>
        <v>30</v>
      </c>
      <c r="E2987" s="120">
        <f t="shared" si="1136"/>
        <v>11</v>
      </c>
      <c r="F2987" s="275">
        <f t="shared" si="1137"/>
        <v>47073</v>
      </c>
      <c r="G2987" s="120">
        <f t="shared" si="1138"/>
        <v>24346</v>
      </c>
      <c r="H2987" s="245">
        <f t="shared" si="1139"/>
        <v>1</v>
      </c>
      <c r="I2987" s="121">
        <f t="shared" si="1140"/>
        <v>1.04</v>
      </c>
      <c r="J2987" s="121">
        <f t="shared" si="1141"/>
        <v>1.04</v>
      </c>
      <c r="K2987" s="120">
        <f t="shared" si="1142"/>
        <v>0</v>
      </c>
      <c r="L2987" s="120">
        <f t="shared" si="1143"/>
        <v>0</v>
      </c>
      <c r="M2987" s="246">
        <f t="shared" si="1144"/>
        <v>0</v>
      </c>
      <c r="N2987" s="121">
        <f t="shared" si="1145"/>
        <v>1.04</v>
      </c>
      <c r="O2987" s="246">
        <f t="shared" si="1146"/>
        <v>1.0049999999999999</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87">
        <v>48</v>
      </c>
      <c r="B2988" s="242">
        <f t="shared" si="1153"/>
        <v>47088</v>
      </c>
      <c r="C2988" s="243">
        <f t="shared" si="1134"/>
        <v>47118</v>
      </c>
      <c r="D2988" s="120">
        <f t="shared" si="1135"/>
        <v>31</v>
      </c>
      <c r="E2988" s="120">
        <f t="shared" si="1136"/>
        <v>12</v>
      </c>
      <c r="F2988" s="275">
        <f t="shared" si="1137"/>
        <v>47103.5</v>
      </c>
      <c r="G2988" s="120">
        <f t="shared" si="1138"/>
        <v>24347</v>
      </c>
      <c r="H2988" s="245">
        <f t="shared" si="1139"/>
        <v>1</v>
      </c>
      <c r="I2988" s="121">
        <f t="shared" si="1140"/>
        <v>1.04</v>
      </c>
      <c r="J2988" s="121">
        <f t="shared" si="1141"/>
        <v>1.04</v>
      </c>
      <c r="K2988" s="120">
        <f t="shared" si="1142"/>
        <v>0</v>
      </c>
      <c r="L2988" s="120">
        <f t="shared" si="1143"/>
        <v>0</v>
      </c>
      <c r="M2988" s="246">
        <f t="shared" si="1144"/>
        <v>0</v>
      </c>
      <c r="N2988" s="121">
        <f t="shared" si="1145"/>
        <v>1.04</v>
      </c>
      <c r="O2988" s="246">
        <f t="shared" si="1146"/>
        <v>1.0049999999999999</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1651</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24">
        <f>SUMPRODUCT($H$2941:$H$2988,$Q$2941:$Q$2988,$O$2941:$O$2988)/SUMPRODUCT($H$2941:$H$2988,$Q$2941:$Q$2988)</f>
        <v>0.99299370897155337</v>
      </c>
      <c r="G2989" s="224">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24">
        <f>IF(N(INDEX(lr_mind,55))=0,1,INDEX(lr_mind,55))</f>
        <v>1</v>
      </c>
      <c r="G2992" s="224">
        <f>IF(N(INDEX(lr_m0,55))=0,1,INDEX(lr_m0,55))</f>
        <v>0.99</v>
      </c>
      <c r="H2992" s="74">
        <f>IF(N(INDEX(lr_m0asof,55))=0,DATE(nr_PlanYear-1,10,1),INDEX(lr_m0asof,55))</f>
        <v>46295</v>
      </c>
      <c r="I2992" s="224">
        <f>IF(N(INDEX(lr_m1,55))=0,1,INDEX(lr_m1,55))</f>
        <v>0.98499999999999999</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54">EOMONTH($B2995,0)</f>
        <v>45688</v>
      </c>
      <c r="D2995" s="120">
        <f t="shared" ref="D2995:D3042" si="1155">$C2995-$B2995+1</f>
        <v>31</v>
      </c>
      <c r="E2995" s="120">
        <f t="shared" ref="E2995:E3042" si="1156">MONTH($B2995)</f>
        <v>1</v>
      </c>
      <c r="F2995" s="275">
        <f t="shared" ref="F2995:F3042" si="1157">($B2995+$C2995+1)/2</f>
        <v>45673.5</v>
      </c>
      <c r="G2995" s="120">
        <f t="shared" ref="G2995:G3042" si="1158">YEAR($B2995)*12+MONTH($B2995)-1</f>
        <v>24300</v>
      </c>
      <c r="H2995" s="245">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46">
        <f t="shared" ref="M2995:M3042" si="1164">IF($K2995=0,0,MIN(1,$L2995/$D2995))</f>
        <v>0</v>
      </c>
      <c r="N2995" s="121">
        <f t="shared" ref="N2995:N3042" si="1165">IF($K2995=0,$J2995,(1-$M2995)*$I2995+$M2995*$J2995)</f>
        <v>1</v>
      </c>
      <c r="O2995" s="246">
        <f t="shared" ref="O2995:O3042" si="1166">IF($F2995&lt;$B$2993,$E$2993+$I$2993*($F2995-$A$2993),IF($F2995&lt;$C$2993,$F$2993+$J$2993*($F2995-$B$2993),$G$2993+$K$2993*($F2995-$C$2993)))</f>
        <v>0.99681072210065647</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87">
        <v>2</v>
      </c>
      <c r="B2996" s="242">
        <f t="shared" ref="B2996:B3042" si="1173">EDATE($B2995,1)</f>
        <v>45689</v>
      </c>
      <c r="C2996" s="243">
        <f t="shared" si="1154"/>
        <v>45716</v>
      </c>
      <c r="D2996" s="120">
        <f t="shared" si="1155"/>
        <v>28</v>
      </c>
      <c r="E2996" s="120">
        <f t="shared" si="1156"/>
        <v>2</v>
      </c>
      <c r="F2996" s="275">
        <f t="shared" si="1157"/>
        <v>45703</v>
      </c>
      <c r="G2996" s="120">
        <f t="shared" si="1158"/>
        <v>24301</v>
      </c>
      <c r="H2996" s="245">
        <f t="shared" si="1159"/>
        <v>1</v>
      </c>
      <c r="I2996" s="121">
        <f t="shared" si="1160"/>
        <v>1</v>
      </c>
      <c r="J2996" s="121">
        <f t="shared" si="1161"/>
        <v>1</v>
      </c>
      <c r="K2996" s="120">
        <f t="shared" si="1162"/>
        <v>0</v>
      </c>
      <c r="L2996" s="120">
        <f t="shared" si="1163"/>
        <v>0</v>
      </c>
      <c r="M2996" s="246">
        <f t="shared" si="1164"/>
        <v>0</v>
      </c>
      <c r="N2996" s="121">
        <f t="shared" si="1165"/>
        <v>1</v>
      </c>
      <c r="O2996" s="246">
        <f t="shared" si="1166"/>
        <v>0.99648796498905901</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87">
        <v>3</v>
      </c>
      <c r="B2997" s="242">
        <f t="shared" si="1173"/>
        <v>45717</v>
      </c>
      <c r="C2997" s="243">
        <f t="shared" si="1154"/>
        <v>45747</v>
      </c>
      <c r="D2997" s="120">
        <f t="shared" si="1155"/>
        <v>31</v>
      </c>
      <c r="E2997" s="120">
        <f t="shared" si="1156"/>
        <v>3</v>
      </c>
      <c r="F2997" s="275">
        <f t="shared" si="1157"/>
        <v>45732.5</v>
      </c>
      <c r="G2997" s="120">
        <f t="shared" si="1158"/>
        <v>24302</v>
      </c>
      <c r="H2997" s="245">
        <f t="shared" si="1159"/>
        <v>1</v>
      </c>
      <c r="I2997" s="121">
        <f t="shared" si="1160"/>
        <v>1</v>
      </c>
      <c r="J2997" s="121">
        <f t="shared" si="1161"/>
        <v>1</v>
      </c>
      <c r="K2997" s="120">
        <f t="shared" si="1162"/>
        <v>0</v>
      </c>
      <c r="L2997" s="120">
        <f t="shared" si="1163"/>
        <v>0</v>
      </c>
      <c r="M2997" s="246">
        <f t="shared" si="1164"/>
        <v>0</v>
      </c>
      <c r="N2997" s="121">
        <f t="shared" si="1165"/>
        <v>1</v>
      </c>
      <c r="O2997" s="246">
        <f t="shared" si="1166"/>
        <v>0.99616520787746166</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87">
        <v>4</v>
      </c>
      <c r="B2998" s="242">
        <f t="shared" si="1173"/>
        <v>45748</v>
      </c>
      <c r="C2998" s="243">
        <f t="shared" si="1154"/>
        <v>45777</v>
      </c>
      <c r="D2998" s="120">
        <f t="shared" si="1155"/>
        <v>30</v>
      </c>
      <c r="E2998" s="120">
        <f t="shared" si="1156"/>
        <v>4</v>
      </c>
      <c r="F2998" s="275">
        <f t="shared" si="1157"/>
        <v>45763</v>
      </c>
      <c r="G2998" s="120">
        <f t="shared" si="1158"/>
        <v>24303</v>
      </c>
      <c r="H2998" s="245">
        <f t="shared" si="1159"/>
        <v>1</v>
      </c>
      <c r="I2998" s="121">
        <f t="shared" si="1160"/>
        <v>1</v>
      </c>
      <c r="J2998" s="121">
        <f t="shared" si="1161"/>
        <v>1</v>
      </c>
      <c r="K2998" s="120">
        <f t="shared" si="1162"/>
        <v>0</v>
      </c>
      <c r="L2998" s="120">
        <f t="shared" si="1163"/>
        <v>0</v>
      </c>
      <c r="M2998" s="246">
        <f t="shared" si="1164"/>
        <v>0</v>
      </c>
      <c r="N2998" s="121">
        <f t="shared" si="1165"/>
        <v>1</v>
      </c>
      <c r="O2998" s="246">
        <f t="shared" si="1166"/>
        <v>0.99583150984682711</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87">
        <v>5</v>
      </c>
      <c r="B2999" s="242">
        <f t="shared" si="1173"/>
        <v>45778</v>
      </c>
      <c r="C2999" s="243">
        <f t="shared" si="1154"/>
        <v>45808</v>
      </c>
      <c r="D2999" s="120">
        <f t="shared" si="1155"/>
        <v>31</v>
      </c>
      <c r="E2999" s="120">
        <f t="shared" si="1156"/>
        <v>5</v>
      </c>
      <c r="F2999" s="275">
        <f t="shared" si="1157"/>
        <v>45793.5</v>
      </c>
      <c r="G2999" s="120">
        <f t="shared" si="1158"/>
        <v>24304</v>
      </c>
      <c r="H2999" s="245">
        <f t="shared" si="1159"/>
        <v>1</v>
      </c>
      <c r="I2999" s="121">
        <f t="shared" si="1160"/>
        <v>1</v>
      </c>
      <c r="J2999" s="121">
        <f t="shared" si="1161"/>
        <v>1</v>
      </c>
      <c r="K2999" s="120">
        <f t="shared" si="1162"/>
        <v>0</v>
      </c>
      <c r="L2999" s="120">
        <f t="shared" si="1163"/>
        <v>0</v>
      </c>
      <c r="M2999" s="246">
        <f t="shared" si="1164"/>
        <v>0</v>
      </c>
      <c r="N2999" s="121">
        <f t="shared" si="1165"/>
        <v>1</v>
      </c>
      <c r="O2999" s="246">
        <f t="shared" si="1166"/>
        <v>0.99549781181619257</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87">
        <v>6</v>
      </c>
      <c r="B3000" s="242">
        <f t="shared" si="1173"/>
        <v>45809</v>
      </c>
      <c r="C3000" s="243">
        <f t="shared" si="1154"/>
        <v>45838</v>
      </c>
      <c r="D3000" s="120">
        <f t="shared" si="1155"/>
        <v>30</v>
      </c>
      <c r="E3000" s="120">
        <f t="shared" si="1156"/>
        <v>6</v>
      </c>
      <c r="F3000" s="275">
        <f t="shared" si="1157"/>
        <v>45824</v>
      </c>
      <c r="G3000" s="120">
        <f t="shared" si="1158"/>
        <v>24305</v>
      </c>
      <c r="H3000" s="245">
        <f t="shared" si="1159"/>
        <v>1</v>
      </c>
      <c r="I3000" s="121">
        <f t="shared" si="1160"/>
        <v>1</v>
      </c>
      <c r="J3000" s="121">
        <f t="shared" si="1161"/>
        <v>1</v>
      </c>
      <c r="K3000" s="120">
        <f t="shared" si="1162"/>
        <v>0</v>
      </c>
      <c r="L3000" s="120">
        <f t="shared" si="1163"/>
        <v>0</v>
      </c>
      <c r="M3000" s="246">
        <f t="shared" si="1164"/>
        <v>0</v>
      </c>
      <c r="N3000" s="121">
        <f t="shared" si="1165"/>
        <v>1</v>
      </c>
      <c r="O3000" s="246">
        <f t="shared" si="1166"/>
        <v>0.99516411378555791</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87">
        <v>7</v>
      </c>
      <c r="B3001" s="242">
        <f t="shared" si="1173"/>
        <v>45839</v>
      </c>
      <c r="C3001" s="243">
        <f t="shared" si="1154"/>
        <v>45869</v>
      </c>
      <c r="D3001" s="120">
        <f t="shared" si="1155"/>
        <v>31</v>
      </c>
      <c r="E3001" s="120">
        <f t="shared" si="1156"/>
        <v>7</v>
      </c>
      <c r="F3001" s="275">
        <f t="shared" si="1157"/>
        <v>45854.5</v>
      </c>
      <c r="G3001" s="120">
        <f t="shared" si="1158"/>
        <v>24306</v>
      </c>
      <c r="H3001" s="245">
        <f t="shared" si="1159"/>
        <v>1</v>
      </c>
      <c r="I3001" s="121">
        <f t="shared" si="1160"/>
        <v>1</v>
      </c>
      <c r="J3001" s="121">
        <f t="shared" si="1161"/>
        <v>1</v>
      </c>
      <c r="K3001" s="120">
        <f t="shared" si="1162"/>
        <v>0</v>
      </c>
      <c r="L3001" s="120">
        <f t="shared" si="1163"/>
        <v>0</v>
      </c>
      <c r="M3001" s="246">
        <f t="shared" si="1164"/>
        <v>0</v>
      </c>
      <c r="N3001" s="121">
        <f t="shared" si="1165"/>
        <v>1</v>
      </c>
      <c r="O3001" s="246">
        <f t="shared" si="1166"/>
        <v>0.99483041575492337</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87">
        <v>8</v>
      </c>
      <c r="B3002" s="242">
        <f t="shared" si="1173"/>
        <v>45870</v>
      </c>
      <c r="C3002" s="243">
        <f t="shared" si="1154"/>
        <v>45900</v>
      </c>
      <c r="D3002" s="120">
        <f t="shared" si="1155"/>
        <v>31</v>
      </c>
      <c r="E3002" s="120">
        <f t="shared" si="1156"/>
        <v>8</v>
      </c>
      <c r="F3002" s="275">
        <f t="shared" si="1157"/>
        <v>45885.5</v>
      </c>
      <c r="G3002" s="120">
        <f t="shared" si="1158"/>
        <v>24307</v>
      </c>
      <c r="H3002" s="245">
        <f t="shared" si="1159"/>
        <v>1</v>
      </c>
      <c r="I3002" s="121">
        <f t="shared" si="1160"/>
        <v>1</v>
      </c>
      <c r="J3002" s="121">
        <f t="shared" si="1161"/>
        <v>1</v>
      </c>
      <c r="K3002" s="120">
        <f t="shared" si="1162"/>
        <v>0</v>
      </c>
      <c r="L3002" s="120">
        <f t="shared" si="1163"/>
        <v>0</v>
      </c>
      <c r="M3002" s="246">
        <f t="shared" si="1164"/>
        <v>0</v>
      </c>
      <c r="N3002" s="121">
        <f t="shared" si="1165"/>
        <v>1</v>
      </c>
      <c r="O3002" s="246">
        <f t="shared" si="1166"/>
        <v>0.99449124726477023</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87">
        <v>9</v>
      </c>
      <c r="B3003" s="242">
        <f t="shared" si="1173"/>
        <v>45901</v>
      </c>
      <c r="C3003" s="243">
        <f t="shared" si="1154"/>
        <v>45930</v>
      </c>
      <c r="D3003" s="120">
        <f t="shared" si="1155"/>
        <v>30</v>
      </c>
      <c r="E3003" s="120">
        <f t="shared" si="1156"/>
        <v>9</v>
      </c>
      <c r="F3003" s="275">
        <f t="shared" si="1157"/>
        <v>45916</v>
      </c>
      <c r="G3003" s="120">
        <f t="shared" si="1158"/>
        <v>24308</v>
      </c>
      <c r="H3003" s="245">
        <f t="shared" si="1159"/>
        <v>1</v>
      </c>
      <c r="I3003" s="121">
        <f t="shared" si="1160"/>
        <v>1</v>
      </c>
      <c r="J3003" s="121">
        <f t="shared" si="1161"/>
        <v>1</v>
      </c>
      <c r="K3003" s="120">
        <f t="shared" si="1162"/>
        <v>0</v>
      </c>
      <c r="L3003" s="120">
        <f t="shared" si="1163"/>
        <v>0</v>
      </c>
      <c r="M3003" s="246">
        <f t="shared" si="1164"/>
        <v>0</v>
      </c>
      <c r="N3003" s="121">
        <f t="shared" si="1165"/>
        <v>1</v>
      </c>
      <c r="O3003" s="246">
        <f t="shared" si="1166"/>
        <v>0.99415754923413568</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87">
        <v>10</v>
      </c>
      <c r="B3004" s="242">
        <f t="shared" si="1173"/>
        <v>45931</v>
      </c>
      <c r="C3004" s="243">
        <f t="shared" si="1154"/>
        <v>45961</v>
      </c>
      <c r="D3004" s="120">
        <f t="shared" si="1155"/>
        <v>31</v>
      </c>
      <c r="E3004" s="120">
        <f t="shared" si="1156"/>
        <v>10</v>
      </c>
      <c r="F3004" s="275">
        <f t="shared" si="1157"/>
        <v>45946.5</v>
      </c>
      <c r="G3004" s="120">
        <f t="shared" si="1158"/>
        <v>24309</v>
      </c>
      <c r="H3004" s="245">
        <f t="shared" si="1159"/>
        <v>1</v>
      </c>
      <c r="I3004" s="121">
        <f t="shared" si="1160"/>
        <v>1</v>
      </c>
      <c r="J3004" s="121">
        <f t="shared" si="1161"/>
        <v>1</v>
      </c>
      <c r="K3004" s="120">
        <f t="shared" si="1162"/>
        <v>0</v>
      </c>
      <c r="L3004" s="120">
        <f t="shared" si="1163"/>
        <v>0</v>
      </c>
      <c r="M3004" s="246">
        <f t="shared" si="1164"/>
        <v>0</v>
      </c>
      <c r="N3004" s="121">
        <f t="shared" si="1165"/>
        <v>1</v>
      </c>
      <c r="O3004" s="246">
        <f t="shared" si="1166"/>
        <v>0.99382385120350103</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87">
        <v>11</v>
      </c>
      <c r="B3005" s="242">
        <f t="shared" si="1173"/>
        <v>45962</v>
      </c>
      <c r="C3005" s="243">
        <f t="shared" si="1154"/>
        <v>45991</v>
      </c>
      <c r="D3005" s="120">
        <f t="shared" si="1155"/>
        <v>30</v>
      </c>
      <c r="E3005" s="120">
        <f t="shared" si="1156"/>
        <v>11</v>
      </c>
      <c r="F3005" s="275">
        <f t="shared" si="1157"/>
        <v>45977</v>
      </c>
      <c r="G3005" s="120">
        <f t="shared" si="1158"/>
        <v>24310</v>
      </c>
      <c r="H3005" s="245">
        <f t="shared" si="1159"/>
        <v>1</v>
      </c>
      <c r="I3005" s="121">
        <f t="shared" si="1160"/>
        <v>1</v>
      </c>
      <c r="J3005" s="121">
        <f t="shared" si="1161"/>
        <v>1</v>
      </c>
      <c r="K3005" s="120">
        <f t="shared" si="1162"/>
        <v>0</v>
      </c>
      <c r="L3005" s="120">
        <f t="shared" si="1163"/>
        <v>0</v>
      </c>
      <c r="M3005" s="246">
        <f t="shared" si="1164"/>
        <v>0</v>
      </c>
      <c r="N3005" s="121">
        <f t="shared" si="1165"/>
        <v>1</v>
      </c>
      <c r="O3005" s="246">
        <f t="shared" si="1166"/>
        <v>0.99349015317286649</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87">
        <v>12</v>
      </c>
      <c r="B3006" s="242">
        <f t="shared" si="1173"/>
        <v>45992</v>
      </c>
      <c r="C3006" s="243">
        <f t="shared" si="1154"/>
        <v>46022</v>
      </c>
      <c r="D3006" s="120">
        <f t="shared" si="1155"/>
        <v>31</v>
      </c>
      <c r="E3006" s="120">
        <f t="shared" si="1156"/>
        <v>12</v>
      </c>
      <c r="F3006" s="275">
        <f t="shared" si="1157"/>
        <v>46007.5</v>
      </c>
      <c r="G3006" s="120">
        <f t="shared" si="1158"/>
        <v>24311</v>
      </c>
      <c r="H3006" s="245">
        <f t="shared" si="1159"/>
        <v>1</v>
      </c>
      <c r="I3006" s="121">
        <f t="shared" si="1160"/>
        <v>1</v>
      </c>
      <c r="J3006" s="121">
        <f t="shared" si="1161"/>
        <v>1</v>
      </c>
      <c r="K3006" s="120">
        <f t="shared" si="1162"/>
        <v>0</v>
      </c>
      <c r="L3006" s="120">
        <f t="shared" si="1163"/>
        <v>0</v>
      </c>
      <c r="M3006" s="246">
        <f t="shared" si="1164"/>
        <v>0</v>
      </c>
      <c r="N3006" s="121">
        <f t="shared" si="1165"/>
        <v>1</v>
      </c>
      <c r="O3006" s="246">
        <f t="shared" si="1166"/>
        <v>0.99315645514223194</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87">
        <v>13</v>
      </c>
      <c r="B3007" s="242">
        <f t="shared" si="1173"/>
        <v>46023</v>
      </c>
      <c r="C3007" s="243">
        <f t="shared" si="1154"/>
        <v>46053</v>
      </c>
      <c r="D3007" s="120">
        <f t="shared" si="1155"/>
        <v>31</v>
      </c>
      <c r="E3007" s="120">
        <f t="shared" si="1156"/>
        <v>1</v>
      </c>
      <c r="F3007" s="275">
        <f t="shared" si="1157"/>
        <v>46038.5</v>
      </c>
      <c r="G3007" s="120">
        <f t="shared" si="1158"/>
        <v>24312</v>
      </c>
      <c r="H3007" s="245">
        <f t="shared" si="1159"/>
        <v>1</v>
      </c>
      <c r="I3007" s="121">
        <f t="shared" si="1160"/>
        <v>1</v>
      </c>
      <c r="J3007" s="121">
        <f t="shared" si="1161"/>
        <v>1</v>
      </c>
      <c r="K3007" s="120">
        <f t="shared" si="1162"/>
        <v>0</v>
      </c>
      <c r="L3007" s="120">
        <f t="shared" si="1163"/>
        <v>0</v>
      </c>
      <c r="M3007" s="246">
        <f t="shared" si="1164"/>
        <v>0</v>
      </c>
      <c r="N3007" s="121">
        <f t="shared" si="1165"/>
        <v>1</v>
      </c>
      <c r="O3007" s="246">
        <f t="shared" si="1166"/>
        <v>0.9928172866520788</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87">
        <v>14</v>
      </c>
      <c r="B3008" s="242">
        <f t="shared" si="1173"/>
        <v>46054</v>
      </c>
      <c r="C3008" s="243">
        <f t="shared" si="1154"/>
        <v>46081</v>
      </c>
      <c r="D3008" s="120">
        <f t="shared" si="1155"/>
        <v>28</v>
      </c>
      <c r="E3008" s="120">
        <f t="shared" si="1156"/>
        <v>2</v>
      </c>
      <c r="F3008" s="275">
        <f t="shared" si="1157"/>
        <v>46068</v>
      </c>
      <c r="G3008" s="120">
        <f t="shared" si="1158"/>
        <v>24313</v>
      </c>
      <c r="H3008" s="245">
        <f t="shared" si="1159"/>
        <v>1</v>
      </c>
      <c r="I3008" s="121">
        <f t="shared" si="1160"/>
        <v>1</v>
      </c>
      <c r="J3008" s="121">
        <f t="shared" si="1161"/>
        <v>1</v>
      </c>
      <c r="K3008" s="120">
        <f t="shared" si="1162"/>
        <v>0</v>
      </c>
      <c r="L3008" s="120">
        <f t="shared" si="1163"/>
        <v>0</v>
      </c>
      <c r="M3008" s="246">
        <f t="shared" si="1164"/>
        <v>0</v>
      </c>
      <c r="N3008" s="121">
        <f t="shared" si="1165"/>
        <v>1</v>
      </c>
      <c r="O3008" s="246">
        <f t="shared" si="1166"/>
        <v>0.99249452954048134</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87">
        <v>15</v>
      </c>
      <c r="B3009" s="242">
        <f t="shared" si="1173"/>
        <v>46082</v>
      </c>
      <c r="C3009" s="243">
        <f t="shared" si="1154"/>
        <v>46112</v>
      </c>
      <c r="D3009" s="120">
        <f t="shared" si="1155"/>
        <v>31</v>
      </c>
      <c r="E3009" s="120">
        <f t="shared" si="1156"/>
        <v>3</v>
      </c>
      <c r="F3009" s="275">
        <f t="shared" si="1157"/>
        <v>46097.5</v>
      </c>
      <c r="G3009" s="120">
        <f t="shared" si="1158"/>
        <v>24314</v>
      </c>
      <c r="H3009" s="245">
        <f t="shared" si="1159"/>
        <v>1</v>
      </c>
      <c r="I3009" s="121">
        <f t="shared" si="1160"/>
        <v>1</v>
      </c>
      <c r="J3009" s="121">
        <f t="shared" si="1161"/>
        <v>1</v>
      </c>
      <c r="K3009" s="120">
        <f t="shared" si="1162"/>
        <v>0</v>
      </c>
      <c r="L3009" s="120">
        <f t="shared" si="1163"/>
        <v>0</v>
      </c>
      <c r="M3009" s="246">
        <f t="shared" si="1164"/>
        <v>0</v>
      </c>
      <c r="N3009" s="121">
        <f t="shared" si="1165"/>
        <v>1</v>
      </c>
      <c r="O3009" s="246">
        <f t="shared" si="1166"/>
        <v>0.99217177242888399</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87">
        <v>16</v>
      </c>
      <c r="B3010" s="242">
        <f t="shared" si="1173"/>
        <v>46113</v>
      </c>
      <c r="C3010" s="243">
        <f t="shared" si="1154"/>
        <v>46142</v>
      </c>
      <c r="D3010" s="120">
        <f t="shared" si="1155"/>
        <v>30</v>
      </c>
      <c r="E3010" s="120">
        <f t="shared" si="1156"/>
        <v>4</v>
      </c>
      <c r="F3010" s="275">
        <f t="shared" si="1157"/>
        <v>46128</v>
      </c>
      <c r="G3010" s="120">
        <f t="shared" si="1158"/>
        <v>24315</v>
      </c>
      <c r="H3010" s="245">
        <f t="shared" si="1159"/>
        <v>1</v>
      </c>
      <c r="I3010" s="121">
        <f t="shared" si="1160"/>
        <v>1</v>
      </c>
      <c r="J3010" s="121">
        <f t="shared" si="1161"/>
        <v>1</v>
      </c>
      <c r="K3010" s="120">
        <f t="shared" si="1162"/>
        <v>0</v>
      </c>
      <c r="L3010" s="120">
        <f t="shared" si="1163"/>
        <v>0</v>
      </c>
      <c r="M3010" s="246">
        <f t="shared" si="1164"/>
        <v>0</v>
      </c>
      <c r="N3010" s="121">
        <f t="shared" si="1165"/>
        <v>1</v>
      </c>
      <c r="O3010" s="246">
        <f t="shared" si="1166"/>
        <v>0.99183807439824945</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87">
        <v>17</v>
      </c>
      <c r="B3011" s="242">
        <f t="shared" si="1173"/>
        <v>46143</v>
      </c>
      <c r="C3011" s="243">
        <f t="shared" si="1154"/>
        <v>46173</v>
      </c>
      <c r="D3011" s="120">
        <f t="shared" si="1155"/>
        <v>31</v>
      </c>
      <c r="E3011" s="120">
        <f t="shared" si="1156"/>
        <v>5</v>
      </c>
      <c r="F3011" s="275">
        <f t="shared" si="1157"/>
        <v>46158.5</v>
      </c>
      <c r="G3011" s="120">
        <f t="shared" si="1158"/>
        <v>24316</v>
      </c>
      <c r="H3011" s="245">
        <f t="shared" si="1159"/>
        <v>1</v>
      </c>
      <c r="I3011" s="121">
        <f t="shared" si="1160"/>
        <v>1</v>
      </c>
      <c r="J3011" s="121">
        <f t="shared" si="1161"/>
        <v>1</v>
      </c>
      <c r="K3011" s="120">
        <f t="shared" si="1162"/>
        <v>0</v>
      </c>
      <c r="L3011" s="120">
        <f t="shared" si="1163"/>
        <v>0</v>
      </c>
      <c r="M3011" s="246">
        <f t="shared" si="1164"/>
        <v>0</v>
      </c>
      <c r="N3011" s="121">
        <f t="shared" si="1165"/>
        <v>1</v>
      </c>
      <c r="O3011" s="246">
        <f t="shared" si="1166"/>
        <v>0.9915043763676149</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87">
        <v>18</v>
      </c>
      <c r="B3012" s="242">
        <f t="shared" si="1173"/>
        <v>46174</v>
      </c>
      <c r="C3012" s="243">
        <f t="shared" si="1154"/>
        <v>46203</v>
      </c>
      <c r="D3012" s="120">
        <f t="shared" si="1155"/>
        <v>30</v>
      </c>
      <c r="E3012" s="120">
        <f t="shared" si="1156"/>
        <v>6</v>
      </c>
      <c r="F3012" s="275">
        <f t="shared" si="1157"/>
        <v>46189</v>
      </c>
      <c r="G3012" s="120">
        <f t="shared" si="1158"/>
        <v>24317</v>
      </c>
      <c r="H3012" s="245">
        <f t="shared" si="1159"/>
        <v>1</v>
      </c>
      <c r="I3012" s="121">
        <f t="shared" si="1160"/>
        <v>1</v>
      </c>
      <c r="J3012" s="121">
        <f t="shared" si="1161"/>
        <v>1</v>
      </c>
      <c r="K3012" s="120">
        <f t="shared" si="1162"/>
        <v>0</v>
      </c>
      <c r="L3012" s="120">
        <f t="shared" si="1163"/>
        <v>0</v>
      </c>
      <c r="M3012" s="246">
        <f t="shared" si="1164"/>
        <v>0</v>
      </c>
      <c r="N3012" s="121">
        <f t="shared" si="1165"/>
        <v>1</v>
      </c>
      <c r="O3012" s="246">
        <f t="shared" si="1166"/>
        <v>0.99117067833698025</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87">
        <v>19</v>
      </c>
      <c r="B3013" s="242">
        <f t="shared" si="1173"/>
        <v>46204</v>
      </c>
      <c r="C3013" s="243">
        <f t="shared" si="1154"/>
        <v>46234</v>
      </c>
      <c r="D3013" s="120">
        <f t="shared" si="1155"/>
        <v>31</v>
      </c>
      <c r="E3013" s="120">
        <f t="shared" si="1156"/>
        <v>7</v>
      </c>
      <c r="F3013" s="275">
        <f t="shared" si="1157"/>
        <v>46219.5</v>
      </c>
      <c r="G3013" s="120">
        <f t="shared" si="1158"/>
        <v>24318</v>
      </c>
      <c r="H3013" s="245">
        <f t="shared" si="1159"/>
        <v>1</v>
      </c>
      <c r="I3013" s="121">
        <f t="shared" si="1160"/>
        <v>1</v>
      </c>
      <c r="J3013" s="121">
        <f t="shared" si="1161"/>
        <v>1.06</v>
      </c>
      <c r="K3013" s="120">
        <f t="shared" si="1162"/>
        <v>1</v>
      </c>
      <c r="L3013" s="120">
        <f t="shared" si="1163"/>
        <v>31</v>
      </c>
      <c r="M3013" s="246">
        <f t="shared" si="1164"/>
        <v>1</v>
      </c>
      <c r="N3013" s="121">
        <f t="shared" si="1165"/>
        <v>1.06</v>
      </c>
      <c r="O3013" s="246">
        <f t="shared" si="1166"/>
        <v>0.9908369803063457</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87">
        <v>20</v>
      </c>
      <c r="B3014" s="242">
        <f t="shared" si="1173"/>
        <v>46235</v>
      </c>
      <c r="C3014" s="243">
        <f t="shared" si="1154"/>
        <v>46265</v>
      </c>
      <c r="D3014" s="120">
        <f t="shared" si="1155"/>
        <v>31</v>
      </c>
      <c r="E3014" s="120">
        <f t="shared" si="1156"/>
        <v>8</v>
      </c>
      <c r="F3014" s="275">
        <f t="shared" si="1157"/>
        <v>46250.5</v>
      </c>
      <c r="G3014" s="120">
        <f t="shared" si="1158"/>
        <v>24319</v>
      </c>
      <c r="H3014" s="245">
        <f t="shared" si="1159"/>
        <v>1</v>
      </c>
      <c r="I3014" s="121">
        <f t="shared" si="1160"/>
        <v>1.06</v>
      </c>
      <c r="J3014" s="121">
        <f t="shared" si="1161"/>
        <v>1.06</v>
      </c>
      <c r="K3014" s="120">
        <f t="shared" si="1162"/>
        <v>0</v>
      </c>
      <c r="L3014" s="120">
        <f t="shared" si="1163"/>
        <v>0</v>
      </c>
      <c r="M3014" s="246">
        <f t="shared" si="1164"/>
        <v>0</v>
      </c>
      <c r="N3014" s="121">
        <f t="shared" si="1165"/>
        <v>1.06</v>
      </c>
      <c r="O3014" s="246">
        <f t="shared" si="1166"/>
        <v>0.99049781181619256</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87">
        <v>21</v>
      </c>
      <c r="B3015" s="242">
        <f t="shared" si="1173"/>
        <v>46266</v>
      </c>
      <c r="C3015" s="243">
        <f t="shared" si="1154"/>
        <v>46295</v>
      </c>
      <c r="D3015" s="120">
        <f t="shared" si="1155"/>
        <v>30</v>
      </c>
      <c r="E3015" s="120">
        <f t="shared" si="1156"/>
        <v>9</v>
      </c>
      <c r="F3015" s="275">
        <f t="shared" si="1157"/>
        <v>46281</v>
      </c>
      <c r="G3015" s="120">
        <f t="shared" si="1158"/>
        <v>24320</v>
      </c>
      <c r="H3015" s="245">
        <f t="shared" si="1159"/>
        <v>1</v>
      </c>
      <c r="I3015" s="121">
        <f t="shared" si="1160"/>
        <v>1.06</v>
      </c>
      <c r="J3015" s="121">
        <f t="shared" si="1161"/>
        <v>1.06</v>
      </c>
      <c r="K3015" s="120">
        <f t="shared" si="1162"/>
        <v>0</v>
      </c>
      <c r="L3015" s="120">
        <f t="shared" si="1163"/>
        <v>0</v>
      </c>
      <c r="M3015" s="246">
        <f t="shared" si="1164"/>
        <v>0</v>
      </c>
      <c r="N3015" s="121">
        <f t="shared" si="1165"/>
        <v>1.06</v>
      </c>
      <c r="O3015" s="246">
        <f t="shared" si="1166"/>
        <v>0.99016411378555802</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87">
        <v>22</v>
      </c>
      <c r="B3016" s="242">
        <f t="shared" si="1173"/>
        <v>46296</v>
      </c>
      <c r="C3016" s="243">
        <f t="shared" si="1154"/>
        <v>46326</v>
      </c>
      <c r="D3016" s="120">
        <f t="shared" si="1155"/>
        <v>31</v>
      </c>
      <c r="E3016" s="120">
        <f t="shared" si="1156"/>
        <v>10</v>
      </c>
      <c r="F3016" s="275">
        <f t="shared" si="1157"/>
        <v>46311.5</v>
      </c>
      <c r="G3016" s="120">
        <f t="shared" si="1158"/>
        <v>24321</v>
      </c>
      <c r="H3016" s="245">
        <f t="shared" si="1159"/>
        <v>1</v>
      </c>
      <c r="I3016" s="121">
        <f t="shared" si="1160"/>
        <v>1.06</v>
      </c>
      <c r="J3016" s="121">
        <f t="shared" si="1161"/>
        <v>1.06</v>
      </c>
      <c r="K3016" s="120">
        <f t="shared" si="1162"/>
        <v>0</v>
      </c>
      <c r="L3016" s="120">
        <f t="shared" si="1163"/>
        <v>0</v>
      </c>
      <c r="M3016" s="246">
        <f t="shared" si="1164"/>
        <v>0</v>
      </c>
      <c r="N3016" s="121">
        <f t="shared" si="1165"/>
        <v>1.06</v>
      </c>
      <c r="O3016" s="246">
        <f t="shared" si="1166"/>
        <v>0.98983041575492337</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87">
        <v>23</v>
      </c>
      <c r="B3017" s="242">
        <f t="shared" si="1173"/>
        <v>46327</v>
      </c>
      <c r="C3017" s="243">
        <f t="shared" si="1154"/>
        <v>46356</v>
      </c>
      <c r="D3017" s="120">
        <f t="shared" si="1155"/>
        <v>30</v>
      </c>
      <c r="E3017" s="120">
        <f t="shared" si="1156"/>
        <v>11</v>
      </c>
      <c r="F3017" s="275">
        <f t="shared" si="1157"/>
        <v>46342</v>
      </c>
      <c r="G3017" s="120">
        <f t="shared" si="1158"/>
        <v>24322</v>
      </c>
      <c r="H3017" s="245">
        <f t="shared" si="1159"/>
        <v>1</v>
      </c>
      <c r="I3017" s="121">
        <f t="shared" si="1160"/>
        <v>1.06</v>
      </c>
      <c r="J3017" s="121">
        <f t="shared" si="1161"/>
        <v>1.06</v>
      </c>
      <c r="K3017" s="120">
        <f t="shared" si="1162"/>
        <v>0</v>
      </c>
      <c r="L3017" s="120">
        <f t="shared" si="1163"/>
        <v>0</v>
      </c>
      <c r="M3017" s="246">
        <f t="shared" si="1164"/>
        <v>0</v>
      </c>
      <c r="N3017" s="121">
        <f t="shared" si="1165"/>
        <v>1.06</v>
      </c>
      <c r="O3017" s="246">
        <f t="shared" si="1166"/>
        <v>0.98949671772428882</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87">
        <v>24</v>
      </c>
      <c r="B3018" s="242">
        <f t="shared" si="1173"/>
        <v>46357</v>
      </c>
      <c r="C3018" s="243">
        <f t="shared" si="1154"/>
        <v>46387</v>
      </c>
      <c r="D3018" s="120">
        <f t="shared" si="1155"/>
        <v>31</v>
      </c>
      <c r="E3018" s="120">
        <f t="shared" si="1156"/>
        <v>12</v>
      </c>
      <c r="F3018" s="275">
        <f t="shared" si="1157"/>
        <v>46372.5</v>
      </c>
      <c r="G3018" s="120">
        <f t="shared" si="1158"/>
        <v>24323</v>
      </c>
      <c r="H3018" s="245">
        <f t="shared" si="1159"/>
        <v>1</v>
      </c>
      <c r="I3018" s="121">
        <f t="shared" si="1160"/>
        <v>1.06</v>
      </c>
      <c r="J3018" s="121">
        <f t="shared" si="1161"/>
        <v>1.06</v>
      </c>
      <c r="K3018" s="120">
        <f t="shared" si="1162"/>
        <v>0</v>
      </c>
      <c r="L3018" s="120">
        <f t="shared" si="1163"/>
        <v>0</v>
      </c>
      <c r="M3018" s="246">
        <f t="shared" si="1164"/>
        <v>0</v>
      </c>
      <c r="N3018" s="121">
        <f t="shared" si="1165"/>
        <v>1.06</v>
      </c>
      <c r="O3018" s="246">
        <f t="shared" si="1166"/>
        <v>0.98916301969365428</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87">
        <v>25</v>
      </c>
      <c r="B3019" s="242">
        <f t="shared" si="1173"/>
        <v>46388</v>
      </c>
      <c r="C3019" s="243">
        <f t="shared" si="1154"/>
        <v>46418</v>
      </c>
      <c r="D3019" s="120">
        <f t="shared" si="1155"/>
        <v>31</v>
      </c>
      <c r="E3019" s="120">
        <f t="shared" si="1156"/>
        <v>1</v>
      </c>
      <c r="F3019" s="275">
        <f t="shared" si="1157"/>
        <v>46403.5</v>
      </c>
      <c r="G3019" s="120">
        <f t="shared" si="1158"/>
        <v>24324</v>
      </c>
      <c r="H3019" s="245">
        <f t="shared" si="1159"/>
        <v>1</v>
      </c>
      <c r="I3019" s="121">
        <f t="shared" si="1160"/>
        <v>1.06</v>
      </c>
      <c r="J3019" s="121">
        <f t="shared" si="1161"/>
        <v>1.06</v>
      </c>
      <c r="K3019" s="120">
        <f t="shared" si="1162"/>
        <v>0</v>
      </c>
      <c r="L3019" s="120">
        <f t="shared" si="1163"/>
        <v>0</v>
      </c>
      <c r="M3019" s="246">
        <f t="shared" si="1164"/>
        <v>0</v>
      </c>
      <c r="N3019" s="121">
        <f t="shared" si="1165"/>
        <v>1.06</v>
      </c>
      <c r="O3019" s="246">
        <f t="shared" si="1166"/>
        <v>0.98882385120350114</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87">
        <v>26</v>
      </c>
      <c r="B3020" s="242">
        <f t="shared" si="1173"/>
        <v>46419</v>
      </c>
      <c r="C3020" s="243">
        <f t="shared" si="1154"/>
        <v>46446</v>
      </c>
      <c r="D3020" s="120">
        <f t="shared" si="1155"/>
        <v>28</v>
      </c>
      <c r="E3020" s="120">
        <f t="shared" si="1156"/>
        <v>2</v>
      </c>
      <c r="F3020" s="275">
        <f t="shared" si="1157"/>
        <v>46433</v>
      </c>
      <c r="G3020" s="120">
        <f t="shared" si="1158"/>
        <v>24325</v>
      </c>
      <c r="H3020" s="245">
        <f t="shared" si="1159"/>
        <v>1</v>
      </c>
      <c r="I3020" s="121">
        <f t="shared" si="1160"/>
        <v>1.06</v>
      </c>
      <c r="J3020" s="121">
        <f t="shared" si="1161"/>
        <v>1.06</v>
      </c>
      <c r="K3020" s="120">
        <f t="shared" si="1162"/>
        <v>0</v>
      </c>
      <c r="L3020" s="120">
        <f t="shared" si="1163"/>
        <v>0</v>
      </c>
      <c r="M3020" s="246">
        <f t="shared" si="1164"/>
        <v>0</v>
      </c>
      <c r="N3020" s="121">
        <f t="shared" si="1165"/>
        <v>1.06</v>
      </c>
      <c r="O3020" s="246">
        <f t="shared" si="1166"/>
        <v>0.98850109409190368</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87">
        <v>27</v>
      </c>
      <c r="B3021" s="242">
        <f t="shared" si="1173"/>
        <v>46447</v>
      </c>
      <c r="C3021" s="243">
        <f t="shared" si="1154"/>
        <v>46477</v>
      </c>
      <c r="D3021" s="120">
        <f t="shared" si="1155"/>
        <v>31</v>
      </c>
      <c r="E3021" s="120">
        <f t="shared" si="1156"/>
        <v>3</v>
      </c>
      <c r="F3021" s="275">
        <f t="shared" si="1157"/>
        <v>46462.5</v>
      </c>
      <c r="G3021" s="120">
        <f t="shared" si="1158"/>
        <v>24326</v>
      </c>
      <c r="H3021" s="245">
        <f t="shared" si="1159"/>
        <v>1</v>
      </c>
      <c r="I3021" s="121">
        <f t="shared" si="1160"/>
        <v>1.06</v>
      </c>
      <c r="J3021" s="121">
        <f t="shared" si="1161"/>
        <v>1.06</v>
      </c>
      <c r="K3021" s="120">
        <f t="shared" si="1162"/>
        <v>0</v>
      </c>
      <c r="L3021" s="120">
        <f t="shared" si="1163"/>
        <v>0</v>
      </c>
      <c r="M3021" s="246">
        <f t="shared" si="1164"/>
        <v>0</v>
      </c>
      <c r="N3021" s="121">
        <f t="shared" si="1165"/>
        <v>1.06</v>
      </c>
      <c r="O3021" s="246">
        <f t="shared" si="1166"/>
        <v>0.98817833698030633</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87">
        <v>28</v>
      </c>
      <c r="B3022" s="242">
        <f t="shared" si="1173"/>
        <v>46478</v>
      </c>
      <c r="C3022" s="243">
        <f t="shared" si="1154"/>
        <v>46507</v>
      </c>
      <c r="D3022" s="120">
        <f t="shared" si="1155"/>
        <v>30</v>
      </c>
      <c r="E3022" s="120">
        <f t="shared" si="1156"/>
        <v>4</v>
      </c>
      <c r="F3022" s="275">
        <f t="shared" si="1157"/>
        <v>46493</v>
      </c>
      <c r="G3022" s="120">
        <f t="shared" si="1158"/>
        <v>24327</v>
      </c>
      <c r="H3022" s="245">
        <f t="shared" si="1159"/>
        <v>1</v>
      </c>
      <c r="I3022" s="121">
        <f t="shared" si="1160"/>
        <v>1.06</v>
      </c>
      <c r="J3022" s="121">
        <f t="shared" si="1161"/>
        <v>1.06</v>
      </c>
      <c r="K3022" s="120">
        <f t="shared" si="1162"/>
        <v>0</v>
      </c>
      <c r="L3022" s="120">
        <f t="shared" si="1163"/>
        <v>0</v>
      </c>
      <c r="M3022" s="246">
        <f t="shared" si="1164"/>
        <v>0</v>
      </c>
      <c r="N3022" s="121">
        <f t="shared" si="1165"/>
        <v>1.06</v>
      </c>
      <c r="O3022" s="246">
        <f t="shared" si="1166"/>
        <v>0.98784463894967178</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87">
        <v>29</v>
      </c>
      <c r="B3023" s="242">
        <f t="shared" si="1173"/>
        <v>46508</v>
      </c>
      <c r="C3023" s="243">
        <f t="shared" si="1154"/>
        <v>46538</v>
      </c>
      <c r="D3023" s="120">
        <f t="shared" si="1155"/>
        <v>31</v>
      </c>
      <c r="E3023" s="120">
        <f t="shared" si="1156"/>
        <v>5</v>
      </c>
      <c r="F3023" s="275">
        <f t="shared" si="1157"/>
        <v>46523.5</v>
      </c>
      <c r="G3023" s="120">
        <f t="shared" si="1158"/>
        <v>24328</v>
      </c>
      <c r="H3023" s="245">
        <f t="shared" si="1159"/>
        <v>1</v>
      </c>
      <c r="I3023" s="121">
        <f t="shared" si="1160"/>
        <v>1.06</v>
      </c>
      <c r="J3023" s="121">
        <f t="shared" si="1161"/>
        <v>1.06</v>
      </c>
      <c r="K3023" s="120">
        <f t="shared" si="1162"/>
        <v>0</v>
      </c>
      <c r="L3023" s="120">
        <f t="shared" si="1163"/>
        <v>0</v>
      </c>
      <c r="M3023" s="246">
        <f t="shared" si="1164"/>
        <v>0</v>
      </c>
      <c r="N3023" s="121">
        <f t="shared" si="1165"/>
        <v>1.06</v>
      </c>
      <c r="O3023" s="246">
        <f t="shared" si="1166"/>
        <v>0.98751094091903724</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87">
        <v>30</v>
      </c>
      <c r="B3024" s="242">
        <f t="shared" si="1173"/>
        <v>46539</v>
      </c>
      <c r="C3024" s="243">
        <f t="shared" si="1154"/>
        <v>46568</v>
      </c>
      <c r="D3024" s="120">
        <f t="shared" si="1155"/>
        <v>30</v>
      </c>
      <c r="E3024" s="120">
        <f t="shared" si="1156"/>
        <v>6</v>
      </c>
      <c r="F3024" s="275">
        <f t="shared" si="1157"/>
        <v>46554</v>
      </c>
      <c r="G3024" s="120">
        <f t="shared" si="1158"/>
        <v>24329</v>
      </c>
      <c r="H3024" s="245">
        <f t="shared" si="1159"/>
        <v>1</v>
      </c>
      <c r="I3024" s="121">
        <f t="shared" si="1160"/>
        <v>1.06</v>
      </c>
      <c r="J3024" s="121">
        <f t="shared" si="1161"/>
        <v>1.06</v>
      </c>
      <c r="K3024" s="120">
        <f t="shared" si="1162"/>
        <v>0</v>
      </c>
      <c r="L3024" s="120">
        <f t="shared" si="1163"/>
        <v>0</v>
      </c>
      <c r="M3024" s="246">
        <f t="shared" si="1164"/>
        <v>0</v>
      </c>
      <c r="N3024" s="121">
        <f t="shared" si="1165"/>
        <v>1.06</v>
      </c>
      <c r="O3024" s="246">
        <f t="shared" si="1166"/>
        <v>0.98717724288840258</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87">
        <v>31</v>
      </c>
      <c r="B3025" s="242">
        <f t="shared" si="1173"/>
        <v>46569</v>
      </c>
      <c r="C3025" s="243">
        <f t="shared" si="1154"/>
        <v>46599</v>
      </c>
      <c r="D3025" s="120">
        <f t="shared" si="1155"/>
        <v>31</v>
      </c>
      <c r="E3025" s="120">
        <f t="shared" si="1156"/>
        <v>7</v>
      </c>
      <c r="F3025" s="275">
        <f t="shared" si="1157"/>
        <v>46584.5</v>
      </c>
      <c r="G3025" s="120">
        <f t="shared" si="1158"/>
        <v>24330</v>
      </c>
      <c r="H3025" s="245">
        <f t="shared" si="1159"/>
        <v>1</v>
      </c>
      <c r="I3025" s="121">
        <f t="shared" si="1160"/>
        <v>1.06</v>
      </c>
      <c r="J3025" s="121">
        <f t="shared" si="1161"/>
        <v>1.06</v>
      </c>
      <c r="K3025" s="120">
        <f t="shared" si="1162"/>
        <v>0</v>
      </c>
      <c r="L3025" s="120">
        <f t="shared" si="1163"/>
        <v>0</v>
      </c>
      <c r="M3025" s="246">
        <f t="shared" si="1164"/>
        <v>0</v>
      </c>
      <c r="N3025" s="121">
        <f t="shared" si="1165"/>
        <v>1.06</v>
      </c>
      <c r="O3025" s="246">
        <f t="shared" si="1166"/>
        <v>0.98684354485776804</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87">
        <v>32</v>
      </c>
      <c r="B3026" s="242">
        <f t="shared" si="1173"/>
        <v>46600</v>
      </c>
      <c r="C3026" s="243">
        <f t="shared" si="1154"/>
        <v>46630</v>
      </c>
      <c r="D3026" s="120">
        <f t="shared" si="1155"/>
        <v>31</v>
      </c>
      <c r="E3026" s="120">
        <f t="shared" si="1156"/>
        <v>8</v>
      </c>
      <c r="F3026" s="275">
        <f t="shared" si="1157"/>
        <v>46615.5</v>
      </c>
      <c r="G3026" s="120">
        <f t="shared" si="1158"/>
        <v>24331</v>
      </c>
      <c r="H3026" s="245">
        <f t="shared" si="1159"/>
        <v>1</v>
      </c>
      <c r="I3026" s="121">
        <f t="shared" si="1160"/>
        <v>1.06</v>
      </c>
      <c r="J3026" s="121">
        <f t="shared" si="1161"/>
        <v>1.06</v>
      </c>
      <c r="K3026" s="120">
        <f t="shared" si="1162"/>
        <v>0</v>
      </c>
      <c r="L3026" s="120">
        <f t="shared" si="1163"/>
        <v>0</v>
      </c>
      <c r="M3026" s="246">
        <f t="shared" si="1164"/>
        <v>0</v>
      </c>
      <c r="N3026" s="121">
        <f t="shared" si="1165"/>
        <v>1.06</v>
      </c>
      <c r="O3026" s="246">
        <f t="shared" si="1166"/>
        <v>0.9865043763676149</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87">
        <v>33</v>
      </c>
      <c r="B3027" s="242">
        <f t="shared" si="1173"/>
        <v>46631</v>
      </c>
      <c r="C3027" s="243">
        <f t="shared" si="1154"/>
        <v>46660</v>
      </c>
      <c r="D3027" s="120">
        <f t="shared" si="1155"/>
        <v>30</v>
      </c>
      <c r="E3027" s="120">
        <f t="shared" si="1156"/>
        <v>9</v>
      </c>
      <c r="F3027" s="275">
        <f t="shared" si="1157"/>
        <v>46646</v>
      </c>
      <c r="G3027" s="120">
        <f t="shared" si="1158"/>
        <v>24332</v>
      </c>
      <c r="H3027" s="245">
        <f t="shared" si="1159"/>
        <v>1</v>
      </c>
      <c r="I3027" s="121">
        <f t="shared" si="1160"/>
        <v>1.06</v>
      </c>
      <c r="J3027" s="121">
        <f t="shared" si="1161"/>
        <v>1.06</v>
      </c>
      <c r="K3027" s="120">
        <f t="shared" si="1162"/>
        <v>0</v>
      </c>
      <c r="L3027" s="120">
        <f t="shared" si="1163"/>
        <v>0</v>
      </c>
      <c r="M3027" s="246">
        <f t="shared" si="1164"/>
        <v>0</v>
      </c>
      <c r="N3027" s="121">
        <f t="shared" si="1165"/>
        <v>1.06</v>
      </c>
      <c r="O3027" s="246">
        <f t="shared" si="1166"/>
        <v>0.98617067833698024</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87">
        <v>34</v>
      </c>
      <c r="B3028" s="242">
        <f t="shared" si="1173"/>
        <v>46661</v>
      </c>
      <c r="C3028" s="243">
        <f t="shared" si="1154"/>
        <v>46691</v>
      </c>
      <c r="D3028" s="120">
        <f t="shared" si="1155"/>
        <v>31</v>
      </c>
      <c r="E3028" s="120">
        <f t="shared" si="1156"/>
        <v>10</v>
      </c>
      <c r="F3028" s="275">
        <f t="shared" si="1157"/>
        <v>46676.5</v>
      </c>
      <c r="G3028" s="120">
        <f t="shared" si="1158"/>
        <v>24333</v>
      </c>
      <c r="H3028" s="245">
        <f t="shared" si="1159"/>
        <v>1</v>
      </c>
      <c r="I3028" s="121">
        <f t="shared" si="1160"/>
        <v>1.06</v>
      </c>
      <c r="J3028" s="121">
        <f t="shared" si="1161"/>
        <v>1.06</v>
      </c>
      <c r="K3028" s="120">
        <f t="shared" si="1162"/>
        <v>0</v>
      </c>
      <c r="L3028" s="120">
        <f t="shared" si="1163"/>
        <v>0</v>
      </c>
      <c r="M3028" s="246">
        <f t="shared" si="1164"/>
        <v>0</v>
      </c>
      <c r="N3028" s="121">
        <f t="shared" si="1165"/>
        <v>1.06</v>
      </c>
      <c r="O3028" s="246">
        <f t="shared" si="1166"/>
        <v>0.9858369803063457</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87">
        <v>35</v>
      </c>
      <c r="B3029" s="242">
        <f t="shared" si="1173"/>
        <v>46692</v>
      </c>
      <c r="C3029" s="243">
        <f t="shared" si="1154"/>
        <v>46721</v>
      </c>
      <c r="D3029" s="120">
        <f t="shared" si="1155"/>
        <v>30</v>
      </c>
      <c r="E3029" s="120">
        <f t="shared" si="1156"/>
        <v>11</v>
      </c>
      <c r="F3029" s="275">
        <f t="shared" si="1157"/>
        <v>46707</v>
      </c>
      <c r="G3029" s="120">
        <f t="shared" si="1158"/>
        <v>24334</v>
      </c>
      <c r="H3029" s="245">
        <f t="shared" si="1159"/>
        <v>1</v>
      </c>
      <c r="I3029" s="121">
        <f t="shared" si="1160"/>
        <v>1.06</v>
      </c>
      <c r="J3029" s="121">
        <f t="shared" si="1161"/>
        <v>1.06</v>
      </c>
      <c r="K3029" s="120">
        <f t="shared" si="1162"/>
        <v>0</v>
      </c>
      <c r="L3029" s="120">
        <f t="shared" si="1163"/>
        <v>0</v>
      </c>
      <c r="M3029" s="246">
        <f t="shared" si="1164"/>
        <v>0</v>
      </c>
      <c r="N3029" s="121">
        <f t="shared" si="1165"/>
        <v>1.06</v>
      </c>
      <c r="O3029" s="246">
        <f t="shared" si="1166"/>
        <v>0.98550328227571116</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87">
        <v>36</v>
      </c>
      <c r="B3030" s="242">
        <f t="shared" si="1173"/>
        <v>46722</v>
      </c>
      <c r="C3030" s="243">
        <f t="shared" si="1154"/>
        <v>46752</v>
      </c>
      <c r="D3030" s="120">
        <f t="shared" si="1155"/>
        <v>31</v>
      </c>
      <c r="E3030" s="120">
        <f t="shared" si="1156"/>
        <v>12</v>
      </c>
      <c r="F3030" s="275">
        <f t="shared" si="1157"/>
        <v>46737.5</v>
      </c>
      <c r="G3030" s="120">
        <f t="shared" si="1158"/>
        <v>24335</v>
      </c>
      <c r="H3030" s="245">
        <f t="shared" si="1159"/>
        <v>1</v>
      </c>
      <c r="I3030" s="121">
        <f t="shared" si="1160"/>
        <v>1.06</v>
      </c>
      <c r="J3030" s="121">
        <f t="shared" si="1161"/>
        <v>1.06</v>
      </c>
      <c r="K3030" s="120">
        <f t="shared" si="1162"/>
        <v>0</v>
      </c>
      <c r="L3030" s="120">
        <f t="shared" si="1163"/>
        <v>0</v>
      </c>
      <c r="M3030" s="246">
        <f t="shared" si="1164"/>
        <v>0</v>
      </c>
      <c r="N3030" s="121">
        <f t="shared" si="1165"/>
        <v>1.06</v>
      </c>
      <c r="O3030" s="246">
        <f t="shared" si="1166"/>
        <v>0.98516958424507661</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87">
        <v>37</v>
      </c>
      <c r="B3031" s="242">
        <f t="shared" si="1173"/>
        <v>46753</v>
      </c>
      <c r="C3031" s="243">
        <f t="shared" si="1154"/>
        <v>46783</v>
      </c>
      <c r="D3031" s="120">
        <f t="shared" si="1155"/>
        <v>31</v>
      </c>
      <c r="E3031" s="120">
        <f t="shared" si="1156"/>
        <v>1</v>
      </c>
      <c r="F3031" s="275">
        <f t="shared" si="1157"/>
        <v>46768.5</v>
      </c>
      <c r="G3031" s="120">
        <f t="shared" si="1158"/>
        <v>24336</v>
      </c>
      <c r="H3031" s="245">
        <f t="shared" si="1159"/>
        <v>1</v>
      </c>
      <c r="I3031" s="121">
        <f t="shared" si="1160"/>
        <v>1.06</v>
      </c>
      <c r="J3031" s="121">
        <f t="shared" si="1161"/>
        <v>1.06</v>
      </c>
      <c r="K3031" s="120">
        <f t="shared" si="1162"/>
        <v>0</v>
      </c>
      <c r="L3031" s="120">
        <f t="shared" si="1163"/>
        <v>0</v>
      </c>
      <c r="M3031" s="246">
        <f t="shared" si="1164"/>
        <v>0</v>
      </c>
      <c r="N3031" s="121">
        <f t="shared" si="1165"/>
        <v>1.06</v>
      </c>
      <c r="O3031" s="246">
        <f t="shared" si="1166"/>
        <v>0.98499999999999999</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87">
        <v>38</v>
      </c>
      <c r="B3032" s="242">
        <f t="shared" si="1173"/>
        <v>46784</v>
      </c>
      <c r="C3032" s="243">
        <f t="shared" si="1154"/>
        <v>46812</v>
      </c>
      <c r="D3032" s="120">
        <f t="shared" si="1155"/>
        <v>29</v>
      </c>
      <c r="E3032" s="120">
        <f t="shared" si="1156"/>
        <v>2</v>
      </c>
      <c r="F3032" s="275">
        <f t="shared" si="1157"/>
        <v>46798.5</v>
      </c>
      <c r="G3032" s="120">
        <f t="shared" si="1158"/>
        <v>24337</v>
      </c>
      <c r="H3032" s="245">
        <f t="shared" si="1159"/>
        <v>1</v>
      </c>
      <c r="I3032" s="121">
        <f t="shared" si="1160"/>
        <v>1.06</v>
      </c>
      <c r="J3032" s="121">
        <f t="shared" si="1161"/>
        <v>1.06</v>
      </c>
      <c r="K3032" s="120">
        <f t="shared" si="1162"/>
        <v>0</v>
      </c>
      <c r="L3032" s="120">
        <f t="shared" si="1163"/>
        <v>0</v>
      </c>
      <c r="M3032" s="246">
        <f t="shared" si="1164"/>
        <v>0</v>
      </c>
      <c r="N3032" s="121">
        <f t="shared" si="1165"/>
        <v>1.06</v>
      </c>
      <c r="O3032" s="246">
        <f t="shared" si="1166"/>
        <v>0.98499999999999999</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87">
        <v>39</v>
      </c>
      <c r="B3033" s="242">
        <f t="shared" si="1173"/>
        <v>46813</v>
      </c>
      <c r="C3033" s="243">
        <f t="shared" si="1154"/>
        <v>46843</v>
      </c>
      <c r="D3033" s="120">
        <f t="shared" si="1155"/>
        <v>31</v>
      </c>
      <c r="E3033" s="120">
        <f t="shared" si="1156"/>
        <v>3</v>
      </c>
      <c r="F3033" s="275">
        <f t="shared" si="1157"/>
        <v>46828.5</v>
      </c>
      <c r="G3033" s="120">
        <f t="shared" si="1158"/>
        <v>24338</v>
      </c>
      <c r="H3033" s="245">
        <f t="shared" si="1159"/>
        <v>1</v>
      </c>
      <c r="I3033" s="121">
        <f t="shared" si="1160"/>
        <v>1.06</v>
      </c>
      <c r="J3033" s="121">
        <f t="shared" si="1161"/>
        <v>1.06</v>
      </c>
      <c r="K3033" s="120">
        <f t="shared" si="1162"/>
        <v>0</v>
      </c>
      <c r="L3033" s="120">
        <f t="shared" si="1163"/>
        <v>0</v>
      </c>
      <c r="M3033" s="246">
        <f t="shared" si="1164"/>
        <v>0</v>
      </c>
      <c r="N3033" s="121">
        <f t="shared" si="1165"/>
        <v>1.06</v>
      </c>
      <c r="O3033" s="246">
        <f t="shared" si="1166"/>
        <v>0.98499999999999999</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87">
        <v>40</v>
      </c>
      <c r="B3034" s="242">
        <f t="shared" si="1173"/>
        <v>46844</v>
      </c>
      <c r="C3034" s="243">
        <f t="shared" si="1154"/>
        <v>46873</v>
      </c>
      <c r="D3034" s="120">
        <f t="shared" si="1155"/>
        <v>30</v>
      </c>
      <c r="E3034" s="120">
        <f t="shared" si="1156"/>
        <v>4</v>
      </c>
      <c r="F3034" s="275">
        <f t="shared" si="1157"/>
        <v>46859</v>
      </c>
      <c r="G3034" s="120">
        <f t="shared" si="1158"/>
        <v>24339</v>
      </c>
      <c r="H3034" s="245">
        <f t="shared" si="1159"/>
        <v>1</v>
      </c>
      <c r="I3034" s="121">
        <f t="shared" si="1160"/>
        <v>1.06</v>
      </c>
      <c r="J3034" s="121">
        <f t="shared" si="1161"/>
        <v>1.06</v>
      </c>
      <c r="K3034" s="120">
        <f t="shared" si="1162"/>
        <v>0</v>
      </c>
      <c r="L3034" s="120">
        <f t="shared" si="1163"/>
        <v>0</v>
      </c>
      <c r="M3034" s="246">
        <f t="shared" si="1164"/>
        <v>0</v>
      </c>
      <c r="N3034" s="121">
        <f t="shared" si="1165"/>
        <v>1.06</v>
      </c>
      <c r="O3034" s="246">
        <f t="shared" si="1166"/>
        <v>0.98499999999999999</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87">
        <v>41</v>
      </c>
      <c r="B3035" s="242">
        <f t="shared" si="1173"/>
        <v>46874</v>
      </c>
      <c r="C3035" s="243">
        <f t="shared" si="1154"/>
        <v>46904</v>
      </c>
      <c r="D3035" s="120">
        <f t="shared" si="1155"/>
        <v>31</v>
      </c>
      <c r="E3035" s="120">
        <f t="shared" si="1156"/>
        <v>5</v>
      </c>
      <c r="F3035" s="275">
        <f t="shared" si="1157"/>
        <v>46889.5</v>
      </c>
      <c r="G3035" s="120">
        <f t="shared" si="1158"/>
        <v>24340</v>
      </c>
      <c r="H3035" s="245">
        <f t="shared" si="1159"/>
        <v>1</v>
      </c>
      <c r="I3035" s="121">
        <f t="shared" si="1160"/>
        <v>1.06</v>
      </c>
      <c r="J3035" s="121">
        <f t="shared" si="1161"/>
        <v>1.06</v>
      </c>
      <c r="K3035" s="120">
        <f t="shared" si="1162"/>
        <v>0</v>
      </c>
      <c r="L3035" s="120">
        <f t="shared" si="1163"/>
        <v>0</v>
      </c>
      <c r="M3035" s="246">
        <f t="shared" si="1164"/>
        <v>0</v>
      </c>
      <c r="N3035" s="121">
        <f t="shared" si="1165"/>
        <v>1.06</v>
      </c>
      <c r="O3035" s="246">
        <f t="shared" si="1166"/>
        <v>0.98499999999999999</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87">
        <v>42</v>
      </c>
      <c r="B3036" s="242">
        <f t="shared" si="1173"/>
        <v>46905</v>
      </c>
      <c r="C3036" s="243">
        <f t="shared" si="1154"/>
        <v>46934</v>
      </c>
      <c r="D3036" s="120">
        <f t="shared" si="1155"/>
        <v>30</v>
      </c>
      <c r="E3036" s="120">
        <f t="shared" si="1156"/>
        <v>6</v>
      </c>
      <c r="F3036" s="275">
        <f t="shared" si="1157"/>
        <v>46920</v>
      </c>
      <c r="G3036" s="120">
        <f t="shared" si="1158"/>
        <v>24341</v>
      </c>
      <c r="H3036" s="245">
        <f t="shared" si="1159"/>
        <v>1</v>
      </c>
      <c r="I3036" s="121">
        <f t="shared" si="1160"/>
        <v>1.06</v>
      </c>
      <c r="J3036" s="121">
        <f t="shared" si="1161"/>
        <v>1.06</v>
      </c>
      <c r="K3036" s="120">
        <f t="shared" si="1162"/>
        <v>0</v>
      </c>
      <c r="L3036" s="120">
        <f t="shared" si="1163"/>
        <v>0</v>
      </c>
      <c r="M3036" s="246">
        <f t="shared" si="1164"/>
        <v>0</v>
      </c>
      <c r="N3036" s="121">
        <f t="shared" si="1165"/>
        <v>1.06</v>
      </c>
      <c r="O3036" s="246">
        <f t="shared" si="1166"/>
        <v>0.98499999999999999</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87">
        <v>43</v>
      </c>
      <c r="B3037" s="242">
        <f t="shared" si="1173"/>
        <v>46935</v>
      </c>
      <c r="C3037" s="243">
        <f t="shared" si="1154"/>
        <v>46965</v>
      </c>
      <c r="D3037" s="120">
        <f t="shared" si="1155"/>
        <v>31</v>
      </c>
      <c r="E3037" s="120">
        <f t="shared" si="1156"/>
        <v>7</v>
      </c>
      <c r="F3037" s="275">
        <f t="shared" si="1157"/>
        <v>46950.5</v>
      </c>
      <c r="G3037" s="120">
        <f t="shared" si="1158"/>
        <v>24342</v>
      </c>
      <c r="H3037" s="245">
        <f t="shared" si="1159"/>
        <v>1</v>
      </c>
      <c r="I3037" s="121">
        <f t="shared" si="1160"/>
        <v>1.06</v>
      </c>
      <c r="J3037" s="121">
        <f t="shared" si="1161"/>
        <v>1.06</v>
      </c>
      <c r="K3037" s="120">
        <f t="shared" si="1162"/>
        <v>0</v>
      </c>
      <c r="L3037" s="120">
        <f t="shared" si="1163"/>
        <v>0</v>
      </c>
      <c r="M3037" s="246">
        <f t="shared" si="1164"/>
        <v>0</v>
      </c>
      <c r="N3037" s="121">
        <f t="shared" si="1165"/>
        <v>1.06</v>
      </c>
      <c r="O3037" s="246">
        <f t="shared" si="1166"/>
        <v>0.98499999999999999</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87">
        <v>44</v>
      </c>
      <c r="B3038" s="242">
        <f t="shared" si="1173"/>
        <v>46966</v>
      </c>
      <c r="C3038" s="243">
        <f t="shared" si="1154"/>
        <v>46996</v>
      </c>
      <c r="D3038" s="120">
        <f t="shared" si="1155"/>
        <v>31</v>
      </c>
      <c r="E3038" s="120">
        <f t="shared" si="1156"/>
        <v>8</v>
      </c>
      <c r="F3038" s="275">
        <f t="shared" si="1157"/>
        <v>46981.5</v>
      </c>
      <c r="G3038" s="120">
        <f t="shared" si="1158"/>
        <v>24343</v>
      </c>
      <c r="H3038" s="245">
        <f t="shared" si="1159"/>
        <v>1</v>
      </c>
      <c r="I3038" s="121">
        <f t="shared" si="1160"/>
        <v>1.06</v>
      </c>
      <c r="J3038" s="121">
        <f t="shared" si="1161"/>
        <v>1.06</v>
      </c>
      <c r="K3038" s="120">
        <f t="shared" si="1162"/>
        <v>0</v>
      </c>
      <c r="L3038" s="120">
        <f t="shared" si="1163"/>
        <v>0</v>
      </c>
      <c r="M3038" s="246">
        <f t="shared" si="1164"/>
        <v>0</v>
      </c>
      <c r="N3038" s="121">
        <f t="shared" si="1165"/>
        <v>1.06</v>
      </c>
      <c r="O3038" s="246">
        <f t="shared" si="1166"/>
        <v>0.98499999999999999</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87">
        <v>45</v>
      </c>
      <c r="B3039" s="242">
        <f t="shared" si="1173"/>
        <v>46997</v>
      </c>
      <c r="C3039" s="243">
        <f t="shared" si="1154"/>
        <v>47026</v>
      </c>
      <c r="D3039" s="120">
        <f t="shared" si="1155"/>
        <v>30</v>
      </c>
      <c r="E3039" s="120">
        <f t="shared" si="1156"/>
        <v>9</v>
      </c>
      <c r="F3039" s="275">
        <f t="shared" si="1157"/>
        <v>47012</v>
      </c>
      <c r="G3039" s="120">
        <f t="shared" si="1158"/>
        <v>24344</v>
      </c>
      <c r="H3039" s="245">
        <f t="shared" si="1159"/>
        <v>1</v>
      </c>
      <c r="I3039" s="121">
        <f t="shared" si="1160"/>
        <v>1.06</v>
      </c>
      <c r="J3039" s="121">
        <f t="shared" si="1161"/>
        <v>1.06</v>
      </c>
      <c r="K3039" s="120">
        <f t="shared" si="1162"/>
        <v>0</v>
      </c>
      <c r="L3039" s="120">
        <f t="shared" si="1163"/>
        <v>0</v>
      </c>
      <c r="M3039" s="246">
        <f t="shared" si="1164"/>
        <v>0</v>
      </c>
      <c r="N3039" s="121">
        <f t="shared" si="1165"/>
        <v>1.06</v>
      </c>
      <c r="O3039" s="246">
        <f t="shared" si="1166"/>
        <v>0.98499999999999999</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87">
        <v>46</v>
      </c>
      <c r="B3040" s="242">
        <f t="shared" si="1173"/>
        <v>47027</v>
      </c>
      <c r="C3040" s="243">
        <f t="shared" si="1154"/>
        <v>47057</v>
      </c>
      <c r="D3040" s="120">
        <f t="shared" si="1155"/>
        <v>31</v>
      </c>
      <c r="E3040" s="120">
        <f t="shared" si="1156"/>
        <v>10</v>
      </c>
      <c r="F3040" s="275">
        <f t="shared" si="1157"/>
        <v>47042.5</v>
      </c>
      <c r="G3040" s="120">
        <f t="shared" si="1158"/>
        <v>24345</v>
      </c>
      <c r="H3040" s="245">
        <f t="shared" si="1159"/>
        <v>1</v>
      </c>
      <c r="I3040" s="121">
        <f t="shared" si="1160"/>
        <v>1.06</v>
      </c>
      <c r="J3040" s="121">
        <f t="shared" si="1161"/>
        <v>1.06</v>
      </c>
      <c r="K3040" s="120">
        <f t="shared" si="1162"/>
        <v>0</v>
      </c>
      <c r="L3040" s="120">
        <f t="shared" si="1163"/>
        <v>0</v>
      </c>
      <c r="M3040" s="246">
        <f t="shared" si="1164"/>
        <v>0</v>
      </c>
      <c r="N3040" s="121">
        <f t="shared" si="1165"/>
        <v>1.06</v>
      </c>
      <c r="O3040" s="246">
        <f t="shared" si="1166"/>
        <v>0.98499999999999999</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87">
        <v>47</v>
      </c>
      <c r="B3041" s="242">
        <f t="shared" si="1173"/>
        <v>47058</v>
      </c>
      <c r="C3041" s="243">
        <f t="shared" si="1154"/>
        <v>47087</v>
      </c>
      <c r="D3041" s="120">
        <f t="shared" si="1155"/>
        <v>30</v>
      </c>
      <c r="E3041" s="120">
        <f t="shared" si="1156"/>
        <v>11</v>
      </c>
      <c r="F3041" s="275">
        <f t="shared" si="1157"/>
        <v>47073</v>
      </c>
      <c r="G3041" s="120">
        <f t="shared" si="1158"/>
        <v>24346</v>
      </c>
      <c r="H3041" s="245">
        <f t="shared" si="1159"/>
        <v>1</v>
      </c>
      <c r="I3041" s="121">
        <f t="shared" si="1160"/>
        <v>1.06</v>
      </c>
      <c r="J3041" s="121">
        <f t="shared" si="1161"/>
        <v>1.06</v>
      </c>
      <c r="K3041" s="120">
        <f t="shared" si="1162"/>
        <v>0</v>
      </c>
      <c r="L3041" s="120">
        <f t="shared" si="1163"/>
        <v>0</v>
      </c>
      <c r="M3041" s="246">
        <f t="shared" si="1164"/>
        <v>0</v>
      </c>
      <c r="N3041" s="121">
        <f t="shared" si="1165"/>
        <v>1.06</v>
      </c>
      <c r="O3041" s="246">
        <f t="shared" si="1166"/>
        <v>0.98499999999999999</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87">
        <v>48</v>
      </c>
      <c r="B3042" s="242">
        <f t="shared" si="1173"/>
        <v>47088</v>
      </c>
      <c r="C3042" s="243">
        <f t="shared" si="1154"/>
        <v>47118</v>
      </c>
      <c r="D3042" s="120">
        <f t="shared" si="1155"/>
        <v>31</v>
      </c>
      <c r="E3042" s="120">
        <f t="shared" si="1156"/>
        <v>12</v>
      </c>
      <c r="F3042" s="275">
        <f t="shared" si="1157"/>
        <v>47103.5</v>
      </c>
      <c r="G3042" s="120">
        <f t="shared" si="1158"/>
        <v>24347</v>
      </c>
      <c r="H3042" s="245">
        <f t="shared" si="1159"/>
        <v>1</v>
      </c>
      <c r="I3042" s="121">
        <f t="shared" si="1160"/>
        <v>1.06</v>
      </c>
      <c r="J3042" s="121">
        <f t="shared" si="1161"/>
        <v>1.06</v>
      </c>
      <c r="K3042" s="120">
        <f t="shared" si="1162"/>
        <v>0</v>
      </c>
      <c r="L3042" s="120">
        <f t="shared" si="1163"/>
        <v>0</v>
      </c>
      <c r="M3042" s="246">
        <f t="shared" si="1164"/>
        <v>0</v>
      </c>
      <c r="N3042" s="121">
        <f t="shared" si="1165"/>
        <v>1.06</v>
      </c>
      <c r="O3042" s="246">
        <f t="shared" si="1166"/>
        <v>0.98499999999999999</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1651</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24">
        <f>SUMPRODUCT($H$2995:$H$3042,$Q$2995:$Q$3042,$O$2995:$O$3042)/SUMPRODUCT($H$2995:$H$3042,$Q$2995:$Q$3042)</f>
        <v>0.98900209700948194</v>
      </c>
      <c r="G3043" s="224">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24">
        <f>IF(N(INDEX(lr_mind,56))=0,1,INDEX(lr_mind,56))</f>
        <v>1</v>
      </c>
      <c r="G3046" s="224">
        <f>IF(N(INDEX(lr_m0,56))=0,1,INDEX(lr_m0,56))</f>
        <v>0.99</v>
      </c>
      <c r="H3046" s="74">
        <f>IF(N(INDEX(lr_m0asof,56))=0,DATE(nr_PlanYear-1,10,1),INDEX(lr_m0asof,56))</f>
        <v>46295</v>
      </c>
      <c r="I3046" s="224">
        <f>IF(N(INDEX(lr_m1,56))=0,1,INDEX(lr_m1,56))</f>
        <v>1</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74">EOMONTH($B3049,0)</f>
        <v>45688</v>
      </c>
      <c r="D3049" s="120">
        <f t="shared" ref="D3049:D3096" si="1175">$C3049-$B3049+1</f>
        <v>31</v>
      </c>
      <c r="E3049" s="120">
        <f t="shared" ref="E3049:E3096" si="1176">MONTH($B3049)</f>
        <v>1</v>
      </c>
      <c r="F3049" s="275">
        <f t="shared" ref="F3049:F3096" si="1177">($B3049+$C3049+1)/2</f>
        <v>45673.5</v>
      </c>
      <c r="G3049" s="120">
        <f t="shared" ref="G3049:G3096" si="1178">YEAR($B3049)*12+MONTH($B3049)-1</f>
        <v>24300</v>
      </c>
      <c r="H3049" s="245">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46">
        <f t="shared" ref="M3049:M3096" si="1184">IF($K3049=0,0,MIN(1,$L3049/$D3049))</f>
        <v>0</v>
      </c>
      <c r="N3049" s="121">
        <f t="shared" ref="N3049:N3096" si="1185">IF($K3049=0,$J3049,(1-$M3049)*$I3049+$M3049*$J3049)</f>
        <v>1</v>
      </c>
      <c r="O3049" s="246">
        <f t="shared" ref="O3049:O3096" si="1186">IF($F3049&lt;$B$3047,$E$3047+$I$3047*($F3049-$A$3047),IF($F3049&lt;$C$3047,$F$3047+$J$3047*($F3049-$B$3047),$G$3047+$K$3047*($F3049-$C$3047)))</f>
        <v>0.97637855579868715</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87">
        <v>2</v>
      </c>
      <c r="B3050" s="242">
        <f t="shared" ref="B3050:B3096" si="1193">EDATE($B3049,1)</f>
        <v>45689</v>
      </c>
      <c r="C3050" s="243">
        <f t="shared" si="1174"/>
        <v>45716</v>
      </c>
      <c r="D3050" s="120">
        <f t="shared" si="1175"/>
        <v>28</v>
      </c>
      <c r="E3050" s="120">
        <f t="shared" si="1176"/>
        <v>2</v>
      </c>
      <c r="F3050" s="275">
        <f t="shared" si="1177"/>
        <v>45703</v>
      </c>
      <c r="G3050" s="120">
        <f t="shared" si="1178"/>
        <v>24301</v>
      </c>
      <c r="H3050" s="245">
        <f t="shared" si="1179"/>
        <v>1</v>
      </c>
      <c r="I3050" s="121">
        <f t="shared" si="1180"/>
        <v>1</v>
      </c>
      <c r="J3050" s="121">
        <f t="shared" si="1181"/>
        <v>1</v>
      </c>
      <c r="K3050" s="120">
        <f t="shared" si="1182"/>
        <v>0</v>
      </c>
      <c r="L3050" s="120">
        <f t="shared" si="1183"/>
        <v>0</v>
      </c>
      <c r="M3050" s="246">
        <f t="shared" si="1184"/>
        <v>0</v>
      </c>
      <c r="N3050" s="121">
        <f t="shared" si="1185"/>
        <v>1</v>
      </c>
      <c r="O3050" s="246">
        <f t="shared" si="1186"/>
        <v>0.97702407002188185</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87">
        <v>3</v>
      </c>
      <c r="B3051" s="242">
        <f t="shared" si="1193"/>
        <v>45717</v>
      </c>
      <c r="C3051" s="243">
        <f t="shared" si="1174"/>
        <v>45747</v>
      </c>
      <c r="D3051" s="120">
        <f t="shared" si="1175"/>
        <v>31</v>
      </c>
      <c r="E3051" s="120">
        <f t="shared" si="1176"/>
        <v>3</v>
      </c>
      <c r="F3051" s="275">
        <f t="shared" si="1177"/>
        <v>45732.5</v>
      </c>
      <c r="G3051" s="120">
        <f t="shared" si="1178"/>
        <v>24302</v>
      </c>
      <c r="H3051" s="245">
        <f t="shared" si="1179"/>
        <v>1</v>
      </c>
      <c r="I3051" s="121">
        <f t="shared" si="1180"/>
        <v>1</v>
      </c>
      <c r="J3051" s="121">
        <f t="shared" si="1181"/>
        <v>1</v>
      </c>
      <c r="K3051" s="120">
        <f t="shared" si="1182"/>
        <v>0</v>
      </c>
      <c r="L3051" s="120">
        <f t="shared" si="1183"/>
        <v>0</v>
      </c>
      <c r="M3051" s="246">
        <f t="shared" si="1184"/>
        <v>0</v>
      </c>
      <c r="N3051" s="121">
        <f t="shared" si="1185"/>
        <v>1</v>
      </c>
      <c r="O3051" s="246">
        <f t="shared" si="1186"/>
        <v>0.97766958424507666</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87">
        <v>4</v>
      </c>
      <c r="B3052" s="242">
        <f t="shared" si="1193"/>
        <v>45748</v>
      </c>
      <c r="C3052" s="243">
        <f t="shared" si="1174"/>
        <v>45777</v>
      </c>
      <c r="D3052" s="120">
        <f t="shared" si="1175"/>
        <v>30</v>
      </c>
      <c r="E3052" s="120">
        <f t="shared" si="1176"/>
        <v>4</v>
      </c>
      <c r="F3052" s="275">
        <f t="shared" si="1177"/>
        <v>45763</v>
      </c>
      <c r="G3052" s="120">
        <f t="shared" si="1178"/>
        <v>24303</v>
      </c>
      <c r="H3052" s="245">
        <f t="shared" si="1179"/>
        <v>1</v>
      </c>
      <c r="I3052" s="121">
        <f t="shared" si="1180"/>
        <v>1</v>
      </c>
      <c r="J3052" s="121">
        <f t="shared" si="1181"/>
        <v>1</v>
      </c>
      <c r="K3052" s="120">
        <f t="shared" si="1182"/>
        <v>0</v>
      </c>
      <c r="L3052" s="120">
        <f t="shared" si="1183"/>
        <v>0</v>
      </c>
      <c r="M3052" s="246">
        <f t="shared" si="1184"/>
        <v>0</v>
      </c>
      <c r="N3052" s="121">
        <f t="shared" si="1185"/>
        <v>1</v>
      </c>
      <c r="O3052" s="246">
        <f t="shared" si="1186"/>
        <v>0.97833698030634575</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87">
        <v>5</v>
      </c>
      <c r="B3053" s="242">
        <f t="shared" si="1193"/>
        <v>45778</v>
      </c>
      <c r="C3053" s="243">
        <f t="shared" si="1174"/>
        <v>45808</v>
      </c>
      <c r="D3053" s="120">
        <f t="shared" si="1175"/>
        <v>31</v>
      </c>
      <c r="E3053" s="120">
        <f t="shared" si="1176"/>
        <v>5</v>
      </c>
      <c r="F3053" s="275">
        <f t="shared" si="1177"/>
        <v>45793.5</v>
      </c>
      <c r="G3053" s="120">
        <f t="shared" si="1178"/>
        <v>24304</v>
      </c>
      <c r="H3053" s="245">
        <f t="shared" si="1179"/>
        <v>1</v>
      </c>
      <c r="I3053" s="121">
        <f t="shared" si="1180"/>
        <v>1</v>
      </c>
      <c r="J3053" s="121">
        <f t="shared" si="1181"/>
        <v>1</v>
      </c>
      <c r="K3053" s="120">
        <f t="shared" si="1182"/>
        <v>0</v>
      </c>
      <c r="L3053" s="120">
        <f t="shared" si="1183"/>
        <v>0</v>
      </c>
      <c r="M3053" s="246">
        <f t="shared" si="1184"/>
        <v>0</v>
      </c>
      <c r="N3053" s="121">
        <f t="shared" si="1185"/>
        <v>1</v>
      </c>
      <c r="O3053" s="246">
        <f t="shared" si="1186"/>
        <v>0.97900437636761495</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87">
        <v>6</v>
      </c>
      <c r="B3054" s="242">
        <f t="shared" si="1193"/>
        <v>45809</v>
      </c>
      <c r="C3054" s="243">
        <f t="shared" si="1174"/>
        <v>45838</v>
      </c>
      <c r="D3054" s="120">
        <f t="shared" si="1175"/>
        <v>30</v>
      </c>
      <c r="E3054" s="120">
        <f t="shared" si="1176"/>
        <v>6</v>
      </c>
      <c r="F3054" s="275">
        <f t="shared" si="1177"/>
        <v>45824</v>
      </c>
      <c r="G3054" s="120">
        <f t="shared" si="1178"/>
        <v>24305</v>
      </c>
      <c r="H3054" s="245">
        <f t="shared" si="1179"/>
        <v>1</v>
      </c>
      <c r="I3054" s="121">
        <f t="shared" si="1180"/>
        <v>1</v>
      </c>
      <c r="J3054" s="121">
        <f t="shared" si="1181"/>
        <v>1</v>
      </c>
      <c r="K3054" s="120">
        <f t="shared" si="1182"/>
        <v>0</v>
      </c>
      <c r="L3054" s="120">
        <f t="shared" si="1183"/>
        <v>0</v>
      </c>
      <c r="M3054" s="246">
        <f t="shared" si="1184"/>
        <v>0</v>
      </c>
      <c r="N3054" s="121">
        <f t="shared" si="1185"/>
        <v>1</v>
      </c>
      <c r="O3054" s="246">
        <f t="shared" si="1186"/>
        <v>0.97967177242888404</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87">
        <v>7</v>
      </c>
      <c r="B3055" s="242">
        <f t="shared" si="1193"/>
        <v>45839</v>
      </c>
      <c r="C3055" s="243">
        <f t="shared" si="1174"/>
        <v>45869</v>
      </c>
      <c r="D3055" s="120">
        <f t="shared" si="1175"/>
        <v>31</v>
      </c>
      <c r="E3055" s="120">
        <f t="shared" si="1176"/>
        <v>7</v>
      </c>
      <c r="F3055" s="275">
        <f t="shared" si="1177"/>
        <v>45854.5</v>
      </c>
      <c r="G3055" s="120">
        <f t="shared" si="1178"/>
        <v>24306</v>
      </c>
      <c r="H3055" s="245">
        <f t="shared" si="1179"/>
        <v>1</v>
      </c>
      <c r="I3055" s="121">
        <f t="shared" si="1180"/>
        <v>1</v>
      </c>
      <c r="J3055" s="121">
        <f t="shared" si="1181"/>
        <v>1</v>
      </c>
      <c r="K3055" s="120">
        <f t="shared" si="1182"/>
        <v>0</v>
      </c>
      <c r="L3055" s="120">
        <f t="shared" si="1183"/>
        <v>0</v>
      </c>
      <c r="M3055" s="246">
        <f t="shared" si="1184"/>
        <v>0</v>
      </c>
      <c r="N3055" s="121">
        <f t="shared" si="1185"/>
        <v>1</v>
      </c>
      <c r="O3055" s="246">
        <f t="shared" si="1186"/>
        <v>0.98033916849015323</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87">
        <v>8</v>
      </c>
      <c r="B3056" s="242">
        <f t="shared" si="1193"/>
        <v>45870</v>
      </c>
      <c r="C3056" s="243">
        <f t="shared" si="1174"/>
        <v>45900</v>
      </c>
      <c r="D3056" s="120">
        <f t="shared" si="1175"/>
        <v>31</v>
      </c>
      <c r="E3056" s="120">
        <f t="shared" si="1176"/>
        <v>8</v>
      </c>
      <c r="F3056" s="275">
        <f t="shared" si="1177"/>
        <v>45885.5</v>
      </c>
      <c r="G3056" s="120">
        <f t="shared" si="1178"/>
        <v>24307</v>
      </c>
      <c r="H3056" s="245">
        <f t="shared" si="1179"/>
        <v>1</v>
      </c>
      <c r="I3056" s="121">
        <f t="shared" si="1180"/>
        <v>1</v>
      </c>
      <c r="J3056" s="121">
        <f t="shared" si="1181"/>
        <v>1</v>
      </c>
      <c r="K3056" s="120">
        <f t="shared" si="1182"/>
        <v>0</v>
      </c>
      <c r="L3056" s="120">
        <f t="shared" si="1183"/>
        <v>0</v>
      </c>
      <c r="M3056" s="246">
        <f t="shared" si="1184"/>
        <v>0</v>
      </c>
      <c r="N3056" s="121">
        <f t="shared" si="1185"/>
        <v>1</v>
      </c>
      <c r="O3056" s="246">
        <f t="shared" si="1186"/>
        <v>0.98101750547045952</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87">
        <v>9</v>
      </c>
      <c r="B3057" s="242">
        <f t="shared" si="1193"/>
        <v>45901</v>
      </c>
      <c r="C3057" s="243">
        <f t="shared" si="1174"/>
        <v>45930</v>
      </c>
      <c r="D3057" s="120">
        <f t="shared" si="1175"/>
        <v>30</v>
      </c>
      <c r="E3057" s="120">
        <f t="shared" si="1176"/>
        <v>9</v>
      </c>
      <c r="F3057" s="275">
        <f t="shared" si="1177"/>
        <v>45916</v>
      </c>
      <c r="G3057" s="120">
        <f t="shared" si="1178"/>
        <v>24308</v>
      </c>
      <c r="H3057" s="245">
        <f t="shared" si="1179"/>
        <v>1</v>
      </c>
      <c r="I3057" s="121">
        <f t="shared" si="1180"/>
        <v>1</v>
      </c>
      <c r="J3057" s="121">
        <f t="shared" si="1181"/>
        <v>1</v>
      </c>
      <c r="K3057" s="120">
        <f t="shared" si="1182"/>
        <v>0</v>
      </c>
      <c r="L3057" s="120">
        <f t="shared" si="1183"/>
        <v>0</v>
      </c>
      <c r="M3057" s="246">
        <f t="shared" si="1184"/>
        <v>0</v>
      </c>
      <c r="N3057" s="121">
        <f t="shared" si="1185"/>
        <v>1</v>
      </c>
      <c r="O3057" s="246">
        <f t="shared" si="1186"/>
        <v>0.98168490153172872</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87">
        <v>10</v>
      </c>
      <c r="B3058" s="242">
        <f t="shared" si="1193"/>
        <v>45931</v>
      </c>
      <c r="C3058" s="243">
        <f t="shared" si="1174"/>
        <v>45961</v>
      </c>
      <c r="D3058" s="120">
        <f t="shared" si="1175"/>
        <v>31</v>
      </c>
      <c r="E3058" s="120">
        <f t="shared" si="1176"/>
        <v>10</v>
      </c>
      <c r="F3058" s="275">
        <f t="shared" si="1177"/>
        <v>45946.5</v>
      </c>
      <c r="G3058" s="120">
        <f t="shared" si="1178"/>
        <v>24309</v>
      </c>
      <c r="H3058" s="245">
        <f t="shared" si="1179"/>
        <v>1</v>
      </c>
      <c r="I3058" s="121">
        <f t="shared" si="1180"/>
        <v>1</v>
      </c>
      <c r="J3058" s="121">
        <f t="shared" si="1181"/>
        <v>1</v>
      </c>
      <c r="K3058" s="120">
        <f t="shared" si="1182"/>
        <v>0</v>
      </c>
      <c r="L3058" s="120">
        <f t="shared" si="1183"/>
        <v>0</v>
      </c>
      <c r="M3058" s="246">
        <f t="shared" si="1184"/>
        <v>0</v>
      </c>
      <c r="N3058" s="121">
        <f t="shared" si="1185"/>
        <v>1</v>
      </c>
      <c r="O3058" s="246">
        <f t="shared" si="1186"/>
        <v>0.9823522975929978</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87">
        <v>11</v>
      </c>
      <c r="B3059" s="242">
        <f t="shared" si="1193"/>
        <v>45962</v>
      </c>
      <c r="C3059" s="243">
        <f t="shared" si="1174"/>
        <v>45991</v>
      </c>
      <c r="D3059" s="120">
        <f t="shared" si="1175"/>
        <v>30</v>
      </c>
      <c r="E3059" s="120">
        <f t="shared" si="1176"/>
        <v>11</v>
      </c>
      <c r="F3059" s="275">
        <f t="shared" si="1177"/>
        <v>45977</v>
      </c>
      <c r="G3059" s="120">
        <f t="shared" si="1178"/>
        <v>24310</v>
      </c>
      <c r="H3059" s="245">
        <f t="shared" si="1179"/>
        <v>1</v>
      </c>
      <c r="I3059" s="121">
        <f t="shared" si="1180"/>
        <v>1</v>
      </c>
      <c r="J3059" s="121">
        <f t="shared" si="1181"/>
        <v>1</v>
      </c>
      <c r="K3059" s="120">
        <f t="shared" si="1182"/>
        <v>0</v>
      </c>
      <c r="L3059" s="120">
        <f t="shared" si="1183"/>
        <v>0</v>
      </c>
      <c r="M3059" s="246">
        <f t="shared" si="1184"/>
        <v>0</v>
      </c>
      <c r="N3059" s="121">
        <f t="shared" si="1185"/>
        <v>1</v>
      </c>
      <c r="O3059" s="246">
        <f t="shared" si="1186"/>
        <v>0.983019693654267</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87">
        <v>12</v>
      </c>
      <c r="B3060" s="242">
        <f t="shared" si="1193"/>
        <v>45992</v>
      </c>
      <c r="C3060" s="243">
        <f t="shared" si="1174"/>
        <v>46022</v>
      </c>
      <c r="D3060" s="120">
        <f t="shared" si="1175"/>
        <v>31</v>
      </c>
      <c r="E3060" s="120">
        <f t="shared" si="1176"/>
        <v>12</v>
      </c>
      <c r="F3060" s="275">
        <f t="shared" si="1177"/>
        <v>46007.5</v>
      </c>
      <c r="G3060" s="120">
        <f t="shared" si="1178"/>
        <v>24311</v>
      </c>
      <c r="H3060" s="245">
        <f t="shared" si="1179"/>
        <v>1</v>
      </c>
      <c r="I3060" s="121">
        <f t="shared" si="1180"/>
        <v>1</v>
      </c>
      <c r="J3060" s="121">
        <f t="shared" si="1181"/>
        <v>1</v>
      </c>
      <c r="K3060" s="120">
        <f t="shared" si="1182"/>
        <v>0</v>
      </c>
      <c r="L3060" s="120">
        <f t="shared" si="1183"/>
        <v>0</v>
      </c>
      <c r="M3060" s="246">
        <f t="shared" si="1184"/>
        <v>0</v>
      </c>
      <c r="N3060" s="121">
        <f t="shared" si="1185"/>
        <v>1</v>
      </c>
      <c r="O3060" s="246">
        <f t="shared" si="1186"/>
        <v>0.98368708971553609</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87">
        <v>13</v>
      </c>
      <c r="B3061" s="242">
        <f t="shared" si="1193"/>
        <v>46023</v>
      </c>
      <c r="C3061" s="243">
        <f t="shared" si="1174"/>
        <v>46053</v>
      </c>
      <c r="D3061" s="120">
        <f t="shared" si="1175"/>
        <v>31</v>
      </c>
      <c r="E3061" s="120">
        <f t="shared" si="1176"/>
        <v>1</v>
      </c>
      <c r="F3061" s="275">
        <f t="shared" si="1177"/>
        <v>46038.5</v>
      </c>
      <c r="G3061" s="120">
        <f t="shared" si="1178"/>
        <v>24312</v>
      </c>
      <c r="H3061" s="245">
        <f t="shared" si="1179"/>
        <v>1</v>
      </c>
      <c r="I3061" s="121">
        <f t="shared" si="1180"/>
        <v>1</v>
      </c>
      <c r="J3061" s="121">
        <f t="shared" si="1181"/>
        <v>1</v>
      </c>
      <c r="K3061" s="120">
        <f t="shared" si="1182"/>
        <v>0</v>
      </c>
      <c r="L3061" s="120">
        <f t="shared" si="1183"/>
        <v>0</v>
      </c>
      <c r="M3061" s="246">
        <f t="shared" si="1184"/>
        <v>0</v>
      </c>
      <c r="N3061" s="121">
        <f t="shared" si="1185"/>
        <v>1</v>
      </c>
      <c r="O3061" s="246">
        <f t="shared" si="1186"/>
        <v>0.98436542669584248</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87">
        <v>14</v>
      </c>
      <c r="B3062" s="242">
        <f t="shared" si="1193"/>
        <v>46054</v>
      </c>
      <c r="C3062" s="243">
        <f t="shared" si="1174"/>
        <v>46081</v>
      </c>
      <c r="D3062" s="120">
        <f t="shared" si="1175"/>
        <v>28</v>
      </c>
      <c r="E3062" s="120">
        <f t="shared" si="1176"/>
        <v>2</v>
      </c>
      <c r="F3062" s="275">
        <f t="shared" si="1177"/>
        <v>46068</v>
      </c>
      <c r="G3062" s="120">
        <f t="shared" si="1178"/>
        <v>24313</v>
      </c>
      <c r="H3062" s="245">
        <f t="shared" si="1179"/>
        <v>1</v>
      </c>
      <c r="I3062" s="121">
        <f t="shared" si="1180"/>
        <v>1</v>
      </c>
      <c r="J3062" s="121">
        <f t="shared" si="1181"/>
        <v>1</v>
      </c>
      <c r="K3062" s="120">
        <f t="shared" si="1182"/>
        <v>0</v>
      </c>
      <c r="L3062" s="120">
        <f t="shared" si="1183"/>
        <v>0</v>
      </c>
      <c r="M3062" s="246">
        <f t="shared" si="1184"/>
        <v>0</v>
      </c>
      <c r="N3062" s="121">
        <f t="shared" si="1185"/>
        <v>1</v>
      </c>
      <c r="O3062" s="246">
        <f t="shared" si="1186"/>
        <v>0.98501094091903718</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87">
        <v>15</v>
      </c>
      <c r="B3063" s="242">
        <f t="shared" si="1193"/>
        <v>46082</v>
      </c>
      <c r="C3063" s="243">
        <f t="shared" si="1174"/>
        <v>46112</v>
      </c>
      <c r="D3063" s="120">
        <f t="shared" si="1175"/>
        <v>31</v>
      </c>
      <c r="E3063" s="120">
        <f t="shared" si="1176"/>
        <v>3</v>
      </c>
      <c r="F3063" s="275">
        <f t="shared" si="1177"/>
        <v>46097.5</v>
      </c>
      <c r="G3063" s="120">
        <f t="shared" si="1178"/>
        <v>24314</v>
      </c>
      <c r="H3063" s="245">
        <f t="shared" si="1179"/>
        <v>1</v>
      </c>
      <c r="I3063" s="121">
        <f t="shared" si="1180"/>
        <v>1</v>
      </c>
      <c r="J3063" s="121">
        <f t="shared" si="1181"/>
        <v>1</v>
      </c>
      <c r="K3063" s="120">
        <f t="shared" si="1182"/>
        <v>0</v>
      </c>
      <c r="L3063" s="120">
        <f t="shared" si="1183"/>
        <v>0</v>
      </c>
      <c r="M3063" s="246">
        <f t="shared" si="1184"/>
        <v>0</v>
      </c>
      <c r="N3063" s="121">
        <f t="shared" si="1185"/>
        <v>1</v>
      </c>
      <c r="O3063" s="246">
        <f t="shared" si="1186"/>
        <v>0.98565645514223199</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87">
        <v>16</v>
      </c>
      <c r="B3064" s="242">
        <f t="shared" si="1193"/>
        <v>46113</v>
      </c>
      <c r="C3064" s="243">
        <f t="shared" si="1174"/>
        <v>46142</v>
      </c>
      <c r="D3064" s="120">
        <f t="shared" si="1175"/>
        <v>30</v>
      </c>
      <c r="E3064" s="120">
        <f t="shared" si="1176"/>
        <v>4</v>
      </c>
      <c r="F3064" s="275">
        <f t="shared" si="1177"/>
        <v>46128</v>
      </c>
      <c r="G3064" s="120">
        <f t="shared" si="1178"/>
        <v>24315</v>
      </c>
      <c r="H3064" s="245">
        <f t="shared" si="1179"/>
        <v>1</v>
      </c>
      <c r="I3064" s="121">
        <f t="shared" si="1180"/>
        <v>1</v>
      </c>
      <c r="J3064" s="121">
        <f t="shared" si="1181"/>
        <v>1</v>
      </c>
      <c r="K3064" s="120">
        <f t="shared" si="1182"/>
        <v>0</v>
      </c>
      <c r="L3064" s="120">
        <f t="shared" si="1183"/>
        <v>0</v>
      </c>
      <c r="M3064" s="246">
        <f t="shared" si="1184"/>
        <v>0</v>
      </c>
      <c r="N3064" s="121">
        <f t="shared" si="1185"/>
        <v>1</v>
      </c>
      <c r="O3064" s="246">
        <f t="shared" si="1186"/>
        <v>0.98632385120350108</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87">
        <v>17</v>
      </c>
      <c r="B3065" s="242">
        <f t="shared" si="1193"/>
        <v>46143</v>
      </c>
      <c r="C3065" s="243">
        <f t="shared" si="1174"/>
        <v>46173</v>
      </c>
      <c r="D3065" s="120">
        <f t="shared" si="1175"/>
        <v>31</v>
      </c>
      <c r="E3065" s="120">
        <f t="shared" si="1176"/>
        <v>5</v>
      </c>
      <c r="F3065" s="275">
        <f t="shared" si="1177"/>
        <v>46158.5</v>
      </c>
      <c r="G3065" s="120">
        <f t="shared" si="1178"/>
        <v>24316</v>
      </c>
      <c r="H3065" s="245">
        <f t="shared" si="1179"/>
        <v>1</v>
      </c>
      <c r="I3065" s="121">
        <f t="shared" si="1180"/>
        <v>1</v>
      </c>
      <c r="J3065" s="121">
        <f t="shared" si="1181"/>
        <v>1</v>
      </c>
      <c r="K3065" s="120">
        <f t="shared" si="1182"/>
        <v>0</v>
      </c>
      <c r="L3065" s="120">
        <f t="shared" si="1183"/>
        <v>0</v>
      </c>
      <c r="M3065" s="246">
        <f t="shared" si="1184"/>
        <v>0</v>
      </c>
      <c r="N3065" s="121">
        <f t="shared" si="1185"/>
        <v>1</v>
      </c>
      <c r="O3065" s="246">
        <f t="shared" si="1186"/>
        <v>0.98699124726477028</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87">
        <v>18</v>
      </c>
      <c r="B3066" s="242">
        <f t="shared" si="1193"/>
        <v>46174</v>
      </c>
      <c r="C3066" s="243">
        <f t="shared" si="1174"/>
        <v>46203</v>
      </c>
      <c r="D3066" s="120">
        <f t="shared" si="1175"/>
        <v>30</v>
      </c>
      <c r="E3066" s="120">
        <f t="shared" si="1176"/>
        <v>6</v>
      </c>
      <c r="F3066" s="275">
        <f t="shared" si="1177"/>
        <v>46189</v>
      </c>
      <c r="G3066" s="120">
        <f t="shared" si="1178"/>
        <v>24317</v>
      </c>
      <c r="H3066" s="245">
        <f t="shared" si="1179"/>
        <v>1</v>
      </c>
      <c r="I3066" s="121">
        <f t="shared" si="1180"/>
        <v>1</v>
      </c>
      <c r="J3066" s="121">
        <f t="shared" si="1181"/>
        <v>1</v>
      </c>
      <c r="K3066" s="120">
        <f t="shared" si="1182"/>
        <v>0</v>
      </c>
      <c r="L3066" s="120">
        <f t="shared" si="1183"/>
        <v>0</v>
      </c>
      <c r="M3066" s="246">
        <f t="shared" si="1184"/>
        <v>0</v>
      </c>
      <c r="N3066" s="121">
        <f t="shared" si="1185"/>
        <v>1</v>
      </c>
      <c r="O3066" s="246">
        <f t="shared" si="1186"/>
        <v>0.98765864332603936</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87">
        <v>19</v>
      </c>
      <c r="B3067" s="242">
        <f t="shared" si="1193"/>
        <v>46204</v>
      </c>
      <c r="C3067" s="243">
        <f t="shared" si="1174"/>
        <v>46234</v>
      </c>
      <c r="D3067" s="120">
        <f t="shared" si="1175"/>
        <v>31</v>
      </c>
      <c r="E3067" s="120">
        <f t="shared" si="1176"/>
        <v>7</v>
      </c>
      <c r="F3067" s="275">
        <f t="shared" si="1177"/>
        <v>46219.5</v>
      </c>
      <c r="G3067" s="120">
        <f t="shared" si="1178"/>
        <v>24318</v>
      </c>
      <c r="H3067" s="245">
        <f t="shared" si="1179"/>
        <v>1</v>
      </c>
      <c r="I3067" s="121">
        <f t="shared" si="1180"/>
        <v>1</v>
      </c>
      <c r="J3067" s="121">
        <f t="shared" si="1181"/>
        <v>1</v>
      </c>
      <c r="K3067" s="120">
        <f t="shared" si="1182"/>
        <v>0</v>
      </c>
      <c r="L3067" s="120">
        <f t="shared" si="1183"/>
        <v>0</v>
      </c>
      <c r="M3067" s="246">
        <f t="shared" si="1184"/>
        <v>0</v>
      </c>
      <c r="N3067" s="121">
        <f t="shared" si="1185"/>
        <v>1</v>
      </c>
      <c r="O3067" s="246">
        <f t="shared" si="1186"/>
        <v>0.98832603938730856</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87">
        <v>20</v>
      </c>
      <c r="B3068" s="242">
        <f t="shared" si="1193"/>
        <v>46235</v>
      </c>
      <c r="C3068" s="243">
        <f t="shared" si="1174"/>
        <v>46265</v>
      </c>
      <c r="D3068" s="120">
        <f t="shared" si="1175"/>
        <v>31</v>
      </c>
      <c r="E3068" s="120">
        <f t="shared" si="1176"/>
        <v>8</v>
      </c>
      <c r="F3068" s="275">
        <f t="shared" si="1177"/>
        <v>46250.5</v>
      </c>
      <c r="G3068" s="120">
        <f t="shared" si="1178"/>
        <v>24319</v>
      </c>
      <c r="H3068" s="245">
        <f t="shared" si="1179"/>
        <v>1</v>
      </c>
      <c r="I3068" s="121">
        <f t="shared" si="1180"/>
        <v>1</v>
      </c>
      <c r="J3068" s="121">
        <f t="shared" si="1181"/>
        <v>1.02</v>
      </c>
      <c r="K3068" s="120">
        <f t="shared" si="1182"/>
        <v>1</v>
      </c>
      <c r="L3068" s="120">
        <f t="shared" si="1183"/>
        <v>31</v>
      </c>
      <c r="M3068" s="246">
        <f t="shared" si="1184"/>
        <v>1</v>
      </c>
      <c r="N3068" s="121">
        <f t="shared" si="1185"/>
        <v>1.02</v>
      </c>
      <c r="O3068" s="246">
        <f t="shared" si="1186"/>
        <v>0.98900437636761485</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87">
        <v>21</v>
      </c>
      <c r="B3069" s="242">
        <f t="shared" si="1193"/>
        <v>46266</v>
      </c>
      <c r="C3069" s="243">
        <f t="shared" si="1174"/>
        <v>46295</v>
      </c>
      <c r="D3069" s="120">
        <f t="shared" si="1175"/>
        <v>30</v>
      </c>
      <c r="E3069" s="120">
        <f t="shared" si="1176"/>
        <v>9</v>
      </c>
      <c r="F3069" s="275">
        <f t="shared" si="1177"/>
        <v>46281</v>
      </c>
      <c r="G3069" s="120">
        <f t="shared" si="1178"/>
        <v>24320</v>
      </c>
      <c r="H3069" s="245">
        <f t="shared" si="1179"/>
        <v>1</v>
      </c>
      <c r="I3069" s="121">
        <f t="shared" si="1180"/>
        <v>1.02</v>
      </c>
      <c r="J3069" s="121">
        <f t="shared" si="1181"/>
        <v>1.02</v>
      </c>
      <c r="K3069" s="120">
        <f t="shared" si="1182"/>
        <v>0</v>
      </c>
      <c r="L3069" s="120">
        <f t="shared" si="1183"/>
        <v>0</v>
      </c>
      <c r="M3069" s="246">
        <f t="shared" si="1184"/>
        <v>0</v>
      </c>
      <c r="N3069" s="121">
        <f t="shared" si="1185"/>
        <v>1.02</v>
      </c>
      <c r="O3069" s="246">
        <f t="shared" si="1186"/>
        <v>0.98967177242888404</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87">
        <v>22</v>
      </c>
      <c r="B3070" s="242">
        <f t="shared" si="1193"/>
        <v>46296</v>
      </c>
      <c r="C3070" s="243">
        <f t="shared" si="1174"/>
        <v>46326</v>
      </c>
      <c r="D3070" s="120">
        <f t="shared" si="1175"/>
        <v>31</v>
      </c>
      <c r="E3070" s="120">
        <f t="shared" si="1176"/>
        <v>10</v>
      </c>
      <c r="F3070" s="275">
        <f t="shared" si="1177"/>
        <v>46311.5</v>
      </c>
      <c r="G3070" s="120">
        <f t="shared" si="1178"/>
        <v>24321</v>
      </c>
      <c r="H3070" s="245">
        <f t="shared" si="1179"/>
        <v>1</v>
      </c>
      <c r="I3070" s="121">
        <f t="shared" si="1180"/>
        <v>1.02</v>
      </c>
      <c r="J3070" s="121">
        <f t="shared" si="1181"/>
        <v>1.02</v>
      </c>
      <c r="K3070" s="120">
        <f t="shared" si="1182"/>
        <v>0</v>
      </c>
      <c r="L3070" s="120">
        <f t="shared" si="1183"/>
        <v>0</v>
      </c>
      <c r="M3070" s="246">
        <f t="shared" si="1184"/>
        <v>0</v>
      </c>
      <c r="N3070" s="121">
        <f t="shared" si="1185"/>
        <v>1.02</v>
      </c>
      <c r="O3070" s="246">
        <f t="shared" si="1186"/>
        <v>0.99033916849015313</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87">
        <v>23</v>
      </c>
      <c r="B3071" s="242">
        <f t="shared" si="1193"/>
        <v>46327</v>
      </c>
      <c r="C3071" s="243">
        <f t="shared" si="1174"/>
        <v>46356</v>
      </c>
      <c r="D3071" s="120">
        <f t="shared" si="1175"/>
        <v>30</v>
      </c>
      <c r="E3071" s="120">
        <f t="shared" si="1176"/>
        <v>11</v>
      </c>
      <c r="F3071" s="275">
        <f t="shared" si="1177"/>
        <v>46342</v>
      </c>
      <c r="G3071" s="120">
        <f t="shared" si="1178"/>
        <v>24322</v>
      </c>
      <c r="H3071" s="245">
        <f t="shared" si="1179"/>
        <v>1</v>
      </c>
      <c r="I3071" s="121">
        <f t="shared" si="1180"/>
        <v>1.02</v>
      </c>
      <c r="J3071" s="121">
        <f t="shared" si="1181"/>
        <v>1.02</v>
      </c>
      <c r="K3071" s="120">
        <f t="shared" si="1182"/>
        <v>0</v>
      </c>
      <c r="L3071" s="120">
        <f t="shared" si="1183"/>
        <v>0</v>
      </c>
      <c r="M3071" s="246">
        <f t="shared" si="1184"/>
        <v>0</v>
      </c>
      <c r="N3071" s="121">
        <f t="shared" si="1185"/>
        <v>1.02</v>
      </c>
      <c r="O3071" s="246">
        <f t="shared" si="1186"/>
        <v>0.99100656455142233</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87">
        <v>24</v>
      </c>
      <c r="B3072" s="242">
        <f t="shared" si="1193"/>
        <v>46357</v>
      </c>
      <c r="C3072" s="243">
        <f t="shared" si="1174"/>
        <v>46387</v>
      </c>
      <c r="D3072" s="120">
        <f t="shared" si="1175"/>
        <v>31</v>
      </c>
      <c r="E3072" s="120">
        <f t="shared" si="1176"/>
        <v>12</v>
      </c>
      <c r="F3072" s="275">
        <f t="shared" si="1177"/>
        <v>46372.5</v>
      </c>
      <c r="G3072" s="120">
        <f t="shared" si="1178"/>
        <v>24323</v>
      </c>
      <c r="H3072" s="245">
        <f t="shared" si="1179"/>
        <v>1</v>
      </c>
      <c r="I3072" s="121">
        <f t="shared" si="1180"/>
        <v>1.02</v>
      </c>
      <c r="J3072" s="121">
        <f t="shared" si="1181"/>
        <v>1.02</v>
      </c>
      <c r="K3072" s="120">
        <f t="shared" si="1182"/>
        <v>0</v>
      </c>
      <c r="L3072" s="120">
        <f t="shared" si="1183"/>
        <v>0</v>
      </c>
      <c r="M3072" s="246">
        <f t="shared" si="1184"/>
        <v>0</v>
      </c>
      <c r="N3072" s="121">
        <f t="shared" si="1185"/>
        <v>1.02</v>
      </c>
      <c r="O3072" s="246">
        <f t="shared" si="1186"/>
        <v>0.99167396061269142</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87">
        <v>25</v>
      </c>
      <c r="B3073" s="242">
        <f t="shared" si="1193"/>
        <v>46388</v>
      </c>
      <c r="C3073" s="243">
        <f t="shared" si="1174"/>
        <v>46418</v>
      </c>
      <c r="D3073" s="120">
        <f t="shared" si="1175"/>
        <v>31</v>
      </c>
      <c r="E3073" s="120">
        <f t="shared" si="1176"/>
        <v>1</v>
      </c>
      <c r="F3073" s="275">
        <f t="shared" si="1177"/>
        <v>46403.5</v>
      </c>
      <c r="G3073" s="120">
        <f t="shared" si="1178"/>
        <v>24324</v>
      </c>
      <c r="H3073" s="245">
        <f t="shared" si="1179"/>
        <v>1</v>
      </c>
      <c r="I3073" s="121">
        <f t="shared" si="1180"/>
        <v>1.02</v>
      </c>
      <c r="J3073" s="121">
        <f t="shared" si="1181"/>
        <v>1.02</v>
      </c>
      <c r="K3073" s="120">
        <f t="shared" si="1182"/>
        <v>0</v>
      </c>
      <c r="L3073" s="120">
        <f t="shared" si="1183"/>
        <v>0</v>
      </c>
      <c r="M3073" s="246">
        <f t="shared" si="1184"/>
        <v>0</v>
      </c>
      <c r="N3073" s="121">
        <f t="shared" si="1185"/>
        <v>1.02</v>
      </c>
      <c r="O3073" s="246">
        <f t="shared" si="1186"/>
        <v>0.99235229759299781</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87">
        <v>26</v>
      </c>
      <c r="B3074" s="242">
        <f t="shared" si="1193"/>
        <v>46419</v>
      </c>
      <c r="C3074" s="243">
        <f t="shared" si="1174"/>
        <v>46446</v>
      </c>
      <c r="D3074" s="120">
        <f t="shared" si="1175"/>
        <v>28</v>
      </c>
      <c r="E3074" s="120">
        <f t="shared" si="1176"/>
        <v>2</v>
      </c>
      <c r="F3074" s="275">
        <f t="shared" si="1177"/>
        <v>46433</v>
      </c>
      <c r="G3074" s="120">
        <f t="shared" si="1178"/>
        <v>24325</v>
      </c>
      <c r="H3074" s="245">
        <f t="shared" si="1179"/>
        <v>1</v>
      </c>
      <c r="I3074" s="121">
        <f t="shared" si="1180"/>
        <v>1.02</v>
      </c>
      <c r="J3074" s="121">
        <f t="shared" si="1181"/>
        <v>1.02</v>
      </c>
      <c r="K3074" s="120">
        <f t="shared" si="1182"/>
        <v>0</v>
      </c>
      <c r="L3074" s="120">
        <f t="shared" si="1183"/>
        <v>0</v>
      </c>
      <c r="M3074" s="246">
        <f t="shared" si="1184"/>
        <v>0</v>
      </c>
      <c r="N3074" s="121">
        <f t="shared" si="1185"/>
        <v>1.02</v>
      </c>
      <c r="O3074" s="246">
        <f t="shared" si="1186"/>
        <v>0.99299781181619251</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87">
        <v>27</v>
      </c>
      <c r="B3075" s="242">
        <f t="shared" si="1193"/>
        <v>46447</v>
      </c>
      <c r="C3075" s="243">
        <f t="shared" si="1174"/>
        <v>46477</v>
      </c>
      <c r="D3075" s="120">
        <f t="shared" si="1175"/>
        <v>31</v>
      </c>
      <c r="E3075" s="120">
        <f t="shared" si="1176"/>
        <v>3</v>
      </c>
      <c r="F3075" s="275">
        <f t="shared" si="1177"/>
        <v>46462.5</v>
      </c>
      <c r="G3075" s="120">
        <f t="shared" si="1178"/>
        <v>24326</v>
      </c>
      <c r="H3075" s="245">
        <f t="shared" si="1179"/>
        <v>1</v>
      </c>
      <c r="I3075" s="121">
        <f t="shared" si="1180"/>
        <v>1.02</v>
      </c>
      <c r="J3075" s="121">
        <f t="shared" si="1181"/>
        <v>1.02</v>
      </c>
      <c r="K3075" s="120">
        <f t="shared" si="1182"/>
        <v>0</v>
      </c>
      <c r="L3075" s="120">
        <f t="shared" si="1183"/>
        <v>0</v>
      </c>
      <c r="M3075" s="246">
        <f t="shared" si="1184"/>
        <v>0</v>
      </c>
      <c r="N3075" s="121">
        <f t="shared" si="1185"/>
        <v>1.02</v>
      </c>
      <c r="O3075" s="246">
        <f t="shared" si="1186"/>
        <v>0.99364332603938732</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87">
        <v>28</v>
      </c>
      <c r="B3076" s="242">
        <f t="shared" si="1193"/>
        <v>46478</v>
      </c>
      <c r="C3076" s="243">
        <f t="shared" si="1174"/>
        <v>46507</v>
      </c>
      <c r="D3076" s="120">
        <f t="shared" si="1175"/>
        <v>30</v>
      </c>
      <c r="E3076" s="120">
        <f t="shared" si="1176"/>
        <v>4</v>
      </c>
      <c r="F3076" s="275">
        <f t="shared" si="1177"/>
        <v>46493</v>
      </c>
      <c r="G3076" s="120">
        <f t="shared" si="1178"/>
        <v>24327</v>
      </c>
      <c r="H3076" s="245">
        <f t="shared" si="1179"/>
        <v>1</v>
      </c>
      <c r="I3076" s="121">
        <f t="shared" si="1180"/>
        <v>1.02</v>
      </c>
      <c r="J3076" s="121">
        <f t="shared" si="1181"/>
        <v>1.02</v>
      </c>
      <c r="K3076" s="120">
        <f t="shared" si="1182"/>
        <v>0</v>
      </c>
      <c r="L3076" s="120">
        <f t="shared" si="1183"/>
        <v>0</v>
      </c>
      <c r="M3076" s="246">
        <f t="shared" si="1184"/>
        <v>0</v>
      </c>
      <c r="N3076" s="121">
        <f t="shared" si="1185"/>
        <v>1.02</v>
      </c>
      <c r="O3076" s="246">
        <f t="shared" si="1186"/>
        <v>0.99431072210065641</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87">
        <v>29</v>
      </c>
      <c r="B3077" s="242">
        <f t="shared" si="1193"/>
        <v>46508</v>
      </c>
      <c r="C3077" s="243">
        <f t="shared" si="1174"/>
        <v>46538</v>
      </c>
      <c r="D3077" s="120">
        <f t="shared" si="1175"/>
        <v>31</v>
      </c>
      <c r="E3077" s="120">
        <f t="shared" si="1176"/>
        <v>5</v>
      </c>
      <c r="F3077" s="275">
        <f t="shared" si="1177"/>
        <v>46523.5</v>
      </c>
      <c r="G3077" s="120">
        <f t="shared" si="1178"/>
        <v>24328</v>
      </c>
      <c r="H3077" s="245">
        <f t="shared" si="1179"/>
        <v>1</v>
      </c>
      <c r="I3077" s="121">
        <f t="shared" si="1180"/>
        <v>1.02</v>
      </c>
      <c r="J3077" s="121">
        <f t="shared" si="1181"/>
        <v>1.02</v>
      </c>
      <c r="K3077" s="120">
        <f t="shared" si="1182"/>
        <v>0</v>
      </c>
      <c r="L3077" s="120">
        <f t="shared" si="1183"/>
        <v>0</v>
      </c>
      <c r="M3077" s="246">
        <f t="shared" si="1184"/>
        <v>0</v>
      </c>
      <c r="N3077" s="121">
        <f t="shared" si="1185"/>
        <v>1.02</v>
      </c>
      <c r="O3077" s="246">
        <f t="shared" si="1186"/>
        <v>0.99497811816192561</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87">
        <v>30</v>
      </c>
      <c r="B3078" s="242">
        <f t="shared" si="1193"/>
        <v>46539</v>
      </c>
      <c r="C3078" s="243">
        <f t="shared" si="1174"/>
        <v>46568</v>
      </c>
      <c r="D3078" s="120">
        <f t="shared" si="1175"/>
        <v>30</v>
      </c>
      <c r="E3078" s="120">
        <f t="shared" si="1176"/>
        <v>6</v>
      </c>
      <c r="F3078" s="275">
        <f t="shared" si="1177"/>
        <v>46554</v>
      </c>
      <c r="G3078" s="120">
        <f t="shared" si="1178"/>
        <v>24329</v>
      </c>
      <c r="H3078" s="245">
        <f t="shared" si="1179"/>
        <v>1</v>
      </c>
      <c r="I3078" s="121">
        <f t="shared" si="1180"/>
        <v>1.02</v>
      </c>
      <c r="J3078" s="121">
        <f t="shared" si="1181"/>
        <v>1.02</v>
      </c>
      <c r="K3078" s="120">
        <f t="shared" si="1182"/>
        <v>0</v>
      </c>
      <c r="L3078" s="120">
        <f t="shared" si="1183"/>
        <v>0</v>
      </c>
      <c r="M3078" s="246">
        <f t="shared" si="1184"/>
        <v>0</v>
      </c>
      <c r="N3078" s="121">
        <f t="shared" si="1185"/>
        <v>1.02</v>
      </c>
      <c r="O3078" s="246">
        <f t="shared" si="1186"/>
        <v>0.99564551422319469</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87">
        <v>31</v>
      </c>
      <c r="B3079" s="242">
        <f t="shared" si="1193"/>
        <v>46569</v>
      </c>
      <c r="C3079" s="243">
        <f t="shared" si="1174"/>
        <v>46599</v>
      </c>
      <c r="D3079" s="120">
        <f t="shared" si="1175"/>
        <v>31</v>
      </c>
      <c r="E3079" s="120">
        <f t="shared" si="1176"/>
        <v>7</v>
      </c>
      <c r="F3079" s="275">
        <f t="shared" si="1177"/>
        <v>46584.5</v>
      </c>
      <c r="G3079" s="120">
        <f t="shared" si="1178"/>
        <v>24330</v>
      </c>
      <c r="H3079" s="245">
        <f t="shared" si="1179"/>
        <v>1</v>
      </c>
      <c r="I3079" s="121">
        <f t="shared" si="1180"/>
        <v>1.02</v>
      </c>
      <c r="J3079" s="121">
        <f t="shared" si="1181"/>
        <v>1.02</v>
      </c>
      <c r="K3079" s="120">
        <f t="shared" si="1182"/>
        <v>0</v>
      </c>
      <c r="L3079" s="120">
        <f t="shared" si="1183"/>
        <v>0</v>
      </c>
      <c r="M3079" s="246">
        <f t="shared" si="1184"/>
        <v>0</v>
      </c>
      <c r="N3079" s="121">
        <f t="shared" si="1185"/>
        <v>1.02</v>
      </c>
      <c r="O3079" s="246">
        <f t="shared" si="1186"/>
        <v>0.99631291028446389</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87">
        <v>32</v>
      </c>
      <c r="B3080" s="242">
        <f t="shared" si="1193"/>
        <v>46600</v>
      </c>
      <c r="C3080" s="243">
        <f t="shared" si="1174"/>
        <v>46630</v>
      </c>
      <c r="D3080" s="120">
        <f t="shared" si="1175"/>
        <v>31</v>
      </c>
      <c r="E3080" s="120">
        <f t="shared" si="1176"/>
        <v>8</v>
      </c>
      <c r="F3080" s="275">
        <f t="shared" si="1177"/>
        <v>46615.5</v>
      </c>
      <c r="G3080" s="120">
        <f t="shared" si="1178"/>
        <v>24331</v>
      </c>
      <c r="H3080" s="245">
        <f t="shared" si="1179"/>
        <v>1</v>
      </c>
      <c r="I3080" s="121">
        <f t="shared" si="1180"/>
        <v>1.02</v>
      </c>
      <c r="J3080" s="121">
        <f t="shared" si="1181"/>
        <v>1.02</v>
      </c>
      <c r="K3080" s="120">
        <f t="shared" si="1182"/>
        <v>0</v>
      </c>
      <c r="L3080" s="120">
        <f t="shared" si="1183"/>
        <v>0</v>
      </c>
      <c r="M3080" s="246">
        <f t="shared" si="1184"/>
        <v>0</v>
      </c>
      <c r="N3080" s="121">
        <f t="shared" si="1185"/>
        <v>1.02</v>
      </c>
      <c r="O3080" s="246">
        <f t="shared" si="1186"/>
        <v>0.99699124726477029</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87">
        <v>33</v>
      </c>
      <c r="B3081" s="242">
        <f t="shared" si="1193"/>
        <v>46631</v>
      </c>
      <c r="C3081" s="243">
        <f t="shared" si="1174"/>
        <v>46660</v>
      </c>
      <c r="D3081" s="120">
        <f t="shared" si="1175"/>
        <v>30</v>
      </c>
      <c r="E3081" s="120">
        <f t="shared" si="1176"/>
        <v>9</v>
      </c>
      <c r="F3081" s="275">
        <f t="shared" si="1177"/>
        <v>46646</v>
      </c>
      <c r="G3081" s="120">
        <f t="shared" si="1178"/>
        <v>24332</v>
      </c>
      <c r="H3081" s="245">
        <f t="shared" si="1179"/>
        <v>1</v>
      </c>
      <c r="I3081" s="121">
        <f t="shared" si="1180"/>
        <v>1.02</v>
      </c>
      <c r="J3081" s="121">
        <f t="shared" si="1181"/>
        <v>1.02</v>
      </c>
      <c r="K3081" s="120">
        <f t="shared" si="1182"/>
        <v>0</v>
      </c>
      <c r="L3081" s="120">
        <f t="shared" si="1183"/>
        <v>0</v>
      </c>
      <c r="M3081" s="246">
        <f t="shared" si="1184"/>
        <v>0</v>
      </c>
      <c r="N3081" s="121">
        <f t="shared" si="1185"/>
        <v>1.02</v>
      </c>
      <c r="O3081" s="246">
        <f t="shared" si="1186"/>
        <v>0.99765864332603937</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87">
        <v>34</v>
      </c>
      <c r="B3082" s="242">
        <f t="shared" si="1193"/>
        <v>46661</v>
      </c>
      <c r="C3082" s="243">
        <f t="shared" si="1174"/>
        <v>46691</v>
      </c>
      <c r="D3082" s="120">
        <f t="shared" si="1175"/>
        <v>31</v>
      </c>
      <c r="E3082" s="120">
        <f t="shared" si="1176"/>
        <v>10</v>
      </c>
      <c r="F3082" s="275">
        <f t="shared" si="1177"/>
        <v>46676.5</v>
      </c>
      <c r="G3082" s="120">
        <f t="shared" si="1178"/>
        <v>24333</v>
      </c>
      <c r="H3082" s="245">
        <f t="shared" si="1179"/>
        <v>1</v>
      </c>
      <c r="I3082" s="121">
        <f t="shared" si="1180"/>
        <v>1.02</v>
      </c>
      <c r="J3082" s="121">
        <f t="shared" si="1181"/>
        <v>1.02</v>
      </c>
      <c r="K3082" s="120">
        <f t="shared" si="1182"/>
        <v>0</v>
      </c>
      <c r="L3082" s="120">
        <f t="shared" si="1183"/>
        <v>0</v>
      </c>
      <c r="M3082" s="246">
        <f t="shared" si="1184"/>
        <v>0</v>
      </c>
      <c r="N3082" s="121">
        <f t="shared" si="1185"/>
        <v>1.02</v>
      </c>
      <c r="O3082" s="246">
        <f t="shared" si="1186"/>
        <v>0.99832603938730857</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87">
        <v>35</v>
      </c>
      <c r="B3083" s="242">
        <f t="shared" si="1193"/>
        <v>46692</v>
      </c>
      <c r="C3083" s="243">
        <f t="shared" si="1174"/>
        <v>46721</v>
      </c>
      <c r="D3083" s="120">
        <f t="shared" si="1175"/>
        <v>30</v>
      </c>
      <c r="E3083" s="120">
        <f t="shared" si="1176"/>
        <v>11</v>
      </c>
      <c r="F3083" s="275">
        <f t="shared" si="1177"/>
        <v>46707</v>
      </c>
      <c r="G3083" s="120">
        <f t="shared" si="1178"/>
        <v>24334</v>
      </c>
      <c r="H3083" s="245">
        <f t="shared" si="1179"/>
        <v>1</v>
      </c>
      <c r="I3083" s="121">
        <f t="shared" si="1180"/>
        <v>1.02</v>
      </c>
      <c r="J3083" s="121">
        <f t="shared" si="1181"/>
        <v>1.02</v>
      </c>
      <c r="K3083" s="120">
        <f t="shared" si="1182"/>
        <v>0</v>
      </c>
      <c r="L3083" s="120">
        <f t="shared" si="1183"/>
        <v>0</v>
      </c>
      <c r="M3083" s="246">
        <f t="shared" si="1184"/>
        <v>0</v>
      </c>
      <c r="N3083" s="121">
        <f t="shared" si="1185"/>
        <v>1.02</v>
      </c>
      <c r="O3083" s="246">
        <f t="shared" si="1186"/>
        <v>0.99899343544857766</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87">
        <v>36</v>
      </c>
      <c r="B3084" s="242">
        <f t="shared" si="1193"/>
        <v>46722</v>
      </c>
      <c r="C3084" s="243">
        <f t="shared" si="1174"/>
        <v>46752</v>
      </c>
      <c r="D3084" s="120">
        <f t="shared" si="1175"/>
        <v>31</v>
      </c>
      <c r="E3084" s="120">
        <f t="shared" si="1176"/>
        <v>12</v>
      </c>
      <c r="F3084" s="275">
        <f t="shared" si="1177"/>
        <v>46737.5</v>
      </c>
      <c r="G3084" s="120">
        <f t="shared" si="1178"/>
        <v>24335</v>
      </c>
      <c r="H3084" s="245">
        <f t="shared" si="1179"/>
        <v>1</v>
      </c>
      <c r="I3084" s="121">
        <f t="shared" si="1180"/>
        <v>1.02</v>
      </c>
      <c r="J3084" s="121">
        <f t="shared" si="1181"/>
        <v>1.02</v>
      </c>
      <c r="K3084" s="120">
        <f t="shared" si="1182"/>
        <v>0</v>
      </c>
      <c r="L3084" s="120">
        <f t="shared" si="1183"/>
        <v>0</v>
      </c>
      <c r="M3084" s="246">
        <f t="shared" si="1184"/>
        <v>0</v>
      </c>
      <c r="N3084" s="121">
        <f t="shared" si="1185"/>
        <v>1.02</v>
      </c>
      <c r="O3084" s="246">
        <f t="shared" si="1186"/>
        <v>0.99966083150984686</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87">
        <v>37</v>
      </c>
      <c r="B3085" s="242">
        <f t="shared" si="1193"/>
        <v>46753</v>
      </c>
      <c r="C3085" s="243">
        <f t="shared" si="1174"/>
        <v>46783</v>
      </c>
      <c r="D3085" s="120">
        <f t="shared" si="1175"/>
        <v>31</v>
      </c>
      <c r="E3085" s="120">
        <f t="shared" si="1176"/>
        <v>1</v>
      </c>
      <c r="F3085" s="275">
        <f t="shared" si="1177"/>
        <v>46768.5</v>
      </c>
      <c r="G3085" s="120">
        <f t="shared" si="1178"/>
        <v>24336</v>
      </c>
      <c r="H3085" s="245">
        <f t="shared" si="1179"/>
        <v>1</v>
      </c>
      <c r="I3085" s="121">
        <f t="shared" si="1180"/>
        <v>1.02</v>
      </c>
      <c r="J3085" s="121">
        <f t="shared" si="1181"/>
        <v>1.02</v>
      </c>
      <c r="K3085" s="120">
        <f t="shared" si="1182"/>
        <v>0</v>
      </c>
      <c r="L3085" s="120">
        <f t="shared" si="1183"/>
        <v>0</v>
      </c>
      <c r="M3085" s="246">
        <f t="shared" si="1184"/>
        <v>0</v>
      </c>
      <c r="N3085" s="121">
        <f t="shared" si="1185"/>
        <v>1.02</v>
      </c>
      <c r="O3085" s="246">
        <f t="shared" si="1186"/>
        <v>1</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87">
        <v>38</v>
      </c>
      <c r="B3086" s="242">
        <f t="shared" si="1193"/>
        <v>46784</v>
      </c>
      <c r="C3086" s="243">
        <f t="shared" si="1174"/>
        <v>46812</v>
      </c>
      <c r="D3086" s="120">
        <f t="shared" si="1175"/>
        <v>29</v>
      </c>
      <c r="E3086" s="120">
        <f t="shared" si="1176"/>
        <v>2</v>
      </c>
      <c r="F3086" s="275">
        <f t="shared" si="1177"/>
        <v>46798.5</v>
      </c>
      <c r="G3086" s="120">
        <f t="shared" si="1178"/>
        <v>24337</v>
      </c>
      <c r="H3086" s="245">
        <f t="shared" si="1179"/>
        <v>1</v>
      </c>
      <c r="I3086" s="121">
        <f t="shared" si="1180"/>
        <v>1.02</v>
      </c>
      <c r="J3086" s="121">
        <f t="shared" si="1181"/>
        <v>1.02</v>
      </c>
      <c r="K3086" s="120">
        <f t="shared" si="1182"/>
        <v>0</v>
      </c>
      <c r="L3086" s="120">
        <f t="shared" si="1183"/>
        <v>0</v>
      </c>
      <c r="M3086" s="246">
        <f t="shared" si="1184"/>
        <v>0</v>
      </c>
      <c r="N3086" s="121">
        <f t="shared" si="1185"/>
        <v>1.02</v>
      </c>
      <c r="O3086" s="246">
        <f t="shared" si="1186"/>
        <v>1</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87">
        <v>39</v>
      </c>
      <c r="B3087" s="242">
        <f t="shared" si="1193"/>
        <v>46813</v>
      </c>
      <c r="C3087" s="243">
        <f t="shared" si="1174"/>
        <v>46843</v>
      </c>
      <c r="D3087" s="120">
        <f t="shared" si="1175"/>
        <v>31</v>
      </c>
      <c r="E3087" s="120">
        <f t="shared" si="1176"/>
        <v>3</v>
      </c>
      <c r="F3087" s="275">
        <f t="shared" si="1177"/>
        <v>46828.5</v>
      </c>
      <c r="G3087" s="120">
        <f t="shared" si="1178"/>
        <v>24338</v>
      </c>
      <c r="H3087" s="245">
        <f t="shared" si="1179"/>
        <v>1</v>
      </c>
      <c r="I3087" s="121">
        <f t="shared" si="1180"/>
        <v>1.02</v>
      </c>
      <c r="J3087" s="121">
        <f t="shared" si="1181"/>
        <v>1.02</v>
      </c>
      <c r="K3087" s="120">
        <f t="shared" si="1182"/>
        <v>0</v>
      </c>
      <c r="L3087" s="120">
        <f t="shared" si="1183"/>
        <v>0</v>
      </c>
      <c r="M3087" s="246">
        <f t="shared" si="1184"/>
        <v>0</v>
      </c>
      <c r="N3087" s="121">
        <f t="shared" si="1185"/>
        <v>1.02</v>
      </c>
      <c r="O3087" s="246">
        <f t="shared" si="1186"/>
        <v>1</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87">
        <v>40</v>
      </c>
      <c r="B3088" s="242">
        <f t="shared" si="1193"/>
        <v>46844</v>
      </c>
      <c r="C3088" s="243">
        <f t="shared" si="1174"/>
        <v>46873</v>
      </c>
      <c r="D3088" s="120">
        <f t="shared" si="1175"/>
        <v>30</v>
      </c>
      <c r="E3088" s="120">
        <f t="shared" si="1176"/>
        <v>4</v>
      </c>
      <c r="F3088" s="275">
        <f t="shared" si="1177"/>
        <v>46859</v>
      </c>
      <c r="G3088" s="120">
        <f t="shared" si="1178"/>
        <v>24339</v>
      </c>
      <c r="H3088" s="245">
        <f t="shared" si="1179"/>
        <v>1</v>
      </c>
      <c r="I3088" s="121">
        <f t="shared" si="1180"/>
        <v>1.02</v>
      </c>
      <c r="J3088" s="121">
        <f t="shared" si="1181"/>
        <v>1.02</v>
      </c>
      <c r="K3088" s="120">
        <f t="shared" si="1182"/>
        <v>0</v>
      </c>
      <c r="L3088" s="120">
        <f t="shared" si="1183"/>
        <v>0</v>
      </c>
      <c r="M3088" s="246">
        <f t="shared" si="1184"/>
        <v>0</v>
      </c>
      <c r="N3088" s="121">
        <f t="shared" si="1185"/>
        <v>1.02</v>
      </c>
      <c r="O3088" s="246">
        <f t="shared" si="1186"/>
        <v>1</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87">
        <v>41</v>
      </c>
      <c r="B3089" s="242">
        <f t="shared" si="1193"/>
        <v>46874</v>
      </c>
      <c r="C3089" s="243">
        <f t="shared" si="1174"/>
        <v>46904</v>
      </c>
      <c r="D3089" s="120">
        <f t="shared" si="1175"/>
        <v>31</v>
      </c>
      <c r="E3089" s="120">
        <f t="shared" si="1176"/>
        <v>5</v>
      </c>
      <c r="F3089" s="275">
        <f t="shared" si="1177"/>
        <v>46889.5</v>
      </c>
      <c r="G3089" s="120">
        <f t="shared" si="1178"/>
        <v>24340</v>
      </c>
      <c r="H3089" s="245">
        <f t="shared" si="1179"/>
        <v>1</v>
      </c>
      <c r="I3089" s="121">
        <f t="shared" si="1180"/>
        <v>1.02</v>
      </c>
      <c r="J3089" s="121">
        <f t="shared" si="1181"/>
        <v>1.02</v>
      </c>
      <c r="K3089" s="120">
        <f t="shared" si="1182"/>
        <v>0</v>
      </c>
      <c r="L3089" s="120">
        <f t="shared" si="1183"/>
        <v>0</v>
      </c>
      <c r="M3089" s="246">
        <f t="shared" si="1184"/>
        <v>0</v>
      </c>
      <c r="N3089" s="121">
        <f t="shared" si="1185"/>
        <v>1.02</v>
      </c>
      <c r="O3089" s="246">
        <f t="shared" si="1186"/>
        <v>1</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87">
        <v>42</v>
      </c>
      <c r="B3090" s="242">
        <f t="shared" si="1193"/>
        <v>46905</v>
      </c>
      <c r="C3090" s="243">
        <f t="shared" si="1174"/>
        <v>46934</v>
      </c>
      <c r="D3090" s="120">
        <f t="shared" si="1175"/>
        <v>30</v>
      </c>
      <c r="E3090" s="120">
        <f t="shared" si="1176"/>
        <v>6</v>
      </c>
      <c r="F3090" s="275">
        <f t="shared" si="1177"/>
        <v>46920</v>
      </c>
      <c r="G3090" s="120">
        <f t="shared" si="1178"/>
        <v>24341</v>
      </c>
      <c r="H3090" s="245">
        <f t="shared" si="1179"/>
        <v>1</v>
      </c>
      <c r="I3090" s="121">
        <f t="shared" si="1180"/>
        <v>1.02</v>
      </c>
      <c r="J3090" s="121">
        <f t="shared" si="1181"/>
        <v>1.02</v>
      </c>
      <c r="K3090" s="120">
        <f t="shared" si="1182"/>
        <v>0</v>
      </c>
      <c r="L3090" s="120">
        <f t="shared" si="1183"/>
        <v>0</v>
      </c>
      <c r="M3090" s="246">
        <f t="shared" si="1184"/>
        <v>0</v>
      </c>
      <c r="N3090" s="121">
        <f t="shared" si="1185"/>
        <v>1.02</v>
      </c>
      <c r="O3090" s="246">
        <f t="shared" si="1186"/>
        <v>1</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87">
        <v>43</v>
      </c>
      <c r="B3091" s="242">
        <f t="shared" si="1193"/>
        <v>46935</v>
      </c>
      <c r="C3091" s="243">
        <f t="shared" si="1174"/>
        <v>46965</v>
      </c>
      <c r="D3091" s="120">
        <f t="shared" si="1175"/>
        <v>31</v>
      </c>
      <c r="E3091" s="120">
        <f t="shared" si="1176"/>
        <v>7</v>
      </c>
      <c r="F3091" s="275">
        <f t="shared" si="1177"/>
        <v>46950.5</v>
      </c>
      <c r="G3091" s="120">
        <f t="shared" si="1178"/>
        <v>24342</v>
      </c>
      <c r="H3091" s="245">
        <f t="shared" si="1179"/>
        <v>1</v>
      </c>
      <c r="I3091" s="121">
        <f t="shared" si="1180"/>
        <v>1.02</v>
      </c>
      <c r="J3091" s="121">
        <f t="shared" si="1181"/>
        <v>1.02</v>
      </c>
      <c r="K3091" s="120">
        <f t="shared" si="1182"/>
        <v>0</v>
      </c>
      <c r="L3091" s="120">
        <f t="shared" si="1183"/>
        <v>0</v>
      </c>
      <c r="M3091" s="246">
        <f t="shared" si="1184"/>
        <v>0</v>
      </c>
      <c r="N3091" s="121">
        <f t="shared" si="1185"/>
        <v>1.02</v>
      </c>
      <c r="O3091" s="246">
        <f t="shared" si="1186"/>
        <v>1</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87">
        <v>44</v>
      </c>
      <c r="B3092" s="242">
        <f t="shared" si="1193"/>
        <v>46966</v>
      </c>
      <c r="C3092" s="243">
        <f t="shared" si="1174"/>
        <v>46996</v>
      </c>
      <c r="D3092" s="120">
        <f t="shared" si="1175"/>
        <v>31</v>
      </c>
      <c r="E3092" s="120">
        <f t="shared" si="1176"/>
        <v>8</v>
      </c>
      <c r="F3092" s="275">
        <f t="shared" si="1177"/>
        <v>46981.5</v>
      </c>
      <c r="G3092" s="120">
        <f t="shared" si="1178"/>
        <v>24343</v>
      </c>
      <c r="H3092" s="245">
        <f t="shared" si="1179"/>
        <v>1</v>
      </c>
      <c r="I3092" s="121">
        <f t="shared" si="1180"/>
        <v>1.02</v>
      </c>
      <c r="J3092" s="121">
        <f t="shared" si="1181"/>
        <v>1.02</v>
      </c>
      <c r="K3092" s="120">
        <f t="shared" si="1182"/>
        <v>0</v>
      </c>
      <c r="L3092" s="120">
        <f t="shared" si="1183"/>
        <v>0</v>
      </c>
      <c r="M3092" s="246">
        <f t="shared" si="1184"/>
        <v>0</v>
      </c>
      <c r="N3092" s="121">
        <f t="shared" si="1185"/>
        <v>1.02</v>
      </c>
      <c r="O3092" s="246">
        <f t="shared" si="1186"/>
        <v>1</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87">
        <v>45</v>
      </c>
      <c r="B3093" s="242">
        <f t="shared" si="1193"/>
        <v>46997</v>
      </c>
      <c r="C3093" s="243">
        <f t="shared" si="1174"/>
        <v>47026</v>
      </c>
      <c r="D3093" s="120">
        <f t="shared" si="1175"/>
        <v>30</v>
      </c>
      <c r="E3093" s="120">
        <f t="shared" si="1176"/>
        <v>9</v>
      </c>
      <c r="F3093" s="275">
        <f t="shared" si="1177"/>
        <v>47012</v>
      </c>
      <c r="G3093" s="120">
        <f t="shared" si="1178"/>
        <v>24344</v>
      </c>
      <c r="H3093" s="245">
        <f t="shared" si="1179"/>
        <v>1</v>
      </c>
      <c r="I3093" s="121">
        <f t="shared" si="1180"/>
        <v>1.02</v>
      </c>
      <c r="J3093" s="121">
        <f t="shared" si="1181"/>
        <v>1.02</v>
      </c>
      <c r="K3093" s="120">
        <f t="shared" si="1182"/>
        <v>0</v>
      </c>
      <c r="L3093" s="120">
        <f t="shared" si="1183"/>
        <v>0</v>
      </c>
      <c r="M3093" s="246">
        <f t="shared" si="1184"/>
        <v>0</v>
      </c>
      <c r="N3093" s="121">
        <f t="shared" si="1185"/>
        <v>1.02</v>
      </c>
      <c r="O3093" s="246">
        <f t="shared" si="1186"/>
        <v>1</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87">
        <v>46</v>
      </c>
      <c r="B3094" s="242">
        <f t="shared" si="1193"/>
        <v>47027</v>
      </c>
      <c r="C3094" s="243">
        <f t="shared" si="1174"/>
        <v>47057</v>
      </c>
      <c r="D3094" s="120">
        <f t="shared" si="1175"/>
        <v>31</v>
      </c>
      <c r="E3094" s="120">
        <f t="shared" si="1176"/>
        <v>10</v>
      </c>
      <c r="F3094" s="275">
        <f t="shared" si="1177"/>
        <v>47042.5</v>
      </c>
      <c r="G3094" s="120">
        <f t="shared" si="1178"/>
        <v>24345</v>
      </c>
      <c r="H3094" s="245">
        <f t="shared" si="1179"/>
        <v>1</v>
      </c>
      <c r="I3094" s="121">
        <f t="shared" si="1180"/>
        <v>1.02</v>
      </c>
      <c r="J3094" s="121">
        <f t="shared" si="1181"/>
        <v>1.02</v>
      </c>
      <c r="K3094" s="120">
        <f t="shared" si="1182"/>
        <v>0</v>
      </c>
      <c r="L3094" s="120">
        <f t="shared" si="1183"/>
        <v>0</v>
      </c>
      <c r="M3094" s="246">
        <f t="shared" si="1184"/>
        <v>0</v>
      </c>
      <c r="N3094" s="121">
        <f t="shared" si="1185"/>
        <v>1.02</v>
      </c>
      <c r="O3094" s="246">
        <f t="shared" si="1186"/>
        <v>1</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87">
        <v>47</v>
      </c>
      <c r="B3095" s="242">
        <f t="shared" si="1193"/>
        <v>47058</v>
      </c>
      <c r="C3095" s="243">
        <f t="shared" si="1174"/>
        <v>47087</v>
      </c>
      <c r="D3095" s="120">
        <f t="shared" si="1175"/>
        <v>30</v>
      </c>
      <c r="E3095" s="120">
        <f t="shared" si="1176"/>
        <v>11</v>
      </c>
      <c r="F3095" s="275">
        <f t="shared" si="1177"/>
        <v>47073</v>
      </c>
      <c r="G3095" s="120">
        <f t="shared" si="1178"/>
        <v>24346</v>
      </c>
      <c r="H3095" s="245">
        <f t="shared" si="1179"/>
        <v>1</v>
      </c>
      <c r="I3095" s="121">
        <f t="shared" si="1180"/>
        <v>1.02</v>
      </c>
      <c r="J3095" s="121">
        <f t="shared" si="1181"/>
        <v>1.02</v>
      </c>
      <c r="K3095" s="120">
        <f t="shared" si="1182"/>
        <v>0</v>
      </c>
      <c r="L3095" s="120">
        <f t="shared" si="1183"/>
        <v>0</v>
      </c>
      <c r="M3095" s="246">
        <f t="shared" si="1184"/>
        <v>0</v>
      </c>
      <c r="N3095" s="121">
        <f t="shared" si="1185"/>
        <v>1.02</v>
      </c>
      <c r="O3095" s="246">
        <f t="shared" si="1186"/>
        <v>1</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87">
        <v>48</v>
      </c>
      <c r="B3096" s="242">
        <f t="shared" si="1193"/>
        <v>47088</v>
      </c>
      <c r="C3096" s="243">
        <f t="shared" si="1174"/>
        <v>47118</v>
      </c>
      <c r="D3096" s="120">
        <f t="shared" si="1175"/>
        <v>31</v>
      </c>
      <c r="E3096" s="120">
        <f t="shared" si="1176"/>
        <v>12</v>
      </c>
      <c r="F3096" s="275">
        <f t="shared" si="1177"/>
        <v>47103.5</v>
      </c>
      <c r="G3096" s="120">
        <f t="shared" si="1178"/>
        <v>24347</v>
      </c>
      <c r="H3096" s="245">
        <f t="shared" si="1179"/>
        <v>1</v>
      </c>
      <c r="I3096" s="121">
        <f t="shared" si="1180"/>
        <v>1.02</v>
      </c>
      <c r="J3096" s="121">
        <f t="shared" si="1181"/>
        <v>1.02</v>
      </c>
      <c r="K3096" s="120">
        <f t="shared" si="1182"/>
        <v>0</v>
      </c>
      <c r="L3096" s="120">
        <f t="shared" si="1183"/>
        <v>0</v>
      </c>
      <c r="M3096" s="246">
        <f t="shared" si="1184"/>
        <v>0</v>
      </c>
      <c r="N3096" s="121">
        <f t="shared" si="1185"/>
        <v>1.02</v>
      </c>
      <c r="O3096" s="246">
        <f t="shared" si="1186"/>
        <v>1</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1651</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24">
        <f>SUMPRODUCT($H$3049:$H$3096,$Q$3049:$Q$3096,$O$3049:$O$3096)/SUMPRODUCT($H$3049:$H$3096,$Q$3049:$Q$3096)</f>
        <v>0.99199580598103554</v>
      </c>
      <c r="G3097" s="224">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24">
        <f>IF(N(INDEX(lr_mind,57))=0,1,INDEX(lr_mind,57))</f>
        <v>1</v>
      </c>
      <c r="G3100" s="224">
        <f>IF(N(INDEX(lr_m0,57))=0,1,INDEX(lr_m0,57))</f>
        <v>0.99</v>
      </c>
      <c r="H3100" s="74">
        <f>IF(N(INDEX(lr_m0asof,57))=0,DATE(nr_PlanYear-1,10,1),INDEX(lr_m0asof,57))</f>
        <v>46295</v>
      </c>
      <c r="I3100" s="224">
        <f>IF(N(INDEX(lr_m1,57))=0,1,INDEX(lr_m1,57))</f>
        <v>0.98</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94">EOMONTH($B3103,0)</f>
        <v>45688</v>
      </c>
      <c r="D3103" s="120">
        <f t="shared" ref="D3103:D3150" si="1195">$C3103-$B3103+1</f>
        <v>31</v>
      </c>
      <c r="E3103" s="120">
        <f t="shared" ref="E3103:E3150" si="1196">MONTH($B3103)</f>
        <v>1</v>
      </c>
      <c r="F3103" s="275">
        <f t="shared" ref="F3103:F3150" si="1197">($B3103+$C3103+1)/2</f>
        <v>45673.5</v>
      </c>
      <c r="G3103" s="120">
        <f t="shared" ref="G3103:G3150" si="1198">YEAR($B3103)*12+MONTH($B3103)-1</f>
        <v>24300</v>
      </c>
      <c r="H3103" s="245">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46">
        <f t="shared" ref="M3103:M3150" si="1204">IF($K3103=0,0,MIN(1,$L3103/$D3103))</f>
        <v>0</v>
      </c>
      <c r="N3103" s="121">
        <f t="shared" ref="N3103:N3150" si="1205">IF($K3103=0,$J3103,(1-$M3103)*$I3103+$M3103*$J3103)</f>
        <v>1</v>
      </c>
      <c r="O3103" s="246">
        <f t="shared" ref="O3103:O3150" si="1206">IF($F3103&lt;$B$3101,$E$3101+$I$3101*($F3103-$A$3101),IF($F3103&lt;$C$3101,$F$3101+$J$3101*($F3103-$B$3101),$G$3101+$K$3101*($F3103-$C$3101)))</f>
        <v>1.0036214442013129</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87">
        <v>2</v>
      </c>
      <c r="B3104" s="242">
        <f t="shared" ref="B3104:B3150" si="1213">EDATE($B3103,1)</f>
        <v>45689</v>
      </c>
      <c r="C3104" s="243">
        <f t="shared" si="1194"/>
        <v>45716</v>
      </c>
      <c r="D3104" s="120">
        <f t="shared" si="1195"/>
        <v>28</v>
      </c>
      <c r="E3104" s="120">
        <f t="shared" si="1196"/>
        <v>2</v>
      </c>
      <c r="F3104" s="275">
        <f t="shared" si="1197"/>
        <v>45703</v>
      </c>
      <c r="G3104" s="120">
        <f t="shared" si="1198"/>
        <v>24301</v>
      </c>
      <c r="H3104" s="245">
        <f t="shared" si="1199"/>
        <v>1</v>
      </c>
      <c r="I3104" s="121">
        <f t="shared" si="1200"/>
        <v>1</v>
      </c>
      <c r="J3104" s="121">
        <f t="shared" si="1201"/>
        <v>1</v>
      </c>
      <c r="K3104" s="120">
        <f t="shared" si="1202"/>
        <v>0</v>
      </c>
      <c r="L3104" s="120">
        <f t="shared" si="1203"/>
        <v>0</v>
      </c>
      <c r="M3104" s="246">
        <f t="shared" si="1204"/>
        <v>0</v>
      </c>
      <c r="N3104" s="121">
        <f t="shared" si="1205"/>
        <v>1</v>
      </c>
      <c r="O3104" s="246">
        <f t="shared" si="1206"/>
        <v>1.002975929978118</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87">
        <v>3</v>
      </c>
      <c r="B3105" s="242">
        <f t="shared" si="1213"/>
        <v>45717</v>
      </c>
      <c r="C3105" s="243">
        <f t="shared" si="1194"/>
        <v>45747</v>
      </c>
      <c r="D3105" s="120">
        <f t="shared" si="1195"/>
        <v>31</v>
      </c>
      <c r="E3105" s="120">
        <f t="shared" si="1196"/>
        <v>3</v>
      </c>
      <c r="F3105" s="275">
        <f t="shared" si="1197"/>
        <v>45732.5</v>
      </c>
      <c r="G3105" s="120">
        <f t="shared" si="1198"/>
        <v>24302</v>
      </c>
      <c r="H3105" s="245">
        <f t="shared" si="1199"/>
        <v>1</v>
      </c>
      <c r="I3105" s="121">
        <f t="shared" si="1200"/>
        <v>1</v>
      </c>
      <c r="J3105" s="121">
        <f t="shared" si="1201"/>
        <v>1</v>
      </c>
      <c r="K3105" s="120">
        <f t="shared" si="1202"/>
        <v>0</v>
      </c>
      <c r="L3105" s="120">
        <f t="shared" si="1203"/>
        <v>0</v>
      </c>
      <c r="M3105" s="246">
        <f t="shared" si="1204"/>
        <v>0</v>
      </c>
      <c r="N3105" s="121">
        <f t="shared" si="1205"/>
        <v>1</v>
      </c>
      <c r="O3105" s="246">
        <f t="shared" si="1206"/>
        <v>1.0023304157549233</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87">
        <v>4</v>
      </c>
      <c r="B3106" s="242">
        <f t="shared" si="1213"/>
        <v>45748</v>
      </c>
      <c r="C3106" s="243">
        <f t="shared" si="1194"/>
        <v>45777</v>
      </c>
      <c r="D3106" s="120">
        <f t="shared" si="1195"/>
        <v>30</v>
      </c>
      <c r="E3106" s="120">
        <f t="shared" si="1196"/>
        <v>4</v>
      </c>
      <c r="F3106" s="275">
        <f t="shared" si="1197"/>
        <v>45763</v>
      </c>
      <c r="G3106" s="120">
        <f t="shared" si="1198"/>
        <v>24303</v>
      </c>
      <c r="H3106" s="245">
        <f t="shared" si="1199"/>
        <v>1</v>
      </c>
      <c r="I3106" s="121">
        <f t="shared" si="1200"/>
        <v>1</v>
      </c>
      <c r="J3106" s="121">
        <f t="shared" si="1201"/>
        <v>1</v>
      </c>
      <c r="K3106" s="120">
        <f t="shared" si="1202"/>
        <v>0</v>
      </c>
      <c r="L3106" s="120">
        <f t="shared" si="1203"/>
        <v>0</v>
      </c>
      <c r="M3106" s="246">
        <f t="shared" si="1204"/>
        <v>0</v>
      </c>
      <c r="N3106" s="121">
        <f t="shared" si="1205"/>
        <v>1</v>
      </c>
      <c r="O3106" s="246">
        <f t="shared" si="1206"/>
        <v>1.0016630196936542</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87">
        <v>5</v>
      </c>
      <c r="B3107" s="242">
        <f t="shared" si="1213"/>
        <v>45778</v>
      </c>
      <c r="C3107" s="243">
        <f t="shared" si="1194"/>
        <v>45808</v>
      </c>
      <c r="D3107" s="120">
        <f t="shared" si="1195"/>
        <v>31</v>
      </c>
      <c r="E3107" s="120">
        <f t="shared" si="1196"/>
        <v>5</v>
      </c>
      <c r="F3107" s="275">
        <f t="shared" si="1197"/>
        <v>45793.5</v>
      </c>
      <c r="G3107" s="120">
        <f t="shared" si="1198"/>
        <v>24304</v>
      </c>
      <c r="H3107" s="245">
        <f t="shared" si="1199"/>
        <v>1</v>
      </c>
      <c r="I3107" s="121">
        <f t="shared" si="1200"/>
        <v>1</v>
      </c>
      <c r="J3107" s="121">
        <f t="shared" si="1201"/>
        <v>1</v>
      </c>
      <c r="K3107" s="120">
        <f t="shared" si="1202"/>
        <v>0</v>
      </c>
      <c r="L3107" s="120">
        <f t="shared" si="1203"/>
        <v>0</v>
      </c>
      <c r="M3107" s="246">
        <f t="shared" si="1204"/>
        <v>0</v>
      </c>
      <c r="N3107" s="121">
        <f t="shared" si="1205"/>
        <v>1</v>
      </c>
      <c r="O3107" s="246">
        <f t="shared" si="1206"/>
        <v>1.0009956236323851</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87">
        <v>6</v>
      </c>
      <c r="B3108" s="242">
        <f t="shared" si="1213"/>
        <v>45809</v>
      </c>
      <c r="C3108" s="243">
        <f t="shared" si="1194"/>
        <v>45838</v>
      </c>
      <c r="D3108" s="120">
        <f t="shared" si="1195"/>
        <v>30</v>
      </c>
      <c r="E3108" s="120">
        <f t="shared" si="1196"/>
        <v>6</v>
      </c>
      <c r="F3108" s="275">
        <f t="shared" si="1197"/>
        <v>45824</v>
      </c>
      <c r="G3108" s="120">
        <f t="shared" si="1198"/>
        <v>24305</v>
      </c>
      <c r="H3108" s="245">
        <f t="shared" si="1199"/>
        <v>1</v>
      </c>
      <c r="I3108" s="121">
        <f t="shared" si="1200"/>
        <v>1</v>
      </c>
      <c r="J3108" s="121">
        <f t="shared" si="1201"/>
        <v>1</v>
      </c>
      <c r="K3108" s="120">
        <f t="shared" si="1202"/>
        <v>0</v>
      </c>
      <c r="L3108" s="120">
        <f t="shared" si="1203"/>
        <v>0</v>
      </c>
      <c r="M3108" s="246">
        <f t="shared" si="1204"/>
        <v>0</v>
      </c>
      <c r="N3108" s="121">
        <f t="shared" si="1205"/>
        <v>1</v>
      </c>
      <c r="O3108" s="246">
        <f t="shared" si="1206"/>
        <v>1.0003282275711158</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87">
        <v>7</v>
      </c>
      <c r="B3109" s="242">
        <f t="shared" si="1213"/>
        <v>45839</v>
      </c>
      <c r="C3109" s="243">
        <f t="shared" si="1194"/>
        <v>45869</v>
      </c>
      <c r="D3109" s="120">
        <f t="shared" si="1195"/>
        <v>31</v>
      </c>
      <c r="E3109" s="120">
        <f t="shared" si="1196"/>
        <v>7</v>
      </c>
      <c r="F3109" s="275">
        <f t="shared" si="1197"/>
        <v>45854.5</v>
      </c>
      <c r="G3109" s="120">
        <f t="shared" si="1198"/>
        <v>24306</v>
      </c>
      <c r="H3109" s="245">
        <f t="shared" si="1199"/>
        <v>1</v>
      </c>
      <c r="I3109" s="121">
        <f t="shared" si="1200"/>
        <v>1</v>
      </c>
      <c r="J3109" s="121">
        <f t="shared" si="1201"/>
        <v>1</v>
      </c>
      <c r="K3109" s="120">
        <f t="shared" si="1202"/>
        <v>0</v>
      </c>
      <c r="L3109" s="120">
        <f t="shared" si="1203"/>
        <v>0</v>
      </c>
      <c r="M3109" s="246">
        <f t="shared" si="1204"/>
        <v>0</v>
      </c>
      <c r="N3109" s="121">
        <f t="shared" si="1205"/>
        <v>1</v>
      </c>
      <c r="O3109" s="246">
        <f t="shared" si="1206"/>
        <v>0.99966083150984675</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87">
        <v>8</v>
      </c>
      <c r="B3110" s="242">
        <f t="shared" si="1213"/>
        <v>45870</v>
      </c>
      <c r="C3110" s="243">
        <f t="shared" si="1194"/>
        <v>45900</v>
      </c>
      <c r="D3110" s="120">
        <f t="shared" si="1195"/>
        <v>31</v>
      </c>
      <c r="E3110" s="120">
        <f t="shared" si="1196"/>
        <v>8</v>
      </c>
      <c r="F3110" s="275">
        <f t="shared" si="1197"/>
        <v>45885.5</v>
      </c>
      <c r="G3110" s="120">
        <f t="shared" si="1198"/>
        <v>24307</v>
      </c>
      <c r="H3110" s="245">
        <f t="shared" si="1199"/>
        <v>1</v>
      </c>
      <c r="I3110" s="121">
        <f t="shared" si="1200"/>
        <v>1</v>
      </c>
      <c r="J3110" s="121">
        <f t="shared" si="1201"/>
        <v>1</v>
      </c>
      <c r="K3110" s="120">
        <f t="shared" si="1202"/>
        <v>0</v>
      </c>
      <c r="L3110" s="120">
        <f t="shared" si="1203"/>
        <v>0</v>
      </c>
      <c r="M3110" s="246">
        <f t="shared" si="1204"/>
        <v>0</v>
      </c>
      <c r="N3110" s="121">
        <f t="shared" si="1205"/>
        <v>1</v>
      </c>
      <c r="O3110" s="246">
        <f t="shared" si="1206"/>
        <v>0.99898249452954047</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87">
        <v>9</v>
      </c>
      <c r="B3111" s="242">
        <f t="shared" si="1213"/>
        <v>45901</v>
      </c>
      <c r="C3111" s="243">
        <f t="shared" si="1194"/>
        <v>45930</v>
      </c>
      <c r="D3111" s="120">
        <f t="shared" si="1195"/>
        <v>30</v>
      </c>
      <c r="E3111" s="120">
        <f t="shared" si="1196"/>
        <v>9</v>
      </c>
      <c r="F3111" s="275">
        <f t="shared" si="1197"/>
        <v>45916</v>
      </c>
      <c r="G3111" s="120">
        <f t="shared" si="1198"/>
        <v>24308</v>
      </c>
      <c r="H3111" s="245">
        <f t="shared" si="1199"/>
        <v>1</v>
      </c>
      <c r="I3111" s="121">
        <f t="shared" si="1200"/>
        <v>1</v>
      </c>
      <c r="J3111" s="121">
        <f t="shared" si="1201"/>
        <v>1</v>
      </c>
      <c r="K3111" s="120">
        <f t="shared" si="1202"/>
        <v>0</v>
      </c>
      <c r="L3111" s="120">
        <f t="shared" si="1203"/>
        <v>0</v>
      </c>
      <c r="M3111" s="246">
        <f t="shared" si="1204"/>
        <v>0</v>
      </c>
      <c r="N3111" s="121">
        <f t="shared" si="1205"/>
        <v>1</v>
      </c>
      <c r="O3111" s="246">
        <f t="shared" si="1206"/>
        <v>0.99831509846827127</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87">
        <v>10</v>
      </c>
      <c r="B3112" s="242">
        <f t="shared" si="1213"/>
        <v>45931</v>
      </c>
      <c r="C3112" s="243">
        <f t="shared" si="1194"/>
        <v>45961</v>
      </c>
      <c r="D3112" s="120">
        <f t="shared" si="1195"/>
        <v>31</v>
      </c>
      <c r="E3112" s="120">
        <f t="shared" si="1196"/>
        <v>10</v>
      </c>
      <c r="F3112" s="275">
        <f t="shared" si="1197"/>
        <v>45946.5</v>
      </c>
      <c r="G3112" s="120">
        <f t="shared" si="1198"/>
        <v>24309</v>
      </c>
      <c r="H3112" s="245">
        <f t="shared" si="1199"/>
        <v>1</v>
      </c>
      <c r="I3112" s="121">
        <f t="shared" si="1200"/>
        <v>1</v>
      </c>
      <c r="J3112" s="121">
        <f t="shared" si="1201"/>
        <v>1</v>
      </c>
      <c r="K3112" s="120">
        <f t="shared" si="1202"/>
        <v>0</v>
      </c>
      <c r="L3112" s="120">
        <f t="shared" si="1203"/>
        <v>0</v>
      </c>
      <c r="M3112" s="246">
        <f t="shared" si="1204"/>
        <v>0</v>
      </c>
      <c r="N3112" s="121">
        <f t="shared" si="1205"/>
        <v>1</v>
      </c>
      <c r="O3112" s="246">
        <f t="shared" si="1206"/>
        <v>0.99764770240700218</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87">
        <v>11</v>
      </c>
      <c r="B3113" s="242">
        <f t="shared" si="1213"/>
        <v>45962</v>
      </c>
      <c r="C3113" s="243">
        <f t="shared" si="1194"/>
        <v>45991</v>
      </c>
      <c r="D3113" s="120">
        <f t="shared" si="1195"/>
        <v>30</v>
      </c>
      <c r="E3113" s="120">
        <f t="shared" si="1196"/>
        <v>11</v>
      </c>
      <c r="F3113" s="275">
        <f t="shared" si="1197"/>
        <v>45977</v>
      </c>
      <c r="G3113" s="120">
        <f t="shared" si="1198"/>
        <v>24310</v>
      </c>
      <c r="H3113" s="245">
        <f t="shared" si="1199"/>
        <v>1</v>
      </c>
      <c r="I3113" s="121">
        <f t="shared" si="1200"/>
        <v>1</v>
      </c>
      <c r="J3113" s="121">
        <f t="shared" si="1201"/>
        <v>1</v>
      </c>
      <c r="K3113" s="120">
        <f t="shared" si="1202"/>
        <v>0</v>
      </c>
      <c r="L3113" s="120">
        <f t="shared" si="1203"/>
        <v>0</v>
      </c>
      <c r="M3113" s="246">
        <f t="shared" si="1204"/>
        <v>0</v>
      </c>
      <c r="N3113" s="121">
        <f t="shared" si="1205"/>
        <v>1</v>
      </c>
      <c r="O3113" s="246">
        <f t="shared" si="1206"/>
        <v>0.99698030634573298</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87">
        <v>12</v>
      </c>
      <c r="B3114" s="242">
        <f t="shared" si="1213"/>
        <v>45992</v>
      </c>
      <c r="C3114" s="243">
        <f t="shared" si="1194"/>
        <v>46022</v>
      </c>
      <c r="D3114" s="120">
        <f t="shared" si="1195"/>
        <v>31</v>
      </c>
      <c r="E3114" s="120">
        <f t="shared" si="1196"/>
        <v>12</v>
      </c>
      <c r="F3114" s="275">
        <f t="shared" si="1197"/>
        <v>46007.5</v>
      </c>
      <c r="G3114" s="120">
        <f t="shared" si="1198"/>
        <v>24311</v>
      </c>
      <c r="H3114" s="245">
        <f t="shared" si="1199"/>
        <v>1</v>
      </c>
      <c r="I3114" s="121">
        <f t="shared" si="1200"/>
        <v>1</v>
      </c>
      <c r="J3114" s="121">
        <f t="shared" si="1201"/>
        <v>1</v>
      </c>
      <c r="K3114" s="120">
        <f t="shared" si="1202"/>
        <v>0</v>
      </c>
      <c r="L3114" s="120">
        <f t="shared" si="1203"/>
        <v>0</v>
      </c>
      <c r="M3114" s="246">
        <f t="shared" si="1204"/>
        <v>0</v>
      </c>
      <c r="N3114" s="121">
        <f t="shared" si="1205"/>
        <v>1</v>
      </c>
      <c r="O3114" s="246">
        <f t="shared" si="1206"/>
        <v>0.99631291028446389</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87">
        <v>13</v>
      </c>
      <c r="B3115" s="242">
        <f t="shared" si="1213"/>
        <v>46023</v>
      </c>
      <c r="C3115" s="243">
        <f t="shared" si="1194"/>
        <v>46053</v>
      </c>
      <c r="D3115" s="120">
        <f t="shared" si="1195"/>
        <v>31</v>
      </c>
      <c r="E3115" s="120">
        <f t="shared" si="1196"/>
        <v>1</v>
      </c>
      <c r="F3115" s="275">
        <f t="shared" si="1197"/>
        <v>46038.5</v>
      </c>
      <c r="G3115" s="120">
        <f t="shared" si="1198"/>
        <v>24312</v>
      </c>
      <c r="H3115" s="245">
        <f t="shared" si="1199"/>
        <v>1</v>
      </c>
      <c r="I3115" s="121">
        <f t="shared" si="1200"/>
        <v>1</v>
      </c>
      <c r="J3115" s="121">
        <f t="shared" si="1201"/>
        <v>1</v>
      </c>
      <c r="K3115" s="120">
        <f t="shared" si="1202"/>
        <v>0</v>
      </c>
      <c r="L3115" s="120">
        <f t="shared" si="1203"/>
        <v>0</v>
      </c>
      <c r="M3115" s="246">
        <f t="shared" si="1204"/>
        <v>0</v>
      </c>
      <c r="N3115" s="121">
        <f t="shared" si="1205"/>
        <v>1</v>
      </c>
      <c r="O3115" s="246">
        <f t="shared" si="1206"/>
        <v>0.9956345733041575</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87">
        <v>14</v>
      </c>
      <c r="B3116" s="242">
        <f t="shared" si="1213"/>
        <v>46054</v>
      </c>
      <c r="C3116" s="243">
        <f t="shared" si="1194"/>
        <v>46081</v>
      </c>
      <c r="D3116" s="120">
        <f t="shared" si="1195"/>
        <v>28</v>
      </c>
      <c r="E3116" s="120">
        <f t="shared" si="1196"/>
        <v>2</v>
      </c>
      <c r="F3116" s="275">
        <f t="shared" si="1197"/>
        <v>46068</v>
      </c>
      <c r="G3116" s="120">
        <f t="shared" si="1198"/>
        <v>24313</v>
      </c>
      <c r="H3116" s="245">
        <f t="shared" si="1199"/>
        <v>1</v>
      </c>
      <c r="I3116" s="121">
        <f t="shared" si="1200"/>
        <v>1</v>
      </c>
      <c r="J3116" s="121">
        <f t="shared" si="1201"/>
        <v>1</v>
      </c>
      <c r="K3116" s="120">
        <f t="shared" si="1202"/>
        <v>0</v>
      </c>
      <c r="L3116" s="120">
        <f t="shared" si="1203"/>
        <v>0</v>
      </c>
      <c r="M3116" s="246">
        <f t="shared" si="1204"/>
        <v>0</v>
      </c>
      <c r="N3116" s="121">
        <f t="shared" si="1205"/>
        <v>1</v>
      </c>
      <c r="O3116" s="246">
        <f t="shared" si="1206"/>
        <v>0.9949890590809628</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87">
        <v>15</v>
      </c>
      <c r="B3117" s="242">
        <f t="shared" si="1213"/>
        <v>46082</v>
      </c>
      <c r="C3117" s="243">
        <f t="shared" si="1194"/>
        <v>46112</v>
      </c>
      <c r="D3117" s="120">
        <f t="shared" si="1195"/>
        <v>31</v>
      </c>
      <c r="E3117" s="120">
        <f t="shared" si="1196"/>
        <v>3</v>
      </c>
      <c r="F3117" s="275">
        <f t="shared" si="1197"/>
        <v>46097.5</v>
      </c>
      <c r="G3117" s="120">
        <f t="shared" si="1198"/>
        <v>24314</v>
      </c>
      <c r="H3117" s="245">
        <f t="shared" si="1199"/>
        <v>1</v>
      </c>
      <c r="I3117" s="121">
        <f t="shared" si="1200"/>
        <v>1</v>
      </c>
      <c r="J3117" s="121">
        <f t="shared" si="1201"/>
        <v>1</v>
      </c>
      <c r="K3117" s="120">
        <f t="shared" si="1202"/>
        <v>0</v>
      </c>
      <c r="L3117" s="120">
        <f t="shared" si="1203"/>
        <v>0</v>
      </c>
      <c r="M3117" s="246">
        <f t="shared" si="1204"/>
        <v>0</v>
      </c>
      <c r="N3117" s="121">
        <f t="shared" si="1205"/>
        <v>1</v>
      </c>
      <c r="O3117" s="246">
        <f t="shared" si="1206"/>
        <v>0.99434354485776799</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87">
        <v>16</v>
      </c>
      <c r="B3118" s="242">
        <f t="shared" si="1213"/>
        <v>46113</v>
      </c>
      <c r="C3118" s="243">
        <f t="shared" si="1194"/>
        <v>46142</v>
      </c>
      <c r="D3118" s="120">
        <f t="shared" si="1195"/>
        <v>30</v>
      </c>
      <c r="E3118" s="120">
        <f t="shared" si="1196"/>
        <v>4</v>
      </c>
      <c r="F3118" s="275">
        <f t="shared" si="1197"/>
        <v>46128</v>
      </c>
      <c r="G3118" s="120">
        <f t="shared" si="1198"/>
        <v>24315</v>
      </c>
      <c r="H3118" s="245">
        <f t="shared" si="1199"/>
        <v>1</v>
      </c>
      <c r="I3118" s="121">
        <f t="shared" si="1200"/>
        <v>1</v>
      </c>
      <c r="J3118" s="121">
        <f t="shared" si="1201"/>
        <v>1</v>
      </c>
      <c r="K3118" s="120">
        <f t="shared" si="1202"/>
        <v>0</v>
      </c>
      <c r="L3118" s="120">
        <f t="shared" si="1203"/>
        <v>0</v>
      </c>
      <c r="M3118" s="246">
        <f t="shared" si="1204"/>
        <v>0</v>
      </c>
      <c r="N3118" s="121">
        <f t="shared" si="1205"/>
        <v>1</v>
      </c>
      <c r="O3118" s="246">
        <f t="shared" si="1206"/>
        <v>0.9936761487964989</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87">
        <v>17</v>
      </c>
      <c r="B3119" s="242">
        <f t="shared" si="1213"/>
        <v>46143</v>
      </c>
      <c r="C3119" s="243">
        <f t="shared" si="1194"/>
        <v>46173</v>
      </c>
      <c r="D3119" s="120">
        <f t="shared" si="1195"/>
        <v>31</v>
      </c>
      <c r="E3119" s="120">
        <f t="shared" si="1196"/>
        <v>5</v>
      </c>
      <c r="F3119" s="275">
        <f t="shared" si="1197"/>
        <v>46158.5</v>
      </c>
      <c r="G3119" s="120">
        <f t="shared" si="1198"/>
        <v>24316</v>
      </c>
      <c r="H3119" s="245">
        <f t="shared" si="1199"/>
        <v>1</v>
      </c>
      <c r="I3119" s="121">
        <f t="shared" si="1200"/>
        <v>1</v>
      </c>
      <c r="J3119" s="121">
        <f t="shared" si="1201"/>
        <v>1</v>
      </c>
      <c r="K3119" s="120">
        <f t="shared" si="1202"/>
        <v>0</v>
      </c>
      <c r="L3119" s="120">
        <f t="shared" si="1203"/>
        <v>0</v>
      </c>
      <c r="M3119" s="246">
        <f t="shared" si="1204"/>
        <v>0</v>
      </c>
      <c r="N3119" s="121">
        <f t="shared" si="1205"/>
        <v>1</v>
      </c>
      <c r="O3119" s="246">
        <f t="shared" si="1206"/>
        <v>0.9930087527352297</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87">
        <v>18</v>
      </c>
      <c r="B3120" s="242">
        <f t="shared" si="1213"/>
        <v>46174</v>
      </c>
      <c r="C3120" s="243">
        <f t="shared" si="1194"/>
        <v>46203</v>
      </c>
      <c r="D3120" s="120">
        <f t="shared" si="1195"/>
        <v>30</v>
      </c>
      <c r="E3120" s="120">
        <f t="shared" si="1196"/>
        <v>6</v>
      </c>
      <c r="F3120" s="275">
        <f t="shared" si="1197"/>
        <v>46189</v>
      </c>
      <c r="G3120" s="120">
        <f t="shared" si="1198"/>
        <v>24317</v>
      </c>
      <c r="H3120" s="245">
        <f t="shared" si="1199"/>
        <v>1</v>
      </c>
      <c r="I3120" s="121">
        <f t="shared" si="1200"/>
        <v>1</v>
      </c>
      <c r="J3120" s="121">
        <f t="shared" si="1201"/>
        <v>1</v>
      </c>
      <c r="K3120" s="120">
        <f t="shared" si="1202"/>
        <v>0</v>
      </c>
      <c r="L3120" s="120">
        <f t="shared" si="1203"/>
        <v>0</v>
      </c>
      <c r="M3120" s="246">
        <f t="shared" si="1204"/>
        <v>0</v>
      </c>
      <c r="N3120" s="121">
        <f t="shared" si="1205"/>
        <v>1</v>
      </c>
      <c r="O3120" s="246">
        <f t="shared" si="1206"/>
        <v>0.99234135667396062</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87">
        <v>19</v>
      </c>
      <c r="B3121" s="242">
        <f t="shared" si="1213"/>
        <v>46204</v>
      </c>
      <c r="C3121" s="243">
        <f t="shared" si="1194"/>
        <v>46234</v>
      </c>
      <c r="D3121" s="120">
        <f t="shared" si="1195"/>
        <v>31</v>
      </c>
      <c r="E3121" s="120">
        <f t="shared" si="1196"/>
        <v>7</v>
      </c>
      <c r="F3121" s="275">
        <f t="shared" si="1197"/>
        <v>46219.5</v>
      </c>
      <c r="G3121" s="120">
        <f t="shared" si="1198"/>
        <v>24318</v>
      </c>
      <c r="H3121" s="245">
        <f t="shared" si="1199"/>
        <v>1</v>
      </c>
      <c r="I3121" s="121">
        <f t="shared" si="1200"/>
        <v>1</v>
      </c>
      <c r="J3121" s="121">
        <f t="shared" si="1201"/>
        <v>1</v>
      </c>
      <c r="K3121" s="120">
        <f t="shared" si="1202"/>
        <v>0</v>
      </c>
      <c r="L3121" s="120">
        <f t="shared" si="1203"/>
        <v>0</v>
      </c>
      <c r="M3121" s="246">
        <f t="shared" si="1204"/>
        <v>0</v>
      </c>
      <c r="N3121" s="121">
        <f t="shared" si="1205"/>
        <v>1</v>
      </c>
      <c r="O3121" s="246">
        <f t="shared" si="1206"/>
        <v>0.99167396061269142</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87">
        <v>20</v>
      </c>
      <c r="B3122" s="242">
        <f t="shared" si="1213"/>
        <v>46235</v>
      </c>
      <c r="C3122" s="243">
        <f t="shared" si="1194"/>
        <v>46265</v>
      </c>
      <c r="D3122" s="120">
        <f t="shared" si="1195"/>
        <v>31</v>
      </c>
      <c r="E3122" s="120">
        <f t="shared" si="1196"/>
        <v>8</v>
      </c>
      <c r="F3122" s="275">
        <f t="shared" si="1197"/>
        <v>46250.5</v>
      </c>
      <c r="G3122" s="120">
        <f t="shared" si="1198"/>
        <v>24319</v>
      </c>
      <c r="H3122" s="245">
        <f t="shared" si="1199"/>
        <v>1</v>
      </c>
      <c r="I3122" s="121">
        <f t="shared" si="1200"/>
        <v>1</v>
      </c>
      <c r="J3122" s="121">
        <f t="shared" si="1201"/>
        <v>1</v>
      </c>
      <c r="K3122" s="120">
        <f t="shared" si="1202"/>
        <v>0</v>
      </c>
      <c r="L3122" s="120">
        <f t="shared" si="1203"/>
        <v>0</v>
      </c>
      <c r="M3122" s="246">
        <f t="shared" si="1204"/>
        <v>0</v>
      </c>
      <c r="N3122" s="121">
        <f t="shared" si="1205"/>
        <v>1</v>
      </c>
      <c r="O3122" s="246">
        <f t="shared" si="1206"/>
        <v>0.99099562363238514</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87">
        <v>21</v>
      </c>
      <c r="B3123" s="242">
        <f t="shared" si="1213"/>
        <v>46266</v>
      </c>
      <c r="C3123" s="243">
        <f t="shared" si="1194"/>
        <v>46295</v>
      </c>
      <c r="D3123" s="120">
        <f t="shared" si="1195"/>
        <v>30</v>
      </c>
      <c r="E3123" s="120">
        <f t="shared" si="1196"/>
        <v>9</v>
      </c>
      <c r="F3123" s="275">
        <f t="shared" si="1197"/>
        <v>46281</v>
      </c>
      <c r="G3123" s="120">
        <f t="shared" si="1198"/>
        <v>24320</v>
      </c>
      <c r="H3123" s="245">
        <f t="shared" si="1199"/>
        <v>1</v>
      </c>
      <c r="I3123" s="121">
        <f t="shared" si="1200"/>
        <v>1</v>
      </c>
      <c r="J3123" s="121">
        <f t="shared" si="1201"/>
        <v>1</v>
      </c>
      <c r="K3123" s="120">
        <f t="shared" si="1202"/>
        <v>0</v>
      </c>
      <c r="L3123" s="120">
        <f t="shared" si="1203"/>
        <v>0</v>
      </c>
      <c r="M3123" s="246">
        <f t="shared" si="1204"/>
        <v>0</v>
      </c>
      <c r="N3123" s="121">
        <f t="shared" si="1205"/>
        <v>1</v>
      </c>
      <c r="O3123" s="246">
        <f t="shared" si="1206"/>
        <v>0.99032822757111594</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87">
        <v>22</v>
      </c>
      <c r="B3124" s="242">
        <f t="shared" si="1213"/>
        <v>46296</v>
      </c>
      <c r="C3124" s="243">
        <f t="shared" si="1194"/>
        <v>46326</v>
      </c>
      <c r="D3124" s="120">
        <f t="shared" si="1195"/>
        <v>31</v>
      </c>
      <c r="E3124" s="120">
        <f t="shared" si="1196"/>
        <v>10</v>
      </c>
      <c r="F3124" s="275">
        <f t="shared" si="1197"/>
        <v>46311.5</v>
      </c>
      <c r="G3124" s="120">
        <f t="shared" si="1198"/>
        <v>24321</v>
      </c>
      <c r="H3124" s="245">
        <f t="shared" si="1199"/>
        <v>1</v>
      </c>
      <c r="I3124" s="121">
        <f t="shared" si="1200"/>
        <v>1</v>
      </c>
      <c r="J3124" s="121">
        <f t="shared" si="1201"/>
        <v>1</v>
      </c>
      <c r="K3124" s="120">
        <f t="shared" si="1202"/>
        <v>0</v>
      </c>
      <c r="L3124" s="120">
        <f t="shared" si="1203"/>
        <v>0</v>
      </c>
      <c r="M3124" s="246">
        <f t="shared" si="1204"/>
        <v>0</v>
      </c>
      <c r="N3124" s="121">
        <f t="shared" si="1205"/>
        <v>1</v>
      </c>
      <c r="O3124" s="246">
        <f t="shared" si="1206"/>
        <v>0.98966083150984685</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87">
        <v>23</v>
      </c>
      <c r="B3125" s="242">
        <f t="shared" si="1213"/>
        <v>46327</v>
      </c>
      <c r="C3125" s="243">
        <f t="shared" si="1194"/>
        <v>46356</v>
      </c>
      <c r="D3125" s="120">
        <f t="shared" si="1195"/>
        <v>30</v>
      </c>
      <c r="E3125" s="120">
        <f t="shared" si="1196"/>
        <v>11</v>
      </c>
      <c r="F3125" s="275">
        <f t="shared" si="1197"/>
        <v>46342</v>
      </c>
      <c r="G3125" s="120">
        <f t="shared" si="1198"/>
        <v>24322</v>
      </c>
      <c r="H3125" s="245">
        <f t="shared" si="1199"/>
        <v>1</v>
      </c>
      <c r="I3125" s="121">
        <f t="shared" si="1200"/>
        <v>1</v>
      </c>
      <c r="J3125" s="121">
        <f t="shared" si="1201"/>
        <v>1</v>
      </c>
      <c r="K3125" s="120">
        <f t="shared" si="1202"/>
        <v>0</v>
      </c>
      <c r="L3125" s="120">
        <f t="shared" si="1203"/>
        <v>0</v>
      </c>
      <c r="M3125" s="246">
        <f t="shared" si="1204"/>
        <v>0</v>
      </c>
      <c r="N3125" s="121">
        <f t="shared" si="1205"/>
        <v>1</v>
      </c>
      <c r="O3125" s="246">
        <f t="shared" si="1206"/>
        <v>0.98899343544857765</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87">
        <v>24</v>
      </c>
      <c r="B3126" s="242">
        <f t="shared" si="1213"/>
        <v>46357</v>
      </c>
      <c r="C3126" s="243">
        <f t="shared" si="1194"/>
        <v>46387</v>
      </c>
      <c r="D3126" s="120">
        <f t="shared" si="1195"/>
        <v>31</v>
      </c>
      <c r="E3126" s="120">
        <f t="shared" si="1196"/>
        <v>12</v>
      </c>
      <c r="F3126" s="275">
        <f t="shared" si="1197"/>
        <v>46372.5</v>
      </c>
      <c r="G3126" s="120">
        <f t="shared" si="1198"/>
        <v>24323</v>
      </c>
      <c r="H3126" s="245">
        <f t="shared" si="1199"/>
        <v>1</v>
      </c>
      <c r="I3126" s="121">
        <f t="shared" si="1200"/>
        <v>1</v>
      </c>
      <c r="J3126" s="121">
        <f t="shared" si="1201"/>
        <v>1</v>
      </c>
      <c r="K3126" s="120">
        <f t="shared" si="1202"/>
        <v>0</v>
      </c>
      <c r="L3126" s="120">
        <f t="shared" si="1203"/>
        <v>0</v>
      </c>
      <c r="M3126" s="246">
        <f t="shared" si="1204"/>
        <v>0</v>
      </c>
      <c r="N3126" s="121">
        <f t="shared" si="1205"/>
        <v>1</v>
      </c>
      <c r="O3126" s="246">
        <f t="shared" si="1206"/>
        <v>0.98832603938730856</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87">
        <v>25</v>
      </c>
      <c r="B3127" s="242">
        <f t="shared" si="1213"/>
        <v>46388</v>
      </c>
      <c r="C3127" s="243">
        <f t="shared" si="1194"/>
        <v>46418</v>
      </c>
      <c r="D3127" s="120">
        <f t="shared" si="1195"/>
        <v>31</v>
      </c>
      <c r="E3127" s="120">
        <f t="shared" si="1196"/>
        <v>1</v>
      </c>
      <c r="F3127" s="275">
        <f t="shared" si="1197"/>
        <v>46403.5</v>
      </c>
      <c r="G3127" s="120">
        <f t="shared" si="1198"/>
        <v>24324</v>
      </c>
      <c r="H3127" s="245">
        <f t="shared" si="1199"/>
        <v>1</v>
      </c>
      <c r="I3127" s="121">
        <f t="shared" si="1200"/>
        <v>1</v>
      </c>
      <c r="J3127" s="121">
        <f t="shared" si="1201"/>
        <v>1</v>
      </c>
      <c r="K3127" s="120">
        <f t="shared" si="1202"/>
        <v>0</v>
      </c>
      <c r="L3127" s="120">
        <f t="shared" si="1203"/>
        <v>0</v>
      </c>
      <c r="M3127" s="246">
        <f t="shared" si="1204"/>
        <v>0</v>
      </c>
      <c r="N3127" s="121">
        <f t="shared" si="1205"/>
        <v>1</v>
      </c>
      <c r="O3127" s="246">
        <f t="shared" si="1206"/>
        <v>0.98764770240700217</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87">
        <v>26</v>
      </c>
      <c r="B3128" s="242">
        <f t="shared" si="1213"/>
        <v>46419</v>
      </c>
      <c r="C3128" s="243">
        <f t="shared" si="1194"/>
        <v>46446</v>
      </c>
      <c r="D3128" s="120">
        <f t="shared" si="1195"/>
        <v>28</v>
      </c>
      <c r="E3128" s="120">
        <f t="shared" si="1196"/>
        <v>2</v>
      </c>
      <c r="F3128" s="275">
        <f t="shared" si="1197"/>
        <v>46433</v>
      </c>
      <c r="G3128" s="120">
        <f t="shared" si="1198"/>
        <v>24325</v>
      </c>
      <c r="H3128" s="245">
        <f t="shared" si="1199"/>
        <v>1</v>
      </c>
      <c r="I3128" s="121">
        <f t="shared" si="1200"/>
        <v>1</v>
      </c>
      <c r="J3128" s="121">
        <f t="shared" si="1201"/>
        <v>1</v>
      </c>
      <c r="K3128" s="120">
        <f t="shared" si="1202"/>
        <v>0</v>
      </c>
      <c r="L3128" s="120">
        <f t="shared" si="1203"/>
        <v>0</v>
      </c>
      <c r="M3128" s="246">
        <f t="shared" si="1204"/>
        <v>0</v>
      </c>
      <c r="N3128" s="121">
        <f t="shared" si="1205"/>
        <v>1</v>
      </c>
      <c r="O3128" s="246">
        <f t="shared" si="1206"/>
        <v>0.98700218818380747</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87">
        <v>27</v>
      </c>
      <c r="B3129" s="242">
        <f t="shared" si="1213"/>
        <v>46447</v>
      </c>
      <c r="C3129" s="243">
        <f t="shared" si="1194"/>
        <v>46477</v>
      </c>
      <c r="D3129" s="120">
        <f t="shared" si="1195"/>
        <v>31</v>
      </c>
      <c r="E3129" s="120">
        <f t="shared" si="1196"/>
        <v>3</v>
      </c>
      <c r="F3129" s="275">
        <f t="shared" si="1197"/>
        <v>46462.5</v>
      </c>
      <c r="G3129" s="120">
        <f t="shared" si="1198"/>
        <v>24326</v>
      </c>
      <c r="H3129" s="245">
        <f t="shared" si="1199"/>
        <v>1</v>
      </c>
      <c r="I3129" s="121">
        <f t="shared" si="1200"/>
        <v>1</v>
      </c>
      <c r="J3129" s="121">
        <f t="shared" si="1201"/>
        <v>1</v>
      </c>
      <c r="K3129" s="120">
        <f t="shared" si="1202"/>
        <v>0</v>
      </c>
      <c r="L3129" s="120">
        <f t="shared" si="1203"/>
        <v>0</v>
      </c>
      <c r="M3129" s="246">
        <f t="shared" si="1204"/>
        <v>0</v>
      </c>
      <c r="N3129" s="121">
        <f t="shared" si="1205"/>
        <v>1</v>
      </c>
      <c r="O3129" s="246">
        <f t="shared" si="1206"/>
        <v>0.98635667396061266</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87">
        <v>28</v>
      </c>
      <c r="B3130" s="242">
        <f t="shared" si="1213"/>
        <v>46478</v>
      </c>
      <c r="C3130" s="243">
        <f t="shared" si="1194"/>
        <v>46507</v>
      </c>
      <c r="D3130" s="120">
        <f t="shared" si="1195"/>
        <v>30</v>
      </c>
      <c r="E3130" s="120">
        <f t="shared" si="1196"/>
        <v>4</v>
      </c>
      <c r="F3130" s="275">
        <f t="shared" si="1197"/>
        <v>46493</v>
      </c>
      <c r="G3130" s="120">
        <f t="shared" si="1198"/>
        <v>24327</v>
      </c>
      <c r="H3130" s="245">
        <f t="shared" si="1199"/>
        <v>1</v>
      </c>
      <c r="I3130" s="121">
        <f t="shared" si="1200"/>
        <v>1</v>
      </c>
      <c r="J3130" s="121">
        <f t="shared" si="1201"/>
        <v>1</v>
      </c>
      <c r="K3130" s="120">
        <f t="shared" si="1202"/>
        <v>0</v>
      </c>
      <c r="L3130" s="120">
        <f t="shared" si="1203"/>
        <v>0</v>
      </c>
      <c r="M3130" s="246">
        <f t="shared" si="1204"/>
        <v>0</v>
      </c>
      <c r="N3130" s="121">
        <f t="shared" si="1205"/>
        <v>1</v>
      </c>
      <c r="O3130" s="246">
        <f t="shared" si="1206"/>
        <v>0.98568927789934357</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87">
        <v>29</v>
      </c>
      <c r="B3131" s="242">
        <f t="shared" si="1213"/>
        <v>46508</v>
      </c>
      <c r="C3131" s="243">
        <f t="shared" si="1194"/>
        <v>46538</v>
      </c>
      <c r="D3131" s="120">
        <f t="shared" si="1195"/>
        <v>31</v>
      </c>
      <c r="E3131" s="120">
        <f t="shared" si="1196"/>
        <v>5</v>
      </c>
      <c r="F3131" s="275">
        <f t="shared" si="1197"/>
        <v>46523.5</v>
      </c>
      <c r="G3131" s="120">
        <f t="shared" si="1198"/>
        <v>24328</v>
      </c>
      <c r="H3131" s="245">
        <f t="shared" si="1199"/>
        <v>1</v>
      </c>
      <c r="I3131" s="121">
        <f t="shared" si="1200"/>
        <v>1</v>
      </c>
      <c r="J3131" s="121">
        <f t="shared" si="1201"/>
        <v>1</v>
      </c>
      <c r="K3131" s="120">
        <f t="shared" si="1202"/>
        <v>0</v>
      </c>
      <c r="L3131" s="120">
        <f t="shared" si="1203"/>
        <v>0</v>
      </c>
      <c r="M3131" s="246">
        <f t="shared" si="1204"/>
        <v>0</v>
      </c>
      <c r="N3131" s="121">
        <f t="shared" si="1205"/>
        <v>1</v>
      </c>
      <c r="O3131" s="246">
        <f t="shared" si="1206"/>
        <v>0.98502188183807438</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87">
        <v>30</v>
      </c>
      <c r="B3132" s="242">
        <f t="shared" si="1213"/>
        <v>46539</v>
      </c>
      <c r="C3132" s="243">
        <f t="shared" si="1194"/>
        <v>46568</v>
      </c>
      <c r="D3132" s="120">
        <f t="shared" si="1195"/>
        <v>30</v>
      </c>
      <c r="E3132" s="120">
        <f t="shared" si="1196"/>
        <v>6</v>
      </c>
      <c r="F3132" s="275">
        <f t="shared" si="1197"/>
        <v>46554</v>
      </c>
      <c r="G3132" s="120">
        <f t="shared" si="1198"/>
        <v>24329</v>
      </c>
      <c r="H3132" s="245">
        <f t="shared" si="1199"/>
        <v>1</v>
      </c>
      <c r="I3132" s="121">
        <f t="shared" si="1200"/>
        <v>1</v>
      </c>
      <c r="J3132" s="121">
        <f t="shared" si="1201"/>
        <v>1</v>
      </c>
      <c r="K3132" s="120">
        <f t="shared" si="1202"/>
        <v>0</v>
      </c>
      <c r="L3132" s="120">
        <f t="shared" si="1203"/>
        <v>0</v>
      </c>
      <c r="M3132" s="246">
        <f t="shared" si="1204"/>
        <v>0</v>
      </c>
      <c r="N3132" s="121">
        <f t="shared" si="1205"/>
        <v>1</v>
      </c>
      <c r="O3132" s="246">
        <f t="shared" si="1206"/>
        <v>0.98435448577680529</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87">
        <v>31</v>
      </c>
      <c r="B3133" s="242">
        <f t="shared" si="1213"/>
        <v>46569</v>
      </c>
      <c r="C3133" s="243">
        <f t="shared" si="1194"/>
        <v>46599</v>
      </c>
      <c r="D3133" s="120">
        <f t="shared" si="1195"/>
        <v>31</v>
      </c>
      <c r="E3133" s="120">
        <f t="shared" si="1196"/>
        <v>7</v>
      </c>
      <c r="F3133" s="275">
        <f t="shared" si="1197"/>
        <v>46584.5</v>
      </c>
      <c r="G3133" s="120">
        <f t="shared" si="1198"/>
        <v>24330</v>
      </c>
      <c r="H3133" s="245">
        <f t="shared" si="1199"/>
        <v>1</v>
      </c>
      <c r="I3133" s="121">
        <f t="shared" si="1200"/>
        <v>1</v>
      </c>
      <c r="J3133" s="121">
        <f t="shared" si="1201"/>
        <v>1</v>
      </c>
      <c r="K3133" s="120">
        <f t="shared" si="1202"/>
        <v>0</v>
      </c>
      <c r="L3133" s="120">
        <f t="shared" si="1203"/>
        <v>0</v>
      </c>
      <c r="M3133" s="246">
        <f t="shared" si="1204"/>
        <v>0</v>
      </c>
      <c r="N3133" s="121">
        <f t="shared" si="1205"/>
        <v>1</v>
      </c>
      <c r="O3133" s="246">
        <f t="shared" si="1206"/>
        <v>0.98368708971553609</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87">
        <v>32</v>
      </c>
      <c r="B3134" s="242">
        <f t="shared" si="1213"/>
        <v>46600</v>
      </c>
      <c r="C3134" s="243">
        <f t="shared" si="1194"/>
        <v>46630</v>
      </c>
      <c r="D3134" s="120">
        <f t="shared" si="1195"/>
        <v>31</v>
      </c>
      <c r="E3134" s="120">
        <f t="shared" si="1196"/>
        <v>8</v>
      </c>
      <c r="F3134" s="275">
        <f t="shared" si="1197"/>
        <v>46615.5</v>
      </c>
      <c r="G3134" s="120">
        <f t="shared" si="1198"/>
        <v>24331</v>
      </c>
      <c r="H3134" s="245">
        <f t="shared" si="1199"/>
        <v>1</v>
      </c>
      <c r="I3134" s="121">
        <f t="shared" si="1200"/>
        <v>1</v>
      </c>
      <c r="J3134" s="121">
        <f t="shared" si="1201"/>
        <v>1</v>
      </c>
      <c r="K3134" s="120">
        <f t="shared" si="1202"/>
        <v>0</v>
      </c>
      <c r="L3134" s="120">
        <f t="shared" si="1203"/>
        <v>0</v>
      </c>
      <c r="M3134" s="246">
        <f t="shared" si="1204"/>
        <v>0</v>
      </c>
      <c r="N3134" s="121">
        <f t="shared" si="1205"/>
        <v>1</v>
      </c>
      <c r="O3134" s="246">
        <f t="shared" si="1206"/>
        <v>0.9830087527352297</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87">
        <v>33</v>
      </c>
      <c r="B3135" s="242">
        <f t="shared" si="1213"/>
        <v>46631</v>
      </c>
      <c r="C3135" s="243">
        <f t="shared" si="1194"/>
        <v>46660</v>
      </c>
      <c r="D3135" s="120">
        <f t="shared" si="1195"/>
        <v>30</v>
      </c>
      <c r="E3135" s="120">
        <f t="shared" si="1196"/>
        <v>9</v>
      </c>
      <c r="F3135" s="275">
        <f t="shared" si="1197"/>
        <v>46646</v>
      </c>
      <c r="G3135" s="120">
        <f t="shared" si="1198"/>
        <v>24332</v>
      </c>
      <c r="H3135" s="245">
        <f t="shared" si="1199"/>
        <v>1</v>
      </c>
      <c r="I3135" s="121">
        <f t="shared" si="1200"/>
        <v>1</v>
      </c>
      <c r="J3135" s="121">
        <f t="shared" si="1201"/>
        <v>1</v>
      </c>
      <c r="K3135" s="120">
        <f t="shared" si="1202"/>
        <v>0</v>
      </c>
      <c r="L3135" s="120">
        <f t="shared" si="1203"/>
        <v>0</v>
      </c>
      <c r="M3135" s="246">
        <f t="shared" si="1204"/>
        <v>0</v>
      </c>
      <c r="N3135" s="121">
        <f t="shared" si="1205"/>
        <v>1</v>
      </c>
      <c r="O3135" s="246">
        <f t="shared" si="1206"/>
        <v>0.98234135667396061</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87">
        <v>34</v>
      </c>
      <c r="B3136" s="242">
        <f t="shared" si="1213"/>
        <v>46661</v>
      </c>
      <c r="C3136" s="243">
        <f t="shared" si="1194"/>
        <v>46691</v>
      </c>
      <c r="D3136" s="120">
        <f t="shared" si="1195"/>
        <v>31</v>
      </c>
      <c r="E3136" s="120">
        <f t="shared" si="1196"/>
        <v>10</v>
      </c>
      <c r="F3136" s="275">
        <f t="shared" si="1197"/>
        <v>46676.5</v>
      </c>
      <c r="G3136" s="120">
        <f t="shared" si="1198"/>
        <v>24333</v>
      </c>
      <c r="H3136" s="245">
        <f t="shared" si="1199"/>
        <v>1</v>
      </c>
      <c r="I3136" s="121">
        <f t="shared" si="1200"/>
        <v>1</v>
      </c>
      <c r="J3136" s="121">
        <f t="shared" si="1201"/>
        <v>1</v>
      </c>
      <c r="K3136" s="120">
        <f t="shared" si="1202"/>
        <v>0</v>
      </c>
      <c r="L3136" s="120">
        <f t="shared" si="1203"/>
        <v>0</v>
      </c>
      <c r="M3136" s="246">
        <f t="shared" si="1204"/>
        <v>0</v>
      </c>
      <c r="N3136" s="121">
        <f t="shared" si="1205"/>
        <v>1</v>
      </c>
      <c r="O3136" s="246">
        <f t="shared" si="1206"/>
        <v>0.98167396061269141</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87">
        <v>35</v>
      </c>
      <c r="B3137" s="242">
        <f t="shared" si="1213"/>
        <v>46692</v>
      </c>
      <c r="C3137" s="243">
        <f t="shared" si="1194"/>
        <v>46721</v>
      </c>
      <c r="D3137" s="120">
        <f t="shared" si="1195"/>
        <v>30</v>
      </c>
      <c r="E3137" s="120">
        <f t="shared" si="1196"/>
        <v>11</v>
      </c>
      <c r="F3137" s="275">
        <f t="shared" si="1197"/>
        <v>46707</v>
      </c>
      <c r="G3137" s="120">
        <f t="shared" si="1198"/>
        <v>24334</v>
      </c>
      <c r="H3137" s="245">
        <f t="shared" si="1199"/>
        <v>1</v>
      </c>
      <c r="I3137" s="121">
        <f t="shared" si="1200"/>
        <v>1</v>
      </c>
      <c r="J3137" s="121">
        <f t="shared" si="1201"/>
        <v>1</v>
      </c>
      <c r="K3137" s="120">
        <f t="shared" si="1202"/>
        <v>0</v>
      </c>
      <c r="L3137" s="120">
        <f t="shared" si="1203"/>
        <v>0</v>
      </c>
      <c r="M3137" s="246">
        <f t="shared" si="1204"/>
        <v>0</v>
      </c>
      <c r="N3137" s="121">
        <f t="shared" si="1205"/>
        <v>1</v>
      </c>
      <c r="O3137" s="246">
        <f t="shared" si="1206"/>
        <v>0.98100656455142232</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87">
        <v>36</v>
      </c>
      <c r="B3138" s="242">
        <f t="shared" si="1213"/>
        <v>46722</v>
      </c>
      <c r="C3138" s="243">
        <f t="shared" si="1194"/>
        <v>46752</v>
      </c>
      <c r="D3138" s="120">
        <f t="shared" si="1195"/>
        <v>31</v>
      </c>
      <c r="E3138" s="120">
        <f t="shared" si="1196"/>
        <v>12</v>
      </c>
      <c r="F3138" s="275">
        <f t="shared" si="1197"/>
        <v>46737.5</v>
      </c>
      <c r="G3138" s="120">
        <f t="shared" si="1198"/>
        <v>24335</v>
      </c>
      <c r="H3138" s="245">
        <f t="shared" si="1199"/>
        <v>1</v>
      </c>
      <c r="I3138" s="121">
        <f t="shared" si="1200"/>
        <v>1</v>
      </c>
      <c r="J3138" s="121">
        <f t="shared" si="1201"/>
        <v>1</v>
      </c>
      <c r="K3138" s="120">
        <f t="shared" si="1202"/>
        <v>0</v>
      </c>
      <c r="L3138" s="120">
        <f t="shared" si="1203"/>
        <v>0</v>
      </c>
      <c r="M3138" s="246">
        <f t="shared" si="1204"/>
        <v>0</v>
      </c>
      <c r="N3138" s="121">
        <f t="shared" si="1205"/>
        <v>1</v>
      </c>
      <c r="O3138" s="246">
        <f t="shared" si="1206"/>
        <v>0.98033916849015312</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87">
        <v>37</v>
      </c>
      <c r="B3139" s="242">
        <f t="shared" si="1213"/>
        <v>46753</v>
      </c>
      <c r="C3139" s="243">
        <f t="shared" si="1194"/>
        <v>46783</v>
      </c>
      <c r="D3139" s="120">
        <f t="shared" si="1195"/>
        <v>31</v>
      </c>
      <c r="E3139" s="120">
        <f t="shared" si="1196"/>
        <v>1</v>
      </c>
      <c r="F3139" s="275">
        <f t="shared" si="1197"/>
        <v>46768.5</v>
      </c>
      <c r="G3139" s="120">
        <f t="shared" si="1198"/>
        <v>24336</v>
      </c>
      <c r="H3139" s="245">
        <f t="shared" si="1199"/>
        <v>1</v>
      </c>
      <c r="I3139" s="121">
        <f t="shared" si="1200"/>
        <v>1</v>
      </c>
      <c r="J3139" s="121">
        <f t="shared" si="1201"/>
        <v>1</v>
      </c>
      <c r="K3139" s="120">
        <f t="shared" si="1202"/>
        <v>0</v>
      </c>
      <c r="L3139" s="120">
        <f t="shared" si="1203"/>
        <v>0</v>
      </c>
      <c r="M3139" s="246">
        <f t="shared" si="1204"/>
        <v>0</v>
      </c>
      <c r="N3139" s="121">
        <f t="shared" si="1205"/>
        <v>1</v>
      </c>
      <c r="O3139" s="246">
        <f t="shared" si="1206"/>
        <v>0.98</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87">
        <v>38</v>
      </c>
      <c r="B3140" s="242">
        <f t="shared" si="1213"/>
        <v>46784</v>
      </c>
      <c r="C3140" s="243">
        <f t="shared" si="1194"/>
        <v>46812</v>
      </c>
      <c r="D3140" s="120">
        <f t="shared" si="1195"/>
        <v>29</v>
      </c>
      <c r="E3140" s="120">
        <f t="shared" si="1196"/>
        <v>2</v>
      </c>
      <c r="F3140" s="275">
        <f t="shared" si="1197"/>
        <v>46798.5</v>
      </c>
      <c r="G3140" s="120">
        <f t="shared" si="1198"/>
        <v>24337</v>
      </c>
      <c r="H3140" s="245">
        <f t="shared" si="1199"/>
        <v>1</v>
      </c>
      <c r="I3140" s="121">
        <f t="shared" si="1200"/>
        <v>1</v>
      </c>
      <c r="J3140" s="121">
        <f t="shared" si="1201"/>
        <v>1</v>
      </c>
      <c r="K3140" s="120">
        <f t="shared" si="1202"/>
        <v>0</v>
      </c>
      <c r="L3140" s="120">
        <f t="shared" si="1203"/>
        <v>0</v>
      </c>
      <c r="M3140" s="246">
        <f t="shared" si="1204"/>
        <v>0</v>
      </c>
      <c r="N3140" s="121">
        <f t="shared" si="1205"/>
        <v>1</v>
      </c>
      <c r="O3140" s="246">
        <f t="shared" si="1206"/>
        <v>0.98</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87">
        <v>39</v>
      </c>
      <c r="B3141" s="242">
        <f t="shared" si="1213"/>
        <v>46813</v>
      </c>
      <c r="C3141" s="243">
        <f t="shared" si="1194"/>
        <v>46843</v>
      </c>
      <c r="D3141" s="120">
        <f t="shared" si="1195"/>
        <v>31</v>
      </c>
      <c r="E3141" s="120">
        <f t="shared" si="1196"/>
        <v>3</v>
      </c>
      <c r="F3141" s="275">
        <f t="shared" si="1197"/>
        <v>46828.5</v>
      </c>
      <c r="G3141" s="120">
        <f t="shared" si="1198"/>
        <v>24338</v>
      </c>
      <c r="H3141" s="245">
        <f t="shared" si="1199"/>
        <v>1</v>
      </c>
      <c r="I3141" s="121">
        <f t="shared" si="1200"/>
        <v>1</v>
      </c>
      <c r="J3141" s="121">
        <f t="shared" si="1201"/>
        <v>1</v>
      </c>
      <c r="K3141" s="120">
        <f t="shared" si="1202"/>
        <v>0</v>
      </c>
      <c r="L3141" s="120">
        <f t="shared" si="1203"/>
        <v>0</v>
      </c>
      <c r="M3141" s="246">
        <f t="shared" si="1204"/>
        <v>0</v>
      </c>
      <c r="N3141" s="121">
        <f t="shared" si="1205"/>
        <v>1</v>
      </c>
      <c r="O3141" s="246">
        <f t="shared" si="1206"/>
        <v>0.98</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87">
        <v>40</v>
      </c>
      <c r="B3142" s="242">
        <f t="shared" si="1213"/>
        <v>46844</v>
      </c>
      <c r="C3142" s="243">
        <f t="shared" si="1194"/>
        <v>46873</v>
      </c>
      <c r="D3142" s="120">
        <f t="shared" si="1195"/>
        <v>30</v>
      </c>
      <c r="E3142" s="120">
        <f t="shared" si="1196"/>
        <v>4</v>
      </c>
      <c r="F3142" s="275">
        <f t="shared" si="1197"/>
        <v>46859</v>
      </c>
      <c r="G3142" s="120">
        <f t="shared" si="1198"/>
        <v>24339</v>
      </c>
      <c r="H3142" s="245">
        <f t="shared" si="1199"/>
        <v>1</v>
      </c>
      <c r="I3142" s="121">
        <f t="shared" si="1200"/>
        <v>1</v>
      </c>
      <c r="J3142" s="121">
        <f t="shared" si="1201"/>
        <v>1</v>
      </c>
      <c r="K3142" s="120">
        <f t="shared" si="1202"/>
        <v>0</v>
      </c>
      <c r="L3142" s="120">
        <f t="shared" si="1203"/>
        <v>0</v>
      </c>
      <c r="M3142" s="246">
        <f t="shared" si="1204"/>
        <v>0</v>
      </c>
      <c r="N3142" s="121">
        <f t="shared" si="1205"/>
        <v>1</v>
      </c>
      <c r="O3142" s="246">
        <f t="shared" si="1206"/>
        <v>0.98</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87">
        <v>41</v>
      </c>
      <c r="B3143" s="242">
        <f t="shared" si="1213"/>
        <v>46874</v>
      </c>
      <c r="C3143" s="243">
        <f t="shared" si="1194"/>
        <v>46904</v>
      </c>
      <c r="D3143" s="120">
        <f t="shared" si="1195"/>
        <v>31</v>
      </c>
      <c r="E3143" s="120">
        <f t="shared" si="1196"/>
        <v>5</v>
      </c>
      <c r="F3143" s="275">
        <f t="shared" si="1197"/>
        <v>46889.5</v>
      </c>
      <c r="G3143" s="120">
        <f t="shared" si="1198"/>
        <v>24340</v>
      </c>
      <c r="H3143" s="245">
        <f t="shared" si="1199"/>
        <v>1</v>
      </c>
      <c r="I3143" s="121">
        <f t="shared" si="1200"/>
        <v>1</v>
      </c>
      <c r="J3143" s="121">
        <f t="shared" si="1201"/>
        <v>1</v>
      </c>
      <c r="K3143" s="120">
        <f t="shared" si="1202"/>
        <v>0</v>
      </c>
      <c r="L3143" s="120">
        <f t="shared" si="1203"/>
        <v>0</v>
      </c>
      <c r="M3143" s="246">
        <f t="shared" si="1204"/>
        <v>0</v>
      </c>
      <c r="N3143" s="121">
        <f t="shared" si="1205"/>
        <v>1</v>
      </c>
      <c r="O3143" s="246">
        <f t="shared" si="1206"/>
        <v>0.98</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87">
        <v>42</v>
      </c>
      <c r="B3144" s="242">
        <f t="shared" si="1213"/>
        <v>46905</v>
      </c>
      <c r="C3144" s="243">
        <f t="shared" si="1194"/>
        <v>46934</v>
      </c>
      <c r="D3144" s="120">
        <f t="shared" si="1195"/>
        <v>30</v>
      </c>
      <c r="E3144" s="120">
        <f t="shared" si="1196"/>
        <v>6</v>
      </c>
      <c r="F3144" s="275">
        <f t="shared" si="1197"/>
        <v>46920</v>
      </c>
      <c r="G3144" s="120">
        <f t="shared" si="1198"/>
        <v>24341</v>
      </c>
      <c r="H3144" s="245">
        <f t="shared" si="1199"/>
        <v>1</v>
      </c>
      <c r="I3144" s="121">
        <f t="shared" si="1200"/>
        <v>1</v>
      </c>
      <c r="J3144" s="121">
        <f t="shared" si="1201"/>
        <v>1</v>
      </c>
      <c r="K3144" s="120">
        <f t="shared" si="1202"/>
        <v>0</v>
      </c>
      <c r="L3144" s="120">
        <f t="shared" si="1203"/>
        <v>0</v>
      </c>
      <c r="M3144" s="246">
        <f t="shared" si="1204"/>
        <v>0</v>
      </c>
      <c r="N3144" s="121">
        <f t="shared" si="1205"/>
        <v>1</v>
      </c>
      <c r="O3144" s="246">
        <f t="shared" si="1206"/>
        <v>0.98</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87">
        <v>43</v>
      </c>
      <c r="B3145" s="242">
        <f t="shared" si="1213"/>
        <v>46935</v>
      </c>
      <c r="C3145" s="243">
        <f t="shared" si="1194"/>
        <v>46965</v>
      </c>
      <c r="D3145" s="120">
        <f t="shared" si="1195"/>
        <v>31</v>
      </c>
      <c r="E3145" s="120">
        <f t="shared" si="1196"/>
        <v>7</v>
      </c>
      <c r="F3145" s="275">
        <f t="shared" si="1197"/>
        <v>46950.5</v>
      </c>
      <c r="G3145" s="120">
        <f t="shared" si="1198"/>
        <v>24342</v>
      </c>
      <c r="H3145" s="245">
        <f t="shared" si="1199"/>
        <v>1</v>
      </c>
      <c r="I3145" s="121">
        <f t="shared" si="1200"/>
        <v>1</v>
      </c>
      <c r="J3145" s="121">
        <f t="shared" si="1201"/>
        <v>1</v>
      </c>
      <c r="K3145" s="120">
        <f t="shared" si="1202"/>
        <v>0</v>
      </c>
      <c r="L3145" s="120">
        <f t="shared" si="1203"/>
        <v>0</v>
      </c>
      <c r="M3145" s="246">
        <f t="shared" si="1204"/>
        <v>0</v>
      </c>
      <c r="N3145" s="121">
        <f t="shared" si="1205"/>
        <v>1</v>
      </c>
      <c r="O3145" s="246">
        <f t="shared" si="1206"/>
        <v>0.98</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87">
        <v>44</v>
      </c>
      <c r="B3146" s="242">
        <f t="shared" si="1213"/>
        <v>46966</v>
      </c>
      <c r="C3146" s="243">
        <f t="shared" si="1194"/>
        <v>46996</v>
      </c>
      <c r="D3146" s="120">
        <f t="shared" si="1195"/>
        <v>31</v>
      </c>
      <c r="E3146" s="120">
        <f t="shared" si="1196"/>
        <v>8</v>
      </c>
      <c r="F3146" s="275">
        <f t="shared" si="1197"/>
        <v>46981.5</v>
      </c>
      <c r="G3146" s="120">
        <f t="shared" si="1198"/>
        <v>24343</v>
      </c>
      <c r="H3146" s="245">
        <f t="shared" si="1199"/>
        <v>1</v>
      </c>
      <c r="I3146" s="121">
        <f t="shared" si="1200"/>
        <v>1</v>
      </c>
      <c r="J3146" s="121">
        <f t="shared" si="1201"/>
        <v>1</v>
      </c>
      <c r="K3146" s="120">
        <f t="shared" si="1202"/>
        <v>0</v>
      </c>
      <c r="L3146" s="120">
        <f t="shared" si="1203"/>
        <v>0</v>
      </c>
      <c r="M3146" s="246">
        <f t="shared" si="1204"/>
        <v>0</v>
      </c>
      <c r="N3146" s="121">
        <f t="shared" si="1205"/>
        <v>1</v>
      </c>
      <c r="O3146" s="246">
        <f t="shared" si="1206"/>
        <v>0.98</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87">
        <v>45</v>
      </c>
      <c r="B3147" s="242">
        <f t="shared" si="1213"/>
        <v>46997</v>
      </c>
      <c r="C3147" s="243">
        <f t="shared" si="1194"/>
        <v>47026</v>
      </c>
      <c r="D3147" s="120">
        <f t="shared" si="1195"/>
        <v>30</v>
      </c>
      <c r="E3147" s="120">
        <f t="shared" si="1196"/>
        <v>9</v>
      </c>
      <c r="F3147" s="275">
        <f t="shared" si="1197"/>
        <v>47012</v>
      </c>
      <c r="G3147" s="120">
        <f t="shared" si="1198"/>
        <v>24344</v>
      </c>
      <c r="H3147" s="245">
        <f t="shared" si="1199"/>
        <v>1</v>
      </c>
      <c r="I3147" s="121">
        <f t="shared" si="1200"/>
        <v>1</v>
      </c>
      <c r="J3147" s="121">
        <f t="shared" si="1201"/>
        <v>1</v>
      </c>
      <c r="K3147" s="120">
        <f t="shared" si="1202"/>
        <v>0</v>
      </c>
      <c r="L3147" s="120">
        <f t="shared" si="1203"/>
        <v>0</v>
      </c>
      <c r="M3147" s="246">
        <f t="shared" si="1204"/>
        <v>0</v>
      </c>
      <c r="N3147" s="121">
        <f t="shared" si="1205"/>
        <v>1</v>
      </c>
      <c r="O3147" s="246">
        <f t="shared" si="1206"/>
        <v>0.98</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87">
        <v>46</v>
      </c>
      <c r="B3148" s="242">
        <f t="shared" si="1213"/>
        <v>47027</v>
      </c>
      <c r="C3148" s="243">
        <f t="shared" si="1194"/>
        <v>47057</v>
      </c>
      <c r="D3148" s="120">
        <f t="shared" si="1195"/>
        <v>31</v>
      </c>
      <c r="E3148" s="120">
        <f t="shared" si="1196"/>
        <v>10</v>
      </c>
      <c r="F3148" s="275">
        <f t="shared" si="1197"/>
        <v>47042.5</v>
      </c>
      <c r="G3148" s="120">
        <f t="shared" si="1198"/>
        <v>24345</v>
      </c>
      <c r="H3148" s="245">
        <f t="shared" si="1199"/>
        <v>1</v>
      </c>
      <c r="I3148" s="121">
        <f t="shared" si="1200"/>
        <v>1</v>
      </c>
      <c r="J3148" s="121">
        <f t="shared" si="1201"/>
        <v>1</v>
      </c>
      <c r="K3148" s="120">
        <f t="shared" si="1202"/>
        <v>0</v>
      </c>
      <c r="L3148" s="120">
        <f t="shared" si="1203"/>
        <v>0</v>
      </c>
      <c r="M3148" s="246">
        <f t="shared" si="1204"/>
        <v>0</v>
      </c>
      <c r="N3148" s="121">
        <f t="shared" si="1205"/>
        <v>1</v>
      </c>
      <c r="O3148" s="246">
        <f t="shared" si="1206"/>
        <v>0.98</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87">
        <v>47</v>
      </c>
      <c r="B3149" s="242">
        <f t="shared" si="1213"/>
        <v>47058</v>
      </c>
      <c r="C3149" s="243">
        <f t="shared" si="1194"/>
        <v>47087</v>
      </c>
      <c r="D3149" s="120">
        <f t="shared" si="1195"/>
        <v>30</v>
      </c>
      <c r="E3149" s="120">
        <f t="shared" si="1196"/>
        <v>11</v>
      </c>
      <c r="F3149" s="275">
        <f t="shared" si="1197"/>
        <v>47073</v>
      </c>
      <c r="G3149" s="120">
        <f t="shared" si="1198"/>
        <v>24346</v>
      </c>
      <c r="H3149" s="245">
        <f t="shared" si="1199"/>
        <v>1</v>
      </c>
      <c r="I3149" s="121">
        <f t="shared" si="1200"/>
        <v>1</v>
      </c>
      <c r="J3149" s="121">
        <f t="shared" si="1201"/>
        <v>1</v>
      </c>
      <c r="K3149" s="120">
        <f t="shared" si="1202"/>
        <v>0</v>
      </c>
      <c r="L3149" s="120">
        <f t="shared" si="1203"/>
        <v>0</v>
      </c>
      <c r="M3149" s="246">
        <f t="shared" si="1204"/>
        <v>0</v>
      </c>
      <c r="N3149" s="121">
        <f t="shared" si="1205"/>
        <v>1</v>
      </c>
      <c r="O3149" s="246">
        <f t="shared" si="1206"/>
        <v>0.98</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87">
        <v>48</v>
      </c>
      <c r="B3150" s="242">
        <f t="shared" si="1213"/>
        <v>47088</v>
      </c>
      <c r="C3150" s="243">
        <f t="shared" si="1194"/>
        <v>47118</v>
      </c>
      <c r="D3150" s="120">
        <f t="shared" si="1195"/>
        <v>31</v>
      </c>
      <c r="E3150" s="120">
        <f t="shared" si="1196"/>
        <v>12</v>
      </c>
      <c r="F3150" s="275">
        <f t="shared" si="1197"/>
        <v>47103.5</v>
      </c>
      <c r="G3150" s="120">
        <f t="shared" si="1198"/>
        <v>24347</v>
      </c>
      <c r="H3150" s="245">
        <f t="shared" si="1199"/>
        <v>1</v>
      </c>
      <c r="I3150" s="121">
        <f t="shared" si="1200"/>
        <v>1</v>
      </c>
      <c r="J3150" s="121">
        <f t="shared" si="1201"/>
        <v>1</v>
      </c>
      <c r="K3150" s="120">
        <f t="shared" si="1202"/>
        <v>0</v>
      </c>
      <c r="L3150" s="120">
        <f t="shared" si="1203"/>
        <v>0</v>
      </c>
      <c r="M3150" s="246">
        <f t="shared" si="1204"/>
        <v>0</v>
      </c>
      <c r="N3150" s="121">
        <f t="shared" si="1205"/>
        <v>1</v>
      </c>
      <c r="O3150" s="246">
        <f t="shared" si="1206"/>
        <v>0.98</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1651</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0.98800419401896411</v>
      </c>
      <c r="G3151" s="224">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24">
        <f>IF(N(INDEX(lr_mind,58))=0,1,INDEX(lr_mind,58))</f>
        <v>1</v>
      </c>
      <c r="G3154" s="224">
        <f>IF(N(INDEX(lr_m0,58))=0,1,INDEX(lr_m0,58))</f>
        <v>0.99</v>
      </c>
      <c r="H3154" s="74">
        <f>IF(N(INDEX(lr_m0asof,58))=0,DATE(nr_PlanYear-1,10,1),INDEX(lr_m0asof,58))</f>
        <v>46295</v>
      </c>
      <c r="I3154" s="224">
        <f>IF(N(INDEX(lr_m1,58))=0,1,INDEX(lr_m1,58))</f>
        <v>0.995</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214">EOMONTH($B3157,0)</f>
        <v>45688</v>
      </c>
      <c r="D3157" s="120">
        <f t="shared" ref="D3157:D3204" si="1215">$C3157-$B3157+1</f>
        <v>31</v>
      </c>
      <c r="E3157" s="120">
        <f t="shared" ref="E3157:E3204" si="1216">MONTH($B3157)</f>
        <v>1</v>
      </c>
      <c r="F3157" s="275">
        <f t="shared" ref="F3157:F3204" si="1217">($B3157+$C3157+1)/2</f>
        <v>45673.5</v>
      </c>
      <c r="G3157" s="120">
        <f t="shared" ref="G3157:G3204" si="1218">YEAR($B3157)*12+MONTH($B3157)-1</f>
        <v>24300</v>
      </c>
      <c r="H3157" s="245">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46">
        <f t="shared" ref="M3157:M3204" si="1224">IF($K3157=0,0,MIN(1,$L3157/$D3157))</f>
        <v>0</v>
      </c>
      <c r="N3157" s="121">
        <f t="shared" ref="N3157:N3204" si="1225">IF($K3157=0,$J3157,(1-$M3157)*$I3157+$M3157*$J3157)</f>
        <v>1</v>
      </c>
      <c r="O3157" s="246">
        <f t="shared" ref="O3157:O3204" si="1226">IF($F3157&lt;$B$3155,$E$3155+$I$3155*($F3157-$A$3155),IF($F3157&lt;$C$3155,$F$3155+$J$3155*($F3157-$B$3155),$G$3155+$K$3155*($F3157-$C$3155)))</f>
        <v>0.98318927789934352</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87">
        <v>2</v>
      </c>
      <c r="B3158" s="242">
        <f t="shared" ref="B3158:B3204" si="1233">EDATE($B3157,1)</f>
        <v>45689</v>
      </c>
      <c r="C3158" s="243">
        <f t="shared" si="1214"/>
        <v>45716</v>
      </c>
      <c r="D3158" s="120">
        <f t="shared" si="1215"/>
        <v>28</v>
      </c>
      <c r="E3158" s="120">
        <f t="shared" si="1216"/>
        <v>2</v>
      </c>
      <c r="F3158" s="275">
        <f t="shared" si="1217"/>
        <v>45703</v>
      </c>
      <c r="G3158" s="120">
        <f t="shared" si="1218"/>
        <v>24301</v>
      </c>
      <c r="H3158" s="245">
        <f t="shared" si="1219"/>
        <v>1</v>
      </c>
      <c r="I3158" s="121">
        <f t="shared" si="1220"/>
        <v>1</v>
      </c>
      <c r="J3158" s="121">
        <f t="shared" si="1221"/>
        <v>1</v>
      </c>
      <c r="K3158" s="120">
        <f t="shared" si="1222"/>
        <v>0</v>
      </c>
      <c r="L3158" s="120">
        <f t="shared" si="1223"/>
        <v>0</v>
      </c>
      <c r="M3158" s="246">
        <f t="shared" si="1224"/>
        <v>0</v>
      </c>
      <c r="N3158" s="121">
        <f t="shared" si="1225"/>
        <v>1</v>
      </c>
      <c r="O3158" s="246">
        <f t="shared" si="1226"/>
        <v>0.98351203501094098</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87">
        <v>3</v>
      </c>
      <c r="B3159" s="242">
        <f t="shared" si="1233"/>
        <v>45717</v>
      </c>
      <c r="C3159" s="243">
        <f t="shared" si="1214"/>
        <v>45747</v>
      </c>
      <c r="D3159" s="120">
        <f t="shared" si="1215"/>
        <v>31</v>
      </c>
      <c r="E3159" s="120">
        <f t="shared" si="1216"/>
        <v>3</v>
      </c>
      <c r="F3159" s="275">
        <f t="shared" si="1217"/>
        <v>45732.5</v>
      </c>
      <c r="G3159" s="120">
        <f t="shared" si="1218"/>
        <v>24302</v>
      </c>
      <c r="H3159" s="245">
        <f t="shared" si="1219"/>
        <v>1</v>
      </c>
      <c r="I3159" s="121">
        <f t="shared" si="1220"/>
        <v>1</v>
      </c>
      <c r="J3159" s="121">
        <f t="shared" si="1221"/>
        <v>1</v>
      </c>
      <c r="K3159" s="120">
        <f t="shared" si="1222"/>
        <v>0</v>
      </c>
      <c r="L3159" s="120">
        <f t="shared" si="1223"/>
        <v>0</v>
      </c>
      <c r="M3159" s="246">
        <f t="shared" si="1224"/>
        <v>0</v>
      </c>
      <c r="N3159" s="121">
        <f t="shared" si="1225"/>
        <v>1</v>
      </c>
      <c r="O3159" s="246">
        <f t="shared" si="1226"/>
        <v>0.98383479212253833</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87">
        <v>4</v>
      </c>
      <c r="B3160" s="242">
        <f t="shared" si="1233"/>
        <v>45748</v>
      </c>
      <c r="C3160" s="243">
        <f t="shared" si="1214"/>
        <v>45777</v>
      </c>
      <c r="D3160" s="120">
        <f t="shared" si="1215"/>
        <v>30</v>
      </c>
      <c r="E3160" s="120">
        <f t="shared" si="1216"/>
        <v>4</v>
      </c>
      <c r="F3160" s="275">
        <f t="shared" si="1217"/>
        <v>45763</v>
      </c>
      <c r="G3160" s="120">
        <f t="shared" si="1218"/>
        <v>24303</v>
      </c>
      <c r="H3160" s="245">
        <f t="shared" si="1219"/>
        <v>1</v>
      </c>
      <c r="I3160" s="121">
        <f t="shared" si="1220"/>
        <v>1</v>
      </c>
      <c r="J3160" s="121">
        <f t="shared" si="1221"/>
        <v>1</v>
      </c>
      <c r="K3160" s="120">
        <f t="shared" si="1222"/>
        <v>0</v>
      </c>
      <c r="L3160" s="120">
        <f t="shared" si="1223"/>
        <v>0</v>
      </c>
      <c r="M3160" s="246">
        <f t="shared" si="1224"/>
        <v>0</v>
      </c>
      <c r="N3160" s="121">
        <f t="shared" si="1225"/>
        <v>1</v>
      </c>
      <c r="O3160" s="246">
        <f t="shared" si="1226"/>
        <v>0.98416849015317287</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87">
        <v>5</v>
      </c>
      <c r="B3161" s="242">
        <f t="shared" si="1233"/>
        <v>45778</v>
      </c>
      <c r="C3161" s="243">
        <f t="shared" si="1214"/>
        <v>45808</v>
      </c>
      <c r="D3161" s="120">
        <f t="shared" si="1215"/>
        <v>31</v>
      </c>
      <c r="E3161" s="120">
        <f t="shared" si="1216"/>
        <v>5</v>
      </c>
      <c r="F3161" s="275">
        <f t="shared" si="1217"/>
        <v>45793.5</v>
      </c>
      <c r="G3161" s="120">
        <f t="shared" si="1218"/>
        <v>24304</v>
      </c>
      <c r="H3161" s="245">
        <f t="shared" si="1219"/>
        <v>1</v>
      </c>
      <c r="I3161" s="121">
        <f t="shared" si="1220"/>
        <v>1</v>
      </c>
      <c r="J3161" s="121">
        <f t="shared" si="1221"/>
        <v>1</v>
      </c>
      <c r="K3161" s="120">
        <f t="shared" si="1222"/>
        <v>0</v>
      </c>
      <c r="L3161" s="120">
        <f t="shared" si="1223"/>
        <v>0</v>
      </c>
      <c r="M3161" s="246">
        <f t="shared" si="1224"/>
        <v>0</v>
      </c>
      <c r="N3161" s="121">
        <f t="shared" si="1225"/>
        <v>1</v>
      </c>
      <c r="O3161" s="246">
        <f t="shared" si="1226"/>
        <v>0.98450218818380741</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87">
        <v>6</v>
      </c>
      <c r="B3162" s="242">
        <f t="shared" si="1233"/>
        <v>45809</v>
      </c>
      <c r="C3162" s="243">
        <f t="shared" si="1214"/>
        <v>45838</v>
      </c>
      <c r="D3162" s="120">
        <f t="shared" si="1215"/>
        <v>30</v>
      </c>
      <c r="E3162" s="120">
        <f t="shared" si="1216"/>
        <v>6</v>
      </c>
      <c r="F3162" s="275">
        <f t="shared" si="1217"/>
        <v>45824</v>
      </c>
      <c r="G3162" s="120">
        <f t="shared" si="1218"/>
        <v>24305</v>
      </c>
      <c r="H3162" s="245">
        <f t="shared" si="1219"/>
        <v>1</v>
      </c>
      <c r="I3162" s="121">
        <f t="shared" si="1220"/>
        <v>1</v>
      </c>
      <c r="J3162" s="121">
        <f t="shared" si="1221"/>
        <v>1</v>
      </c>
      <c r="K3162" s="120">
        <f t="shared" si="1222"/>
        <v>0</v>
      </c>
      <c r="L3162" s="120">
        <f t="shared" si="1223"/>
        <v>0</v>
      </c>
      <c r="M3162" s="246">
        <f t="shared" si="1224"/>
        <v>0</v>
      </c>
      <c r="N3162" s="121">
        <f t="shared" si="1225"/>
        <v>1</v>
      </c>
      <c r="O3162" s="246">
        <f t="shared" si="1226"/>
        <v>0.98483588621444207</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87">
        <v>7</v>
      </c>
      <c r="B3163" s="242">
        <f t="shared" si="1233"/>
        <v>45839</v>
      </c>
      <c r="C3163" s="243">
        <f t="shared" si="1214"/>
        <v>45869</v>
      </c>
      <c r="D3163" s="120">
        <f t="shared" si="1215"/>
        <v>31</v>
      </c>
      <c r="E3163" s="120">
        <f t="shared" si="1216"/>
        <v>7</v>
      </c>
      <c r="F3163" s="275">
        <f t="shared" si="1217"/>
        <v>45854.5</v>
      </c>
      <c r="G3163" s="120">
        <f t="shared" si="1218"/>
        <v>24306</v>
      </c>
      <c r="H3163" s="245">
        <f t="shared" si="1219"/>
        <v>1</v>
      </c>
      <c r="I3163" s="121">
        <f t="shared" si="1220"/>
        <v>1</v>
      </c>
      <c r="J3163" s="121">
        <f t="shared" si="1221"/>
        <v>1</v>
      </c>
      <c r="K3163" s="120">
        <f t="shared" si="1222"/>
        <v>0</v>
      </c>
      <c r="L3163" s="120">
        <f t="shared" si="1223"/>
        <v>0</v>
      </c>
      <c r="M3163" s="246">
        <f t="shared" si="1224"/>
        <v>0</v>
      </c>
      <c r="N3163" s="121">
        <f t="shared" si="1225"/>
        <v>1</v>
      </c>
      <c r="O3163" s="246">
        <f t="shared" si="1226"/>
        <v>0.98516958424507661</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87">
        <v>8</v>
      </c>
      <c r="B3164" s="242">
        <f t="shared" si="1233"/>
        <v>45870</v>
      </c>
      <c r="C3164" s="243">
        <f t="shared" si="1214"/>
        <v>45900</v>
      </c>
      <c r="D3164" s="120">
        <f t="shared" si="1215"/>
        <v>31</v>
      </c>
      <c r="E3164" s="120">
        <f t="shared" si="1216"/>
        <v>8</v>
      </c>
      <c r="F3164" s="275">
        <f t="shared" si="1217"/>
        <v>45885.5</v>
      </c>
      <c r="G3164" s="120">
        <f t="shared" si="1218"/>
        <v>24307</v>
      </c>
      <c r="H3164" s="245">
        <f t="shared" si="1219"/>
        <v>1</v>
      </c>
      <c r="I3164" s="121">
        <f t="shared" si="1220"/>
        <v>1</v>
      </c>
      <c r="J3164" s="121">
        <f t="shared" si="1221"/>
        <v>1</v>
      </c>
      <c r="K3164" s="120">
        <f t="shared" si="1222"/>
        <v>0</v>
      </c>
      <c r="L3164" s="120">
        <f t="shared" si="1223"/>
        <v>0</v>
      </c>
      <c r="M3164" s="246">
        <f t="shared" si="1224"/>
        <v>0</v>
      </c>
      <c r="N3164" s="121">
        <f t="shared" si="1225"/>
        <v>1</v>
      </c>
      <c r="O3164" s="246">
        <f t="shared" si="1226"/>
        <v>0.98550875273522975</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87">
        <v>9</v>
      </c>
      <c r="B3165" s="242">
        <f t="shared" si="1233"/>
        <v>45901</v>
      </c>
      <c r="C3165" s="243">
        <f t="shared" si="1214"/>
        <v>45930</v>
      </c>
      <c r="D3165" s="120">
        <f t="shared" si="1215"/>
        <v>30</v>
      </c>
      <c r="E3165" s="120">
        <f t="shared" si="1216"/>
        <v>9</v>
      </c>
      <c r="F3165" s="275">
        <f t="shared" si="1217"/>
        <v>45916</v>
      </c>
      <c r="G3165" s="120">
        <f t="shared" si="1218"/>
        <v>24308</v>
      </c>
      <c r="H3165" s="245">
        <f t="shared" si="1219"/>
        <v>1</v>
      </c>
      <c r="I3165" s="121">
        <f t="shared" si="1220"/>
        <v>1</v>
      </c>
      <c r="J3165" s="121">
        <f t="shared" si="1221"/>
        <v>1</v>
      </c>
      <c r="K3165" s="120">
        <f t="shared" si="1222"/>
        <v>0</v>
      </c>
      <c r="L3165" s="120">
        <f t="shared" si="1223"/>
        <v>0</v>
      </c>
      <c r="M3165" s="246">
        <f t="shared" si="1224"/>
        <v>0</v>
      </c>
      <c r="N3165" s="121">
        <f t="shared" si="1225"/>
        <v>1</v>
      </c>
      <c r="O3165" s="246">
        <f t="shared" si="1226"/>
        <v>0.9858424507658643</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87">
        <v>10</v>
      </c>
      <c r="B3166" s="242">
        <f t="shared" si="1233"/>
        <v>45931</v>
      </c>
      <c r="C3166" s="243">
        <f t="shared" si="1214"/>
        <v>45961</v>
      </c>
      <c r="D3166" s="120">
        <f t="shared" si="1215"/>
        <v>31</v>
      </c>
      <c r="E3166" s="120">
        <f t="shared" si="1216"/>
        <v>10</v>
      </c>
      <c r="F3166" s="275">
        <f t="shared" si="1217"/>
        <v>45946.5</v>
      </c>
      <c r="G3166" s="120">
        <f t="shared" si="1218"/>
        <v>24309</v>
      </c>
      <c r="H3166" s="245">
        <f t="shared" si="1219"/>
        <v>1</v>
      </c>
      <c r="I3166" s="121">
        <f t="shared" si="1220"/>
        <v>1</v>
      </c>
      <c r="J3166" s="121">
        <f t="shared" si="1221"/>
        <v>1</v>
      </c>
      <c r="K3166" s="120">
        <f t="shared" si="1222"/>
        <v>0</v>
      </c>
      <c r="L3166" s="120">
        <f t="shared" si="1223"/>
        <v>0</v>
      </c>
      <c r="M3166" s="246">
        <f t="shared" si="1224"/>
        <v>0</v>
      </c>
      <c r="N3166" s="121">
        <f t="shared" si="1225"/>
        <v>1</v>
      </c>
      <c r="O3166" s="246">
        <f t="shared" si="1226"/>
        <v>0.98617614879649895</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87">
        <v>11</v>
      </c>
      <c r="B3167" s="242">
        <f t="shared" si="1233"/>
        <v>45962</v>
      </c>
      <c r="C3167" s="243">
        <f t="shared" si="1214"/>
        <v>45991</v>
      </c>
      <c r="D3167" s="120">
        <f t="shared" si="1215"/>
        <v>30</v>
      </c>
      <c r="E3167" s="120">
        <f t="shared" si="1216"/>
        <v>11</v>
      </c>
      <c r="F3167" s="275">
        <f t="shared" si="1217"/>
        <v>45977</v>
      </c>
      <c r="G3167" s="120">
        <f t="shared" si="1218"/>
        <v>24310</v>
      </c>
      <c r="H3167" s="245">
        <f t="shared" si="1219"/>
        <v>1</v>
      </c>
      <c r="I3167" s="121">
        <f t="shared" si="1220"/>
        <v>1</v>
      </c>
      <c r="J3167" s="121">
        <f t="shared" si="1221"/>
        <v>1</v>
      </c>
      <c r="K3167" s="120">
        <f t="shared" si="1222"/>
        <v>0</v>
      </c>
      <c r="L3167" s="120">
        <f t="shared" si="1223"/>
        <v>0</v>
      </c>
      <c r="M3167" s="246">
        <f t="shared" si="1224"/>
        <v>0</v>
      </c>
      <c r="N3167" s="121">
        <f t="shared" si="1225"/>
        <v>1</v>
      </c>
      <c r="O3167" s="246">
        <f t="shared" si="1226"/>
        <v>0.9865098468271335</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87">
        <v>12</v>
      </c>
      <c r="B3168" s="242">
        <f t="shared" si="1233"/>
        <v>45992</v>
      </c>
      <c r="C3168" s="243">
        <f t="shared" si="1214"/>
        <v>46022</v>
      </c>
      <c r="D3168" s="120">
        <f t="shared" si="1215"/>
        <v>31</v>
      </c>
      <c r="E3168" s="120">
        <f t="shared" si="1216"/>
        <v>12</v>
      </c>
      <c r="F3168" s="275">
        <f t="shared" si="1217"/>
        <v>46007.5</v>
      </c>
      <c r="G3168" s="120">
        <f t="shared" si="1218"/>
        <v>24311</v>
      </c>
      <c r="H3168" s="245">
        <f t="shared" si="1219"/>
        <v>1</v>
      </c>
      <c r="I3168" s="121">
        <f t="shared" si="1220"/>
        <v>1</v>
      </c>
      <c r="J3168" s="121">
        <f t="shared" si="1221"/>
        <v>1</v>
      </c>
      <c r="K3168" s="120">
        <f t="shared" si="1222"/>
        <v>0</v>
      </c>
      <c r="L3168" s="120">
        <f t="shared" si="1223"/>
        <v>0</v>
      </c>
      <c r="M3168" s="246">
        <f t="shared" si="1224"/>
        <v>0</v>
      </c>
      <c r="N3168" s="121">
        <f t="shared" si="1225"/>
        <v>1</v>
      </c>
      <c r="O3168" s="246">
        <f t="shared" si="1226"/>
        <v>0.98684354485776804</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87">
        <v>13</v>
      </c>
      <c r="B3169" s="242">
        <f t="shared" si="1233"/>
        <v>46023</v>
      </c>
      <c r="C3169" s="243">
        <f t="shared" si="1214"/>
        <v>46053</v>
      </c>
      <c r="D3169" s="120">
        <f t="shared" si="1215"/>
        <v>31</v>
      </c>
      <c r="E3169" s="120">
        <f t="shared" si="1216"/>
        <v>1</v>
      </c>
      <c r="F3169" s="275">
        <f t="shared" si="1217"/>
        <v>46038.5</v>
      </c>
      <c r="G3169" s="120">
        <f t="shared" si="1218"/>
        <v>24312</v>
      </c>
      <c r="H3169" s="245">
        <f t="shared" si="1219"/>
        <v>1</v>
      </c>
      <c r="I3169" s="121">
        <f t="shared" si="1220"/>
        <v>1</v>
      </c>
      <c r="J3169" s="121">
        <f t="shared" si="1221"/>
        <v>1</v>
      </c>
      <c r="K3169" s="120">
        <f t="shared" si="1222"/>
        <v>0</v>
      </c>
      <c r="L3169" s="120">
        <f t="shared" si="1223"/>
        <v>0</v>
      </c>
      <c r="M3169" s="246">
        <f t="shared" si="1224"/>
        <v>0</v>
      </c>
      <c r="N3169" s="121">
        <f t="shared" si="1225"/>
        <v>1</v>
      </c>
      <c r="O3169" s="246">
        <f t="shared" si="1226"/>
        <v>0.98718271334792118</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87">
        <v>14</v>
      </c>
      <c r="B3170" s="242">
        <f t="shared" si="1233"/>
        <v>46054</v>
      </c>
      <c r="C3170" s="243">
        <f t="shared" si="1214"/>
        <v>46081</v>
      </c>
      <c r="D3170" s="120">
        <f t="shared" si="1215"/>
        <v>28</v>
      </c>
      <c r="E3170" s="120">
        <f t="shared" si="1216"/>
        <v>2</v>
      </c>
      <c r="F3170" s="275">
        <f t="shared" si="1217"/>
        <v>46068</v>
      </c>
      <c r="G3170" s="120">
        <f t="shared" si="1218"/>
        <v>24313</v>
      </c>
      <c r="H3170" s="245">
        <f t="shared" si="1219"/>
        <v>1</v>
      </c>
      <c r="I3170" s="121">
        <f t="shared" si="1220"/>
        <v>1</v>
      </c>
      <c r="J3170" s="121">
        <f t="shared" si="1221"/>
        <v>1</v>
      </c>
      <c r="K3170" s="120">
        <f t="shared" si="1222"/>
        <v>0</v>
      </c>
      <c r="L3170" s="120">
        <f t="shared" si="1223"/>
        <v>0</v>
      </c>
      <c r="M3170" s="246">
        <f t="shared" si="1224"/>
        <v>0</v>
      </c>
      <c r="N3170" s="121">
        <f t="shared" si="1225"/>
        <v>1</v>
      </c>
      <c r="O3170" s="246">
        <f t="shared" si="1226"/>
        <v>0.98750547045951864</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87">
        <v>15</v>
      </c>
      <c r="B3171" s="242">
        <f t="shared" si="1233"/>
        <v>46082</v>
      </c>
      <c r="C3171" s="243">
        <f t="shared" si="1214"/>
        <v>46112</v>
      </c>
      <c r="D3171" s="120">
        <f t="shared" si="1215"/>
        <v>31</v>
      </c>
      <c r="E3171" s="120">
        <f t="shared" si="1216"/>
        <v>3</v>
      </c>
      <c r="F3171" s="275">
        <f t="shared" si="1217"/>
        <v>46097.5</v>
      </c>
      <c r="G3171" s="120">
        <f t="shared" si="1218"/>
        <v>24314</v>
      </c>
      <c r="H3171" s="245">
        <f t="shared" si="1219"/>
        <v>1</v>
      </c>
      <c r="I3171" s="121">
        <f t="shared" si="1220"/>
        <v>1</v>
      </c>
      <c r="J3171" s="121">
        <f t="shared" si="1221"/>
        <v>1</v>
      </c>
      <c r="K3171" s="120">
        <f t="shared" si="1222"/>
        <v>0</v>
      </c>
      <c r="L3171" s="120">
        <f t="shared" si="1223"/>
        <v>0</v>
      </c>
      <c r="M3171" s="246">
        <f t="shared" si="1224"/>
        <v>0</v>
      </c>
      <c r="N3171" s="121">
        <f t="shared" si="1225"/>
        <v>1</v>
      </c>
      <c r="O3171" s="246">
        <f t="shared" si="1226"/>
        <v>0.98782822757111599</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87">
        <v>16</v>
      </c>
      <c r="B3172" s="242">
        <f t="shared" si="1233"/>
        <v>46113</v>
      </c>
      <c r="C3172" s="243">
        <f t="shared" si="1214"/>
        <v>46142</v>
      </c>
      <c r="D3172" s="120">
        <f t="shared" si="1215"/>
        <v>30</v>
      </c>
      <c r="E3172" s="120">
        <f t="shared" si="1216"/>
        <v>4</v>
      </c>
      <c r="F3172" s="275">
        <f t="shared" si="1217"/>
        <v>46128</v>
      </c>
      <c r="G3172" s="120">
        <f t="shared" si="1218"/>
        <v>24315</v>
      </c>
      <c r="H3172" s="245">
        <f t="shared" si="1219"/>
        <v>1</v>
      </c>
      <c r="I3172" s="121">
        <f t="shared" si="1220"/>
        <v>1</v>
      </c>
      <c r="J3172" s="121">
        <f t="shared" si="1221"/>
        <v>1</v>
      </c>
      <c r="K3172" s="120">
        <f t="shared" si="1222"/>
        <v>0</v>
      </c>
      <c r="L3172" s="120">
        <f t="shared" si="1223"/>
        <v>0</v>
      </c>
      <c r="M3172" s="246">
        <f t="shared" si="1224"/>
        <v>0</v>
      </c>
      <c r="N3172" s="121">
        <f t="shared" si="1225"/>
        <v>1</v>
      </c>
      <c r="O3172" s="246">
        <f t="shared" si="1226"/>
        <v>0.98816192560175053</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87">
        <v>17</v>
      </c>
      <c r="B3173" s="242">
        <f t="shared" si="1233"/>
        <v>46143</v>
      </c>
      <c r="C3173" s="243">
        <f t="shared" si="1214"/>
        <v>46173</v>
      </c>
      <c r="D3173" s="120">
        <f t="shared" si="1215"/>
        <v>31</v>
      </c>
      <c r="E3173" s="120">
        <f t="shared" si="1216"/>
        <v>5</v>
      </c>
      <c r="F3173" s="275">
        <f t="shared" si="1217"/>
        <v>46158.5</v>
      </c>
      <c r="G3173" s="120">
        <f t="shared" si="1218"/>
        <v>24316</v>
      </c>
      <c r="H3173" s="245">
        <f t="shared" si="1219"/>
        <v>1</v>
      </c>
      <c r="I3173" s="121">
        <f t="shared" si="1220"/>
        <v>1</v>
      </c>
      <c r="J3173" s="121">
        <f t="shared" si="1221"/>
        <v>1</v>
      </c>
      <c r="K3173" s="120">
        <f t="shared" si="1222"/>
        <v>0</v>
      </c>
      <c r="L3173" s="120">
        <f t="shared" si="1223"/>
        <v>0</v>
      </c>
      <c r="M3173" s="246">
        <f t="shared" si="1224"/>
        <v>0</v>
      </c>
      <c r="N3173" s="121">
        <f t="shared" si="1225"/>
        <v>1</v>
      </c>
      <c r="O3173" s="246">
        <f t="shared" si="1226"/>
        <v>0.98849562363238508</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87">
        <v>18</v>
      </c>
      <c r="B3174" s="242">
        <f t="shared" si="1233"/>
        <v>46174</v>
      </c>
      <c r="C3174" s="243">
        <f t="shared" si="1214"/>
        <v>46203</v>
      </c>
      <c r="D3174" s="120">
        <f t="shared" si="1215"/>
        <v>30</v>
      </c>
      <c r="E3174" s="120">
        <f t="shared" si="1216"/>
        <v>6</v>
      </c>
      <c r="F3174" s="275">
        <f t="shared" si="1217"/>
        <v>46189</v>
      </c>
      <c r="G3174" s="120">
        <f t="shared" si="1218"/>
        <v>24317</v>
      </c>
      <c r="H3174" s="245">
        <f t="shared" si="1219"/>
        <v>1</v>
      </c>
      <c r="I3174" s="121">
        <f t="shared" si="1220"/>
        <v>1</v>
      </c>
      <c r="J3174" s="121">
        <f t="shared" si="1221"/>
        <v>1</v>
      </c>
      <c r="K3174" s="120">
        <f t="shared" si="1222"/>
        <v>0</v>
      </c>
      <c r="L3174" s="120">
        <f t="shared" si="1223"/>
        <v>0</v>
      </c>
      <c r="M3174" s="246">
        <f t="shared" si="1224"/>
        <v>0</v>
      </c>
      <c r="N3174" s="121">
        <f t="shared" si="1225"/>
        <v>1</v>
      </c>
      <c r="O3174" s="246">
        <f t="shared" si="1226"/>
        <v>0.98882932166301973</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87">
        <v>19</v>
      </c>
      <c r="B3175" s="242">
        <f t="shared" si="1233"/>
        <v>46204</v>
      </c>
      <c r="C3175" s="243">
        <f t="shared" si="1214"/>
        <v>46234</v>
      </c>
      <c r="D3175" s="120">
        <f t="shared" si="1215"/>
        <v>31</v>
      </c>
      <c r="E3175" s="120">
        <f t="shared" si="1216"/>
        <v>7</v>
      </c>
      <c r="F3175" s="275">
        <f t="shared" si="1217"/>
        <v>46219.5</v>
      </c>
      <c r="G3175" s="120">
        <f t="shared" si="1218"/>
        <v>24318</v>
      </c>
      <c r="H3175" s="245">
        <f t="shared" si="1219"/>
        <v>1</v>
      </c>
      <c r="I3175" s="121">
        <f t="shared" si="1220"/>
        <v>1</v>
      </c>
      <c r="J3175" s="121">
        <f t="shared" si="1221"/>
        <v>1</v>
      </c>
      <c r="K3175" s="120">
        <f t="shared" si="1222"/>
        <v>0</v>
      </c>
      <c r="L3175" s="120">
        <f t="shared" si="1223"/>
        <v>0</v>
      </c>
      <c r="M3175" s="246">
        <f t="shared" si="1224"/>
        <v>0</v>
      </c>
      <c r="N3175" s="121">
        <f t="shared" si="1225"/>
        <v>1</v>
      </c>
      <c r="O3175" s="246">
        <f t="shared" si="1226"/>
        <v>0.98916301969365428</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87">
        <v>20</v>
      </c>
      <c r="B3176" s="242">
        <f t="shared" si="1233"/>
        <v>46235</v>
      </c>
      <c r="C3176" s="243">
        <f t="shared" si="1214"/>
        <v>46265</v>
      </c>
      <c r="D3176" s="120">
        <f t="shared" si="1215"/>
        <v>31</v>
      </c>
      <c r="E3176" s="120">
        <f t="shared" si="1216"/>
        <v>8</v>
      </c>
      <c r="F3176" s="275">
        <f t="shared" si="1217"/>
        <v>46250.5</v>
      </c>
      <c r="G3176" s="120">
        <f t="shared" si="1218"/>
        <v>24319</v>
      </c>
      <c r="H3176" s="245">
        <f t="shared" si="1219"/>
        <v>1</v>
      </c>
      <c r="I3176" s="121">
        <f t="shared" si="1220"/>
        <v>1</v>
      </c>
      <c r="J3176" s="121">
        <f t="shared" si="1221"/>
        <v>1</v>
      </c>
      <c r="K3176" s="120">
        <f t="shared" si="1222"/>
        <v>0</v>
      </c>
      <c r="L3176" s="120">
        <f t="shared" si="1223"/>
        <v>0</v>
      </c>
      <c r="M3176" s="246">
        <f t="shared" si="1224"/>
        <v>0</v>
      </c>
      <c r="N3176" s="121">
        <f t="shared" si="1225"/>
        <v>1</v>
      </c>
      <c r="O3176" s="246">
        <f t="shared" si="1226"/>
        <v>0.98950218818380742</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87">
        <v>21</v>
      </c>
      <c r="B3177" s="242">
        <f t="shared" si="1233"/>
        <v>46266</v>
      </c>
      <c r="C3177" s="243">
        <f t="shared" si="1214"/>
        <v>46295</v>
      </c>
      <c r="D3177" s="120">
        <f t="shared" si="1215"/>
        <v>30</v>
      </c>
      <c r="E3177" s="120">
        <f t="shared" si="1216"/>
        <v>9</v>
      </c>
      <c r="F3177" s="275">
        <f t="shared" si="1217"/>
        <v>46281</v>
      </c>
      <c r="G3177" s="120">
        <f t="shared" si="1218"/>
        <v>24320</v>
      </c>
      <c r="H3177" s="245">
        <f t="shared" si="1219"/>
        <v>1</v>
      </c>
      <c r="I3177" s="121">
        <f t="shared" si="1220"/>
        <v>1</v>
      </c>
      <c r="J3177" s="121">
        <f t="shared" si="1221"/>
        <v>1</v>
      </c>
      <c r="K3177" s="120">
        <f t="shared" si="1222"/>
        <v>0</v>
      </c>
      <c r="L3177" s="120">
        <f t="shared" si="1223"/>
        <v>0</v>
      </c>
      <c r="M3177" s="246">
        <f t="shared" si="1224"/>
        <v>0</v>
      </c>
      <c r="N3177" s="121">
        <f t="shared" si="1225"/>
        <v>1</v>
      </c>
      <c r="O3177" s="246">
        <f t="shared" si="1226"/>
        <v>0.98983588621444196</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87">
        <v>22</v>
      </c>
      <c r="B3178" s="242">
        <f t="shared" si="1233"/>
        <v>46296</v>
      </c>
      <c r="C3178" s="243">
        <f t="shared" si="1214"/>
        <v>46326</v>
      </c>
      <c r="D3178" s="120">
        <f t="shared" si="1215"/>
        <v>31</v>
      </c>
      <c r="E3178" s="120">
        <f t="shared" si="1216"/>
        <v>10</v>
      </c>
      <c r="F3178" s="275">
        <f t="shared" si="1217"/>
        <v>46311.5</v>
      </c>
      <c r="G3178" s="120">
        <f t="shared" si="1218"/>
        <v>24321</v>
      </c>
      <c r="H3178" s="245">
        <f t="shared" si="1219"/>
        <v>1</v>
      </c>
      <c r="I3178" s="121">
        <f t="shared" si="1220"/>
        <v>1</v>
      </c>
      <c r="J3178" s="121">
        <f t="shared" si="1221"/>
        <v>1.04</v>
      </c>
      <c r="K3178" s="120">
        <f t="shared" si="1222"/>
        <v>1</v>
      </c>
      <c r="L3178" s="120">
        <f t="shared" si="1223"/>
        <v>31</v>
      </c>
      <c r="M3178" s="246">
        <f t="shared" si="1224"/>
        <v>1</v>
      </c>
      <c r="N3178" s="121">
        <f t="shared" si="1225"/>
        <v>1.04</v>
      </c>
      <c r="O3178" s="246">
        <f t="shared" si="1226"/>
        <v>0.99016958424507662</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87">
        <v>23</v>
      </c>
      <c r="B3179" s="242">
        <f t="shared" si="1233"/>
        <v>46327</v>
      </c>
      <c r="C3179" s="243">
        <f t="shared" si="1214"/>
        <v>46356</v>
      </c>
      <c r="D3179" s="120">
        <f t="shared" si="1215"/>
        <v>30</v>
      </c>
      <c r="E3179" s="120">
        <f t="shared" si="1216"/>
        <v>11</v>
      </c>
      <c r="F3179" s="275">
        <f t="shared" si="1217"/>
        <v>46342</v>
      </c>
      <c r="G3179" s="120">
        <f t="shared" si="1218"/>
        <v>24322</v>
      </c>
      <c r="H3179" s="245">
        <f t="shared" si="1219"/>
        <v>1</v>
      </c>
      <c r="I3179" s="121">
        <f t="shared" si="1220"/>
        <v>1.04</v>
      </c>
      <c r="J3179" s="121">
        <f t="shared" si="1221"/>
        <v>1.04</v>
      </c>
      <c r="K3179" s="120">
        <f t="shared" si="1222"/>
        <v>0</v>
      </c>
      <c r="L3179" s="120">
        <f t="shared" si="1223"/>
        <v>0</v>
      </c>
      <c r="M3179" s="246">
        <f t="shared" si="1224"/>
        <v>0</v>
      </c>
      <c r="N3179" s="121">
        <f t="shared" si="1225"/>
        <v>1.04</v>
      </c>
      <c r="O3179" s="246">
        <f t="shared" si="1226"/>
        <v>0.99050328227571116</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87">
        <v>24</v>
      </c>
      <c r="B3180" s="242">
        <f t="shared" si="1233"/>
        <v>46357</v>
      </c>
      <c r="C3180" s="243">
        <f t="shared" si="1214"/>
        <v>46387</v>
      </c>
      <c r="D3180" s="120">
        <f t="shared" si="1215"/>
        <v>31</v>
      </c>
      <c r="E3180" s="120">
        <f t="shared" si="1216"/>
        <v>12</v>
      </c>
      <c r="F3180" s="275">
        <f t="shared" si="1217"/>
        <v>46372.5</v>
      </c>
      <c r="G3180" s="120">
        <f t="shared" si="1218"/>
        <v>24323</v>
      </c>
      <c r="H3180" s="245">
        <f t="shared" si="1219"/>
        <v>1</v>
      </c>
      <c r="I3180" s="121">
        <f t="shared" si="1220"/>
        <v>1.04</v>
      </c>
      <c r="J3180" s="121">
        <f t="shared" si="1221"/>
        <v>1.04</v>
      </c>
      <c r="K3180" s="120">
        <f t="shared" si="1222"/>
        <v>0</v>
      </c>
      <c r="L3180" s="120">
        <f t="shared" si="1223"/>
        <v>0</v>
      </c>
      <c r="M3180" s="246">
        <f t="shared" si="1224"/>
        <v>0</v>
      </c>
      <c r="N3180" s="121">
        <f t="shared" si="1225"/>
        <v>1.04</v>
      </c>
      <c r="O3180" s="246">
        <f t="shared" si="1226"/>
        <v>0.9908369803063457</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87">
        <v>25</v>
      </c>
      <c r="B3181" s="242">
        <f t="shared" si="1233"/>
        <v>46388</v>
      </c>
      <c r="C3181" s="243">
        <f t="shared" si="1214"/>
        <v>46418</v>
      </c>
      <c r="D3181" s="120">
        <f t="shared" si="1215"/>
        <v>31</v>
      </c>
      <c r="E3181" s="120">
        <f t="shared" si="1216"/>
        <v>1</v>
      </c>
      <c r="F3181" s="275">
        <f t="shared" si="1217"/>
        <v>46403.5</v>
      </c>
      <c r="G3181" s="120">
        <f t="shared" si="1218"/>
        <v>24324</v>
      </c>
      <c r="H3181" s="245">
        <f t="shared" si="1219"/>
        <v>1</v>
      </c>
      <c r="I3181" s="121">
        <f t="shared" si="1220"/>
        <v>1.04</v>
      </c>
      <c r="J3181" s="121">
        <f t="shared" si="1221"/>
        <v>1.04</v>
      </c>
      <c r="K3181" s="120">
        <f t="shared" si="1222"/>
        <v>0</v>
      </c>
      <c r="L3181" s="120">
        <f t="shared" si="1223"/>
        <v>0</v>
      </c>
      <c r="M3181" s="246">
        <f t="shared" si="1224"/>
        <v>0</v>
      </c>
      <c r="N3181" s="121">
        <f t="shared" si="1225"/>
        <v>1.04</v>
      </c>
      <c r="O3181" s="246">
        <f t="shared" si="1226"/>
        <v>0.99117614879649885</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87">
        <v>26</v>
      </c>
      <c r="B3182" s="242">
        <f t="shared" si="1233"/>
        <v>46419</v>
      </c>
      <c r="C3182" s="243">
        <f t="shared" si="1214"/>
        <v>46446</v>
      </c>
      <c r="D3182" s="120">
        <f t="shared" si="1215"/>
        <v>28</v>
      </c>
      <c r="E3182" s="120">
        <f t="shared" si="1216"/>
        <v>2</v>
      </c>
      <c r="F3182" s="275">
        <f t="shared" si="1217"/>
        <v>46433</v>
      </c>
      <c r="G3182" s="120">
        <f t="shared" si="1218"/>
        <v>24325</v>
      </c>
      <c r="H3182" s="245">
        <f t="shared" si="1219"/>
        <v>1</v>
      </c>
      <c r="I3182" s="121">
        <f t="shared" si="1220"/>
        <v>1.04</v>
      </c>
      <c r="J3182" s="121">
        <f t="shared" si="1221"/>
        <v>1.04</v>
      </c>
      <c r="K3182" s="120">
        <f t="shared" si="1222"/>
        <v>0</v>
      </c>
      <c r="L3182" s="120">
        <f t="shared" si="1223"/>
        <v>0</v>
      </c>
      <c r="M3182" s="246">
        <f t="shared" si="1224"/>
        <v>0</v>
      </c>
      <c r="N3182" s="121">
        <f t="shared" si="1225"/>
        <v>1.04</v>
      </c>
      <c r="O3182" s="246">
        <f t="shared" si="1226"/>
        <v>0.99149890590809631</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87">
        <v>27</v>
      </c>
      <c r="B3183" s="242">
        <f t="shared" si="1233"/>
        <v>46447</v>
      </c>
      <c r="C3183" s="243">
        <f t="shared" si="1214"/>
        <v>46477</v>
      </c>
      <c r="D3183" s="120">
        <f t="shared" si="1215"/>
        <v>31</v>
      </c>
      <c r="E3183" s="120">
        <f t="shared" si="1216"/>
        <v>3</v>
      </c>
      <c r="F3183" s="275">
        <f t="shared" si="1217"/>
        <v>46462.5</v>
      </c>
      <c r="G3183" s="120">
        <f t="shared" si="1218"/>
        <v>24326</v>
      </c>
      <c r="H3183" s="245">
        <f t="shared" si="1219"/>
        <v>1</v>
      </c>
      <c r="I3183" s="121">
        <f t="shared" si="1220"/>
        <v>1.04</v>
      </c>
      <c r="J3183" s="121">
        <f t="shared" si="1221"/>
        <v>1.04</v>
      </c>
      <c r="K3183" s="120">
        <f t="shared" si="1222"/>
        <v>0</v>
      </c>
      <c r="L3183" s="120">
        <f t="shared" si="1223"/>
        <v>0</v>
      </c>
      <c r="M3183" s="246">
        <f t="shared" si="1224"/>
        <v>0</v>
      </c>
      <c r="N3183" s="121">
        <f t="shared" si="1225"/>
        <v>1.04</v>
      </c>
      <c r="O3183" s="246">
        <f t="shared" si="1226"/>
        <v>0.99182166301969366</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87">
        <v>28</v>
      </c>
      <c r="B3184" s="242">
        <f t="shared" si="1233"/>
        <v>46478</v>
      </c>
      <c r="C3184" s="243">
        <f t="shared" si="1214"/>
        <v>46507</v>
      </c>
      <c r="D3184" s="120">
        <f t="shared" si="1215"/>
        <v>30</v>
      </c>
      <c r="E3184" s="120">
        <f t="shared" si="1216"/>
        <v>4</v>
      </c>
      <c r="F3184" s="275">
        <f t="shared" si="1217"/>
        <v>46493</v>
      </c>
      <c r="G3184" s="120">
        <f t="shared" si="1218"/>
        <v>24327</v>
      </c>
      <c r="H3184" s="245">
        <f t="shared" si="1219"/>
        <v>1</v>
      </c>
      <c r="I3184" s="121">
        <f t="shared" si="1220"/>
        <v>1.04</v>
      </c>
      <c r="J3184" s="121">
        <f t="shared" si="1221"/>
        <v>1.04</v>
      </c>
      <c r="K3184" s="120">
        <f t="shared" si="1222"/>
        <v>0</v>
      </c>
      <c r="L3184" s="120">
        <f t="shared" si="1223"/>
        <v>0</v>
      </c>
      <c r="M3184" s="246">
        <f t="shared" si="1224"/>
        <v>0</v>
      </c>
      <c r="N3184" s="121">
        <f t="shared" si="1225"/>
        <v>1.04</v>
      </c>
      <c r="O3184" s="246">
        <f t="shared" si="1226"/>
        <v>0.9921553610503282</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87">
        <v>29</v>
      </c>
      <c r="B3185" s="242">
        <f t="shared" si="1233"/>
        <v>46508</v>
      </c>
      <c r="C3185" s="243">
        <f t="shared" si="1214"/>
        <v>46538</v>
      </c>
      <c r="D3185" s="120">
        <f t="shared" si="1215"/>
        <v>31</v>
      </c>
      <c r="E3185" s="120">
        <f t="shared" si="1216"/>
        <v>5</v>
      </c>
      <c r="F3185" s="275">
        <f t="shared" si="1217"/>
        <v>46523.5</v>
      </c>
      <c r="G3185" s="120">
        <f t="shared" si="1218"/>
        <v>24328</v>
      </c>
      <c r="H3185" s="245">
        <f t="shared" si="1219"/>
        <v>1</v>
      </c>
      <c r="I3185" s="121">
        <f t="shared" si="1220"/>
        <v>1.04</v>
      </c>
      <c r="J3185" s="121">
        <f t="shared" si="1221"/>
        <v>1.04</v>
      </c>
      <c r="K3185" s="120">
        <f t="shared" si="1222"/>
        <v>0</v>
      </c>
      <c r="L3185" s="120">
        <f t="shared" si="1223"/>
        <v>0</v>
      </c>
      <c r="M3185" s="246">
        <f t="shared" si="1224"/>
        <v>0</v>
      </c>
      <c r="N3185" s="121">
        <f t="shared" si="1225"/>
        <v>1.04</v>
      </c>
      <c r="O3185" s="246">
        <f t="shared" si="1226"/>
        <v>0.99248905908096274</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87">
        <v>30</v>
      </c>
      <c r="B3186" s="242">
        <f t="shared" si="1233"/>
        <v>46539</v>
      </c>
      <c r="C3186" s="243">
        <f t="shared" si="1214"/>
        <v>46568</v>
      </c>
      <c r="D3186" s="120">
        <f t="shared" si="1215"/>
        <v>30</v>
      </c>
      <c r="E3186" s="120">
        <f t="shared" si="1216"/>
        <v>6</v>
      </c>
      <c r="F3186" s="275">
        <f t="shared" si="1217"/>
        <v>46554</v>
      </c>
      <c r="G3186" s="120">
        <f t="shared" si="1218"/>
        <v>24329</v>
      </c>
      <c r="H3186" s="245">
        <f t="shared" si="1219"/>
        <v>1</v>
      </c>
      <c r="I3186" s="121">
        <f t="shared" si="1220"/>
        <v>1.04</v>
      </c>
      <c r="J3186" s="121">
        <f t="shared" si="1221"/>
        <v>1.04</v>
      </c>
      <c r="K3186" s="120">
        <f t="shared" si="1222"/>
        <v>0</v>
      </c>
      <c r="L3186" s="120">
        <f t="shared" si="1223"/>
        <v>0</v>
      </c>
      <c r="M3186" s="246">
        <f t="shared" si="1224"/>
        <v>0</v>
      </c>
      <c r="N3186" s="121">
        <f t="shared" si="1225"/>
        <v>1.04</v>
      </c>
      <c r="O3186" s="246">
        <f t="shared" si="1226"/>
        <v>0.9928227571115974</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87">
        <v>31</v>
      </c>
      <c r="B3187" s="242">
        <f t="shared" si="1233"/>
        <v>46569</v>
      </c>
      <c r="C3187" s="243">
        <f t="shared" si="1214"/>
        <v>46599</v>
      </c>
      <c r="D3187" s="120">
        <f t="shared" si="1215"/>
        <v>31</v>
      </c>
      <c r="E3187" s="120">
        <f t="shared" si="1216"/>
        <v>7</v>
      </c>
      <c r="F3187" s="275">
        <f t="shared" si="1217"/>
        <v>46584.5</v>
      </c>
      <c r="G3187" s="120">
        <f t="shared" si="1218"/>
        <v>24330</v>
      </c>
      <c r="H3187" s="245">
        <f t="shared" si="1219"/>
        <v>1</v>
      </c>
      <c r="I3187" s="121">
        <f t="shared" si="1220"/>
        <v>1.04</v>
      </c>
      <c r="J3187" s="121">
        <f t="shared" si="1221"/>
        <v>1.04</v>
      </c>
      <c r="K3187" s="120">
        <f t="shared" si="1222"/>
        <v>0</v>
      </c>
      <c r="L3187" s="120">
        <f t="shared" si="1223"/>
        <v>0</v>
      </c>
      <c r="M3187" s="246">
        <f t="shared" si="1224"/>
        <v>0</v>
      </c>
      <c r="N3187" s="121">
        <f t="shared" si="1225"/>
        <v>1.04</v>
      </c>
      <c r="O3187" s="246">
        <f t="shared" si="1226"/>
        <v>0.99315645514223194</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87">
        <v>32</v>
      </c>
      <c r="B3188" s="242">
        <f t="shared" si="1233"/>
        <v>46600</v>
      </c>
      <c r="C3188" s="243">
        <f t="shared" si="1214"/>
        <v>46630</v>
      </c>
      <c r="D3188" s="120">
        <f t="shared" si="1215"/>
        <v>31</v>
      </c>
      <c r="E3188" s="120">
        <f t="shared" si="1216"/>
        <v>8</v>
      </c>
      <c r="F3188" s="275">
        <f t="shared" si="1217"/>
        <v>46615.5</v>
      </c>
      <c r="G3188" s="120">
        <f t="shared" si="1218"/>
        <v>24331</v>
      </c>
      <c r="H3188" s="245">
        <f t="shared" si="1219"/>
        <v>1</v>
      </c>
      <c r="I3188" s="121">
        <f t="shared" si="1220"/>
        <v>1.04</v>
      </c>
      <c r="J3188" s="121">
        <f t="shared" si="1221"/>
        <v>1.0816000000000001</v>
      </c>
      <c r="K3188" s="120">
        <f t="shared" si="1222"/>
        <v>1</v>
      </c>
      <c r="L3188" s="120">
        <f t="shared" si="1223"/>
        <v>31</v>
      </c>
      <c r="M3188" s="246">
        <f t="shared" si="1224"/>
        <v>1</v>
      </c>
      <c r="N3188" s="121">
        <f t="shared" si="1225"/>
        <v>1.0816000000000001</v>
      </c>
      <c r="O3188" s="246">
        <f t="shared" si="1226"/>
        <v>0.99349562363238508</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87">
        <v>33</v>
      </c>
      <c r="B3189" s="242">
        <f t="shared" si="1233"/>
        <v>46631</v>
      </c>
      <c r="C3189" s="243">
        <f t="shared" si="1214"/>
        <v>46660</v>
      </c>
      <c r="D3189" s="120">
        <f t="shared" si="1215"/>
        <v>30</v>
      </c>
      <c r="E3189" s="120">
        <f t="shared" si="1216"/>
        <v>9</v>
      </c>
      <c r="F3189" s="275">
        <f t="shared" si="1217"/>
        <v>46646</v>
      </c>
      <c r="G3189" s="120">
        <f t="shared" si="1218"/>
        <v>24332</v>
      </c>
      <c r="H3189" s="245">
        <f t="shared" si="1219"/>
        <v>1</v>
      </c>
      <c r="I3189" s="121">
        <f t="shared" si="1220"/>
        <v>1.0816000000000001</v>
      </c>
      <c r="J3189" s="121">
        <f t="shared" si="1221"/>
        <v>1.0816000000000001</v>
      </c>
      <c r="K3189" s="120">
        <f t="shared" si="1222"/>
        <v>0</v>
      </c>
      <c r="L3189" s="120">
        <f t="shared" si="1223"/>
        <v>0</v>
      </c>
      <c r="M3189" s="246">
        <f t="shared" si="1224"/>
        <v>0</v>
      </c>
      <c r="N3189" s="121">
        <f t="shared" si="1225"/>
        <v>1.0816000000000001</v>
      </c>
      <c r="O3189" s="246">
        <f t="shared" si="1226"/>
        <v>0.99382932166301974</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87">
        <v>34</v>
      </c>
      <c r="B3190" s="242">
        <f t="shared" si="1233"/>
        <v>46661</v>
      </c>
      <c r="C3190" s="243">
        <f t="shared" si="1214"/>
        <v>46691</v>
      </c>
      <c r="D3190" s="120">
        <f t="shared" si="1215"/>
        <v>31</v>
      </c>
      <c r="E3190" s="120">
        <f t="shared" si="1216"/>
        <v>10</v>
      </c>
      <c r="F3190" s="275">
        <f t="shared" si="1217"/>
        <v>46676.5</v>
      </c>
      <c r="G3190" s="120">
        <f t="shared" si="1218"/>
        <v>24333</v>
      </c>
      <c r="H3190" s="245">
        <f t="shared" si="1219"/>
        <v>1</v>
      </c>
      <c r="I3190" s="121">
        <f t="shared" si="1220"/>
        <v>1.0816000000000001</v>
      </c>
      <c r="J3190" s="121">
        <f t="shared" si="1221"/>
        <v>1.0816000000000001</v>
      </c>
      <c r="K3190" s="120">
        <f t="shared" si="1222"/>
        <v>0</v>
      </c>
      <c r="L3190" s="120">
        <f t="shared" si="1223"/>
        <v>0</v>
      </c>
      <c r="M3190" s="246">
        <f t="shared" si="1224"/>
        <v>0</v>
      </c>
      <c r="N3190" s="121">
        <f t="shared" si="1225"/>
        <v>1.0816000000000001</v>
      </c>
      <c r="O3190" s="246">
        <f t="shared" si="1226"/>
        <v>0.99416301969365428</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87">
        <v>35</v>
      </c>
      <c r="B3191" s="242">
        <f t="shared" si="1233"/>
        <v>46692</v>
      </c>
      <c r="C3191" s="243">
        <f t="shared" si="1214"/>
        <v>46721</v>
      </c>
      <c r="D3191" s="120">
        <f t="shared" si="1215"/>
        <v>30</v>
      </c>
      <c r="E3191" s="120">
        <f t="shared" si="1216"/>
        <v>11</v>
      </c>
      <c r="F3191" s="275">
        <f t="shared" si="1217"/>
        <v>46707</v>
      </c>
      <c r="G3191" s="120">
        <f t="shared" si="1218"/>
        <v>24334</v>
      </c>
      <c r="H3191" s="245">
        <f t="shared" si="1219"/>
        <v>1</v>
      </c>
      <c r="I3191" s="121">
        <f t="shared" si="1220"/>
        <v>1.0816000000000001</v>
      </c>
      <c r="J3191" s="121">
        <f t="shared" si="1221"/>
        <v>1.0816000000000001</v>
      </c>
      <c r="K3191" s="120">
        <f t="shared" si="1222"/>
        <v>0</v>
      </c>
      <c r="L3191" s="120">
        <f t="shared" si="1223"/>
        <v>0</v>
      </c>
      <c r="M3191" s="246">
        <f t="shared" si="1224"/>
        <v>0</v>
      </c>
      <c r="N3191" s="121">
        <f t="shared" si="1225"/>
        <v>1.0816000000000001</v>
      </c>
      <c r="O3191" s="246">
        <f t="shared" si="1226"/>
        <v>0.99449671772428883</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87">
        <v>36</v>
      </c>
      <c r="B3192" s="242">
        <f t="shared" si="1233"/>
        <v>46722</v>
      </c>
      <c r="C3192" s="243">
        <f t="shared" si="1214"/>
        <v>46752</v>
      </c>
      <c r="D3192" s="120">
        <f t="shared" si="1215"/>
        <v>31</v>
      </c>
      <c r="E3192" s="120">
        <f t="shared" si="1216"/>
        <v>12</v>
      </c>
      <c r="F3192" s="275">
        <f t="shared" si="1217"/>
        <v>46737.5</v>
      </c>
      <c r="G3192" s="120">
        <f t="shared" si="1218"/>
        <v>24335</v>
      </c>
      <c r="H3192" s="245">
        <f t="shared" si="1219"/>
        <v>1</v>
      </c>
      <c r="I3192" s="121">
        <f t="shared" si="1220"/>
        <v>1.0816000000000001</v>
      </c>
      <c r="J3192" s="121">
        <f t="shared" si="1221"/>
        <v>1.0816000000000001</v>
      </c>
      <c r="K3192" s="120">
        <f t="shared" si="1222"/>
        <v>0</v>
      </c>
      <c r="L3192" s="120">
        <f t="shared" si="1223"/>
        <v>0</v>
      </c>
      <c r="M3192" s="246">
        <f t="shared" si="1224"/>
        <v>0</v>
      </c>
      <c r="N3192" s="121">
        <f t="shared" si="1225"/>
        <v>1.0816000000000001</v>
      </c>
      <c r="O3192" s="246">
        <f t="shared" si="1226"/>
        <v>0.99483041575492337</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87">
        <v>37</v>
      </c>
      <c r="B3193" s="242">
        <f t="shared" si="1233"/>
        <v>46753</v>
      </c>
      <c r="C3193" s="243">
        <f t="shared" si="1214"/>
        <v>46783</v>
      </c>
      <c r="D3193" s="120">
        <f t="shared" si="1215"/>
        <v>31</v>
      </c>
      <c r="E3193" s="120">
        <f t="shared" si="1216"/>
        <v>1</v>
      </c>
      <c r="F3193" s="275">
        <f t="shared" si="1217"/>
        <v>46768.5</v>
      </c>
      <c r="G3193" s="120">
        <f t="shared" si="1218"/>
        <v>24336</v>
      </c>
      <c r="H3193" s="245">
        <f t="shared" si="1219"/>
        <v>1</v>
      </c>
      <c r="I3193" s="121">
        <f t="shared" si="1220"/>
        <v>1.0816000000000001</v>
      </c>
      <c r="J3193" s="121">
        <f t="shared" si="1221"/>
        <v>1.0816000000000001</v>
      </c>
      <c r="K3193" s="120">
        <f t="shared" si="1222"/>
        <v>0</v>
      </c>
      <c r="L3193" s="120">
        <f t="shared" si="1223"/>
        <v>0</v>
      </c>
      <c r="M3193" s="246">
        <f t="shared" si="1224"/>
        <v>0</v>
      </c>
      <c r="N3193" s="121">
        <f t="shared" si="1225"/>
        <v>1.0816000000000001</v>
      </c>
      <c r="O3193" s="246">
        <f t="shared" si="1226"/>
        <v>0.995</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87">
        <v>38</v>
      </c>
      <c r="B3194" s="242">
        <f t="shared" si="1233"/>
        <v>46784</v>
      </c>
      <c r="C3194" s="243">
        <f t="shared" si="1214"/>
        <v>46812</v>
      </c>
      <c r="D3194" s="120">
        <f t="shared" si="1215"/>
        <v>29</v>
      </c>
      <c r="E3194" s="120">
        <f t="shared" si="1216"/>
        <v>2</v>
      </c>
      <c r="F3194" s="275">
        <f t="shared" si="1217"/>
        <v>46798.5</v>
      </c>
      <c r="G3194" s="120">
        <f t="shared" si="1218"/>
        <v>24337</v>
      </c>
      <c r="H3194" s="245">
        <f t="shared" si="1219"/>
        <v>1</v>
      </c>
      <c r="I3194" s="121">
        <f t="shared" si="1220"/>
        <v>1.0816000000000001</v>
      </c>
      <c r="J3194" s="121">
        <f t="shared" si="1221"/>
        <v>1.0816000000000001</v>
      </c>
      <c r="K3194" s="120">
        <f t="shared" si="1222"/>
        <v>0</v>
      </c>
      <c r="L3194" s="120">
        <f t="shared" si="1223"/>
        <v>0</v>
      </c>
      <c r="M3194" s="246">
        <f t="shared" si="1224"/>
        <v>0</v>
      </c>
      <c r="N3194" s="121">
        <f t="shared" si="1225"/>
        <v>1.0816000000000001</v>
      </c>
      <c r="O3194" s="246">
        <f t="shared" si="1226"/>
        <v>0.995</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87">
        <v>39</v>
      </c>
      <c r="B3195" s="242">
        <f t="shared" si="1233"/>
        <v>46813</v>
      </c>
      <c r="C3195" s="243">
        <f t="shared" si="1214"/>
        <v>46843</v>
      </c>
      <c r="D3195" s="120">
        <f t="shared" si="1215"/>
        <v>31</v>
      </c>
      <c r="E3195" s="120">
        <f t="shared" si="1216"/>
        <v>3</v>
      </c>
      <c r="F3195" s="275">
        <f t="shared" si="1217"/>
        <v>46828.5</v>
      </c>
      <c r="G3195" s="120">
        <f t="shared" si="1218"/>
        <v>24338</v>
      </c>
      <c r="H3195" s="245">
        <f t="shared" si="1219"/>
        <v>1</v>
      </c>
      <c r="I3195" s="121">
        <f t="shared" si="1220"/>
        <v>1.0816000000000001</v>
      </c>
      <c r="J3195" s="121">
        <f t="shared" si="1221"/>
        <v>1.0816000000000001</v>
      </c>
      <c r="K3195" s="120">
        <f t="shared" si="1222"/>
        <v>0</v>
      </c>
      <c r="L3195" s="120">
        <f t="shared" si="1223"/>
        <v>0</v>
      </c>
      <c r="M3195" s="246">
        <f t="shared" si="1224"/>
        <v>0</v>
      </c>
      <c r="N3195" s="121">
        <f t="shared" si="1225"/>
        <v>1.0816000000000001</v>
      </c>
      <c r="O3195" s="246">
        <f t="shared" si="1226"/>
        <v>0.995</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87">
        <v>40</v>
      </c>
      <c r="B3196" s="242">
        <f t="shared" si="1233"/>
        <v>46844</v>
      </c>
      <c r="C3196" s="243">
        <f t="shared" si="1214"/>
        <v>46873</v>
      </c>
      <c r="D3196" s="120">
        <f t="shared" si="1215"/>
        <v>30</v>
      </c>
      <c r="E3196" s="120">
        <f t="shared" si="1216"/>
        <v>4</v>
      </c>
      <c r="F3196" s="275">
        <f t="shared" si="1217"/>
        <v>46859</v>
      </c>
      <c r="G3196" s="120">
        <f t="shared" si="1218"/>
        <v>24339</v>
      </c>
      <c r="H3196" s="245">
        <f t="shared" si="1219"/>
        <v>1</v>
      </c>
      <c r="I3196" s="121">
        <f t="shared" si="1220"/>
        <v>1.0816000000000001</v>
      </c>
      <c r="J3196" s="121">
        <f t="shared" si="1221"/>
        <v>1.0816000000000001</v>
      </c>
      <c r="K3196" s="120">
        <f t="shared" si="1222"/>
        <v>0</v>
      </c>
      <c r="L3196" s="120">
        <f t="shared" si="1223"/>
        <v>0</v>
      </c>
      <c r="M3196" s="246">
        <f t="shared" si="1224"/>
        <v>0</v>
      </c>
      <c r="N3196" s="121">
        <f t="shared" si="1225"/>
        <v>1.0816000000000001</v>
      </c>
      <c r="O3196" s="246">
        <f t="shared" si="1226"/>
        <v>0.995</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87">
        <v>41</v>
      </c>
      <c r="B3197" s="242">
        <f t="shared" si="1233"/>
        <v>46874</v>
      </c>
      <c r="C3197" s="243">
        <f t="shared" si="1214"/>
        <v>46904</v>
      </c>
      <c r="D3197" s="120">
        <f t="shared" si="1215"/>
        <v>31</v>
      </c>
      <c r="E3197" s="120">
        <f t="shared" si="1216"/>
        <v>5</v>
      </c>
      <c r="F3197" s="275">
        <f t="shared" si="1217"/>
        <v>46889.5</v>
      </c>
      <c r="G3197" s="120">
        <f t="shared" si="1218"/>
        <v>24340</v>
      </c>
      <c r="H3197" s="245">
        <f t="shared" si="1219"/>
        <v>1</v>
      </c>
      <c r="I3197" s="121">
        <f t="shared" si="1220"/>
        <v>1.0816000000000001</v>
      </c>
      <c r="J3197" s="121">
        <f t="shared" si="1221"/>
        <v>1.0816000000000001</v>
      </c>
      <c r="K3197" s="120">
        <f t="shared" si="1222"/>
        <v>0</v>
      </c>
      <c r="L3197" s="120">
        <f t="shared" si="1223"/>
        <v>0</v>
      </c>
      <c r="M3197" s="246">
        <f t="shared" si="1224"/>
        <v>0</v>
      </c>
      <c r="N3197" s="121">
        <f t="shared" si="1225"/>
        <v>1.0816000000000001</v>
      </c>
      <c r="O3197" s="246">
        <f t="shared" si="1226"/>
        <v>0.995</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87">
        <v>42</v>
      </c>
      <c r="B3198" s="242">
        <f t="shared" si="1233"/>
        <v>46905</v>
      </c>
      <c r="C3198" s="243">
        <f t="shared" si="1214"/>
        <v>46934</v>
      </c>
      <c r="D3198" s="120">
        <f t="shared" si="1215"/>
        <v>30</v>
      </c>
      <c r="E3198" s="120">
        <f t="shared" si="1216"/>
        <v>6</v>
      </c>
      <c r="F3198" s="275">
        <f t="shared" si="1217"/>
        <v>46920</v>
      </c>
      <c r="G3198" s="120">
        <f t="shared" si="1218"/>
        <v>24341</v>
      </c>
      <c r="H3198" s="245">
        <f t="shared" si="1219"/>
        <v>1</v>
      </c>
      <c r="I3198" s="121">
        <f t="shared" si="1220"/>
        <v>1.0816000000000001</v>
      </c>
      <c r="J3198" s="121">
        <f t="shared" si="1221"/>
        <v>1.0816000000000001</v>
      </c>
      <c r="K3198" s="120">
        <f t="shared" si="1222"/>
        <v>0</v>
      </c>
      <c r="L3198" s="120">
        <f t="shared" si="1223"/>
        <v>0</v>
      </c>
      <c r="M3198" s="246">
        <f t="shared" si="1224"/>
        <v>0</v>
      </c>
      <c r="N3198" s="121">
        <f t="shared" si="1225"/>
        <v>1.0816000000000001</v>
      </c>
      <c r="O3198" s="246">
        <f t="shared" si="1226"/>
        <v>0.995</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87">
        <v>43</v>
      </c>
      <c r="B3199" s="242">
        <f t="shared" si="1233"/>
        <v>46935</v>
      </c>
      <c r="C3199" s="243">
        <f t="shared" si="1214"/>
        <v>46965</v>
      </c>
      <c r="D3199" s="120">
        <f t="shared" si="1215"/>
        <v>31</v>
      </c>
      <c r="E3199" s="120">
        <f t="shared" si="1216"/>
        <v>7</v>
      </c>
      <c r="F3199" s="275">
        <f t="shared" si="1217"/>
        <v>46950.5</v>
      </c>
      <c r="G3199" s="120">
        <f t="shared" si="1218"/>
        <v>24342</v>
      </c>
      <c r="H3199" s="245">
        <f t="shared" si="1219"/>
        <v>1</v>
      </c>
      <c r="I3199" s="121">
        <f t="shared" si="1220"/>
        <v>1.0816000000000001</v>
      </c>
      <c r="J3199" s="121">
        <f t="shared" si="1221"/>
        <v>1.0816000000000001</v>
      </c>
      <c r="K3199" s="120">
        <f t="shared" si="1222"/>
        <v>0</v>
      </c>
      <c r="L3199" s="120">
        <f t="shared" si="1223"/>
        <v>0</v>
      </c>
      <c r="M3199" s="246">
        <f t="shared" si="1224"/>
        <v>0</v>
      </c>
      <c r="N3199" s="121">
        <f t="shared" si="1225"/>
        <v>1.0816000000000001</v>
      </c>
      <c r="O3199" s="246">
        <f t="shared" si="1226"/>
        <v>0.995</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87">
        <v>44</v>
      </c>
      <c r="B3200" s="242">
        <f t="shared" si="1233"/>
        <v>46966</v>
      </c>
      <c r="C3200" s="243">
        <f t="shared" si="1214"/>
        <v>46996</v>
      </c>
      <c r="D3200" s="120">
        <f t="shared" si="1215"/>
        <v>31</v>
      </c>
      <c r="E3200" s="120">
        <f t="shared" si="1216"/>
        <v>8</v>
      </c>
      <c r="F3200" s="275">
        <f t="shared" si="1217"/>
        <v>46981.5</v>
      </c>
      <c r="G3200" s="120">
        <f t="shared" si="1218"/>
        <v>24343</v>
      </c>
      <c r="H3200" s="245">
        <f t="shared" si="1219"/>
        <v>1</v>
      </c>
      <c r="I3200" s="121">
        <f t="shared" si="1220"/>
        <v>1.0816000000000001</v>
      </c>
      <c r="J3200" s="121">
        <f t="shared" si="1221"/>
        <v>1.0816000000000001</v>
      </c>
      <c r="K3200" s="120">
        <f t="shared" si="1222"/>
        <v>0</v>
      </c>
      <c r="L3200" s="120">
        <f t="shared" si="1223"/>
        <v>0</v>
      </c>
      <c r="M3200" s="246">
        <f t="shared" si="1224"/>
        <v>0</v>
      </c>
      <c r="N3200" s="121">
        <f t="shared" si="1225"/>
        <v>1.0816000000000001</v>
      </c>
      <c r="O3200" s="246">
        <f t="shared" si="1226"/>
        <v>0.995</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87">
        <v>45</v>
      </c>
      <c r="B3201" s="242">
        <f t="shared" si="1233"/>
        <v>46997</v>
      </c>
      <c r="C3201" s="243">
        <f t="shared" si="1214"/>
        <v>47026</v>
      </c>
      <c r="D3201" s="120">
        <f t="shared" si="1215"/>
        <v>30</v>
      </c>
      <c r="E3201" s="120">
        <f t="shared" si="1216"/>
        <v>9</v>
      </c>
      <c r="F3201" s="275">
        <f t="shared" si="1217"/>
        <v>47012</v>
      </c>
      <c r="G3201" s="120">
        <f t="shared" si="1218"/>
        <v>24344</v>
      </c>
      <c r="H3201" s="245">
        <f t="shared" si="1219"/>
        <v>1</v>
      </c>
      <c r="I3201" s="121">
        <f t="shared" si="1220"/>
        <v>1.0816000000000001</v>
      </c>
      <c r="J3201" s="121">
        <f t="shared" si="1221"/>
        <v>1.0816000000000001</v>
      </c>
      <c r="K3201" s="120">
        <f t="shared" si="1222"/>
        <v>0</v>
      </c>
      <c r="L3201" s="120">
        <f t="shared" si="1223"/>
        <v>0</v>
      </c>
      <c r="M3201" s="246">
        <f t="shared" si="1224"/>
        <v>0</v>
      </c>
      <c r="N3201" s="121">
        <f t="shared" si="1225"/>
        <v>1.0816000000000001</v>
      </c>
      <c r="O3201" s="246">
        <f t="shared" si="1226"/>
        <v>0.995</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87">
        <v>46</v>
      </c>
      <c r="B3202" s="242">
        <f t="shared" si="1233"/>
        <v>47027</v>
      </c>
      <c r="C3202" s="243">
        <f t="shared" si="1214"/>
        <v>47057</v>
      </c>
      <c r="D3202" s="120">
        <f t="shared" si="1215"/>
        <v>31</v>
      </c>
      <c r="E3202" s="120">
        <f t="shared" si="1216"/>
        <v>10</v>
      </c>
      <c r="F3202" s="275">
        <f t="shared" si="1217"/>
        <v>47042.5</v>
      </c>
      <c r="G3202" s="120">
        <f t="shared" si="1218"/>
        <v>24345</v>
      </c>
      <c r="H3202" s="245">
        <f t="shared" si="1219"/>
        <v>1</v>
      </c>
      <c r="I3202" s="121">
        <f t="shared" si="1220"/>
        <v>1.0816000000000001</v>
      </c>
      <c r="J3202" s="121">
        <f t="shared" si="1221"/>
        <v>1.0816000000000001</v>
      </c>
      <c r="K3202" s="120">
        <f t="shared" si="1222"/>
        <v>0</v>
      </c>
      <c r="L3202" s="120">
        <f t="shared" si="1223"/>
        <v>0</v>
      </c>
      <c r="M3202" s="246">
        <f t="shared" si="1224"/>
        <v>0</v>
      </c>
      <c r="N3202" s="121">
        <f t="shared" si="1225"/>
        <v>1.0816000000000001</v>
      </c>
      <c r="O3202" s="246">
        <f t="shared" si="1226"/>
        <v>0.995</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87">
        <v>47</v>
      </c>
      <c r="B3203" s="242">
        <f t="shared" si="1233"/>
        <v>47058</v>
      </c>
      <c r="C3203" s="243">
        <f t="shared" si="1214"/>
        <v>47087</v>
      </c>
      <c r="D3203" s="120">
        <f t="shared" si="1215"/>
        <v>30</v>
      </c>
      <c r="E3203" s="120">
        <f t="shared" si="1216"/>
        <v>11</v>
      </c>
      <c r="F3203" s="275">
        <f t="shared" si="1217"/>
        <v>47073</v>
      </c>
      <c r="G3203" s="120">
        <f t="shared" si="1218"/>
        <v>24346</v>
      </c>
      <c r="H3203" s="245">
        <f t="shared" si="1219"/>
        <v>1</v>
      </c>
      <c r="I3203" s="121">
        <f t="shared" si="1220"/>
        <v>1.0816000000000001</v>
      </c>
      <c r="J3203" s="121">
        <f t="shared" si="1221"/>
        <v>1.0816000000000001</v>
      </c>
      <c r="K3203" s="120">
        <f t="shared" si="1222"/>
        <v>0</v>
      </c>
      <c r="L3203" s="120">
        <f t="shared" si="1223"/>
        <v>0</v>
      </c>
      <c r="M3203" s="246">
        <f t="shared" si="1224"/>
        <v>0</v>
      </c>
      <c r="N3203" s="121">
        <f t="shared" si="1225"/>
        <v>1.0816000000000001</v>
      </c>
      <c r="O3203" s="246">
        <f t="shared" si="1226"/>
        <v>0.995</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87">
        <v>48</v>
      </c>
      <c r="B3204" s="242">
        <f t="shared" si="1233"/>
        <v>47088</v>
      </c>
      <c r="C3204" s="243">
        <f t="shared" si="1214"/>
        <v>47118</v>
      </c>
      <c r="D3204" s="120">
        <f t="shared" si="1215"/>
        <v>31</v>
      </c>
      <c r="E3204" s="120">
        <f t="shared" si="1216"/>
        <v>12</v>
      </c>
      <c r="F3204" s="275">
        <f t="shared" si="1217"/>
        <v>47103.5</v>
      </c>
      <c r="G3204" s="120">
        <f t="shared" si="1218"/>
        <v>24347</v>
      </c>
      <c r="H3204" s="245">
        <f t="shared" si="1219"/>
        <v>1</v>
      </c>
      <c r="I3204" s="121">
        <f t="shared" si="1220"/>
        <v>1.0816000000000001</v>
      </c>
      <c r="J3204" s="121">
        <f t="shared" si="1221"/>
        <v>1.0816000000000001</v>
      </c>
      <c r="K3204" s="120">
        <f t="shared" si="1222"/>
        <v>0</v>
      </c>
      <c r="L3204" s="120">
        <f t="shared" si="1223"/>
        <v>0</v>
      </c>
      <c r="M3204" s="246">
        <f t="shared" si="1224"/>
        <v>0</v>
      </c>
      <c r="N3204" s="121">
        <f t="shared" si="1225"/>
        <v>1.0816000000000001</v>
      </c>
      <c r="O3204" s="246">
        <f t="shared" si="1226"/>
        <v>0.995</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1651</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24">
        <f>SUMPRODUCT($H$3157:$H$3204,$Q$3157:$Q$3204,$O$3157:$O$3204)/SUMPRODUCT($H$3157:$H$3204,$Q$3157:$Q$3204)</f>
        <v>0.99099790299051793</v>
      </c>
      <c r="G3205" s="224">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24">
        <f>IF(N(INDEX(lr_mind,59))=0,1,INDEX(lr_mind,59))</f>
        <v>1</v>
      </c>
      <c r="G3208" s="224">
        <f>IF(N(INDEX(lr_m0,59))=0,1,INDEX(lr_m0,59))</f>
        <v>0.99</v>
      </c>
      <c r="H3208" s="74">
        <f>IF(N(INDEX(lr_m0asof,59))=0,DATE(nr_PlanYear-1,10,1),INDEX(lr_m0asof,59))</f>
        <v>46295</v>
      </c>
      <c r="I3208" s="224">
        <f>IF(N(INDEX(lr_m1,59))=0,1,INDEX(lr_m1,59))</f>
        <v>1.01</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34">EOMONTH($B3211,0)</f>
        <v>45688</v>
      </c>
      <c r="D3211" s="120">
        <f t="shared" ref="D3211:D3258" si="1235">$C3211-$B3211+1</f>
        <v>31</v>
      </c>
      <c r="E3211" s="120">
        <f t="shared" ref="E3211:E3258" si="1236">MONTH($B3211)</f>
        <v>1</v>
      </c>
      <c r="F3211" s="275">
        <f t="shared" ref="F3211:F3258" si="1237">($B3211+$C3211+1)/2</f>
        <v>45673.5</v>
      </c>
      <c r="G3211" s="120">
        <f t="shared" ref="G3211:G3258" si="1238">YEAR($B3211)*12+MONTH($B3211)-1</f>
        <v>24300</v>
      </c>
      <c r="H3211" s="245">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46">
        <f t="shared" ref="M3211:M3258" si="1244">IF($K3211=0,0,MIN(1,$L3211/$D3211))</f>
        <v>0</v>
      </c>
      <c r="N3211" s="121">
        <f t="shared" ref="N3211:N3258" si="1245">IF($K3211=0,$J3211,(1-$M3211)*$I3211+$M3211*$J3211)</f>
        <v>1</v>
      </c>
      <c r="O3211" s="246">
        <f t="shared" ref="O3211:O3258" si="1246">IF($F3211&lt;$B$3209,$E$3209+$I$3209*($F3211-$A$3209),IF($F3211&lt;$C$3209,$F$3209+$J$3209*($F3211-$B$3209),$G$3209+$K$3209*($F3211-$C$3209)))</f>
        <v>0.96275711159737409</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87">
        <v>2</v>
      </c>
      <c r="B3212" s="242">
        <f t="shared" ref="B3212:B3258" si="1253">EDATE($B3211,1)</f>
        <v>45689</v>
      </c>
      <c r="C3212" s="243">
        <f t="shared" si="1234"/>
        <v>45716</v>
      </c>
      <c r="D3212" s="120">
        <f t="shared" si="1235"/>
        <v>28</v>
      </c>
      <c r="E3212" s="120">
        <f t="shared" si="1236"/>
        <v>2</v>
      </c>
      <c r="F3212" s="275">
        <f t="shared" si="1237"/>
        <v>45703</v>
      </c>
      <c r="G3212" s="120">
        <f t="shared" si="1238"/>
        <v>24301</v>
      </c>
      <c r="H3212" s="245">
        <f t="shared" si="1239"/>
        <v>1</v>
      </c>
      <c r="I3212" s="121">
        <f t="shared" si="1240"/>
        <v>1</v>
      </c>
      <c r="J3212" s="121">
        <f t="shared" si="1241"/>
        <v>1</v>
      </c>
      <c r="K3212" s="120">
        <f t="shared" si="1242"/>
        <v>0</v>
      </c>
      <c r="L3212" s="120">
        <f t="shared" si="1243"/>
        <v>0</v>
      </c>
      <c r="M3212" s="246">
        <f t="shared" si="1244"/>
        <v>0</v>
      </c>
      <c r="N3212" s="121">
        <f t="shared" si="1245"/>
        <v>1</v>
      </c>
      <c r="O3212" s="246">
        <f t="shared" si="1246"/>
        <v>0.9640481400437636</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87">
        <v>3</v>
      </c>
      <c r="B3213" s="242">
        <f t="shared" si="1253"/>
        <v>45717</v>
      </c>
      <c r="C3213" s="243">
        <f t="shared" si="1234"/>
        <v>45747</v>
      </c>
      <c r="D3213" s="120">
        <f t="shared" si="1235"/>
        <v>31</v>
      </c>
      <c r="E3213" s="120">
        <f t="shared" si="1236"/>
        <v>3</v>
      </c>
      <c r="F3213" s="275">
        <f t="shared" si="1237"/>
        <v>45732.5</v>
      </c>
      <c r="G3213" s="120">
        <f t="shared" si="1238"/>
        <v>24302</v>
      </c>
      <c r="H3213" s="245">
        <f t="shared" si="1239"/>
        <v>1</v>
      </c>
      <c r="I3213" s="121">
        <f t="shared" si="1240"/>
        <v>1</v>
      </c>
      <c r="J3213" s="121">
        <f t="shared" si="1241"/>
        <v>1</v>
      </c>
      <c r="K3213" s="120">
        <f t="shared" si="1242"/>
        <v>0</v>
      </c>
      <c r="L3213" s="120">
        <f t="shared" si="1243"/>
        <v>0</v>
      </c>
      <c r="M3213" s="246">
        <f t="shared" si="1244"/>
        <v>0</v>
      </c>
      <c r="N3213" s="121">
        <f t="shared" si="1245"/>
        <v>1</v>
      </c>
      <c r="O3213" s="246">
        <f t="shared" si="1246"/>
        <v>0.96533916849015311</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87">
        <v>4</v>
      </c>
      <c r="B3214" s="242">
        <f t="shared" si="1253"/>
        <v>45748</v>
      </c>
      <c r="C3214" s="243">
        <f t="shared" si="1234"/>
        <v>45777</v>
      </c>
      <c r="D3214" s="120">
        <f t="shared" si="1235"/>
        <v>30</v>
      </c>
      <c r="E3214" s="120">
        <f t="shared" si="1236"/>
        <v>4</v>
      </c>
      <c r="F3214" s="275">
        <f t="shared" si="1237"/>
        <v>45763</v>
      </c>
      <c r="G3214" s="120">
        <f t="shared" si="1238"/>
        <v>24303</v>
      </c>
      <c r="H3214" s="245">
        <f t="shared" si="1239"/>
        <v>1</v>
      </c>
      <c r="I3214" s="121">
        <f t="shared" si="1240"/>
        <v>1</v>
      </c>
      <c r="J3214" s="121">
        <f t="shared" si="1241"/>
        <v>1</v>
      </c>
      <c r="K3214" s="120">
        <f t="shared" si="1242"/>
        <v>0</v>
      </c>
      <c r="L3214" s="120">
        <f t="shared" si="1243"/>
        <v>0</v>
      </c>
      <c r="M3214" s="246">
        <f t="shared" si="1244"/>
        <v>0</v>
      </c>
      <c r="N3214" s="121">
        <f t="shared" si="1245"/>
        <v>1</v>
      </c>
      <c r="O3214" s="246">
        <f t="shared" si="1246"/>
        <v>0.9666739606126914</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87">
        <v>5</v>
      </c>
      <c r="B3215" s="242">
        <f t="shared" si="1253"/>
        <v>45778</v>
      </c>
      <c r="C3215" s="243">
        <f t="shared" si="1234"/>
        <v>45808</v>
      </c>
      <c r="D3215" s="120">
        <f t="shared" si="1235"/>
        <v>31</v>
      </c>
      <c r="E3215" s="120">
        <f t="shared" si="1236"/>
        <v>5</v>
      </c>
      <c r="F3215" s="275">
        <f t="shared" si="1237"/>
        <v>45793.5</v>
      </c>
      <c r="G3215" s="120">
        <f t="shared" si="1238"/>
        <v>24304</v>
      </c>
      <c r="H3215" s="245">
        <f t="shared" si="1239"/>
        <v>1</v>
      </c>
      <c r="I3215" s="121">
        <f t="shared" si="1240"/>
        <v>1</v>
      </c>
      <c r="J3215" s="121">
        <f t="shared" si="1241"/>
        <v>1</v>
      </c>
      <c r="K3215" s="120">
        <f t="shared" si="1242"/>
        <v>0</v>
      </c>
      <c r="L3215" s="120">
        <f t="shared" si="1243"/>
        <v>0</v>
      </c>
      <c r="M3215" s="246">
        <f t="shared" si="1244"/>
        <v>0</v>
      </c>
      <c r="N3215" s="121">
        <f t="shared" si="1245"/>
        <v>1</v>
      </c>
      <c r="O3215" s="246">
        <f t="shared" si="1246"/>
        <v>0.96800875273522968</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87">
        <v>6</v>
      </c>
      <c r="B3216" s="242">
        <f t="shared" si="1253"/>
        <v>45809</v>
      </c>
      <c r="C3216" s="243">
        <f t="shared" si="1234"/>
        <v>45838</v>
      </c>
      <c r="D3216" s="120">
        <f t="shared" si="1235"/>
        <v>30</v>
      </c>
      <c r="E3216" s="120">
        <f t="shared" si="1236"/>
        <v>6</v>
      </c>
      <c r="F3216" s="275">
        <f t="shared" si="1237"/>
        <v>45824</v>
      </c>
      <c r="G3216" s="120">
        <f t="shared" si="1238"/>
        <v>24305</v>
      </c>
      <c r="H3216" s="245">
        <f t="shared" si="1239"/>
        <v>1</v>
      </c>
      <c r="I3216" s="121">
        <f t="shared" si="1240"/>
        <v>1</v>
      </c>
      <c r="J3216" s="121">
        <f t="shared" si="1241"/>
        <v>1</v>
      </c>
      <c r="K3216" s="120">
        <f t="shared" si="1242"/>
        <v>0</v>
      </c>
      <c r="L3216" s="120">
        <f t="shared" si="1243"/>
        <v>0</v>
      </c>
      <c r="M3216" s="246">
        <f t="shared" si="1244"/>
        <v>0</v>
      </c>
      <c r="N3216" s="121">
        <f t="shared" si="1245"/>
        <v>1</v>
      </c>
      <c r="O3216" s="246">
        <f t="shared" si="1246"/>
        <v>0.96934354485776797</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87">
        <v>7</v>
      </c>
      <c r="B3217" s="242">
        <f t="shared" si="1253"/>
        <v>45839</v>
      </c>
      <c r="C3217" s="243">
        <f t="shared" si="1234"/>
        <v>45869</v>
      </c>
      <c r="D3217" s="120">
        <f t="shared" si="1235"/>
        <v>31</v>
      </c>
      <c r="E3217" s="120">
        <f t="shared" si="1236"/>
        <v>7</v>
      </c>
      <c r="F3217" s="275">
        <f t="shared" si="1237"/>
        <v>45854.5</v>
      </c>
      <c r="G3217" s="120">
        <f t="shared" si="1238"/>
        <v>24306</v>
      </c>
      <c r="H3217" s="245">
        <f t="shared" si="1239"/>
        <v>1</v>
      </c>
      <c r="I3217" s="121">
        <f t="shared" si="1240"/>
        <v>1</v>
      </c>
      <c r="J3217" s="121">
        <f t="shared" si="1241"/>
        <v>1</v>
      </c>
      <c r="K3217" s="120">
        <f t="shared" si="1242"/>
        <v>0</v>
      </c>
      <c r="L3217" s="120">
        <f t="shared" si="1243"/>
        <v>0</v>
      </c>
      <c r="M3217" s="246">
        <f t="shared" si="1244"/>
        <v>0</v>
      </c>
      <c r="N3217" s="121">
        <f t="shared" si="1245"/>
        <v>1</v>
      </c>
      <c r="O3217" s="246">
        <f t="shared" si="1246"/>
        <v>0.97067833698030626</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87">
        <v>8</v>
      </c>
      <c r="B3218" s="242">
        <f t="shared" si="1253"/>
        <v>45870</v>
      </c>
      <c r="C3218" s="243">
        <f t="shared" si="1234"/>
        <v>45900</v>
      </c>
      <c r="D3218" s="120">
        <f t="shared" si="1235"/>
        <v>31</v>
      </c>
      <c r="E3218" s="120">
        <f t="shared" si="1236"/>
        <v>8</v>
      </c>
      <c r="F3218" s="275">
        <f t="shared" si="1237"/>
        <v>45885.5</v>
      </c>
      <c r="G3218" s="120">
        <f t="shared" si="1238"/>
        <v>24307</v>
      </c>
      <c r="H3218" s="245">
        <f t="shared" si="1239"/>
        <v>1</v>
      </c>
      <c r="I3218" s="121">
        <f t="shared" si="1240"/>
        <v>1</v>
      </c>
      <c r="J3218" s="121">
        <f t="shared" si="1241"/>
        <v>1</v>
      </c>
      <c r="K3218" s="120">
        <f t="shared" si="1242"/>
        <v>0</v>
      </c>
      <c r="L3218" s="120">
        <f t="shared" si="1243"/>
        <v>0</v>
      </c>
      <c r="M3218" s="246">
        <f t="shared" si="1244"/>
        <v>0</v>
      </c>
      <c r="N3218" s="121">
        <f t="shared" si="1245"/>
        <v>1</v>
      </c>
      <c r="O3218" s="246">
        <f t="shared" si="1246"/>
        <v>0.97203501094091893</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87">
        <v>9</v>
      </c>
      <c r="B3219" s="242">
        <f t="shared" si="1253"/>
        <v>45901</v>
      </c>
      <c r="C3219" s="243">
        <f t="shared" si="1234"/>
        <v>45930</v>
      </c>
      <c r="D3219" s="120">
        <f t="shared" si="1235"/>
        <v>30</v>
      </c>
      <c r="E3219" s="120">
        <f t="shared" si="1236"/>
        <v>9</v>
      </c>
      <c r="F3219" s="275">
        <f t="shared" si="1237"/>
        <v>45916</v>
      </c>
      <c r="G3219" s="120">
        <f t="shared" si="1238"/>
        <v>24308</v>
      </c>
      <c r="H3219" s="245">
        <f t="shared" si="1239"/>
        <v>1</v>
      </c>
      <c r="I3219" s="121">
        <f t="shared" si="1240"/>
        <v>1</v>
      </c>
      <c r="J3219" s="121">
        <f t="shared" si="1241"/>
        <v>1</v>
      </c>
      <c r="K3219" s="120">
        <f t="shared" si="1242"/>
        <v>0</v>
      </c>
      <c r="L3219" s="120">
        <f t="shared" si="1243"/>
        <v>0</v>
      </c>
      <c r="M3219" s="246">
        <f t="shared" si="1244"/>
        <v>0</v>
      </c>
      <c r="N3219" s="121">
        <f t="shared" si="1245"/>
        <v>1</v>
      </c>
      <c r="O3219" s="246">
        <f t="shared" si="1246"/>
        <v>0.97336980306345722</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87">
        <v>10</v>
      </c>
      <c r="B3220" s="242">
        <f t="shared" si="1253"/>
        <v>45931</v>
      </c>
      <c r="C3220" s="243">
        <f t="shared" si="1234"/>
        <v>45961</v>
      </c>
      <c r="D3220" s="120">
        <f t="shared" si="1235"/>
        <v>31</v>
      </c>
      <c r="E3220" s="120">
        <f t="shared" si="1236"/>
        <v>10</v>
      </c>
      <c r="F3220" s="275">
        <f t="shared" si="1237"/>
        <v>45946.5</v>
      </c>
      <c r="G3220" s="120">
        <f t="shared" si="1238"/>
        <v>24309</v>
      </c>
      <c r="H3220" s="245">
        <f t="shared" si="1239"/>
        <v>1</v>
      </c>
      <c r="I3220" s="121">
        <f t="shared" si="1240"/>
        <v>1</v>
      </c>
      <c r="J3220" s="121">
        <f t="shared" si="1241"/>
        <v>1</v>
      </c>
      <c r="K3220" s="120">
        <f t="shared" si="1242"/>
        <v>0</v>
      </c>
      <c r="L3220" s="120">
        <f t="shared" si="1243"/>
        <v>0</v>
      </c>
      <c r="M3220" s="246">
        <f t="shared" si="1244"/>
        <v>0</v>
      </c>
      <c r="N3220" s="121">
        <f t="shared" si="1245"/>
        <v>1</v>
      </c>
      <c r="O3220" s="246">
        <f t="shared" si="1246"/>
        <v>0.97470459518599561</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87">
        <v>11</v>
      </c>
      <c r="B3221" s="242">
        <f t="shared" si="1253"/>
        <v>45962</v>
      </c>
      <c r="C3221" s="243">
        <f t="shared" si="1234"/>
        <v>45991</v>
      </c>
      <c r="D3221" s="120">
        <f t="shared" si="1235"/>
        <v>30</v>
      </c>
      <c r="E3221" s="120">
        <f t="shared" si="1236"/>
        <v>11</v>
      </c>
      <c r="F3221" s="275">
        <f t="shared" si="1237"/>
        <v>45977</v>
      </c>
      <c r="G3221" s="120">
        <f t="shared" si="1238"/>
        <v>24310</v>
      </c>
      <c r="H3221" s="245">
        <f t="shared" si="1239"/>
        <v>1</v>
      </c>
      <c r="I3221" s="121">
        <f t="shared" si="1240"/>
        <v>1</v>
      </c>
      <c r="J3221" s="121">
        <f t="shared" si="1241"/>
        <v>1</v>
      </c>
      <c r="K3221" s="120">
        <f t="shared" si="1242"/>
        <v>0</v>
      </c>
      <c r="L3221" s="120">
        <f t="shared" si="1243"/>
        <v>0</v>
      </c>
      <c r="M3221" s="246">
        <f t="shared" si="1244"/>
        <v>0</v>
      </c>
      <c r="N3221" s="121">
        <f t="shared" si="1245"/>
        <v>1</v>
      </c>
      <c r="O3221" s="246">
        <f t="shared" si="1246"/>
        <v>0.9760393873085339</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87">
        <v>12</v>
      </c>
      <c r="B3222" s="242">
        <f t="shared" si="1253"/>
        <v>45992</v>
      </c>
      <c r="C3222" s="243">
        <f t="shared" si="1234"/>
        <v>46022</v>
      </c>
      <c r="D3222" s="120">
        <f t="shared" si="1235"/>
        <v>31</v>
      </c>
      <c r="E3222" s="120">
        <f t="shared" si="1236"/>
        <v>12</v>
      </c>
      <c r="F3222" s="275">
        <f t="shared" si="1237"/>
        <v>46007.5</v>
      </c>
      <c r="G3222" s="120">
        <f t="shared" si="1238"/>
        <v>24311</v>
      </c>
      <c r="H3222" s="245">
        <f t="shared" si="1239"/>
        <v>1</v>
      </c>
      <c r="I3222" s="121">
        <f t="shared" si="1240"/>
        <v>1</v>
      </c>
      <c r="J3222" s="121">
        <f t="shared" si="1241"/>
        <v>1</v>
      </c>
      <c r="K3222" s="120">
        <f t="shared" si="1242"/>
        <v>0</v>
      </c>
      <c r="L3222" s="120">
        <f t="shared" si="1243"/>
        <v>0</v>
      </c>
      <c r="M3222" s="246">
        <f t="shared" si="1244"/>
        <v>0</v>
      </c>
      <c r="N3222" s="121">
        <f t="shared" si="1245"/>
        <v>1</v>
      </c>
      <c r="O3222" s="246">
        <f t="shared" si="1246"/>
        <v>0.97737417943107219</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87">
        <v>13</v>
      </c>
      <c r="B3223" s="242">
        <f t="shared" si="1253"/>
        <v>46023</v>
      </c>
      <c r="C3223" s="243">
        <f t="shared" si="1234"/>
        <v>46053</v>
      </c>
      <c r="D3223" s="120">
        <f t="shared" si="1235"/>
        <v>31</v>
      </c>
      <c r="E3223" s="120">
        <f t="shared" si="1236"/>
        <v>1</v>
      </c>
      <c r="F3223" s="275">
        <f t="shared" si="1237"/>
        <v>46038.5</v>
      </c>
      <c r="G3223" s="120">
        <f t="shared" si="1238"/>
        <v>24312</v>
      </c>
      <c r="H3223" s="245">
        <f t="shared" si="1239"/>
        <v>1</v>
      </c>
      <c r="I3223" s="121">
        <f t="shared" si="1240"/>
        <v>1</v>
      </c>
      <c r="J3223" s="121">
        <f t="shared" si="1241"/>
        <v>1</v>
      </c>
      <c r="K3223" s="120">
        <f t="shared" si="1242"/>
        <v>0</v>
      </c>
      <c r="L3223" s="120">
        <f t="shared" si="1243"/>
        <v>0</v>
      </c>
      <c r="M3223" s="246">
        <f t="shared" si="1244"/>
        <v>0</v>
      </c>
      <c r="N3223" s="121">
        <f t="shared" si="1245"/>
        <v>1</v>
      </c>
      <c r="O3223" s="246">
        <f t="shared" si="1246"/>
        <v>0.97873085339168486</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87">
        <v>14</v>
      </c>
      <c r="B3224" s="242">
        <f t="shared" si="1253"/>
        <v>46054</v>
      </c>
      <c r="C3224" s="243">
        <f t="shared" si="1234"/>
        <v>46081</v>
      </c>
      <c r="D3224" s="120">
        <f t="shared" si="1235"/>
        <v>28</v>
      </c>
      <c r="E3224" s="120">
        <f t="shared" si="1236"/>
        <v>2</v>
      </c>
      <c r="F3224" s="275">
        <f t="shared" si="1237"/>
        <v>46068</v>
      </c>
      <c r="G3224" s="120">
        <f t="shared" si="1238"/>
        <v>24313</v>
      </c>
      <c r="H3224" s="245">
        <f t="shared" si="1239"/>
        <v>1</v>
      </c>
      <c r="I3224" s="121">
        <f t="shared" si="1240"/>
        <v>1</v>
      </c>
      <c r="J3224" s="121">
        <f t="shared" si="1241"/>
        <v>1</v>
      </c>
      <c r="K3224" s="120">
        <f t="shared" si="1242"/>
        <v>0</v>
      </c>
      <c r="L3224" s="120">
        <f t="shared" si="1243"/>
        <v>0</v>
      </c>
      <c r="M3224" s="246">
        <f t="shared" si="1244"/>
        <v>0</v>
      </c>
      <c r="N3224" s="121">
        <f t="shared" si="1245"/>
        <v>1</v>
      </c>
      <c r="O3224" s="246">
        <f t="shared" si="1246"/>
        <v>0.98002188183807437</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87">
        <v>15</v>
      </c>
      <c r="B3225" s="242">
        <f t="shared" si="1253"/>
        <v>46082</v>
      </c>
      <c r="C3225" s="243">
        <f t="shared" si="1234"/>
        <v>46112</v>
      </c>
      <c r="D3225" s="120">
        <f t="shared" si="1235"/>
        <v>31</v>
      </c>
      <c r="E3225" s="120">
        <f t="shared" si="1236"/>
        <v>3</v>
      </c>
      <c r="F3225" s="275">
        <f t="shared" si="1237"/>
        <v>46097.5</v>
      </c>
      <c r="G3225" s="120">
        <f t="shared" si="1238"/>
        <v>24314</v>
      </c>
      <c r="H3225" s="245">
        <f t="shared" si="1239"/>
        <v>1</v>
      </c>
      <c r="I3225" s="121">
        <f t="shared" si="1240"/>
        <v>1</v>
      </c>
      <c r="J3225" s="121">
        <f t="shared" si="1241"/>
        <v>1</v>
      </c>
      <c r="K3225" s="120">
        <f t="shared" si="1242"/>
        <v>0</v>
      </c>
      <c r="L3225" s="120">
        <f t="shared" si="1243"/>
        <v>0</v>
      </c>
      <c r="M3225" s="246">
        <f t="shared" si="1244"/>
        <v>0</v>
      </c>
      <c r="N3225" s="121">
        <f t="shared" si="1245"/>
        <v>1</v>
      </c>
      <c r="O3225" s="246">
        <f t="shared" si="1246"/>
        <v>0.98131291028446388</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87">
        <v>16</v>
      </c>
      <c r="B3226" s="242">
        <f t="shared" si="1253"/>
        <v>46113</v>
      </c>
      <c r="C3226" s="243">
        <f t="shared" si="1234"/>
        <v>46142</v>
      </c>
      <c r="D3226" s="120">
        <f t="shared" si="1235"/>
        <v>30</v>
      </c>
      <c r="E3226" s="120">
        <f t="shared" si="1236"/>
        <v>4</v>
      </c>
      <c r="F3226" s="275">
        <f t="shared" si="1237"/>
        <v>46128</v>
      </c>
      <c r="G3226" s="120">
        <f t="shared" si="1238"/>
        <v>24315</v>
      </c>
      <c r="H3226" s="245">
        <f t="shared" si="1239"/>
        <v>1</v>
      </c>
      <c r="I3226" s="121">
        <f t="shared" si="1240"/>
        <v>1</v>
      </c>
      <c r="J3226" s="121">
        <f t="shared" si="1241"/>
        <v>1</v>
      </c>
      <c r="K3226" s="120">
        <f t="shared" si="1242"/>
        <v>0</v>
      </c>
      <c r="L3226" s="120">
        <f t="shared" si="1243"/>
        <v>0</v>
      </c>
      <c r="M3226" s="246">
        <f t="shared" si="1244"/>
        <v>0</v>
      </c>
      <c r="N3226" s="121">
        <f t="shared" si="1245"/>
        <v>1</v>
      </c>
      <c r="O3226" s="246">
        <f t="shared" si="1246"/>
        <v>0.98264770240700217</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87">
        <v>17</v>
      </c>
      <c r="B3227" s="242">
        <f t="shared" si="1253"/>
        <v>46143</v>
      </c>
      <c r="C3227" s="243">
        <f t="shared" si="1234"/>
        <v>46173</v>
      </c>
      <c r="D3227" s="120">
        <f t="shared" si="1235"/>
        <v>31</v>
      </c>
      <c r="E3227" s="120">
        <f t="shared" si="1236"/>
        <v>5</v>
      </c>
      <c r="F3227" s="275">
        <f t="shared" si="1237"/>
        <v>46158.5</v>
      </c>
      <c r="G3227" s="120">
        <f t="shared" si="1238"/>
        <v>24316</v>
      </c>
      <c r="H3227" s="245">
        <f t="shared" si="1239"/>
        <v>1</v>
      </c>
      <c r="I3227" s="121">
        <f t="shared" si="1240"/>
        <v>1</v>
      </c>
      <c r="J3227" s="121">
        <f t="shared" si="1241"/>
        <v>1</v>
      </c>
      <c r="K3227" s="120">
        <f t="shared" si="1242"/>
        <v>0</v>
      </c>
      <c r="L3227" s="120">
        <f t="shared" si="1243"/>
        <v>0</v>
      </c>
      <c r="M3227" s="246">
        <f t="shared" si="1244"/>
        <v>0</v>
      </c>
      <c r="N3227" s="121">
        <f t="shared" si="1245"/>
        <v>1</v>
      </c>
      <c r="O3227" s="246">
        <f t="shared" si="1246"/>
        <v>0.98398249452954045</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87">
        <v>18</v>
      </c>
      <c r="B3228" s="242">
        <f t="shared" si="1253"/>
        <v>46174</v>
      </c>
      <c r="C3228" s="243">
        <f t="shared" si="1234"/>
        <v>46203</v>
      </c>
      <c r="D3228" s="120">
        <f t="shared" si="1235"/>
        <v>30</v>
      </c>
      <c r="E3228" s="120">
        <f t="shared" si="1236"/>
        <v>6</v>
      </c>
      <c r="F3228" s="275">
        <f t="shared" si="1237"/>
        <v>46189</v>
      </c>
      <c r="G3228" s="120">
        <f t="shared" si="1238"/>
        <v>24317</v>
      </c>
      <c r="H3228" s="245">
        <f t="shared" si="1239"/>
        <v>1</v>
      </c>
      <c r="I3228" s="121">
        <f t="shared" si="1240"/>
        <v>1</v>
      </c>
      <c r="J3228" s="121">
        <f t="shared" si="1241"/>
        <v>1</v>
      </c>
      <c r="K3228" s="120">
        <f t="shared" si="1242"/>
        <v>0</v>
      </c>
      <c r="L3228" s="120">
        <f t="shared" si="1243"/>
        <v>0</v>
      </c>
      <c r="M3228" s="246">
        <f t="shared" si="1244"/>
        <v>0</v>
      </c>
      <c r="N3228" s="121">
        <f t="shared" si="1245"/>
        <v>1</v>
      </c>
      <c r="O3228" s="246">
        <f t="shared" si="1246"/>
        <v>0.98531728665207874</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87">
        <v>19</v>
      </c>
      <c r="B3229" s="242">
        <f t="shared" si="1253"/>
        <v>46204</v>
      </c>
      <c r="C3229" s="243">
        <f t="shared" si="1234"/>
        <v>46234</v>
      </c>
      <c r="D3229" s="120">
        <f t="shared" si="1235"/>
        <v>31</v>
      </c>
      <c r="E3229" s="120">
        <f t="shared" si="1236"/>
        <v>7</v>
      </c>
      <c r="F3229" s="275">
        <f t="shared" si="1237"/>
        <v>46219.5</v>
      </c>
      <c r="G3229" s="120">
        <f t="shared" si="1238"/>
        <v>24318</v>
      </c>
      <c r="H3229" s="245">
        <f t="shared" si="1239"/>
        <v>1</v>
      </c>
      <c r="I3229" s="121">
        <f t="shared" si="1240"/>
        <v>1</v>
      </c>
      <c r="J3229" s="121">
        <f t="shared" si="1241"/>
        <v>1</v>
      </c>
      <c r="K3229" s="120">
        <f t="shared" si="1242"/>
        <v>0</v>
      </c>
      <c r="L3229" s="120">
        <f t="shared" si="1243"/>
        <v>0</v>
      </c>
      <c r="M3229" s="246">
        <f t="shared" si="1244"/>
        <v>0</v>
      </c>
      <c r="N3229" s="121">
        <f t="shared" si="1245"/>
        <v>1</v>
      </c>
      <c r="O3229" s="246">
        <f t="shared" si="1246"/>
        <v>0.98665207877461703</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87">
        <v>20</v>
      </c>
      <c r="B3230" s="242">
        <f t="shared" si="1253"/>
        <v>46235</v>
      </c>
      <c r="C3230" s="243">
        <f t="shared" si="1234"/>
        <v>46265</v>
      </c>
      <c r="D3230" s="120">
        <f t="shared" si="1235"/>
        <v>31</v>
      </c>
      <c r="E3230" s="120">
        <f t="shared" si="1236"/>
        <v>8</v>
      </c>
      <c r="F3230" s="275">
        <f t="shared" si="1237"/>
        <v>46250.5</v>
      </c>
      <c r="G3230" s="120">
        <f t="shared" si="1238"/>
        <v>24319</v>
      </c>
      <c r="H3230" s="245">
        <f t="shared" si="1239"/>
        <v>1</v>
      </c>
      <c r="I3230" s="121">
        <f t="shared" si="1240"/>
        <v>1</v>
      </c>
      <c r="J3230" s="121">
        <f t="shared" si="1241"/>
        <v>1</v>
      </c>
      <c r="K3230" s="120">
        <f t="shared" si="1242"/>
        <v>0</v>
      </c>
      <c r="L3230" s="120">
        <f t="shared" si="1243"/>
        <v>0</v>
      </c>
      <c r="M3230" s="246">
        <f t="shared" si="1244"/>
        <v>0</v>
      </c>
      <c r="N3230" s="121">
        <f t="shared" si="1245"/>
        <v>1</v>
      </c>
      <c r="O3230" s="246">
        <f t="shared" si="1246"/>
        <v>0.9880087527352297</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87">
        <v>21</v>
      </c>
      <c r="B3231" s="242">
        <f t="shared" si="1253"/>
        <v>46266</v>
      </c>
      <c r="C3231" s="243">
        <f t="shared" si="1234"/>
        <v>46295</v>
      </c>
      <c r="D3231" s="120">
        <f t="shared" si="1235"/>
        <v>30</v>
      </c>
      <c r="E3231" s="120">
        <f t="shared" si="1236"/>
        <v>9</v>
      </c>
      <c r="F3231" s="275">
        <f t="shared" si="1237"/>
        <v>46281</v>
      </c>
      <c r="G3231" s="120">
        <f t="shared" si="1238"/>
        <v>24320</v>
      </c>
      <c r="H3231" s="245">
        <f t="shared" si="1239"/>
        <v>1</v>
      </c>
      <c r="I3231" s="121">
        <f t="shared" si="1240"/>
        <v>1</v>
      </c>
      <c r="J3231" s="121">
        <f t="shared" si="1241"/>
        <v>1</v>
      </c>
      <c r="K3231" s="120">
        <f t="shared" si="1242"/>
        <v>0</v>
      </c>
      <c r="L3231" s="120">
        <f t="shared" si="1243"/>
        <v>0</v>
      </c>
      <c r="M3231" s="246">
        <f t="shared" si="1244"/>
        <v>0</v>
      </c>
      <c r="N3231" s="121">
        <f t="shared" si="1245"/>
        <v>1</v>
      </c>
      <c r="O3231" s="246">
        <f t="shared" si="1246"/>
        <v>0.98934354485776799</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87">
        <v>22</v>
      </c>
      <c r="B3232" s="242">
        <f t="shared" si="1253"/>
        <v>46296</v>
      </c>
      <c r="C3232" s="243">
        <f t="shared" si="1234"/>
        <v>46326</v>
      </c>
      <c r="D3232" s="120">
        <f t="shared" si="1235"/>
        <v>31</v>
      </c>
      <c r="E3232" s="120">
        <f t="shared" si="1236"/>
        <v>10</v>
      </c>
      <c r="F3232" s="275">
        <f t="shared" si="1237"/>
        <v>46311.5</v>
      </c>
      <c r="G3232" s="120">
        <f t="shared" si="1238"/>
        <v>24321</v>
      </c>
      <c r="H3232" s="245">
        <f t="shared" si="1239"/>
        <v>1</v>
      </c>
      <c r="I3232" s="121">
        <f t="shared" si="1240"/>
        <v>1</v>
      </c>
      <c r="J3232" s="121">
        <f t="shared" si="1241"/>
        <v>1</v>
      </c>
      <c r="K3232" s="120">
        <f t="shared" si="1242"/>
        <v>0</v>
      </c>
      <c r="L3232" s="120">
        <f t="shared" si="1243"/>
        <v>0</v>
      </c>
      <c r="M3232" s="246">
        <f t="shared" si="1244"/>
        <v>0</v>
      </c>
      <c r="N3232" s="121">
        <f t="shared" si="1245"/>
        <v>1</v>
      </c>
      <c r="O3232" s="246">
        <f t="shared" si="1246"/>
        <v>0.99067833698030638</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87">
        <v>23</v>
      </c>
      <c r="B3233" s="242">
        <f t="shared" si="1253"/>
        <v>46327</v>
      </c>
      <c r="C3233" s="243">
        <f t="shared" si="1234"/>
        <v>46356</v>
      </c>
      <c r="D3233" s="120">
        <f t="shared" si="1235"/>
        <v>30</v>
      </c>
      <c r="E3233" s="120">
        <f t="shared" si="1236"/>
        <v>11</v>
      </c>
      <c r="F3233" s="275">
        <f t="shared" si="1237"/>
        <v>46342</v>
      </c>
      <c r="G3233" s="120">
        <f t="shared" si="1238"/>
        <v>24322</v>
      </c>
      <c r="H3233" s="245">
        <f t="shared" si="1239"/>
        <v>1</v>
      </c>
      <c r="I3233" s="121">
        <f t="shared" si="1240"/>
        <v>1</v>
      </c>
      <c r="J3233" s="121">
        <f t="shared" si="1241"/>
        <v>1.05</v>
      </c>
      <c r="K3233" s="120">
        <f t="shared" si="1242"/>
        <v>1</v>
      </c>
      <c r="L3233" s="120">
        <f t="shared" si="1243"/>
        <v>30</v>
      </c>
      <c r="M3233" s="246">
        <f t="shared" si="1244"/>
        <v>1</v>
      </c>
      <c r="N3233" s="121">
        <f t="shared" si="1245"/>
        <v>1.05</v>
      </c>
      <c r="O3233" s="246">
        <f t="shared" si="1246"/>
        <v>0.99201312910284467</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87">
        <v>24</v>
      </c>
      <c r="B3234" s="242">
        <f t="shared" si="1253"/>
        <v>46357</v>
      </c>
      <c r="C3234" s="243">
        <f t="shared" si="1234"/>
        <v>46387</v>
      </c>
      <c r="D3234" s="120">
        <f t="shared" si="1235"/>
        <v>31</v>
      </c>
      <c r="E3234" s="120">
        <f t="shared" si="1236"/>
        <v>12</v>
      </c>
      <c r="F3234" s="275">
        <f t="shared" si="1237"/>
        <v>46372.5</v>
      </c>
      <c r="G3234" s="120">
        <f t="shared" si="1238"/>
        <v>24323</v>
      </c>
      <c r="H3234" s="245">
        <f t="shared" si="1239"/>
        <v>1</v>
      </c>
      <c r="I3234" s="121">
        <f t="shared" si="1240"/>
        <v>1.05</v>
      </c>
      <c r="J3234" s="121">
        <f t="shared" si="1241"/>
        <v>1.05</v>
      </c>
      <c r="K3234" s="120">
        <f t="shared" si="1242"/>
        <v>0</v>
      </c>
      <c r="L3234" s="120">
        <f t="shared" si="1243"/>
        <v>0</v>
      </c>
      <c r="M3234" s="246">
        <f t="shared" si="1244"/>
        <v>0</v>
      </c>
      <c r="N3234" s="121">
        <f t="shared" si="1245"/>
        <v>1.05</v>
      </c>
      <c r="O3234" s="246">
        <f t="shared" si="1246"/>
        <v>0.99334792122538296</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87">
        <v>25</v>
      </c>
      <c r="B3235" s="242">
        <f t="shared" si="1253"/>
        <v>46388</v>
      </c>
      <c r="C3235" s="243">
        <f t="shared" si="1234"/>
        <v>46418</v>
      </c>
      <c r="D3235" s="120">
        <f t="shared" si="1235"/>
        <v>31</v>
      </c>
      <c r="E3235" s="120">
        <f t="shared" si="1236"/>
        <v>1</v>
      </c>
      <c r="F3235" s="275">
        <f t="shared" si="1237"/>
        <v>46403.5</v>
      </c>
      <c r="G3235" s="120">
        <f t="shared" si="1238"/>
        <v>24324</v>
      </c>
      <c r="H3235" s="245">
        <f t="shared" si="1239"/>
        <v>1</v>
      </c>
      <c r="I3235" s="121">
        <f t="shared" si="1240"/>
        <v>1.05</v>
      </c>
      <c r="J3235" s="121">
        <f t="shared" si="1241"/>
        <v>1.05</v>
      </c>
      <c r="K3235" s="120">
        <f t="shared" si="1242"/>
        <v>0</v>
      </c>
      <c r="L3235" s="120">
        <f t="shared" si="1243"/>
        <v>0</v>
      </c>
      <c r="M3235" s="246">
        <f t="shared" si="1244"/>
        <v>0</v>
      </c>
      <c r="N3235" s="121">
        <f t="shared" si="1245"/>
        <v>1.05</v>
      </c>
      <c r="O3235" s="246">
        <f t="shared" si="1246"/>
        <v>0.99470459518599563</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87">
        <v>26</v>
      </c>
      <c r="B3236" s="242">
        <f t="shared" si="1253"/>
        <v>46419</v>
      </c>
      <c r="C3236" s="243">
        <f t="shared" si="1234"/>
        <v>46446</v>
      </c>
      <c r="D3236" s="120">
        <f t="shared" si="1235"/>
        <v>28</v>
      </c>
      <c r="E3236" s="120">
        <f t="shared" si="1236"/>
        <v>2</v>
      </c>
      <c r="F3236" s="275">
        <f t="shared" si="1237"/>
        <v>46433</v>
      </c>
      <c r="G3236" s="120">
        <f t="shared" si="1238"/>
        <v>24325</v>
      </c>
      <c r="H3236" s="245">
        <f t="shared" si="1239"/>
        <v>1</v>
      </c>
      <c r="I3236" s="121">
        <f t="shared" si="1240"/>
        <v>1.05</v>
      </c>
      <c r="J3236" s="121">
        <f t="shared" si="1241"/>
        <v>1.05</v>
      </c>
      <c r="K3236" s="120">
        <f t="shared" si="1242"/>
        <v>0</v>
      </c>
      <c r="L3236" s="120">
        <f t="shared" si="1243"/>
        <v>0</v>
      </c>
      <c r="M3236" s="246">
        <f t="shared" si="1244"/>
        <v>0</v>
      </c>
      <c r="N3236" s="121">
        <f t="shared" si="1245"/>
        <v>1.05</v>
      </c>
      <c r="O3236" s="246">
        <f t="shared" si="1246"/>
        <v>0.99599562363238514</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87">
        <v>27</v>
      </c>
      <c r="B3237" s="242">
        <f t="shared" si="1253"/>
        <v>46447</v>
      </c>
      <c r="C3237" s="243">
        <f t="shared" si="1234"/>
        <v>46477</v>
      </c>
      <c r="D3237" s="120">
        <f t="shared" si="1235"/>
        <v>31</v>
      </c>
      <c r="E3237" s="120">
        <f t="shared" si="1236"/>
        <v>3</v>
      </c>
      <c r="F3237" s="275">
        <f t="shared" si="1237"/>
        <v>46462.5</v>
      </c>
      <c r="G3237" s="120">
        <f t="shared" si="1238"/>
        <v>24326</v>
      </c>
      <c r="H3237" s="245">
        <f t="shared" si="1239"/>
        <v>1</v>
      </c>
      <c r="I3237" s="121">
        <f t="shared" si="1240"/>
        <v>1.05</v>
      </c>
      <c r="J3237" s="121">
        <f t="shared" si="1241"/>
        <v>1.05</v>
      </c>
      <c r="K3237" s="120">
        <f t="shared" si="1242"/>
        <v>0</v>
      </c>
      <c r="L3237" s="120">
        <f t="shared" si="1243"/>
        <v>0</v>
      </c>
      <c r="M3237" s="246">
        <f t="shared" si="1244"/>
        <v>0</v>
      </c>
      <c r="N3237" s="121">
        <f t="shared" si="1245"/>
        <v>1.05</v>
      </c>
      <c r="O3237" s="246">
        <f t="shared" si="1246"/>
        <v>0.99728665207877465</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87">
        <v>28</v>
      </c>
      <c r="B3238" s="242">
        <f t="shared" si="1253"/>
        <v>46478</v>
      </c>
      <c r="C3238" s="243">
        <f t="shared" si="1234"/>
        <v>46507</v>
      </c>
      <c r="D3238" s="120">
        <f t="shared" si="1235"/>
        <v>30</v>
      </c>
      <c r="E3238" s="120">
        <f t="shared" si="1236"/>
        <v>4</v>
      </c>
      <c r="F3238" s="275">
        <f t="shared" si="1237"/>
        <v>46493</v>
      </c>
      <c r="G3238" s="120">
        <f t="shared" si="1238"/>
        <v>24327</v>
      </c>
      <c r="H3238" s="245">
        <f t="shared" si="1239"/>
        <v>1</v>
      </c>
      <c r="I3238" s="121">
        <f t="shared" si="1240"/>
        <v>1.05</v>
      </c>
      <c r="J3238" s="121">
        <f t="shared" si="1241"/>
        <v>1.05</v>
      </c>
      <c r="K3238" s="120">
        <f t="shared" si="1242"/>
        <v>0</v>
      </c>
      <c r="L3238" s="120">
        <f t="shared" si="1243"/>
        <v>0</v>
      </c>
      <c r="M3238" s="246">
        <f t="shared" si="1244"/>
        <v>0</v>
      </c>
      <c r="N3238" s="121">
        <f t="shared" si="1245"/>
        <v>1.05</v>
      </c>
      <c r="O3238" s="246">
        <f t="shared" si="1246"/>
        <v>0.99862144420131294</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87">
        <v>29</v>
      </c>
      <c r="B3239" s="242">
        <f t="shared" si="1253"/>
        <v>46508</v>
      </c>
      <c r="C3239" s="243">
        <f t="shared" si="1234"/>
        <v>46538</v>
      </c>
      <c r="D3239" s="120">
        <f t="shared" si="1235"/>
        <v>31</v>
      </c>
      <c r="E3239" s="120">
        <f t="shared" si="1236"/>
        <v>5</v>
      </c>
      <c r="F3239" s="275">
        <f t="shared" si="1237"/>
        <v>46523.5</v>
      </c>
      <c r="G3239" s="120">
        <f t="shared" si="1238"/>
        <v>24328</v>
      </c>
      <c r="H3239" s="245">
        <f t="shared" si="1239"/>
        <v>1</v>
      </c>
      <c r="I3239" s="121">
        <f t="shared" si="1240"/>
        <v>1.05</v>
      </c>
      <c r="J3239" s="121">
        <f t="shared" si="1241"/>
        <v>1.05</v>
      </c>
      <c r="K3239" s="120">
        <f t="shared" si="1242"/>
        <v>0</v>
      </c>
      <c r="L3239" s="120">
        <f t="shared" si="1243"/>
        <v>0</v>
      </c>
      <c r="M3239" s="246">
        <f t="shared" si="1244"/>
        <v>0</v>
      </c>
      <c r="N3239" s="121">
        <f t="shared" si="1245"/>
        <v>1.05</v>
      </c>
      <c r="O3239" s="246">
        <f t="shared" si="1246"/>
        <v>0.99995623632385122</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87">
        <v>30</v>
      </c>
      <c r="B3240" s="242">
        <f t="shared" si="1253"/>
        <v>46539</v>
      </c>
      <c r="C3240" s="243">
        <f t="shared" si="1234"/>
        <v>46568</v>
      </c>
      <c r="D3240" s="120">
        <f t="shared" si="1235"/>
        <v>30</v>
      </c>
      <c r="E3240" s="120">
        <f t="shared" si="1236"/>
        <v>6</v>
      </c>
      <c r="F3240" s="275">
        <f t="shared" si="1237"/>
        <v>46554</v>
      </c>
      <c r="G3240" s="120">
        <f t="shared" si="1238"/>
        <v>24329</v>
      </c>
      <c r="H3240" s="245">
        <f t="shared" si="1239"/>
        <v>1</v>
      </c>
      <c r="I3240" s="121">
        <f t="shared" si="1240"/>
        <v>1.05</v>
      </c>
      <c r="J3240" s="121">
        <f t="shared" si="1241"/>
        <v>1.05</v>
      </c>
      <c r="K3240" s="120">
        <f t="shared" si="1242"/>
        <v>0</v>
      </c>
      <c r="L3240" s="120">
        <f t="shared" si="1243"/>
        <v>0</v>
      </c>
      <c r="M3240" s="246">
        <f t="shared" si="1244"/>
        <v>0</v>
      </c>
      <c r="N3240" s="121">
        <f t="shared" si="1245"/>
        <v>1.05</v>
      </c>
      <c r="O3240" s="246">
        <f t="shared" si="1246"/>
        <v>1.0012910284463894</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87">
        <v>31</v>
      </c>
      <c r="B3241" s="242">
        <f t="shared" si="1253"/>
        <v>46569</v>
      </c>
      <c r="C3241" s="243">
        <f t="shared" si="1234"/>
        <v>46599</v>
      </c>
      <c r="D3241" s="120">
        <f t="shared" si="1235"/>
        <v>31</v>
      </c>
      <c r="E3241" s="120">
        <f t="shared" si="1236"/>
        <v>7</v>
      </c>
      <c r="F3241" s="275">
        <f t="shared" si="1237"/>
        <v>46584.5</v>
      </c>
      <c r="G3241" s="120">
        <f t="shared" si="1238"/>
        <v>24330</v>
      </c>
      <c r="H3241" s="245">
        <f t="shared" si="1239"/>
        <v>1</v>
      </c>
      <c r="I3241" s="121">
        <f t="shared" si="1240"/>
        <v>1.05</v>
      </c>
      <c r="J3241" s="121">
        <f t="shared" si="1241"/>
        <v>1.05</v>
      </c>
      <c r="K3241" s="120">
        <f t="shared" si="1242"/>
        <v>0</v>
      </c>
      <c r="L3241" s="120">
        <f t="shared" si="1243"/>
        <v>0</v>
      </c>
      <c r="M3241" s="246">
        <f t="shared" si="1244"/>
        <v>0</v>
      </c>
      <c r="N3241" s="121">
        <f t="shared" si="1245"/>
        <v>1.05</v>
      </c>
      <c r="O3241" s="246">
        <f t="shared" si="1246"/>
        <v>1.0026258205689278</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87">
        <v>32</v>
      </c>
      <c r="B3242" s="242">
        <f t="shared" si="1253"/>
        <v>46600</v>
      </c>
      <c r="C3242" s="243">
        <f t="shared" si="1234"/>
        <v>46630</v>
      </c>
      <c r="D3242" s="120">
        <f t="shared" si="1235"/>
        <v>31</v>
      </c>
      <c r="E3242" s="120">
        <f t="shared" si="1236"/>
        <v>8</v>
      </c>
      <c r="F3242" s="275">
        <f t="shared" si="1237"/>
        <v>46615.5</v>
      </c>
      <c r="G3242" s="120">
        <f t="shared" si="1238"/>
        <v>24331</v>
      </c>
      <c r="H3242" s="245">
        <f t="shared" si="1239"/>
        <v>1</v>
      </c>
      <c r="I3242" s="121">
        <f t="shared" si="1240"/>
        <v>1.05</v>
      </c>
      <c r="J3242" s="121">
        <f t="shared" si="1241"/>
        <v>1.05</v>
      </c>
      <c r="K3242" s="120">
        <f t="shared" si="1242"/>
        <v>0</v>
      </c>
      <c r="L3242" s="120">
        <f t="shared" si="1243"/>
        <v>0</v>
      </c>
      <c r="M3242" s="246">
        <f t="shared" si="1244"/>
        <v>0</v>
      </c>
      <c r="N3242" s="121">
        <f t="shared" si="1245"/>
        <v>1.05</v>
      </c>
      <c r="O3242" s="246">
        <f t="shared" si="1246"/>
        <v>1.0039824945295406</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87">
        <v>33</v>
      </c>
      <c r="B3243" s="242">
        <f t="shared" si="1253"/>
        <v>46631</v>
      </c>
      <c r="C3243" s="243">
        <f t="shared" si="1234"/>
        <v>46660</v>
      </c>
      <c r="D3243" s="120">
        <f t="shared" si="1235"/>
        <v>30</v>
      </c>
      <c r="E3243" s="120">
        <f t="shared" si="1236"/>
        <v>9</v>
      </c>
      <c r="F3243" s="275">
        <f t="shared" si="1237"/>
        <v>46646</v>
      </c>
      <c r="G3243" s="120">
        <f t="shared" si="1238"/>
        <v>24332</v>
      </c>
      <c r="H3243" s="245">
        <f t="shared" si="1239"/>
        <v>1</v>
      </c>
      <c r="I3243" s="121">
        <f t="shared" si="1240"/>
        <v>1.05</v>
      </c>
      <c r="J3243" s="121">
        <f t="shared" si="1241"/>
        <v>1.05</v>
      </c>
      <c r="K3243" s="120">
        <f t="shared" si="1242"/>
        <v>0</v>
      </c>
      <c r="L3243" s="120">
        <f t="shared" si="1243"/>
        <v>0</v>
      </c>
      <c r="M3243" s="246">
        <f t="shared" si="1244"/>
        <v>0</v>
      </c>
      <c r="N3243" s="121">
        <f t="shared" si="1245"/>
        <v>1.05</v>
      </c>
      <c r="O3243" s="246">
        <f t="shared" si="1246"/>
        <v>1.0053172866520788</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87">
        <v>34</v>
      </c>
      <c r="B3244" s="242">
        <f t="shared" si="1253"/>
        <v>46661</v>
      </c>
      <c r="C3244" s="243">
        <f t="shared" si="1234"/>
        <v>46691</v>
      </c>
      <c r="D3244" s="120">
        <f t="shared" si="1235"/>
        <v>31</v>
      </c>
      <c r="E3244" s="120">
        <f t="shared" si="1236"/>
        <v>10</v>
      </c>
      <c r="F3244" s="275">
        <f t="shared" si="1237"/>
        <v>46676.5</v>
      </c>
      <c r="G3244" s="120">
        <f t="shared" si="1238"/>
        <v>24333</v>
      </c>
      <c r="H3244" s="245">
        <f t="shared" si="1239"/>
        <v>1</v>
      </c>
      <c r="I3244" s="121">
        <f t="shared" si="1240"/>
        <v>1.05</v>
      </c>
      <c r="J3244" s="121">
        <f t="shared" si="1241"/>
        <v>1.05</v>
      </c>
      <c r="K3244" s="120">
        <f t="shared" si="1242"/>
        <v>0</v>
      </c>
      <c r="L3244" s="120">
        <f t="shared" si="1243"/>
        <v>0</v>
      </c>
      <c r="M3244" s="246">
        <f t="shared" si="1244"/>
        <v>0</v>
      </c>
      <c r="N3244" s="121">
        <f t="shared" si="1245"/>
        <v>1.05</v>
      </c>
      <c r="O3244" s="246">
        <f t="shared" si="1246"/>
        <v>1.0066520787746172</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87">
        <v>35</v>
      </c>
      <c r="B3245" s="242">
        <f t="shared" si="1253"/>
        <v>46692</v>
      </c>
      <c r="C3245" s="243">
        <f t="shared" si="1234"/>
        <v>46721</v>
      </c>
      <c r="D3245" s="120">
        <f t="shared" si="1235"/>
        <v>30</v>
      </c>
      <c r="E3245" s="120">
        <f t="shared" si="1236"/>
        <v>11</v>
      </c>
      <c r="F3245" s="275">
        <f t="shared" si="1237"/>
        <v>46707</v>
      </c>
      <c r="G3245" s="120">
        <f t="shared" si="1238"/>
        <v>24334</v>
      </c>
      <c r="H3245" s="245">
        <f t="shared" si="1239"/>
        <v>1</v>
      </c>
      <c r="I3245" s="121">
        <f t="shared" si="1240"/>
        <v>1.05</v>
      </c>
      <c r="J3245" s="121">
        <f t="shared" si="1241"/>
        <v>1.05</v>
      </c>
      <c r="K3245" s="120">
        <f t="shared" si="1242"/>
        <v>0</v>
      </c>
      <c r="L3245" s="120">
        <f t="shared" si="1243"/>
        <v>0</v>
      </c>
      <c r="M3245" s="246">
        <f t="shared" si="1244"/>
        <v>0</v>
      </c>
      <c r="N3245" s="121">
        <f t="shared" si="1245"/>
        <v>1.05</v>
      </c>
      <c r="O3245" s="246">
        <f t="shared" si="1246"/>
        <v>1.0079868708971553</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87">
        <v>36</v>
      </c>
      <c r="B3246" s="242">
        <f t="shared" si="1253"/>
        <v>46722</v>
      </c>
      <c r="C3246" s="243">
        <f t="shared" si="1234"/>
        <v>46752</v>
      </c>
      <c r="D3246" s="120">
        <f t="shared" si="1235"/>
        <v>31</v>
      </c>
      <c r="E3246" s="120">
        <f t="shared" si="1236"/>
        <v>12</v>
      </c>
      <c r="F3246" s="275">
        <f t="shared" si="1237"/>
        <v>46737.5</v>
      </c>
      <c r="G3246" s="120">
        <f t="shared" si="1238"/>
        <v>24335</v>
      </c>
      <c r="H3246" s="245">
        <f t="shared" si="1239"/>
        <v>1</v>
      </c>
      <c r="I3246" s="121">
        <f t="shared" si="1240"/>
        <v>1.05</v>
      </c>
      <c r="J3246" s="121">
        <f t="shared" si="1241"/>
        <v>1.05</v>
      </c>
      <c r="K3246" s="120">
        <f t="shared" si="1242"/>
        <v>0</v>
      </c>
      <c r="L3246" s="120">
        <f t="shared" si="1243"/>
        <v>0</v>
      </c>
      <c r="M3246" s="246">
        <f t="shared" si="1244"/>
        <v>0</v>
      </c>
      <c r="N3246" s="121">
        <f t="shared" si="1245"/>
        <v>1.05</v>
      </c>
      <c r="O3246" s="246">
        <f t="shared" si="1246"/>
        <v>1.0093216630196937</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87">
        <v>37</v>
      </c>
      <c r="B3247" s="242">
        <f t="shared" si="1253"/>
        <v>46753</v>
      </c>
      <c r="C3247" s="243">
        <f t="shared" si="1234"/>
        <v>46783</v>
      </c>
      <c r="D3247" s="120">
        <f t="shared" si="1235"/>
        <v>31</v>
      </c>
      <c r="E3247" s="120">
        <f t="shared" si="1236"/>
        <v>1</v>
      </c>
      <c r="F3247" s="275">
        <f t="shared" si="1237"/>
        <v>46768.5</v>
      </c>
      <c r="G3247" s="120">
        <f t="shared" si="1238"/>
        <v>24336</v>
      </c>
      <c r="H3247" s="245">
        <f t="shared" si="1239"/>
        <v>1</v>
      </c>
      <c r="I3247" s="121">
        <f t="shared" si="1240"/>
        <v>1.05</v>
      </c>
      <c r="J3247" s="121">
        <f t="shared" si="1241"/>
        <v>1.05</v>
      </c>
      <c r="K3247" s="120">
        <f t="shared" si="1242"/>
        <v>0</v>
      </c>
      <c r="L3247" s="120">
        <f t="shared" si="1243"/>
        <v>0</v>
      </c>
      <c r="M3247" s="246">
        <f t="shared" si="1244"/>
        <v>0</v>
      </c>
      <c r="N3247" s="121">
        <f t="shared" si="1245"/>
        <v>1.05</v>
      </c>
      <c r="O3247" s="246">
        <f t="shared" si="1246"/>
        <v>1.01</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87">
        <v>38</v>
      </c>
      <c r="B3248" s="242">
        <f t="shared" si="1253"/>
        <v>46784</v>
      </c>
      <c r="C3248" s="243">
        <f t="shared" si="1234"/>
        <v>46812</v>
      </c>
      <c r="D3248" s="120">
        <f t="shared" si="1235"/>
        <v>29</v>
      </c>
      <c r="E3248" s="120">
        <f t="shared" si="1236"/>
        <v>2</v>
      </c>
      <c r="F3248" s="275">
        <f t="shared" si="1237"/>
        <v>46798.5</v>
      </c>
      <c r="G3248" s="120">
        <f t="shared" si="1238"/>
        <v>24337</v>
      </c>
      <c r="H3248" s="245">
        <f t="shared" si="1239"/>
        <v>1</v>
      </c>
      <c r="I3248" s="121">
        <f t="shared" si="1240"/>
        <v>1.05</v>
      </c>
      <c r="J3248" s="121">
        <f t="shared" si="1241"/>
        <v>1.05</v>
      </c>
      <c r="K3248" s="120">
        <f t="shared" si="1242"/>
        <v>0</v>
      </c>
      <c r="L3248" s="120">
        <f t="shared" si="1243"/>
        <v>0</v>
      </c>
      <c r="M3248" s="246">
        <f t="shared" si="1244"/>
        <v>0</v>
      </c>
      <c r="N3248" s="121">
        <f t="shared" si="1245"/>
        <v>1.05</v>
      </c>
      <c r="O3248" s="246">
        <f t="shared" si="1246"/>
        <v>1.01</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87">
        <v>39</v>
      </c>
      <c r="B3249" s="242">
        <f t="shared" si="1253"/>
        <v>46813</v>
      </c>
      <c r="C3249" s="243">
        <f t="shared" si="1234"/>
        <v>46843</v>
      </c>
      <c r="D3249" s="120">
        <f t="shared" si="1235"/>
        <v>31</v>
      </c>
      <c r="E3249" s="120">
        <f t="shared" si="1236"/>
        <v>3</v>
      </c>
      <c r="F3249" s="275">
        <f t="shared" si="1237"/>
        <v>46828.5</v>
      </c>
      <c r="G3249" s="120">
        <f t="shared" si="1238"/>
        <v>24338</v>
      </c>
      <c r="H3249" s="245">
        <f t="shared" si="1239"/>
        <v>1</v>
      </c>
      <c r="I3249" s="121">
        <f t="shared" si="1240"/>
        <v>1.05</v>
      </c>
      <c r="J3249" s="121">
        <f t="shared" si="1241"/>
        <v>1.05</v>
      </c>
      <c r="K3249" s="120">
        <f t="shared" si="1242"/>
        <v>0</v>
      </c>
      <c r="L3249" s="120">
        <f t="shared" si="1243"/>
        <v>0</v>
      </c>
      <c r="M3249" s="246">
        <f t="shared" si="1244"/>
        <v>0</v>
      </c>
      <c r="N3249" s="121">
        <f t="shared" si="1245"/>
        <v>1.05</v>
      </c>
      <c r="O3249" s="246">
        <f t="shared" si="1246"/>
        <v>1.01</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87">
        <v>40</v>
      </c>
      <c r="B3250" s="242">
        <f t="shared" si="1253"/>
        <v>46844</v>
      </c>
      <c r="C3250" s="243">
        <f t="shared" si="1234"/>
        <v>46873</v>
      </c>
      <c r="D3250" s="120">
        <f t="shared" si="1235"/>
        <v>30</v>
      </c>
      <c r="E3250" s="120">
        <f t="shared" si="1236"/>
        <v>4</v>
      </c>
      <c r="F3250" s="275">
        <f t="shared" si="1237"/>
        <v>46859</v>
      </c>
      <c r="G3250" s="120">
        <f t="shared" si="1238"/>
        <v>24339</v>
      </c>
      <c r="H3250" s="245">
        <f t="shared" si="1239"/>
        <v>1</v>
      </c>
      <c r="I3250" s="121">
        <f t="shared" si="1240"/>
        <v>1.05</v>
      </c>
      <c r="J3250" s="121">
        <f t="shared" si="1241"/>
        <v>1.05</v>
      </c>
      <c r="K3250" s="120">
        <f t="shared" si="1242"/>
        <v>0</v>
      </c>
      <c r="L3250" s="120">
        <f t="shared" si="1243"/>
        <v>0</v>
      </c>
      <c r="M3250" s="246">
        <f t="shared" si="1244"/>
        <v>0</v>
      </c>
      <c r="N3250" s="121">
        <f t="shared" si="1245"/>
        <v>1.05</v>
      </c>
      <c r="O3250" s="246">
        <f t="shared" si="1246"/>
        <v>1.01</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87">
        <v>41</v>
      </c>
      <c r="B3251" s="242">
        <f t="shared" si="1253"/>
        <v>46874</v>
      </c>
      <c r="C3251" s="243">
        <f t="shared" si="1234"/>
        <v>46904</v>
      </c>
      <c r="D3251" s="120">
        <f t="shared" si="1235"/>
        <v>31</v>
      </c>
      <c r="E3251" s="120">
        <f t="shared" si="1236"/>
        <v>5</v>
      </c>
      <c r="F3251" s="275">
        <f t="shared" si="1237"/>
        <v>46889.5</v>
      </c>
      <c r="G3251" s="120">
        <f t="shared" si="1238"/>
        <v>24340</v>
      </c>
      <c r="H3251" s="245">
        <f t="shared" si="1239"/>
        <v>1</v>
      </c>
      <c r="I3251" s="121">
        <f t="shared" si="1240"/>
        <v>1.05</v>
      </c>
      <c r="J3251" s="121">
        <f t="shared" si="1241"/>
        <v>1.05</v>
      </c>
      <c r="K3251" s="120">
        <f t="shared" si="1242"/>
        <v>0</v>
      </c>
      <c r="L3251" s="120">
        <f t="shared" si="1243"/>
        <v>0</v>
      </c>
      <c r="M3251" s="246">
        <f t="shared" si="1244"/>
        <v>0</v>
      </c>
      <c r="N3251" s="121">
        <f t="shared" si="1245"/>
        <v>1.05</v>
      </c>
      <c r="O3251" s="246">
        <f t="shared" si="1246"/>
        <v>1.01</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87">
        <v>42</v>
      </c>
      <c r="B3252" s="242">
        <f t="shared" si="1253"/>
        <v>46905</v>
      </c>
      <c r="C3252" s="243">
        <f t="shared" si="1234"/>
        <v>46934</v>
      </c>
      <c r="D3252" s="120">
        <f t="shared" si="1235"/>
        <v>30</v>
      </c>
      <c r="E3252" s="120">
        <f t="shared" si="1236"/>
        <v>6</v>
      </c>
      <c r="F3252" s="275">
        <f t="shared" si="1237"/>
        <v>46920</v>
      </c>
      <c r="G3252" s="120">
        <f t="shared" si="1238"/>
        <v>24341</v>
      </c>
      <c r="H3252" s="245">
        <f t="shared" si="1239"/>
        <v>1</v>
      </c>
      <c r="I3252" s="121">
        <f t="shared" si="1240"/>
        <v>1.05</v>
      </c>
      <c r="J3252" s="121">
        <f t="shared" si="1241"/>
        <v>1.05</v>
      </c>
      <c r="K3252" s="120">
        <f t="shared" si="1242"/>
        <v>0</v>
      </c>
      <c r="L3252" s="120">
        <f t="shared" si="1243"/>
        <v>0</v>
      </c>
      <c r="M3252" s="246">
        <f t="shared" si="1244"/>
        <v>0</v>
      </c>
      <c r="N3252" s="121">
        <f t="shared" si="1245"/>
        <v>1.05</v>
      </c>
      <c r="O3252" s="246">
        <f t="shared" si="1246"/>
        <v>1.01</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87">
        <v>43</v>
      </c>
      <c r="B3253" s="242">
        <f t="shared" si="1253"/>
        <v>46935</v>
      </c>
      <c r="C3253" s="243">
        <f t="shared" si="1234"/>
        <v>46965</v>
      </c>
      <c r="D3253" s="120">
        <f t="shared" si="1235"/>
        <v>31</v>
      </c>
      <c r="E3253" s="120">
        <f t="shared" si="1236"/>
        <v>7</v>
      </c>
      <c r="F3253" s="275">
        <f t="shared" si="1237"/>
        <v>46950.5</v>
      </c>
      <c r="G3253" s="120">
        <f t="shared" si="1238"/>
        <v>24342</v>
      </c>
      <c r="H3253" s="245">
        <f t="shared" si="1239"/>
        <v>1</v>
      </c>
      <c r="I3253" s="121">
        <f t="shared" si="1240"/>
        <v>1.05</v>
      </c>
      <c r="J3253" s="121">
        <f t="shared" si="1241"/>
        <v>1.05</v>
      </c>
      <c r="K3253" s="120">
        <f t="shared" si="1242"/>
        <v>0</v>
      </c>
      <c r="L3253" s="120">
        <f t="shared" si="1243"/>
        <v>0</v>
      </c>
      <c r="M3253" s="246">
        <f t="shared" si="1244"/>
        <v>0</v>
      </c>
      <c r="N3253" s="121">
        <f t="shared" si="1245"/>
        <v>1.05</v>
      </c>
      <c r="O3253" s="246">
        <f t="shared" si="1246"/>
        <v>1.01</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87">
        <v>44</v>
      </c>
      <c r="B3254" s="242">
        <f t="shared" si="1253"/>
        <v>46966</v>
      </c>
      <c r="C3254" s="243">
        <f t="shared" si="1234"/>
        <v>46996</v>
      </c>
      <c r="D3254" s="120">
        <f t="shared" si="1235"/>
        <v>31</v>
      </c>
      <c r="E3254" s="120">
        <f t="shared" si="1236"/>
        <v>8</v>
      </c>
      <c r="F3254" s="275">
        <f t="shared" si="1237"/>
        <v>46981.5</v>
      </c>
      <c r="G3254" s="120">
        <f t="shared" si="1238"/>
        <v>24343</v>
      </c>
      <c r="H3254" s="245">
        <f t="shared" si="1239"/>
        <v>1</v>
      </c>
      <c r="I3254" s="121">
        <f t="shared" si="1240"/>
        <v>1.05</v>
      </c>
      <c r="J3254" s="121">
        <f t="shared" si="1241"/>
        <v>1.05</v>
      </c>
      <c r="K3254" s="120">
        <f t="shared" si="1242"/>
        <v>0</v>
      </c>
      <c r="L3254" s="120">
        <f t="shared" si="1243"/>
        <v>0</v>
      </c>
      <c r="M3254" s="246">
        <f t="shared" si="1244"/>
        <v>0</v>
      </c>
      <c r="N3254" s="121">
        <f t="shared" si="1245"/>
        <v>1.05</v>
      </c>
      <c r="O3254" s="246">
        <f t="shared" si="1246"/>
        <v>1.01</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87">
        <v>45</v>
      </c>
      <c r="B3255" s="242">
        <f t="shared" si="1253"/>
        <v>46997</v>
      </c>
      <c r="C3255" s="243">
        <f t="shared" si="1234"/>
        <v>47026</v>
      </c>
      <c r="D3255" s="120">
        <f t="shared" si="1235"/>
        <v>30</v>
      </c>
      <c r="E3255" s="120">
        <f t="shared" si="1236"/>
        <v>9</v>
      </c>
      <c r="F3255" s="275">
        <f t="shared" si="1237"/>
        <v>47012</v>
      </c>
      <c r="G3255" s="120">
        <f t="shared" si="1238"/>
        <v>24344</v>
      </c>
      <c r="H3255" s="245">
        <f t="shared" si="1239"/>
        <v>1</v>
      </c>
      <c r="I3255" s="121">
        <f t="shared" si="1240"/>
        <v>1.05</v>
      </c>
      <c r="J3255" s="121">
        <f t="shared" si="1241"/>
        <v>1.05</v>
      </c>
      <c r="K3255" s="120">
        <f t="shared" si="1242"/>
        <v>0</v>
      </c>
      <c r="L3255" s="120">
        <f t="shared" si="1243"/>
        <v>0</v>
      </c>
      <c r="M3255" s="246">
        <f t="shared" si="1244"/>
        <v>0</v>
      </c>
      <c r="N3255" s="121">
        <f t="shared" si="1245"/>
        <v>1.05</v>
      </c>
      <c r="O3255" s="246">
        <f t="shared" si="1246"/>
        <v>1.01</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87">
        <v>46</v>
      </c>
      <c r="B3256" s="242">
        <f t="shared" si="1253"/>
        <v>47027</v>
      </c>
      <c r="C3256" s="243">
        <f t="shared" si="1234"/>
        <v>47057</v>
      </c>
      <c r="D3256" s="120">
        <f t="shared" si="1235"/>
        <v>31</v>
      </c>
      <c r="E3256" s="120">
        <f t="shared" si="1236"/>
        <v>10</v>
      </c>
      <c r="F3256" s="275">
        <f t="shared" si="1237"/>
        <v>47042.5</v>
      </c>
      <c r="G3256" s="120">
        <f t="shared" si="1238"/>
        <v>24345</v>
      </c>
      <c r="H3256" s="245">
        <f t="shared" si="1239"/>
        <v>1</v>
      </c>
      <c r="I3256" s="121">
        <f t="shared" si="1240"/>
        <v>1.05</v>
      </c>
      <c r="J3256" s="121">
        <f t="shared" si="1241"/>
        <v>1.05</v>
      </c>
      <c r="K3256" s="120">
        <f t="shared" si="1242"/>
        <v>0</v>
      </c>
      <c r="L3256" s="120">
        <f t="shared" si="1243"/>
        <v>0</v>
      </c>
      <c r="M3256" s="246">
        <f t="shared" si="1244"/>
        <v>0</v>
      </c>
      <c r="N3256" s="121">
        <f t="shared" si="1245"/>
        <v>1.05</v>
      </c>
      <c r="O3256" s="246">
        <f t="shared" si="1246"/>
        <v>1.01</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87">
        <v>47</v>
      </c>
      <c r="B3257" s="242">
        <f t="shared" si="1253"/>
        <v>47058</v>
      </c>
      <c r="C3257" s="243">
        <f t="shared" si="1234"/>
        <v>47087</v>
      </c>
      <c r="D3257" s="120">
        <f t="shared" si="1235"/>
        <v>30</v>
      </c>
      <c r="E3257" s="120">
        <f t="shared" si="1236"/>
        <v>11</v>
      </c>
      <c r="F3257" s="275">
        <f t="shared" si="1237"/>
        <v>47073</v>
      </c>
      <c r="G3257" s="120">
        <f t="shared" si="1238"/>
        <v>24346</v>
      </c>
      <c r="H3257" s="245">
        <f t="shared" si="1239"/>
        <v>1</v>
      </c>
      <c r="I3257" s="121">
        <f t="shared" si="1240"/>
        <v>1.05</v>
      </c>
      <c r="J3257" s="121">
        <f t="shared" si="1241"/>
        <v>1.05</v>
      </c>
      <c r="K3257" s="120">
        <f t="shared" si="1242"/>
        <v>0</v>
      </c>
      <c r="L3257" s="120">
        <f t="shared" si="1243"/>
        <v>0</v>
      </c>
      <c r="M3257" s="246">
        <f t="shared" si="1244"/>
        <v>0</v>
      </c>
      <c r="N3257" s="121">
        <f t="shared" si="1245"/>
        <v>1.05</v>
      </c>
      <c r="O3257" s="246">
        <f t="shared" si="1246"/>
        <v>1.01</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87">
        <v>48</v>
      </c>
      <c r="B3258" s="242">
        <f t="shared" si="1253"/>
        <v>47088</v>
      </c>
      <c r="C3258" s="243">
        <f t="shared" si="1234"/>
        <v>47118</v>
      </c>
      <c r="D3258" s="120">
        <f t="shared" si="1235"/>
        <v>31</v>
      </c>
      <c r="E3258" s="120">
        <f t="shared" si="1236"/>
        <v>12</v>
      </c>
      <c r="F3258" s="275">
        <f t="shared" si="1237"/>
        <v>47103.5</v>
      </c>
      <c r="G3258" s="120">
        <f t="shared" si="1238"/>
        <v>24347</v>
      </c>
      <c r="H3258" s="245">
        <f t="shared" si="1239"/>
        <v>1</v>
      </c>
      <c r="I3258" s="121">
        <f t="shared" si="1240"/>
        <v>1.05</v>
      </c>
      <c r="J3258" s="121">
        <f t="shared" si="1241"/>
        <v>1.05</v>
      </c>
      <c r="K3258" s="120">
        <f t="shared" si="1242"/>
        <v>0</v>
      </c>
      <c r="L3258" s="120">
        <f t="shared" si="1243"/>
        <v>0</v>
      </c>
      <c r="M3258" s="246">
        <f t="shared" si="1244"/>
        <v>0</v>
      </c>
      <c r="N3258" s="121">
        <f t="shared" si="1245"/>
        <v>1.05</v>
      </c>
      <c r="O3258" s="246">
        <f t="shared" si="1246"/>
        <v>1.01</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1651</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24">
        <f>SUMPRODUCT($H$3211:$H$3258,$Q$3211:$Q$3258,$O$3211:$O$3258)/SUMPRODUCT($H$3211:$H$3258,$Q$3211:$Q$3258)</f>
        <v>0.99399161196207142</v>
      </c>
      <c r="G3259" s="224">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24">
        <f>IF(N(INDEX(lr_mind,60))=0,1,INDEX(lr_mind,60))</f>
        <v>1</v>
      </c>
      <c r="G3262" s="224">
        <f>IF(N(INDEX(lr_m0,60))=0,1,INDEX(lr_m0,60))</f>
        <v>0.99</v>
      </c>
      <c r="H3262" s="74">
        <f>IF(N(INDEX(lr_m0asof,60))=0,DATE(nr_PlanYear-1,10,1),INDEX(lr_m0asof,60))</f>
        <v>46295</v>
      </c>
      <c r="I3262" s="224">
        <f>IF(N(INDEX(lr_m1,60))=0,1,INDEX(lr_m1,60))</f>
        <v>0.99</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54">EOMONTH($B3265,0)</f>
        <v>45688</v>
      </c>
      <c r="D3265" s="120">
        <f t="shared" ref="D3265:D3312" si="1255">$C3265-$B3265+1</f>
        <v>31</v>
      </c>
      <c r="E3265" s="120">
        <f t="shared" ref="E3265:E3312" si="1256">MONTH($B3265)</f>
        <v>1</v>
      </c>
      <c r="F3265" s="275">
        <f t="shared" ref="F3265:F3312" si="1257">($B3265+$C3265+1)/2</f>
        <v>45673.5</v>
      </c>
      <c r="G3265" s="120">
        <f t="shared" ref="G3265:G3312" si="1258">YEAR($B3265)*12+MONTH($B3265)-1</f>
        <v>24300</v>
      </c>
      <c r="H3265" s="245">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46">
        <f t="shared" ref="M3265:M3312" si="1264">IF($K3265=0,0,MIN(1,$L3265/$D3265))</f>
        <v>0</v>
      </c>
      <c r="N3265" s="121">
        <f t="shared" ref="N3265:N3312" si="1265">IF($K3265=0,$J3265,(1-$M3265)*$I3265+$M3265*$J3265)</f>
        <v>1</v>
      </c>
      <c r="O3265" s="246">
        <f t="shared" ref="O3265:O3312" si="1266">IF($F3265&lt;$B$3263,$E$3263+$I$3263*($F3265-$A$3263),IF($F3265&lt;$C$3263,$F$3263+$J$3263*($F3265-$B$3263),$G$3263+$K$3263*($F3265-$C$3263)))</f>
        <v>0.99</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87">
        <v>2</v>
      </c>
      <c r="B3266" s="242">
        <f t="shared" ref="B3266:B3312" si="1273">EDATE($B3265,1)</f>
        <v>45689</v>
      </c>
      <c r="C3266" s="243">
        <f t="shared" si="1254"/>
        <v>45716</v>
      </c>
      <c r="D3266" s="120">
        <f t="shared" si="1255"/>
        <v>28</v>
      </c>
      <c r="E3266" s="120">
        <f t="shared" si="1256"/>
        <v>2</v>
      </c>
      <c r="F3266" s="275">
        <f t="shared" si="1257"/>
        <v>45703</v>
      </c>
      <c r="G3266" s="120">
        <f t="shared" si="1258"/>
        <v>24301</v>
      </c>
      <c r="H3266" s="245">
        <f t="shared" si="1259"/>
        <v>1</v>
      </c>
      <c r="I3266" s="121">
        <f t="shared" si="1260"/>
        <v>1</v>
      </c>
      <c r="J3266" s="121">
        <f t="shared" si="1261"/>
        <v>1</v>
      </c>
      <c r="K3266" s="120">
        <f t="shared" si="1262"/>
        <v>0</v>
      </c>
      <c r="L3266" s="120">
        <f t="shared" si="1263"/>
        <v>0</v>
      </c>
      <c r="M3266" s="246">
        <f t="shared" si="1264"/>
        <v>0</v>
      </c>
      <c r="N3266" s="121">
        <f t="shared" si="1265"/>
        <v>1</v>
      </c>
      <c r="O3266" s="246">
        <f t="shared" si="1266"/>
        <v>0.99</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87">
        <v>3</v>
      </c>
      <c r="B3267" s="242">
        <f t="shared" si="1273"/>
        <v>45717</v>
      </c>
      <c r="C3267" s="243">
        <f t="shared" si="1254"/>
        <v>45747</v>
      </c>
      <c r="D3267" s="120">
        <f t="shared" si="1255"/>
        <v>31</v>
      </c>
      <c r="E3267" s="120">
        <f t="shared" si="1256"/>
        <v>3</v>
      </c>
      <c r="F3267" s="275">
        <f t="shared" si="1257"/>
        <v>45732.5</v>
      </c>
      <c r="G3267" s="120">
        <f t="shared" si="1258"/>
        <v>24302</v>
      </c>
      <c r="H3267" s="245">
        <f t="shared" si="1259"/>
        <v>1</v>
      </c>
      <c r="I3267" s="121">
        <f t="shared" si="1260"/>
        <v>1</v>
      </c>
      <c r="J3267" s="121">
        <f t="shared" si="1261"/>
        <v>1</v>
      </c>
      <c r="K3267" s="120">
        <f t="shared" si="1262"/>
        <v>0</v>
      </c>
      <c r="L3267" s="120">
        <f t="shared" si="1263"/>
        <v>0</v>
      </c>
      <c r="M3267" s="246">
        <f t="shared" si="1264"/>
        <v>0</v>
      </c>
      <c r="N3267" s="121">
        <f t="shared" si="1265"/>
        <v>1</v>
      </c>
      <c r="O3267" s="246">
        <f t="shared" si="1266"/>
        <v>0.99</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87">
        <v>4</v>
      </c>
      <c r="B3268" s="242">
        <f t="shared" si="1273"/>
        <v>45748</v>
      </c>
      <c r="C3268" s="243">
        <f t="shared" si="1254"/>
        <v>45777</v>
      </c>
      <c r="D3268" s="120">
        <f t="shared" si="1255"/>
        <v>30</v>
      </c>
      <c r="E3268" s="120">
        <f t="shared" si="1256"/>
        <v>4</v>
      </c>
      <c r="F3268" s="275">
        <f t="shared" si="1257"/>
        <v>45763</v>
      </c>
      <c r="G3268" s="120">
        <f t="shared" si="1258"/>
        <v>24303</v>
      </c>
      <c r="H3268" s="245">
        <f t="shared" si="1259"/>
        <v>1</v>
      </c>
      <c r="I3268" s="121">
        <f t="shared" si="1260"/>
        <v>1</v>
      </c>
      <c r="J3268" s="121">
        <f t="shared" si="1261"/>
        <v>1</v>
      </c>
      <c r="K3268" s="120">
        <f t="shared" si="1262"/>
        <v>0</v>
      </c>
      <c r="L3268" s="120">
        <f t="shared" si="1263"/>
        <v>0</v>
      </c>
      <c r="M3268" s="246">
        <f t="shared" si="1264"/>
        <v>0</v>
      </c>
      <c r="N3268" s="121">
        <f t="shared" si="1265"/>
        <v>1</v>
      </c>
      <c r="O3268" s="246">
        <f t="shared" si="1266"/>
        <v>0.99</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87">
        <v>5</v>
      </c>
      <c r="B3269" s="242">
        <f t="shared" si="1273"/>
        <v>45778</v>
      </c>
      <c r="C3269" s="243">
        <f t="shared" si="1254"/>
        <v>45808</v>
      </c>
      <c r="D3269" s="120">
        <f t="shared" si="1255"/>
        <v>31</v>
      </c>
      <c r="E3269" s="120">
        <f t="shared" si="1256"/>
        <v>5</v>
      </c>
      <c r="F3269" s="275">
        <f t="shared" si="1257"/>
        <v>45793.5</v>
      </c>
      <c r="G3269" s="120">
        <f t="shared" si="1258"/>
        <v>24304</v>
      </c>
      <c r="H3269" s="245">
        <f t="shared" si="1259"/>
        <v>1</v>
      </c>
      <c r="I3269" s="121">
        <f t="shared" si="1260"/>
        <v>1</v>
      </c>
      <c r="J3269" s="121">
        <f t="shared" si="1261"/>
        <v>1</v>
      </c>
      <c r="K3269" s="120">
        <f t="shared" si="1262"/>
        <v>0</v>
      </c>
      <c r="L3269" s="120">
        <f t="shared" si="1263"/>
        <v>0</v>
      </c>
      <c r="M3269" s="246">
        <f t="shared" si="1264"/>
        <v>0</v>
      </c>
      <c r="N3269" s="121">
        <f t="shared" si="1265"/>
        <v>1</v>
      </c>
      <c r="O3269" s="246">
        <f t="shared" si="1266"/>
        <v>0.99</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87">
        <v>6</v>
      </c>
      <c r="B3270" s="242">
        <f t="shared" si="1273"/>
        <v>45809</v>
      </c>
      <c r="C3270" s="243">
        <f t="shared" si="1254"/>
        <v>45838</v>
      </c>
      <c r="D3270" s="120">
        <f t="shared" si="1255"/>
        <v>30</v>
      </c>
      <c r="E3270" s="120">
        <f t="shared" si="1256"/>
        <v>6</v>
      </c>
      <c r="F3270" s="275">
        <f t="shared" si="1257"/>
        <v>45824</v>
      </c>
      <c r="G3270" s="120">
        <f t="shared" si="1258"/>
        <v>24305</v>
      </c>
      <c r="H3270" s="245">
        <f t="shared" si="1259"/>
        <v>1</v>
      </c>
      <c r="I3270" s="121">
        <f t="shared" si="1260"/>
        <v>1</v>
      </c>
      <c r="J3270" s="121">
        <f t="shared" si="1261"/>
        <v>1</v>
      </c>
      <c r="K3270" s="120">
        <f t="shared" si="1262"/>
        <v>0</v>
      </c>
      <c r="L3270" s="120">
        <f t="shared" si="1263"/>
        <v>0</v>
      </c>
      <c r="M3270" s="246">
        <f t="shared" si="1264"/>
        <v>0</v>
      </c>
      <c r="N3270" s="121">
        <f t="shared" si="1265"/>
        <v>1</v>
      </c>
      <c r="O3270" s="246">
        <f t="shared" si="1266"/>
        <v>0.99</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87">
        <v>7</v>
      </c>
      <c r="B3271" s="242">
        <f t="shared" si="1273"/>
        <v>45839</v>
      </c>
      <c r="C3271" s="243">
        <f t="shared" si="1254"/>
        <v>45869</v>
      </c>
      <c r="D3271" s="120">
        <f t="shared" si="1255"/>
        <v>31</v>
      </c>
      <c r="E3271" s="120">
        <f t="shared" si="1256"/>
        <v>7</v>
      </c>
      <c r="F3271" s="275">
        <f t="shared" si="1257"/>
        <v>45854.5</v>
      </c>
      <c r="G3271" s="120">
        <f t="shared" si="1258"/>
        <v>24306</v>
      </c>
      <c r="H3271" s="245">
        <f t="shared" si="1259"/>
        <v>1</v>
      </c>
      <c r="I3271" s="121">
        <f t="shared" si="1260"/>
        <v>1</v>
      </c>
      <c r="J3271" s="121">
        <f t="shared" si="1261"/>
        <v>1</v>
      </c>
      <c r="K3271" s="120">
        <f t="shared" si="1262"/>
        <v>0</v>
      </c>
      <c r="L3271" s="120">
        <f t="shared" si="1263"/>
        <v>0</v>
      </c>
      <c r="M3271" s="246">
        <f t="shared" si="1264"/>
        <v>0</v>
      </c>
      <c r="N3271" s="121">
        <f t="shared" si="1265"/>
        <v>1</v>
      </c>
      <c r="O3271" s="246">
        <f t="shared" si="1266"/>
        <v>0.99</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87">
        <v>8</v>
      </c>
      <c r="B3272" s="242">
        <f t="shared" si="1273"/>
        <v>45870</v>
      </c>
      <c r="C3272" s="243">
        <f t="shared" si="1254"/>
        <v>45900</v>
      </c>
      <c r="D3272" s="120">
        <f t="shared" si="1255"/>
        <v>31</v>
      </c>
      <c r="E3272" s="120">
        <f t="shared" si="1256"/>
        <v>8</v>
      </c>
      <c r="F3272" s="275">
        <f t="shared" si="1257"/>
        <v>45885.5</v>
      </c>
      <c r="G3272" s="120">
        <f t="shared" si="1258"/>
        <v>24307</v>
      </c>
      <c r="H3272" s="245">
        <f t="shared" si="1259"/>
        <v>1</v>
      </c>
      <c r="I3272" s="121">
        <f t="shared" si="1260"/>
        <v>1</v>
      </c>
      <c r="J3272" s="121">
        <f t="shared" si="1261"/>
        <v>1</v>
      </c>
      <c r="K3272" s="120">
        <f t="shared" si="1262"/>
        <v>0</v>
      </c>
      <c r="L3272" s="120">
        <f t="shared" si="1263"/>
        <v>0</v>
      </c>
      <c r="M3272" s="246">
        <f t="shared" si="1264"/>
        <v>0</v>
      </c>
      <c r="N3272" s="121">
        <f t="shared" si="1265"/>
        <v>1</v>
      </c>
      <c r="O3272" s="246">
        <f t="shared" si="1266"/>
        <v>0.99</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87">
        <v>9</v>
      </c>
      <c r="B3273" s="242">
        <f t="shared" si="1273"/>
        <v>45901</v>
      </c>
      <c r="C3273" s="243">
        <f t="shared" si="1254"/>
        <v>45930</v>
      </c>
      <c r="D3273" s="120">
        <f t="shared" si="1255"/>
        <v>30</v>
      </c>
      <c r="E3273" s="120">
        <f t="shared" si="1256"/>
        <v>9</v>
      </c>
      <c r="F3273" s="275">
        <f t="shared" si="1257"/>
        <v>45916</v>
      </c>
      <c r="G3273" s="120">
        <f t="shared" si="1258"/>
        <v>24308</v>
      </c>
      <c r="H3273" s="245">
        <f t="shared" si="1259"/>
        <v>1</v>
      </c>
      <c r="I3273" s="121">
        <f t="shared" si="1260"/>
        <v>1</v>
      </c>
      <c r="J3273" s="121">
        <f t="shared" si="1261"/>
        <v>1</v>
      </c>
      <c r="K3273" s="120">
        <f t="shared" si="1262"/>
        <v>0</v>
      </c>
      <c r="L3273" s="120">
        <f t="shared" si="1263"/>
        <v>0</v>
      </c>
      <c r="M3273" s="246">
        <f t="shared" si="1264"/>
        <v>0</v>
      </c>
      <c r="N3273" s="121">
        <f t="shared" si="1265"/>
        <v>1</v>
      </c>
      <c r="O3273" s="246">
        <f t="shared" si="1266"/>
        <v>0.99</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87">
        <v>10</v>
      </c>
      <c r="B3274" s="242">
        <f t="shared" si="1273"/>
        <v>45931</v>
      </c>
      <c r="C3274" s="243">
        <f t="shared" si="1254"/>
        <v>45961</v>
      </c>
      <c r="D3274" s="120">
        <f t="shared" si="1255"/>
        <v>31</v>
      </c>
      <c r="E3274" s="120">
        <f t="shared" si="1256"/>
        <v>10</v>
      </c>
      <c r="F3274" s="275">
        <f t="shared" si="1257"/>
        <v>45946.5</v>
      </c>
      <c r="G3274" s="120">
        <f t="shared" si="1258"/>
        <v>24309</v>
      </c>
      <c r="H3274" s="245">
        <f t="shared" si="1259"/>
        <v>1</v>
      </c>
      <c r="I3274" s="121">
        <f t="shared" si="1260"/>
        <v>1</v>
      </c>
      <c r="J3274" s="121">
        <f t="shared" si="1261"/>
        <v>1</v>
      </c>
      <c r="K3274" s="120">
        <f t="shared" si="1262"/>
        <v>0</v>
      </c>
      <c r="L3274" s="120">
        <f t="shared" si="1263"/>
        <v>0</v>
      </c>
      <c r="M3274" s="246">
        <f t="shared" si="1264"/>
        <v>0</v>
      </c>
      <c r="N3274" s="121">
        <f t="shared" si="1265"/>
        <v>1</v>
      </c>
      <c r="O3274" s="246">
        <f t="shared" si="1266"/>
        <v>0.99</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87">
        <v>11</v>
      </c>
      <c r="B3275" s="242">
        <f t="shared" si="1273"/>
        <v>45962</v>
      </c>
      <c r="C3275" s="243">
        <f t="shared" si="1254"/>
        <v>45991</v>
      </c>
      <c r="D3275" s="120">
        <f t="shared" si="1255"/>
        <v>30</v>
      </c>
      <c r="E3275" s="120">
        <f t="shared" si="1256"/>
        <v>11</v>
      </c>
      <c r="F3275" s="275">
        <f t="shared" si="1257"/>
        <v>45977</v>
      </c>
      <c r="G3275" s="120">
        <f t="shared" si="1258"/>
        <v>24310</v>
      </c>
      <c r="H3275" s="245">
        <f t="shared" si="1259"/>
        <v>1</v>
      </c>
      <c r="I3275" s="121">
        <f t="shared" si="1260"/>
        <v>1</v>
      </c>
      <c r="J3275" s="121">
        <f t="shared" si="1261"/>
        <v>1</v>
      </c>
      <c r="K3275" s="120">
        <f t="shared" si="1262"/>
        <v>0</v>
      </c>
      <c r="L3275" s="120">
        <f t="shared" si="1263"/>
        <v>0</v>
      </c>
      <c r="M3275" s="246">
        <f t="shared" si="1264"/>
        <v>0</v>
      </c>
      <c r="N3275" s="121">
        <f t="shared" si="1265"/>
        <v>1</v>
      </c>
      <c r="O3275" s="246">
        <f t="shared" si="1266"/>
        <v>0.99</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87">
        <v>12</v>
      </c>
      <c r="B3276" s="242">
        <f t="shared" si="1273"/>
        <v>45992</v>
      </c>
      <c r="C3276" s="243">
        <f t="shared" si="1254"/>
        <v>46022</v>
      </c>
      <c r="D3276" s="120">
        <f t="shared" si="1255"/>
        <v>31</v>
      </c>
      <c r="E3276" s="120">
        <f t="shared" si="1256"/>
        <v>12</v>
      </c>
      <c r="F3276" s="275">
        <f t="shared" si="1257"/>
        <v>46007.5</v>
      </c>
      <c r="G3276" s="120">
        <f t="shared" si="1258"/>
        <v>24311</v>
      </c>
      <c r="H3276" s="245">
        <f t="shared" si="1259"/>
        <v>1</v>
      </c>
      <c r="I3276" s="121">
        <f t="shared" si="1260"/>
        <v>1</v>
      </c>
      <c r="J3276" s="121">
        <f t="shared" si="1261"/>
        <v>1</v>
      </c>
      <c r="K3276" s="120">
        <f t="shared" si="1262"/>
        <v>0</v>
      </c>
      <c r="L3276" s="120">
        <f t="shared" si="1263"/>
        <v>0</v>
      </c>
      <c r="M3276" s="246">
        <f t="shared" si="1264"/>
        <v>0</v>
      </c>
      <c r="N3276" s="121">
        <f t="shared" si="1265"/>
        <v>1</v>
      </c>
      <c r="O3276" s="246">
        <f t="shared" si="1266"/>
        <v>0.99</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87">
        <v>13</v>
      </c>
      <c r="B3277" s="242">
        <f t="shared" si="1273"/>
        <v>46023</v>
      </c>
      <c r="C3277" s="243">
        <f t="shared" si="1254"/>
        <v>46053</v>
      </c>
      <c r="D3277" s="120">
        <f t="shared" si="1255"/>
        <v>31</v>
      </c>
      <c r="E3277" s="120">
        <f t="shared" si="1256"/>
        <v>1</v>
      </c>
      <c r="F3277" s="275">
        <f t="shared" si="1257"/>
        <v>46038.5</v>
      </c>
      <c r="G3277" s="120">
        <f t="shared" si="1258"/>
        <v>24312</v>
      </c>
      <c r="H3277" s="245">
        <f t="shared" si="1259"/>
        <v>1</v>
      </c>
      <c r="I3277" s="121">
        <f t="shared" si="1260"/>
        <v>1</v>
      </c>
      <c r="J3277" s="121">
        <f t="shared" si="1261"/>
        <v>1</v>
      </c>
      <c r="K3277" s="120">
        <f t="shared" si="1262"/>
        <v>0</v>
      </c>
      <c r="L3277" s="120">
        <f t="shared" si="1263"/>
        <v>0</v>
      </c>
      <c r="M3277" s="246">
        <f t="shared" si="1264"/>
        <v>0</v>
      </c>
      <c r="N3277" s="121">
        <f t="shared" si="1265"/>
        <v>1</v>
      </c>
      <c r="O3277" s="246">
        <f t="shared" si="1266"/>
        <v>0.99</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87">
        <v>14</v>
      </c>
      <c r="B3278" s="242">
        <f t="shared" si="1273"/>
        <v>46054</v>
      </c>
      <c r="C3278" s="243">
        <f t="shared" si="1254"/>
        <v>46081</v>
      </c>
      <c r="D3278" s="120">
        <f t="shared" si="1255"/>
        <v>28</v>
      </c>
      <c r="E3278" s="120">
        <f t="shared" si="1256"/>
        <v>2</v>
      </c>
      <c r="F3278" s="275">
        <f t="shared" si="1257"/>
        <v>46068</v>
      </c>
      <c r="G3278" s="120">
        <f t="shared" si="1258"/>
        <v>24313</v>
      </c>
      <c r="H3278" s="245">
        <f t="shared" si="1259"/>
        <v>1</v>
      </c>
      <c r="I3278" s="121">
        <f t="shared" si="1260"/>
        <v>1</v>
      </c>
      <c r="J3278" s="121">
        <f t="shared" si="1261"/>
        <v>1</v>
      </c>
      <c r="K3278" s="120">
        <f t="shared" si="1262"/>
        <v>0</v>
      </c>
      <c r="L3278" s="120">
        <f t="shared" si="1263"/>
        <v>0</v>
      </c>
      <c r="M3278" s="246">
        <f t="shared" si="1264"/>
        <v>0</v>
      </c>
      <c r="N3278" s="121">
        <f t="shared" si="1265"/>
        <v>1</v>
      </c>
      <c r="O3278" s="246">
        <f t="shared" si="1266"/>
        <v>0.99</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87">
        <v>15</v>
      </c>
      <c r="B3279" s="242">
        <f t="shared" si="1273"/>
        <v>46082</v>
      </c>
      <c r="C3279" s="243">
        <f t="shared" si="1254"/>
        <v>46112</v>
      </c>
      <c r="D3279" s="120">
        <f t="shared" si="1255"/>
        <v>31</v>
      </c>
      <c r="E3279" s="120">
        <f t="shared" si="1256"/>
        <v>3</v>
      </c>
      <c r="F3279" s="275">
        <f t="shared" si="1257"/>
        <v>46097.5</v>
      </c>
      <c r="G3279" s="120">
        <f t="shared" si="1258"/>
        <v>24314</v>
      </c>
      <c r="H3279" s="245">
        <f t="shared" si="1259"/>
        <v>1</v>
      </c>
      <c r="I3279" s="121">
        <f t="shared" si="1260"/>
        <v>1</v>
      </c>
      <c r="J3279" s="121">
        <f t="shared" si="1261"/>
        <v>1</v>
      </c>
      <c r="K3279" s="120">
        <f t="shared" si="1262"/>
        <v>0</v>
      </c>
      <c r="L3279" s="120">
        <f t="shared" si="1263"/>
        <v>0</v>
      </c>
      <c r="M3279" s="246">
        <f t="shared" si="1264"/>
        <v>0</v>
      </c>
      <c r="N3279" s="121">
        <f t="shared" si="1265"/>
        <v>1</v>
      </c>
      <c r="O3279" s="246">
        <f t="shared" si="1266"/>
        <v>0.99</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87">
        <v>16</v>
      </c>
      <c r="B3280" s="242">
        <f t="shared" si="1273"/>
        <v>46113</v>
      </c>
      <c r="C3280" s="243">
        <f t="shared" si="1254"/>
        <v>46142</v>
      </c>
      <c r="D3280" s="120">
        <f t="shared" si="1255"/>
        <v>30</v>
      </c>
      <c r="E3280" s="120">
        <f t="shared" si="1256"/>
        <v>4</v>
      </c>
      <c r="F3280" s="275">
        <f t="shared" si="1257"/>
        <v>46128</v>
      </c>
      <c r="G3280" s="120">
        <f t="shared" si="1258"/>
        <v>24315</v>
      </c>
      <c r="H3280" s="245">
        <f t="shared" si="1259"/>
        <v>1</v>
      </c>
      <c r="I3280" s="121">
        <f t="shared" si="1260"/>
        <v>1</v>
      </c>
      <c r="J3280" s="121">
        <f t="shared" si="1261"/>
        <v>1</v>
      </c>
      <c r="K3280" s="120">
        <f t="shared" si="1262"/>
        <v>0</v>
      </c>
      <c r="L3280" s="120">
        <f t="shared" si="1263"/>
        <v>0</v>
      </c>
      <c r="M3280" s="246">
        <f t="shared" si="1264"/>
        <v>0</v>
      </c>
      <c r="N3280" s="121">
        <f t="shared" si="1265"/>
        <v>1</v>
      </c>
      <c r="O3280" s="246">
        <f t="shared" si="1266"/>
        <v>0.99</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87">
        <v>17</v>
      </c>
      <c r="B3281" s="242">
        <f t="shared" si="1273"/>
        <v>46143</v>
      </c>
      <c r="C3281" s="243">
        <f t="shared" si="1254"/>
        <v>46173</v>
      </c>
      <c r="D3281" s="120">
        <f t="shared" si="1255"/>
        <v>31</v>
      </c>
      <c r="E3281" s="120">
        <f t="shared" si="1256"/>
        <v>5</v>
      </c>
      <c r="F3281" s="275">
        <f t="shared" si="1257"/>
        <v>46158.5</v>
      </c>
      <c r="G3281" s="120">
        <f t="shared" si="1258"/>
        <v>24316</v>
      </c>
      <c r="H3281" s="245">
        <f t="shared" si="1259"/>
        <v>1</v>
      </c>
      <c r="I3281" s="121">
        <f t="shared" si="1260"/>
        <v>1</v>
      </c>
      <c r="J3281" s="121">
        <f t="shared" si="1261"/>
        <v>1</v>
      </c>
      <c r="K3281" s="120">
        <f t="shared" si="1262"/>
        <v>0</v>
      </c>
      <c r="L3281" s="120">
        <f t="shared" si="1263"/>
        <v>0</v>
      </c>
      <c r="M3281" s="246">
        <f t="shared" si="1264"/>
        <v>0</v>
      </c>
      <c r="N3281" s="121">
        <f t="shared" si="1265"/>
        <v>1</v>
      </c>
      <c r="O3281" s="246">
        <f t="shared" si="1266"/>
        <v>0.99</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87">
        <v>18</v>
      </c>
      <c r="B3282" s="242">
        <f t="shared" si="1273"/>
        <v>46174</v>
      </c>
      <c r="C3282" s="243">
        <f t="shared" si="1254"/>
        <v>46203</v>
      </c>
      <c r="D3282" s="120">
        <f t="shared" si="1255"/>
        <v>30</v>
      </c>
      <c r="E3282" s="120">
        <f t="shared" si="1256"/>
        <v>6</v>
      </c>
      <c r="F3282" s="275">
        <f t="shared" si="1257"/>
        <v>46189</v>
      </c>
      <c r="G3282" s="120">
        <f t="shared" si="1258"/>
        <v>24317</v>
      </c>
      <c r="H3282" s="245">
        <f t="shared" si="1259"/>
        <v>1</v>
      </c>
      <c r="I3282" s="121">
        <f t="shared" si="1260"/>
        <v>1</v>
      </c>
      <c r="J3282" s="121">
        <f t="shared" si="1261"/>
        <v>1</v>
      </c>
      <c r="K3282" s="120">
        <f t="shared" si="1262"/>
        <v>0</v>
      </c>
      <c r="L3282" s="120">
        <f t="shared" si="1263"/>
        <v>0</v>
      </c>
      <c r="M3282" s="246">
        <f t="shared" si="1264"/>
        <v>0</v>
      </c>
      <c r="N3282" s="121">
        <f t="shared" si="1265"/>
        <v>1</v>
      </c>
      <c r="O3282" s="246">
        <f t="shared" si="1266"/>
        <v>0.99</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87">
        <v>19</v>
      </c>
      <c r="B3283" s="242">
        <f t="shared" si="1273"/>
        <v>46204</v>
      </c>
      <c r="C3283" s="243">
        <f t="shared" si="1254"/>
        <v>46234</v>
      </c>
      <c r="D3283" s="120">
        <f t="shared" si="1255"/>
        <v>31</v>
      </c>
      <c r="E3283" s="120">
        <f t="shared" si="1256"/>
        <v>7</v>
      </c>
      <c r="F3283" s="275">
        <f t="shared" si="1257"/>
        <v>46219.5</v>
      </c>
      <c r="G3283" s="120">
        <f t="shared" si="1258"/>
        <v>24318</v>
      </c>
      <c r="H3283" s="245">
        <f t="shared" si="1259"/>
        <v>1</v>
      </c>
      <c r="I3283" s="121">
        <f t="shared" si="1260"/>
        <v>1</v>
      </c>
      <c r="J3283" s="121">
        <f t="shared" si="1261"/>
        <v>1</v>
      </c>
      <c r="K3283" s="120">
        <f t="shared" si="1262"/>
        <v>0</v>
      </c>
      <c r="L3283" s="120">
        <f t="shared" si="1263"/>
        <v>0</v>
      </c>
      <c r="M3283" s="246">
        <f t="shared" si="1264"/>
        <v>0</v>
      </c>
      <c r="N3283" s="121">
        <f t="shared" si="1265"/>
        <v>1</v>
      </c>
      <c r="O3283" s="246">
        <f t="shared" si="1266"/>
        <v>0.99</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87">
        <v>20</v>
      </c>
      <c r="B3284" s="242">
        <f t="shared" si="1273"/>
        <v>46235</v>
      </c>
      <c r="C3284" s="243">
        <f t="shared" si="1254"/>
        <v>46265</v>
      </c>
      <c r="D3284" s="120">
        <f t="shared" si="1255"/>
        <v>31</v>
      </c>
      <c r="E3284" s="120">
        <f t="shared" si="1256"/>
        <v>8</v>
      </c>
      <c r="F3284" s="275">
        <f t="shared" si="1257"/>
        <v>46250.5</v>
      </c>
      <c r="G3284" s="120">
        <f t="shared" si="1258"/>
        <v>24319</v>
      </c>
      <c r="H3284" s="245">
        <f t="shared" si="1259"/>
        <v>1</v>
      </c>
      <c r="I3284" s="121">
        <f t="shared" si="1260"/>
        <v>1</v>
      </c>
      <c r="J3284" s="121">
        <f t="shared" si="1261"/>
        <v>1</v>
      </c>
      <c r="K3284" s="120">
        <f t="shared" si="1262"/>
        <v>0</v>
      </c>
      <c r="L3284" s="120">
        <f t="shared" si="1263"/>
        <v>0</v>
      </c>
      <c r="M3284" s="246">
        <f t="shared" si="1264"/>
        <v>0</v>
      </c>
      <c r="N3284" s="121">
        <f t="shared" si="1265"/>
        <v>1</v>
      </c>
      <c r="O3284" s="246">
        <f t="shared" si="1266"/>
        <v>0.99</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87">
        <v>21</v>
      </c>
      <c r="B3285" s="242">
        <f t="shared" si="1273"/>
        <v>46266</v>
      </c>
      <c r="C3285" s="243">
        <f t="shared" si="1254"/>
        <v>46295</v>
      </c>
      <c r="D3285" s="120">
        <f t="shared" si="1255"/>
        <v>30</v>
      </c>
      <c r="E3285" s="120">
        <f t="shared" si="1256"/>
        <v>9</v>
      </c>
      <c r="F3285" s="275">
        <f t="shared" si="1257"/>
        <v>46281</v>
      </c>
      <c r="G3285" s="120">
        <f t="shared" si="1258"/>
        <v>24320</v>
      </c>
      <c r="H3285" s="245">
        <f t="shared" si="1259"/>
        <v>1</v>
      </c>
      <c r="I3285" s="121">
        <f t="shared" si="1260"/>
        <v>1</v>
      </c>
      <c r="J3285" s="121">
        <f t="shared" si="1261"/>
        <v>1</v>
      </c>
      <c r="K3285" s="120">
        <f t="shared" si="1262"/>
        <v>0</v>
      </c>
      <c r="L3285" s="120">
        <f t="shared" si="1263"/>
        <v>0</v>
      </c>
      <c r="M3285" s="246">
        <f t="shared" si="1264"/>
        <v>0</v>
      </c>
      <c r="N3285" s="121">
        <f t="shared" si="1265"/>
        <v>1</v>
      </c>
      <c r="O3285" s="246">
        <f t="shared" si="1266"/>
        <v>0.99</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87">
        <v>22</v>
      </c>
      <c r="B3286" s="242">
        <f t="shared" si="1273"/>
        <v>46296</v>
      </c>
      <c r="C3286" s="243">
        <f t="shared" si="1254"/>
        <v>46326</v>
      </c>
      <c r="D3286" s="120">
        <f t="shared" si="1255"/>
        <v>31</v>
      </c>
      <c r="E3286" s="120">
        <f t="shared" si="1256"/>
        <v>10</v>
      </c>
      <c r="F3286" s="275">
        <f t="shared" si="1257"/>
        <v>46311.5</v>
      </c>
      <c r="G3286" s="120">
        <f t="shared" si="1258"/>
        <v>24321</v>
      </c>
      <c r="H3286" s="245">
        <f t="shared" si="1259"/>
        <v>1</v>
      </c>
      <c r="I3286" s="121">
        <f t="shared" si="1260"/>
        <v>1</v>
      </c>
      <c r="J3286" s="121">
        <f t="shared" si="1261"/>
        <v>1</v>
      </c>
      <c r="K3286" s="120">
        <f t="shared" si="1262"/>
        <v>0</v>
      </c>
      <c r="L3286" s="120">
        <f t="shared" si="1263"/>
        <v>0</v>
      </c>
      <c r="M3286" s="246">
        <f t="shared" si="1264"/>
        <v>0</v>
      </c>
      <c r="N3286" s="121">
        <f t="shared" si="1265"/>
        <v>1</v>
      </c>
      <c r="O3286" s="246">
        <f t="shared" si="1266"/>
        <v>0.99</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87">
        <v>23</v>
      </c>
      <c r="B3287" s="242">
        <f t="shared" si="1273"/>
        <v>46327</v>
      </c>
      <c r="C3287" s="243">
        <f t="shared" si="1254"/>
        <v>46356</v>
      </c>
      <c r="D3287" s="120">
        <f t="shared" si="1255"/>
        <v>30</v>
      </c>
      <c r="E3287" s="120">
        <f t="shared" si="1256"/>
        <v>11</v>
      </c>
      <c r="F3287" s="275">
        <f t="shared" si="1257"/>
        <v>46342</v>
      </c>
      <c r="G3287" s="120">
        <f t="shared" si="1258"/>
        <v>24322</v>
      </c>
      <c r="H3287" s="245">
        <f t="shared" si="1259"/>
        <v>1</v>
      </c>
      <c r="I3287" s="121">
        <f t="shared" si="1260"/>
        <v>1</v>
      </c>
      <c r="J3287" s="121">
        <f t="shared" si="1261"/>
        <v>1</v>
      </c>
      <c r="K3287" s="120">
        <f t="shared" si="1262"/>
        <v>0</v>
      </c>
      <c r="L3287" s="120">
        <f t="shared" si="1263"/>
        <v>0</v>
      </c>
      <c r="M3287" s="246">
        <f t="shared" si="1264"/>
        <v>0</v>
      </c>
      <c r="N3287" s="121">
        <f t="shared" si="1265"/>
        <v>1</v>
      </c>
      <c r="O3287" s="246">
        <f t="shared" si="1266"/>
        <v>0.99</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87">
        <v>24</v>
      </c>
      <c r="B3288" s="242">
        <f t="shared" si="1273"/>
        <v>46357</v>
      </c>
      <c r="C3288" s="243">
        <f t="shared" si="1254"/>
        <v>46387</v>
      </c>
      <c r="D3288" s="120">
        <f t="shared" si="1255"/>
        <v>31</v>
      </c>
      <c r="E3288" s="120">
        <f t="shared" si="1256"/>
        <v>12</v>
      </c>
      <c r="F3288" s="275">
        <f t="shared" si="1257"/>
        <v>46372.5</v>
      </c>
      <c r="G3288" s="120">
        <f t="shared" si="1258"/>
        <v>24323</v>
      </c>
      <c r="H3288" s="245">
        <f t="shared" si="1259"/>
        <v>1</v>
      </c>
      <c r="I3288" s="121">
        <f t="shared" si="1260"/>
        <v>1</v>
      </c>
      <c r="J3288" s="121">
        <f t="shared" si="1261"/>
        <v>1</v>
      </c>
      <c r="K3288" s="120">
        <f t="shared" si="1262"/>
        <v>0</v>
      </c>
      <c r="L3288" s="120">
        <f t="shared" si="1263"/>
        <v>0</v>
      </c>
      <c r="M3288" s="246">
        <f t="shared" si="1264"/>
        <v>0</v>
      </c>
      <c r="N3288" s="121">
        <f t="shared" si="1265"/>
        <v>1</v>
      </c>
      <c r="O3288" s="246">
        <f t="shared" si="1266"/>
        <v>0.99</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87">
        <v>25</v>
      </c>
      <c r="B3289" s="242">
        <f t="shared" si="1273"/>
        <v>46388</v>
      </c>
      <c r="C3289" s="243">
        <f t="shared" si="1254"/>
        <v>46418</v>
      </c>
      <c r="D3289" s="120">
        <f t="shared" si="1255"/>
        <v>31</v>
      </c>
      <c r="E3289" s="120">
        <f t="shared" si="1256"/>
        <v>1</v>
      </c>
      <c r="F3289" s="275">
        <f t="shared" si="1257"/>
        <v>46403.5</v>
      </c>
      <c r="G3289" s="120">
        <f t="shared" si="1258"/>
        <v>24324</v>
      </c>
      <c r="H3289" s="245">
        <f t="shared" si="1259"/>
        <v>1</v>
      </c>
      <c r="I3289" s="121">
        <f t="shared" si="1260"/>
        <v>1</v>
      </c>
      <c r="J3289" s="121">
        <f t="shared" si="1261"/>
        <v>1</v>
      </c>
      <c r="K3289" s="120">
        <f t="shared" si="1262"/>
        <v>0</v>
      </c>
      <c r="L3289" s="120">
        <f t="shared" si="1263"/>
        <v>0</v>
      </c>
      <c r="M3289" s="246">
        <f t="shared" si="1264"/>
        <v>0</v>
      </c>
      <c r="N3289" s="121">
        <f t="shared" si="1265"/>
        <v>1</v>
      </c>
      <c r="O3289" s="246">
        <f t="shared" si="1266"/>
        <v>0.99</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87">
        <v>26</v>
      </c>
      <c r="B3290" s="242">
        <f t="shared" si="1273"/>
        <v>46419</v>
      </c>
      <c r="C3290" s="243">
        <f t="shared" si="1254"/>
        <v>46446</v>
      </c>
      <c r="D3290" s="120">
        <f t="shared" si="1255"/>
        <v>28</v>
      </c>
      <c r="E3290" s="120">
        <f t="shared" si="1256"/>
        <v>2</v>
      </c>
      <c r="F3290" s="275">
        <f t="shared" si="1257"/>
        <v>46433</v>
      </c>
      <c r="G3290" s="120">
        <f t="shared" si="1258"/>
        <v>24325</v>
      </c>
      <c r="H3290" s="245">
        <f t="shared" si="1259"/>
        <v>1</v>
      </c>
      <c r="I3290" s="121">
        <f t="shared" si="1260"/>
        <v>1</v>
      </c>
      <c r="J3290" s="121">
        <f t="shared" si="1261"/>
        <v>1</v>
      </c>
      <c r="K3290" s="120">
        <f t="shared" si="1262"/>
        <v>0</v>
      </c>
      <c r="L3290" s="120">
        <f t="shared" si="1263"/>
        <v>0</v>
      </c>
      <c r="M3290" s="246">
        <f t="shared" si="1264"/>
        <v>0</v>
      </c>
      <c r="N3290" s="121">
        <f t="shared" si="1265"/>
        <v>1</v>
      </c>
      <c r="O3290" s="246">
        <f t="shared" si="1266"/>
        <v>0.99</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87">
        <v>27</v>
      </c>
      <c r="B3291" s="242">
        <f t="shared" si="1273"/>
        <v>46447</v>
      </c>
      <c r="C3291" s="243">
        <f t="shared" si="1254"/>
        <v>46477</v>
      </c>
      <c r="D3291" s="120">
        <f t="shared" si="1255"/>
        <v>31</v>
      </c>
      <c r="E3291" s="120">
        <f t="shared" si="1256"/>
        <v>3</v>
      </c>
      <c r="F3291" s="275">
        <f t="shared" si="1257"/>
        <v>46462.5</v>
      </c>
      <c r="G3291" s="120">
        <f t="shared" si="1258"/>
        <v>24326</v>
      </c>
      <c r="H3291" s="245">
        <f t="shared" si="1259"/>
        <v>1</v>
      </c>
      <c r="I3291" s="121">
        <f t="shared" si="1260"/>
        <v>1</v>
      </c>
      <c r="J3291" s="121">
        <f t="shared" si="1261"/>
        <v>1</v>
      </c>
      <c r="K3291" s="120">
        <f t="shared" si="1262"/>
        <v>0</v>
      </c>
      <c r="L3291" s="120">
        <f t="shared" si="1263"/>
        <v>0</v>
      </c>
      <c r="M3291" s="246">
        <f t="shared" si="1264"/>
        <v>0</v>
      </c>
      <c r="N3291" s="121">
        <f t="shared" si="1265"/>
        <v>1</v>
      </c>
      <c r="O3291" s="246">
        <f t="shared" si="1266"/>
        <v>0.99</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87">
        <v>28</v>
      </c>
      <c r="B3292" s="242">
        <f t="shared" si="1273"/>
        <v>46478</v>
      </c>
      <c r="C3292" s="243">
        <f t="shared" si="1254"/>
        <v>46507</v>
      </c>
      <c r="D3292" s="120">
        <f t="shared" si="1255"/>
        <v>30</v>
      </c>
      <c r="E3292" s="120">
        <f t="shared" si="1256"/>
        <v>4</v>
      </c>
      <c r="F3292" s="275">
        <f t="shared" si="1257"/>
        <v>46493</v>
      </c>
      <c r="G3292" s="120">
        <f t="shared" si="1258"/>
        <v>24327</v>
      </c>
      <c r="H3292" s="245">
        <f t="shared" si="1259"/>
        <v>1</v>
      </c>
      <c r="I3292" s="121">
        <f t="shared" si="1260"/>
        <v>1</v>
      </c>
      <c r="J3292" s="121">
        <f t="shared" si="1261"/>
        <v>1</v>
      </c>
      <c r="K3292" s="120">
        <f t="shared" si="1262"/>
        <v>0</v>
      </c>
      <c r="L3292" s="120">
        <f t="shared" si="1263"/>
        <v>0</v>
      </c>
      <c r="M3292" s="246">
        <f t="shared" si="1264"/>
        <v>0</v>
      </c>
      <c r="N3292" s="121">
        <f t="shared" si="1265"/>
        <v>1</v>
      </c>
      <c r="O3292" s="246">
        <f t="shared" si="1266"/>
        <v>0.99</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87">
        <v>29</v>
      </c>
      <c r="B3293" s="242">
        <f t="shared" si="1273"/>
        <v>46508</v>
      </c>
      <c r="C3293" s="243">
        <f t="shared" si="1254"/>
        <v>46538</v>
      </c>
      <c r="D3293" s="120">
        <f t="shared" si="1255"/>
        <v>31</v>
      </c>
      <c r="E3293" s="120">
        <f t="shared" si="1256"/>
        <v>5</v>
      </c>
      <c r="F3293" s="275">
        <f t="shared" si="1257"/>
        <v>46523.5</v>
      </c>
      <c r="G3293" s="120">
        <f t="shared" si="1258"/>
        <v>24328</v>
      </c>
      <c r="H3293" s="245">
        <f t="shared" si="1259"/>
        <v>1</v>
      </c>
      <c r="I3293" s="121">
        <f t="shared" si="1260"/>
        <v>1</v>
      </c>
      <c r="J3293" s="121">
        <f t="shared" si="1261"/>
        <v>1</v>
      </c>
      <c r="K3293" s="120">
        <f t="shared" si="1262"/>
        <v>0</v>
      </c>
      <c r="L3293" s="120">
        <f t="shared" si="1263"/>
        <v>0</v>
      </c>
      <c r="M3293" s="246">
        <f t="shared" si="1264"/>
        <v>0</v>
      </c>
      <c r="N3293" s="121">
        <f t="shared" si="1265"/>
        <v>1</v>
      </c>
      <c r="O3293" s="246">
        <f t="shared" si="1266"/>
        <v>0.99</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87">
        <v>30</v>
      </c>
      <c r="B3294" s="242">
        <f t="shared" si="1273"/>
        <v>46539</v>
      </c>
      <c r="C3294" s="243">
        <f t="shared" si="1254"/>
        <v>46568</v>
      </c>
      <c r="D3294" s="120">
        <f t="shared" si="1255"/>
        <v>30</v>
      </c>
      <c r="E3294" s="120">
        <f t="shared" si="1256"/>
        <v>6</v>
      </c>
      <c r="F3294" s="275">
        <f t="shared" si="1257"/>
        <v>46554</v>
      </c>
      <c r="G3294" s="120">
        <f t="shared" si="1258"/>
        <v>24329</v>
      </c>
      <c r="H3294" s="245">
        <f t="shared" si="1259"/>
        <v>1</v>
      </c>
      <c r="I3294" s="121">
        <f t="shared" si="1260"/>
        <v>1</v>
      </c>
      <c r="J3294" s="121">
        <f t="shared" si="1261"/>
        <v>1</v>
      </c>
      <c r="K3294" s="120">
        <f t="shared" si="1262"/>
        <v>0</v>
      </c>
      <c r="L3294" s="120">
        <f t="shared" si="1263"/>
        <v>0</v>
      </c>
      <c r="M3294" s="246">
        <f t="shared" si="1264"/>
        <v>0</v>
      </c>
      <c r="N3294" s="121">
        <f t="shared" si="1265"/>
        <v>1</v>
      </c>
      <c r="O3294" s="246">
        <f t="shared" si="1266"/>
        <v>0.99</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87">
        <v>31</v>
      </c>
      <c r="B3295" s="242">
        <f t="shared" si="1273"/>
        <v>46569</v>
      </c>
      <c r="C3295" s="243">
        <f t="shared" si="1254"/>
        <v>46599</v>
      </c>
      <c r="D3295" s="120">
        <f t="shared" si="1255"/>
        <v>31</v>
      </c>
      <c r="E3295" s="120">
        <f t="shared" si="1256"/>
        <v>7</v>
      </c>
      <c r="F3295" s="275">
        <f t="shared" si="1257"/>
        <v>46584.5</v>
      </c>
      <c r="G3295" s="120">
        <f t="shared" si="1258"/>
        <v>24330</v>
      </c>
      <c r="H3295" s="245">
        <f t="shared" si="1259"/>
        <v>1</v>
      </c>
      <c r="I3295" s="121">
        <f t="shared" si="1260"/>
        <v>1</v>
      </c>
      <c r="J3295" s="121">
        <f t="shared" si="1261"/>
        <v>1</v>
      </c>
      <c r="K3295" s="120">
        <f t="shared" si="1262"/>
        <v>0</v>
      </c>
      <c r="L3295" s="120">
        <f t="shared" si="1263"/>
        <v>0</v>
      </c>
      <c r="M3295" s="246">
        <f t="shared" si="1264"/>
        <v>0</v>
      </c>
      <c r="N3295" s="121">
        <f t="shared" si="1265"/>
        <v>1</v>
      </c>
      <c r="O3295" s="246">
        <f t="shared" si="1266"/>
        <v>0.99</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87">
        <v>32</v>
      </c>
      <c r="B3296" s="242">
        <f t="shared" si="1273"/>
        <v>46600</v>
      </c>
      <c r="C3296" s="243">
        <f t="shared" si="1254"/>
        <v>46630</v>
      </c>
      <c r="D3296" s="120">
        <f t="shared" si="1255"/>
        <v>31</v>
      </c>
      <c r="E3296" s="120">
        <f t="shared" si="1256"/>
        <v>8</v>
      </c>
      <c r="F3296" s="275">
        <f t="shared" si="1257"/>
        <v>46615.5</v>
      </c>
      <c r="G3296" s="120">
        <f t="shared" si="1258"/>
        <v>24331</v>
      </c>
      <c r="H3296" s="245">
        <f t="shared" si="1259"/>
        <v>1</v>
      </c>
      <c r="I3296" s="121">
        <f t="shared" si="1260"/>
        <v>1</v>
      </c>
      <c r="J3296" s="121">
        <f t="shared" si="1261"/>
        <v>1</v>
      </c>
      <c r="K3296" s="120">
        <f t="shared" si="1262"/>
        <v>0</v>
      </c>
      <c r="L3296" s="120">
        <f t="shared" si="1263"/>
        <v>0</v>
      </c>
      <c r="M3296" s="246">
        <f t="shared" si="1264"/>
        <v>0</v>
      </c>
      <c r="N3296" s="121">
        <f t="shared" si="1265"/>
        <v>1</v>
      </c>
      <c r="O3296" s="246">
        <f t="shared" si="1266"/>
        <v>0.99</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87">
        <v>33</v>
      </c>
      <c r="B3297" s="242">
        <f t="shared" si="1273"/>
        <v>46631</v>
      </c>
      <c r="C3297" s="243">
        <f t="shared" si="1254"/>
        <v>46660</v>
      </c>
      <c r="D3297" s="120">
        <f t="shared" si="1255"/>
        <v>30</v>
      </c>
      <c r="E3297" s="120">
        <f t="shared" si="1256"/>
        <v>9</v>
      </c>
      <c r="F3297" s="275">
        <f t="shared" si="1257"/>
        <v>46646</v>
      </c>
      <c r="G3297" s="120">
        <f t="shared" si="1258"/>
        <v>24332</v>
      </c>
      <c r="H3297" s="245">
        <f t="shared" si="1259"/>
        <v>1</v>
      </c>
      <c r="I3297" s="121">
        <f t="shared" si="1260"/>
        <v>1</v>
      </c>
      <c r="J3297" s="121">
        <f t="shared" si="1261"/>
        <v>1</v>
      </c>
      <c r="K3297" s="120">
        <f t="shared" si="1262"/>
        <v>0</v>
      </c>
      <c r="L3297" s="120">
        <f t="shared" si="1263"/>
        <v>0</v>
      </c>
      <c r="M3297" s="246">
        <f t="shared" si="1264"/>
        <v>0</v>
      </c>
      <c r="N3297" s="121">
        <f t="shared" si="1265"/>
        <v>1</v>
      </c>
      <c r="O3297" s="246">
        <f t="shared" si="1266"/>
        <v>0.99</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87">
        <v>34</v>
      </c>
      <c r="B3298" s="242">
        <f t="shared" si="1273"/>
        <v>46661</v>
      </c>
      <c r="C3298" s="243">
        <f t="shared" si="1254"/>
        <v>46691</v>
      </c>
      <c r="D3298" s="120">
        <f t="shared" si="1255"/>
        <v>31</v>
      </c>
      <c r="E3298" s="120">
        <f t="shared" si="1256"/>
        <v>10</v>
      </c>
      <c r="F3298" s="275">
        <f t="shared" si="1257"/>
        <v>46676.5</v>
      </c>
      <c r="G3298" s="120">
        <f t="shared" si="1258"/>
        <v>24333</v>
      </c>
      <c r="H3298" s="245">
        <f t="shared" si="1259"/>
        <v>1</v>
      </c>
      <c r="I3298" s="121">
        <f t="shared" si="1260"/>
        <v>1</v>
      </c>
      <c r="J3298" s="121">
        <f t="shared" si="1261"/>
        <v>1</v>
      </c>
      <c r="K3298" s="120">
        <f t="shared" si="1262"/>
        <v>0</v>
      </c>
      <c r="L3298" s="120">
        <f t="shared" si="1263"/>
        <v>0</v>
      </c>
      <c r="M3298" s="246">
        <f t="shared" si="1264"/>
        <v>0</v>
      </c>
      <c r="N3298" s="121">
        <f t="shared" si="1265"/>
        <v>1</v>
      </c>
      <c r="O3298" s="246">
        <f t="shared" si="1266"/>
        <v>0.99</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87">
        <v>35</v>
      </c>
      <c r="B3299" s="242">
        <f t="shared" si="1273"/>
        <v>46692</v>
      </c>
      <c r="C3299" s="243">
        <f t="shared" si="1254"/>
        <v>46721</v>
      </c>
      <c r="D3299" s="120">
        <f t="shared" si="1255"/>
        <v>30</v>
      </c>
      <c r="E3299" s="120">
        <f t="shared" si="1256"/>
        <v>11</v>
      </c>
      <c r="F3299" s="275">
        <f t="shared" si="1257"/>
        <v>46707</v>
      </c>
      <c r="G3299" s="120">
        <f t="shared" si="1258"/>
        <v>24334</v>
      </c>
      <c r="H3299" s="245">
        <f t="shared" si="1259"/>
        <v>1</v>
      </c>
      <c r="I3299" s="121">
        <f t="shared" si="1260"/>
        <v>1</v>
      </c>
      <c r="J3299" s="121">
        <f t="shared" si="1261"/>
        <v>1</v>
      </c>
      <c r="K3299" s="120">
        <f t="shared" si="1262"/>
        <v>0</v>
      </c>
      <c r="L3299" s="120">
        <f t="shared" si="1263"/>
        <v>0</v>
      </c>
      <c r="M3299" s="246">
        <f t="shared" si="1264"/>
        <v>0</v>
      </c>
      <c r="N3299" s="121">
        <f t="shared" si="1265"/>
        <v>1</v>
      </c>
      <c r="O3299" s="246">
        <f t="shared" si="1266"/>
        <v>0.99</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87">
        <v>36</v>
      </c>
      <c r="B3300" s="242">
        <f t="shared" si="1273"/>
        <v>46722</v>
      </c>
      <c r="C3300" s="243">
        <f t="shared" si="1254"/>
        <v>46752</v>
      </c>
      <c r="D3300" s="120">
        <f t="shared" si="1255"/>
        <v>31</v>
      </c>
      <c r="E3300" s="120">
        <f t="shared" si="1256"/>
        <v>12</v>
      </c>
      <c r="F3300" s="275">
        <f t="shared" si="1257"/>
        <v>46737.5</v>
      </c>
      <c r="G3300" s="120">
        <f t="shared" si="1258"/>
        <v>24335</v>
      </c>
      <c r="H3300" s="245">
        <f t="shared" si="1259"/>
        <v>1</v>
      </c>
      <c r="I3300" s="121">
        <f t="shared" si="1260"/>
        <v>1</v>
      </c>
      <c r="J3300" s="121">
        <f t="shared" si="1261"/>
        <v>1</v>
      </c>
      <c r="K3300" s="120">
        <f t="shared" si="1262"/>
        <v>0</v>
      </c>
      <c r="L3300" s="120">
        <f t="shared" si="1263"/>
        <v>0</v>
      </c>
      <c r="M3300" s="246">
        <f t="shared" si="1264"/>
        <v>0</v>
      </c>
      <c r="N3300" s="121">
        <f t="shared" si="1265"/>
        <v>1</v>
      </c>
      <c r="O3300" s="246">
        <f t="shared" si="1266"/>
        <v>0.99</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87">
        <v>37</v>
      </c>
      <c r="B3301" s="242">
        <f t="shared" si="1273"/>
        <v>46753</v>
      </c>
      <c r="C3301" s="243">
        <f t="shared" si="1254"/>
        <v>46783</v>
      </c>
      <c r="D3301" s="120">
        <f t="shared" si="1255"/>
        <v>31</v>
      </c>
      <c r="E3301" s="120">
        <f t="shared" si="1256"/>
        <v>1</v>
      </c>
      <c r="F3301" s="275">
        <f t="shared" si="1257"/>
        <v>46768.5</v>
      </c>
      <c r="G3301" s="120">
        <f t="shared" si="1258"/>
        <v>24336</v>
      </c>
      <c r="H3301" s="245">
        <f t="shared" si="1259"/>
        <v>1</v>
      </c>
      <c r="I3301" s="121">
        <f t="shared" si="1260"/>
        <v>1</v>
      </c>
      <c r="J3301" s="121">
        <f t="shared" si="1261"/>
        <v>1</v>
      </c>
      <c r="K3301" s="120">
        <f t="shared" si="1262"/>
        <v>0</v>
      </c>
      <c r="L3301" s="120">
        <f t="shared" si="1263"/>
        <v>0</v>
      </c>
      <c r="M3301" s="246">
        <f t="shared" si="1264"/>
        <v>0</v>
      </c>
      <c r="N3301" s="121">
        <f t="shared" si="1265"/>
        <v>1</v>
      </c>
      <c r="O3301" s="246">
        <f t="shared" si="1266"/>
        <v>0.99</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87">
        <v>38</v>
      </c>
      <c r="B3302" s="242">
        <f t="shared" si="1273"/>
        <v>46784</v>
      </c>
      <c r="C3302" s="243">
        <f t="shared" si="1254"/>
        <v>46812</v>
      </c>
      <c r="D3302" s="120">
        <f t="shared" si="1255"/>
        <v>29</v>
      </c>
      <c r="E3302" s="120">
        <f t="shared" si="1256"/>
        <v>2</v>
      </c>
      <c r="F3302" s="275">
        <f t="shared" si="1257"/>
        <v>46798.5</v>
      </c>
      <c r="G3302" s="120">
        <f t="shared" si="1258"/>
        <v>24337</v>
      </c>
      <c r="H3302" s="245">
        <f t="shared" si="1259"/>
        <v>1</v>
      </c>
      <c r="I3302" s="121">
        <f t="shared" si="1260"/>
        <v>1</v>
      </c>
      <c r="J3302" s="121">
        <f t="shared" si="1261"/>
        <v>1</v>
      </c>
      <c r="K3302" s="120">
        <f t="shared" si="1262"/>
        <v>0</v>
      </c>
      <c r="L3302" s="120">
        <f t="shared" si="1263"/>
        <v>0</v>
      </c>
      <c r="M3302" s="246">
        <f t="shared" si="1264"/>
        <v>0</v>
      </c>
      <c r="N3302" s="121">
        <f t="shared" si="1265"/>
        <v>1</v>
      </c>
      <c r="O3302" s="246">
        <f t="shared" si="1266"/>
        <v>0.99</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87">
        <v>39</v>
      </c>
      <c r="B3303" s="242">
        <f t="shared" si="1273"/>
        <v>46813</v>
      </c>
      <c r="C3303" s="243">
        <f t="shared" si="1254"/>
        <v>46843</v>
      </c>
      <c r="D3303" s="120">
        <f t="shared" si="1255"/>
        <v>31</v>
      </c>
      <c r="E3303" s="120">
        <f t="shared" si="1256"/>
        <v>3</v>
      </c>
      <c r="F3303" s="275">
        <f t="shared" si="1257"/>
        <v>46828.5</v>
      </c>
      <c r="G3303" s="120">
        <f t="shared" si="1258"/>
        <v>24338</v>
      </c>
      <c r="H3303" s="245">
        <f t="shared" si="1259"/>
        <v>1</v>
      </c>
      <c r="I3303" s="121">
        <f t="shared" si="1260"/>
        <v>1</v>
      </c>
      <c r="J3303" s="121">
        <f t="shared" si="1261"/>
        <v>1</v>
      </c>
      <c r="K3303" s="120">
        <f t="shared" si="1262"/>
        <v>0</v>
      </c>
      <c r="L3303" s="120">
        <f t="shared" si="1263"/>
        <v>0</v>
      </c>
      <c r="M3303" s="246">
        <f t="shared" si="1264"/>
        <v>0</v>
      </c>
      <c r="N3303" s="121">
        <f t="shared" si="1265"/>
        <v>1</v>
      </c>
      <c r="O3303" s="246">
        <f t="shared" si="1266"/>
        <v>0.99</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87">
        <v>40</v>
      </c>
      <c r="B3304" s="242">
        <f t="shared" si="1273"/>
        <v>46844</v>
      </c>
      <c r="C3304" s="243">
        <f t="shared" si="1254"/>
        <v>46873</v>
      </c>
      <c r="D3304" s="120">
        <f t="shared" si="1255"/>
        <v>30</v>
      </c>
      <c r="E3304" s="120">
        <f t="shared" si="1256"/>
        <v>4</v>
      </c>
      <c r="F3304" s="275">
        <f t="shared" si="1257"/>
        <v>46859</v>
      </c>
      <c r="G3304" s="120">
        <f t="shared" si="1258"/>
        <v>24339</v>
      </c>
      <c r="H3304" s="245">
        <f t="shared" si="1259"/>
        <v>1</v>
      </c>
      <c r="I3304" s="121">
        <f t="shared" si="1260"/>
        <v>1</v>
      </c>
      <c r="J3304" s="121">
        <f t="shared" si="1261"/>
        <v>1</v>
      </c>
      <c r="K3304" s="120">
        <f t="shared" si="1262"/>
        <v>0</v>
      </c>
      <c r="L3304" s="120">
        <f t="shared" si="1263"/>
        <v>0</v>
      </c>
      <c r="M3304" s="246">
        <f t="shared" si="1264"/>
        <v>0</v>
      </c>
      <c r="N3304" s="121">
        <f t="shared" si="1265"/>
        <v>1</v>
      </c>
      <c r="O3304" s="246">
        <f t="shared" si="1266"/>
        <v>0.99</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87">
        <v>41</v>
      </c>
      <c r="B3305" s="242">
        <f t="shared" si="1273"/>
        <v>46874</v>
      </c>
      <c r="C3305" s="243">
        <f t="shared" si="1254"/>
        <v>46904</v>
      </c>
      <c r="D3305" s="120">
        <f t="shared" si="1255"/>
        <v>31</v>
      </c>
      <c r="E3305" s="120">
        <f t="shared" si="1256"/>
        <v>5</v>
      </c>
      <c r="F3305" s="275">
        <f t="shared" si="1257"/>
        <v>46889.5</v>
      </c>
      <c r="G3305" s="120">
        <f t="shared" si="1258"/>
        <v>24340</v>
      </c>
      <c r="H3305" s="245">
        <f t="shared" si="1259"/>
        <v>1</v>
      </c>
      <c r="I3305" s="121">
        <f t="shared" si="1260"/>
        <v>1</v>
      </c>
      <c r="J3305" s="121">
        <f t="shared" si="1261"/>
        <v>1</v>
      </c>
      <c r="K3305" s="120">
        <f t="shared" si="1262"/>
        <v>0</v>
      </c>
      <c r="L3305" s="120">
        <f t="shared" si="1263"/>
        <v>0</v>
      </c>
      <c r="M3305" s="246">
        <f t="shared" si="1264"/>
        <v>0</v>
      </c>
      <c r="N3305" s="121">
        <f t="shared" si="1265"/>
        <v>1</v>
      </c>
      <c r="O3305" s="246">
        <f t="shared" si="1266"/>
        <v>0.99</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87">
        <v>42</v>
      </c>
      <c r="B3306" s="242">
        <f t="shared" si="1273"/>
        <v>46905</v>
      </c>
      <c r="C3306" s="243">
        <f t="shared" si="1254"/>
        <v>46934</v>
      </c>
      <c r="D3306" s="120">
        <f t="shared" si="1255"/>
        <v>30</v>
      </c>
      <c r="E3306" s="120">
        <f t="shared" si="1256"/>
        <v>6</v>
      </c>
      <c r="F3306" s="275">
        <f t="shared" si="1257"/>
        <v>46920</v>
      </c>
      <c r="G3306" s="120">
        <f t="shared" si="1258"/>
        <v>24341</v>
      </c>
      <c r="H3306" s="245">
        <f t="shared" si="1259"/>
        <v>1</v>
      </c>
      <c r="I3306" s="121">
        <f t="shared" si="1260"/>
        <v>1</v>
      </c>
      <c r="J3306" s="121">
        <f t="shared" si="1261"/>
        <v>1</v>
      </c>
      <c r="K3306" s="120">
        <f t="shared" si="1262"/>
        <v>0</v>
      </c>
      <c r="L3306" s="120">
        <f t="shared" si="1263"/>
        <v>0</v>
      </c>
      <c r="M3306" s="246">
        <f t="shared" si="1264"/>
        <v>0</v>
      </c>
      <c r="N3306" s="121">
        <f t="shared" si="1265"/>
        <v>1</v>
      </c>
      <c r="O3306" s="246">
        <f t="shared" si="1266"/>
        <v>0.99</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87">
        <v>43</v>
      </c>
      <c r="B3307" s="242">
        <f t="shared" si="1273"/>
        <v>46935</v>
      </c>
      <c r="C3307" s="243">
        <f t="shared" si="1254"/>
        <v>46965</v>
      </c>
      <c r="D3307" s="120">
        <f t="shared" si="1255"/>
        <v>31</v>
      </c>
      <c r="E3307" s="120">
        <f t="shared" si="1256"/>
        <v>7</v>
      </c>
      <c r="F3307" s="275">
        <f t="shared" si="1257"/>
        <v>46950.5</v>
      </c>
      <c r="G3307" s="120">
        <f t="shared" si="1258"/>
        <v>24342</v>
      </c>
      <c r="H3307" s="245">
        <f t="shared" si="1259"/>
        <v>1</v>
      </c>
      <c r="I3307" s="121">
        <f t="shared" si="1260"/>
        <v>1</v>
      </c>
      <c r="J3307" s="121">
        <f t="shared" si="1261"/>
        <v>1</v>
      </c>
      <c r="K3307" s="120">
        <f t="shared" si="1262"/>
        <v>0</v>
      </c>
      <c r="L3307" s="120">
        <f t="shared" si="1263"/>
        <v>0</v>
      </c>
      <c r="M3307" s="246">
        <f t="shared" si="1264"/>
        <v>0</v>
      </c>
      <c r="N3307" s="121">
        <f t="shared" si="1265"/>
        <v>1</v>
      </c>
      <c r="O3307" s="246">
        <f t="shared" si="1266"/>
        <v>0.99</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87">
        <v>44</v>
      </c>
      <c r="B3308" s="242">
        <f t="shared" si="1273"/>
        <v>46966</v>
      </c>
      <c r="C3308" s="243">
        <f t="shared" si="1254"/>
        <v>46996</v>
      </c>
      <c r="D3308" s="120">
        <f t="shared" si="1255"/>
        <v>31</v>
      </c>
      <c r="E3308" s="120">
        <f t="shared" si="1256"/>
        <v>8</v>
      </c>
      <c r="F3308" s="275">
        <f t="shared" si="1257"/>
        <v>46981.5</v>
      </c>
      <c r="G3308" s="120">
        <f t="shared" si="1258"/>
        <v>24343</v>
      </c>
      <c r="H3308" s="245">
        <f t="shared" si="1259"/>
        <v>1</v>
      </c>
      <c r="I3308" s="121">
        <f t="shared" si="1260"/>
        <v>1</v>
      </c>
      <c r="J3308" s="121">
        <f t="shared" si="1261"/>
        <v>1</v>
      </c>
      <c r="K3308" s="120">
        <f t="shared" si="1262"/>
        <v>0</v>
      </c>
      <c r="L3308" s="120">
        <f t="shared" si="1263"/>
        <v>0</v>
      </c>
      <c r="M3308" s="246">
        <f t="shared" si="1264"/>
        <v>0</v>
      </c>
      <c r="N3308" s="121">
        <f t="shared" si="1265"/>
        <v>1</v>
      </c>
      <c r="O3308" s="246">
        <f t="shared" si="1266"/>
        <v>0.99</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87">
        <v>45</v>
      </c>
      <c r="B3309" s="242">
        <f t="shared" si="1273"/>
        <v>46997</v>
      </c>
      <c r="C3309" s="243">
        <f t="shared" si="1254"/>
        <v>47026</v>
      </c>
      <c r="D3309" s="120">
        <f t="shared" si="1255"/>
        <v>30</v>
      </c>
      <c r="E3309" s="120">
        <f t="shared" si="1256"/>
        <v>9</v>
      </c>
      <c r="F3309" s="275">
        <f t="shared" si="1257"/>
        <v>47012</v>
      </c>
      <c r="G3309" s="120">
        <f t="shared" si="1258"/>
        <v>24344</v>
      </c>
      <c r="H3309" s="245">
        <f t="shared" si="1259"/>
        <v>1</v>
      </c>
      <c r="I3309" s="121">
        <f t="shared" si="1260"/>
        <v>1</v>
      </c>
      <c r="J3309" s="121">
        <f t="shared" si="1261"/>
        <v>1</v>
      </c>
      <c r="K3309" s="120">
        <f t="shared" si="1262"/>
        <v>0</v>
      </c>
      <c r="L3309" s="120">
        <f t="shared" si="1263"/>
        <v>0</v>
      </c>
      <c r="M3309" s="246">
        <f t="shared" si="1264"/>
        <v>0</v>
      </c>
      <c r="N3309" s="121">
        <f t="shared" si="1265"/>
        <v>1</v>
      </c>
      <c r="O3309" s="246">
        <f t="shared" si="1266"/>
        <v>0.99</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87">
        <v>46</v>
      </c>
      <c r="B3310" s="242">
        <f t="shared" si="1273"/>
        <v>47027</v>
      </c>
      <c r="C3310" s="243">
        <f t="shared" si="1254"/>
        <v>47057</v>
      </c>
      <c r="D3310" s="120">
        <f t="shared" si="1255"/>
        <v>31</v>
      </c>
      <c r="E3310" s="120">
        <f t="shared" si="1256"/>
        <v>10</v>
      </c>
      <c r="F3310" s="275">
        <f t="shared" si="1257"/>
        <v>47042.5</v>
      </c>
      <c r="G3310" s="120">
        <f t="shared" si="1258"/>
        <v>24345</v>
      </c>
      <c r="H3310" s="245">
        <f t="shared" si="1259"/>
        <v>1</v>
      </c>
      <c r="I3310" s="121">
        <f t="shared" si="1260"/>
        <v>1</v>
      </c>
      <c r="J3310" s="121">
        <f t="shared" si="1261"/>
        <v>1</v>
      </c>
      <c r="K3310" s="120">
        <f t="shared" si="1262"/>
        <v>0</v>
      </c>
      <c r="L3310" s="120">
        <f t="shared" si="1263"/>
        <v>0</v>
      </c>
      <c r="M3310" s="246">
        <f t="shared" si="1264"/>
        <v>0</v>
      </c>
      <c r="N3310" s="121">
        <f t="shared" si="1265"/>
        <v>1</v>
      </c>
      <c r="O3310" s="246">
        <f t="shared" si="1266"/>
        <v>0.99</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87">
        <v>47</v>
      </c>
      <c r="B3311" s="242">
        <f t="shared" si="1273"/>
        <v>47058</v>
      </c>
      <c r="C3311" s="243">
        <f t="shared" si="1254"/>
        <v>47087</v>
      </c>
      <c r="D3311" s="120">
        <f t="shared" si="1255"/>
        <v>30</v>
      </c>
      <c r="E3311" s="120">
        <f t="shared" si="1256"/>
        <v>11</v>
      </c>
      <c r="F3311" s="275">
        <f t="shared" si="1257"/>
        <v>47073</v>
      </c>
      <c r="G3311" s="120">
        <f t="shared" si="1258"/>
        <v>24346</v>
      </c>
      <c r="H3311" s="245">
        <f t="shared" si="1259"/>
        <v>1</v>
      </c>
      <c r="I3311" s="121">
        <f t="shared" si="1260"/>
        <v>1</v>
      </c>
      <c r="J3311" s="121">
        <f t="shared" si="1261"/>
        <v>1</v>
      </c>
      <c r="K3311" s="120">
        <f t="shared" si="1262"/>
        <v>0</v>
      </c>
      <c r="L3311" s="120">
        <f t="shared" si="1263"/>
        <v>0</v>
      </c>
      <c r="M3311" s="246">
        <f t="shared" si="1264"/>
        <v>0</v>
      </c>
      <c r="N3311" s="121">
        <f t="shared" si="1265"/>
        <v>1</v>
      </c>
      <c r="O3311" s="246">
        <f t="shared" si="1266"/>
        <v>0.99</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87">
        <v>48</v>
      </c>
      <c r="B3312" s="242">
        <f t="shared" si="1273"/>
        <v>47088</v>
      </c>
      <c r="C3312" s="243">
        <f t="shared" si="1254"/>
        <v>47118</v>
      </c>
      <c r="D3312" s="120">
        <f t="shared" si="1255"/>
        <v>31</v>
      </c>
      <c r="E3312" s="120">
        <f t="shared" si="1256"/>
        <v>12</v>
      </c>
      <c r="F3312" s="275">
        <f t="shared" si="1257"/>
        <v>47103.5</v>
      </c>
      <c r="G3312" s="120">
        <f t="shared" si="1258"/>
        <v>24347</v>
      </c>
      <c r="H3312" s="245">
        <f t="shared" si="1259"/>
        <v>1</v>
      </c>
      <c r="I3312" s="121">
        <f t="shared" si="1260"/>
        <v>1</v>
      </c>
      <c r="J3312" s="121">
        <f t="shared" si="1261"/>
        <v>1</v>
      </c>
      <c r="K3312" s="120">
        <f t="shared" si="1262"/>
        <v>0</v>
      </c>
      <c r="L3312" s="120">
        <f t="shared" si="1263"/>
        <v>0</v>
      </c>
      <c r="M3312" s="246">
        <f t="shared" si="1264"/>
        <v>0</v>
      </c>
      <c r="N3312" s="121">
        <f t="shared" si="1265"/>
        <v>1</v>
      </c>
      <c r="O3312" s="246">
        <f t="shared" si="1266"/>
        <v>0.99</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1651</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0.9900000000000001</v>
      </c>
      <c r="G3313" s="224">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24">
        <f>IF(N(INDEX(lr_mind,61))=0,1,INDEX(lr_mind,61))</f>
        <v>1</v>
      </c>
      <c r="G3316" s="224">
        <f>IF(N(INDEX(lr_m0,61))=0,1,INDEX(lr_m0,61))</f>
        <v>0.99</v>
      </c>
      <c r="H3316" s="74">
        <f>IF(N(INDEX(lr_m0asof,61))=0,DATE(nr_PlanYear-1,10,1),INDEX(lr_m0asof,61))</f>
        <v>46295</v>
      </c>
      <c r="I3316" s="224">
        <f>IF(N(INDEX(lr_m1,61))=0,1,INDEX(lr_m1,61))</f>
        <v>1.0049999999999999</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74">EOMONTH($B3319,0)</f>
        <v>45688</v>
      </c>
      <c r="D3319" s="120">
        <f t="shared" ref="D3319:D3366" si="1275">$C3319-$B3319+1</f>
        <v>31</v>
      </c>
      <c r="E3319" s="120">
        <f t="shared" ref="E3319:E3366" si="1276">MONTH($B3319)</f>
        <v>1</v>
      </c>
      <c r="F3319" s="275">
        <f t="shared" ref="F3319:F3366" si="1277">($B3319+$C3319+1)/2</f>
        <v>45673.5</v>
      </c>
      <c r="G3319" s="120">
        <f t="shared" ref="G3319:G3366" si="1278">YEAR($B3319)*12+MONTH($B3319)-1</f>
        <v>24300</v>
      </c>
      <c r="H3319" s="245">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46">
        <f t="shared" ref="M3319:M3366" si="1284">IF($K3319=0,0,MIN(1,$L3319/$D3319))</f>
        <v>0</v>
      </c>
      <c r="N3319" s="121">
        <f t="shared" ref="N3319:N3366" si="1285">IF($K3319=0,$J3319,(1-$M3319)*$I3319+$M3319*$J3319)</f>
        <v>1</v>
      </c>
      <c r="O3319" s="246">
        <f t="shared" ref="O3319:O3366" si="1286">IF($F3319&lt;$B$3317,$E$3317+$I$3317*($F3319-$A$3317),IF($F3319&lt;$C$3317,$F$3317+$J$3317*($F3319-$B$3317),$G$3317+$K$3317*($F3319-$C$3317)))</f>
        <v>0.96956783369803068</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87">
        <v>2</v>
      </c>
      <c r="B3320" s="242">
        <f t="shared" ref="B3320:B3366" si="1293">EDATE($B3319,1)</f>
        <v>45689</v>
      </c>
      <c r="C3320" s="243">
        <f t="shared" si="1274"/>
        <v>45716</v>
      </c>
      <c r="D3320" s="120">
        <f t="shared" si="1275"/>
        <v>28</v>
      </c>
      <c r="E3320" s="120">
        <f t="shared" si="1276"/>
        <v>2</v>
      </c>
      <c r="F3320" s="275">
        <f t="shared" si="1277"/>
        <v>45703</v>
      </c>
      <c r="G3320" s="120">
        <f t="shared" si="1278"/>
        <v>24301</v>
      </c>
      <c r="H3320" s="245">
        <f t="shared" si="1279"/>
        <v>1</v>
      </c>
      <c r="I3320" s="121">
        <f t="shared" si="1280"/>
        <v>1</v>
      </c>
      <c r="J3320" s="121">
        <f t="shared" si="1281"/>
        <v>1</v>
      </c>
      <c r="K3320" s="120">
        <f t="shared" si="1282"/>
        <v>0</v>
      </c>
      <c r="L3320" s="120">
        <f t="shared" si="1283"/>
        <v>0</v>
      </c>
      <c r="M3320" s="246">
        <f t="shared" si="1284"/>
        <v>0</v>
      </c>
      <c r="N3320" s="121">
        <f t="shared" si="1285"/>
        <v>1</v>
      </c>
      <c r="O3320" s="246">
        <f t="shared" si="1286"/>
        <v>0.97053610503282284</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87">
        <v>3</v>
      </c>
      <c r="B3321" s="242">
        <f t="shared" si="1293"/>
        <v>45717</v>
      </c>
      <c r="C3321" s="243">
        <f t="shared" si="1274"/>
        <v>45747</v>
      </c>
      <c r="D3321" s="120">
        <f t="shared" si="1275"/>
        <v>31</v>
      </c>
      <c r="E3321" s="120">
        <f t="shared" si="1276"/>
        <v>3</v>
      </c>
      <c r="F3321" s="275">
        <f t="shared" si="1277"/>
        <v>45732.5</v>
      </c>
      <c r="G3321" s="120">
        <f t="shared" si="1278"/>
        <v>24302</v>
      </c>
      <c r="H3321" s="245">
        <f t="shared" si="1279"/>
        <v>1</v>
      </c>
      <c r="I3321" s="121">
        <f t="shared" si="1280"/>
        <v>1</v>
      </c>
      <c r="J3321" s="121">
        <f t="shared" si="1281"/>
        <v>1</v>
      </c>
      <c r="K3321" s="120">
        <f t="shared" si="1282"/>
        <v>0</v>
      </c>
      <c r="L3321" s="120">
        <f t="shared" si="1283"/>
        <v>0</v>
      </c>
      <c r="M3321" s="246">
        <f t="shared" si="1284"/>
        <v>0</v>
      </c>
      <c r="N3321" s="121">
        <f t="shared" si="1285"/>
        <v>1</v>
      </c>
      <c r="O3321" s="246">
        <f t="shared" si="1286"/>
        <v>0.971504376367615</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87">
        <v>4</v>
      </c>
      <c r="B3322" s="242">
        <f t="shared" si="1293"/>
        <v>45748</v>
      </c>
      <c r="C3322" s="243">
        <f t="shared" si="1274"/>
        <v>45777</v>
      </c>
      <c r="D3322" s="120">
        <f t="shared" si="1275"/>
        <v>30</v>
      </c>
      <c r="E3322" s="120">
        <f t="shared" si="1276"/>
        <v>4</v>
      </c>
      <c r="F3322" s="275">
        <f t="shared" si="1277"/>
        <v>45763</v>
      </c>
      <c r="G3322" s="120">
        <f t="shared" si="1278"/>
        <v>24303</v>
      </c>
      <c r="H3322" s="245">
        <f t="shared" si="1279"/>
        <v>1</v>
      </c>
      <c r="I3322" s="121">
        <f t="shared" si="1280"/>
        <v>1</v>
      </c>
      <c r="J3322" s="121">
        <f t="shared" si="1281"/>
        <v>1</v>
      </c>
      <c r="K3322" s="120">
        <f t="shared" si="1282"/>
        <v>0</v>
      </c>
      <c r="L3322" s="120">
        <f t="shared" si="1283"/>
        <v>0</v>
      </c>
      <c r="M3322" s="246">
        <f t="shared" si="1284"/>
        <v>0</v>
      </c>
      <c r="N3322" s="121">
        <f t="shared" si="1285"/>
        <v>1</v>
      </c>
      <c r="O3322" s="246">
        <f t="shared" si="1286"/>
        <v>0.97250547045951863</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87">
        <v>5</v>
      </c>
      <c r="B3323" s="242">
        <f t="shared" si="1293"/>
        <v>45778</v>
      </c>
      <c r="C3323" s="243">
        <f t="shared" si="1274"/>
        <v>45808</v>
      </c>
      <c r="D3323" s="120">
        <f t="shared" si="1275"/>
        <v>31</v>
      </c>
      <c r="E3323" s="120">
        <f t="shared" si="1276"/>
        <v>5</v>
      </c>
      <c r="F3323" s="275">
        <f t="shared" si="1277"/>
        <v>45793.5</v>
      </c>
      <c r="G3323" s="120">
        <f t="shared" si="1278"/>
        <v>24304</v>
      </c>
      <c r="H3323" s="245">
        <f t="shared" si="1279"/>
        <v>1</v>
      </c>
      <c r="I3323" s="121">
        <f t="shared" si="1280"/>
        <v>1</v>
      </c>
      <c r="J3323" s="121">
        <f t="shared" si="1281"/>
        <v>1</v>
      </c>
      <c r="K3323" s="120">
        <f t="shared" si="1282"/>
        <v>0</v>
      </c>
      <c r="L3323" s="120">
        <f t="shared" si="1283"/>
        <v>0</v>
      </c>
      <c r="M3323" s="246">
        <f t="shared" si="1284"/>
        <v>0</v>
      </c>
      <c r="N3323" s="121">
        <f t="shared" si="1285"/>
        <v>1</v>
      </c>
      <c r="O3323" s="246">
        <f t="shared" si="1286"/>
        <v>0.97350656455142237</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87">
        <v>6</v>
      </c>
      <c r="B3324" s="242">
        <f t="shared" si="1293"/>
        <v>45809</v>
      </c>
      <c r="C3324" s="243">
        <f t="shared" si="1274"/>
        <v>45838</v>
      </c>
      <c r="D3324" s="120">
        <f t="shared" si="1275"/>
        <v>30</v>
      </c>
      <c r="E3324" s="120">
        <f t="shared" si="1276"/>
        <v>6</v>
      </c>
      <c r="F3324" s="275">
        <f t="shared" si="1277"/>
        <v>45824</v>
      </c>
      <c r="G3324" s="120">
        <f t="shared" si="1278"/>
        <v>24305</v>
      </c>
      <c r="H3324" s="245">
        <f t="shared" si="1279"/>
        <v>1</v>
      </c>
      <c r="I3324" s="121">
        <f t="shared" si="1280"/>
        <v>1</v>
      </c>
      <c r="J3324" s="121">
        <f t="shared" si="1281"/>
        <v>1</v>
      </c>
      <c r="K3324" s="120">
        <f t="shared" si="1282"/>
        <v>0</v>
      </c>
      <c r="L3324" s="120">
        <f t="shared" si="1283"/>
        <v>0</v>
      </c>
      <c r="M3324" s="246">
        <f t="shared" si="1284"/>
        <v>0</v>
      </c>
      <c r="N3324" s="121">
        <f t="shared" si="1285"/>
        <v>1</v>
      </c>
      <c r="O3324" s="246">
        <f t="shared" si="1286"/>
        <v>0.97450765864332611</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87">
        <v>7</v>
      </c>
      <c r="B3325" s="242">
        <f t="shared" si="1293"/>
        <v>45839</v>
      </c>
      <c r="C3325" s="243">
        <f t="shared" si="1274"/>
        <v>45869</v>
      </c>
      <c r="D3325" s="120">
        <f t="shared" si="1275"/>
        <v>31</v>
      </c>
      <c r="E3325" s="120">
        <f t="shared" si="1276"/>
        <v>7</v>
      </c>
      <c r="F3325" s="275">
        <f t="shared" si="1277"/>
        <v>45854.5</v>
      </c>
      <c r="G3325" s="120">
        <f t="shared" si="1278"/>
        <v>24306</v>
      </c>
      <c r="H3325" s="245">
        <f t="shared" si="1279"/>
        <v>1</v>
      </c>
      <c r="I3325" s="121">
        <f t="shared" si="1280"/>
        <v>1</v>
      </c>
      <c r="J3325" s="121">
        <f t="shared" si="1281"/>
        <v>1</v>
      </c>
      <c r="K3325" s="120">
        <f t="shared" si="1282"/>
        <v>0</v>
      </c>
      <c r="L3325" s="120">
        <f t="shared" si="1283"/>
        <v>0</v>
      </c>
      <c r="M3325" s="246">
        <f t="shared" si="1284"/>
        <v>0</v>
      </c>
      <c r="N3325" s="121">
        <f t="shared" si="1285"/>
        <v>1</v>
      </c>
      <c r="O3325" s="246">
        <f t="shared" si="1286"/>
        <v>0.97550875273522986</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87">
        <v>8</v>
      </c>
      <c r="B3326" s="242">
        <f t="shared" si="1293"/>
        <v>45870</v>
      </c>
      <c r="C3326" s="243">
        <f t="shared" si="1274"/>
        <v>45900</v>
      </c>
      <c r="D3326" s="120">
        <f t="shared" si="1275"/>
        <v>31</v>
      </c>
      <c r="E3326" s="120">
        <f t="shared" si="1276"/>
        <v>8</v>
      </c>
      <c r="F3326" s="275">
        <f t="shared" si="1277"/>
        <v>45885.5</v>
      </c>
      <c r="G3326" s="120">
        <f t="shared" si="1278"/>
        <v>24307</v>
      </c>
      <c r="H3326" s="245">
        <f t="shared" si="1279"/>
        <v>1</v>
      </c>
      <c r="I3326" s="121">
        <f t="shared" si="1280"/>
        <v>1</v>
      </c>
      <c r="J3326" s="121">
        <f t="shared" si="1281"/>
        <v>1</v>
      </c>
      <c r="K3326" s="120">
        <f t="shared" si="1282"/>
        <v>0</v>
      </c>
      <c r="L3326" s="120">
        <f t="shared" si="1283"/>
        <v>0</v>
      </c>
      <c r="M3326" s="246">
        <f t="shared" si="1284"/>
        <v>0</v>
      </c>
      <c r="N3326" s="121">
        <f t="shared" si="1285"/>
        <v>1</v>
      </c>
      <c r="O3326" s="246">
        <f t="shared" si="1286"/>
        <v>0.97652625820568928</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87">
        <v>9</v>
      </c>
      <c r="B3327" s="242">
        <f t="shared" si="1293"/>
        <v>45901</v>
      </c>
      <c r="C3327" s="243">
        <f t="shared" si="1274"/>
        <v>45930</v>
      </c>
      <c r="D3327" s="120">
        <f t="shared" si="1275"/>
        <v>30</v>
      </c>
      <c r="E3327" s="120">
        <f t="shared" si="1276"/>
        <v>9</v>
      </c>
      <c r="F3327" s="275">
        <f t="shared" si="1277"/>
        <v>45916</v>
      </c>
      <c r="G3327" s="120">
        <f t="shared" si="1278"/>
        <v>24308</v>
      </c>
      <c r="H3327" s="245">
        <f t="shared" si="1279"/>
        <v>1</v>
      </c>
      <c r="I3327" s="121">
        <f t="shared" si="1280"/>
        <v>1</v>
      </c>
      <c r="J3327" s="121">
        <f t="shared" si="1281"/>
        <v>1</v>
      </c>
      <c r="K3327" s="120">
        <f t="shared" si="1282"/>
        <v>0</v>
      </c>
      <c r="L3327" s="120">
        <f t="shared" si="1283"/>
        <v>0</v>
      </c>
      <c r="M3327" s="246">
        <f t="shared" si="1284"/>
        <v>0</v>
      </c>
      <c r="N3327" s="121">
        <f t="shared" si="1285"/>
        <v>1</v>
      </c>
      <c r="O3327" s="246">
        <f t="shared" si="1286"/>
        <v>0.97752735229759302</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87">
        <v>10</v>
      </c>
      <c r="B3328" s="242">
        <f t="shared" si="1293"/>
        <v>45931</v>
      </c>
      <c r="C3328" s="243">
        <f t="shared" si="1274"/>
        <v>45961</v>
      </c>
      <c r="D3328" s="120">
        <f t="shared" si="1275"/>
        <v>31</v>
      </c>
      <c r="E3328" s="120">
        <f t="shared" si="1276"/>
        <v>10</v>
      </c>
      <c r="F3328" s="275">
        <f t="shared" si="1277"/>
        <v>45946.5</v>
      </c>
      <c r="G3328" s="120">
        <f t="shared" si="1278"/>
        <v>24309</v>
      </c>
      <c r="H3328" s="245">
        <f t="shared" si="1279"/>
        <v>1</v>
      </c>
      <c r="I3328" s="121">
        <f t="shared" si="1280"/>
        <v>1</v>
      </c>
      <c r="J3328" s="121">
        <f t="shared" si="1281"/>
        <v>1</v>
      </c>
      <c r="K3328" s="120">
        <f t="shared" si="1282"/>
        <v>0</v>
      </c>
      <c r="L3328" s="120">
        <f t="shared" si="1283"/>
        <v>0</v>
      </c>
      <c r="M3328" s="246">
        <f t="shared" si="1284"/>
        <v>0</v>
      </c>
      <c r="N3328" s="121">
        <f t="shared" si="1285"/>
        <v>1</v>
      </c>
      <c r="O3328" s="246">
        <f t="shared" si="1286"/>
        <v>0.97852844638949676</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87">
        <v>11</v>
      </c>
      <c r="B3329" s="242">
        <f t="shared" si="1293"/>
        <v>45962</v>
      </c>
      <c r="C3329" s="243">
        <f t="shared" si="1274"/>
        <v>45991</v>
      </c>
      <c r="D3329" s="120">
        <f t="shared" si="1275"/>
        <v>30</v>
      </c>
      <c r="E3329" s="120">
        <f t="shared" si="1276"/>
        <v>11</v>
      </c>
      <c r="F3329" s="275">
        <f t="shared" si="1277"/>
        <v>45977</v>
      </c>
      <c r="G3329" s="120">
        <f t="shared" si="1278"/>
        <v>24310</v>
      </c>
      <c r="H3329" s="245">
        <f t="shared" si="1279"/>
        <v>1</v>
      </c>
      <c r="I3329" s="121">
        <f t="shared" si="1280"/>
        <v>1</v>
      </c>
      <c r="J3329" s="121">
        <f t="shared" si="1281"/>
        <v>1</v>
      </c>
      <c r="K3329" s="120">
        <f t="shared" si="1282"/>
        <v>0</v>
      </c>
      <c r="L3329" s="120">
        <f t="shared" si="1283"/>
        <v>0</v>
      </c>
      <c r="M3329" s="246">
        <f t="shared" si="1284"/>
        <v>0</v>
      </c>
      <c r="N3329" s="121">
        <f t="shared" si="1285"/>
        <v>1</v>
      </c>
      <c r="O3329" s="246">
        <f t="shared" si="1286"/>
        <v>0.97952954048140051</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87">
        <v>12</v>
      </c>
      <c r="B3330" s="242">
        <f t="shared" si="1293"/>
        <v>45992</v>
      </c>
      <c r="C3330" s="243">
        <f t="shared" si="1274"/>
        <v>46022</v>
      </c>
      <c r="D3330" s="120">
        <f t="shared" si="1275"/>
        <v>31</v>
      </c>
      <c r="E3330" s="120">
        <f t="shared" si="1276"/>
        <v>12</v>
      </c>
      <c r="F3330" s="275">
        <f t="shared" si="1277"/>
        <v>46007.5</v>
      </c>
      <c r="G3330" s="120">
        <f t="shared" si="1278"/>
        <v>24311</v>
      </c>
      <c r="H3330" s="245">
        <f t="shared" si="1279"/>
        <v>1</v>
      </c>
      <c r="I3330" s="121">
        <f t="shared" si="1280"/>
        <v>1</v>
      </c>
      <c r="J3330" s="121">
        <f t="shared" si="1281"/>
        <v>1</v>
      </c>
      <c r="K3330" s="120">
        <f t="shared" si="1282"/>
        <v>0</v>
      </c>
      <c r="L3330" s="120">
        <f t="shared" si="1283"/>
        <v>0</v>
      </c>
      <c r="M3330" s="246">
        <f t="shared" si="1284"/>
        <v>0</v>
      </c>
      <c r="N3330" s="121">
        <f t="shared" si="1285"/>
        <v>1</v>
      </c>
      <c r="O3330" s="246">
        <f t="shared" si="1286"/>
        <v>0.98053063457330414</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87">
        <v>13</v>
      </c>
      <c r="B3331" s="242">
        <f t="shared" si="1293"/>
        <v>46023</v>
      </c>
      <c r="C3331" s="243">
        <f t="shared" si="1274"/>
        <v>46053</v>
      </c>
      <c r="D3331" s="120">
        <f t="shared" si="1275"/>
        <v>31</v>
      </c>
      <c r="E3331" s="120">
        <f t="shared" si="1276"/>
        <v>1</v>
      </c>
      <c r="F3331" s="275">
        <f t="shared" si="1277"/>
        <v>46038.5</v>
      </c>
      <c r="G3331" s="120">
        <f t="shared" si="1278"/>
        <v>24312</v>
      </c>
      <c r="H3331" s="245">
        <f t="shared" si="1279"/>
        <v>1</v>
      </c>
      <c r="I3331" s="121">
        <f t="shared" si="1280"/>
        <v>1</v>
      </c>
      <c r="J3331" s="121">
        <f t="shared" si="1281"/>
        <v>1.02</v>
      </c>
      <c r="K3331" s="120">
        <f t="shared" si="1282"/>
        <v>1</v>
      </c>
      <c r="L3331" s="120">
        <f t="shared" si="1283"/>
        <v>31</v>
      </c>
      <c r="M3331" s="246">
        <f t="shared" si="1284"/>
        <v>1</v>
      </c>
      <c r="N3331" s="121">
        <f t="shared" si="1285"/>
        <v>1.02</v>
      </c>
      <c r="O3331" s="246">
        <f t="shared" si="1286"/>
        <v>0.98154814004376367</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87">
        <v>14</v>
      </c>
      <c r="B3332" s="242">
        <f t="shared" si="1293"/>
        <v>46054</v>
      </c>
      <c r="C3332" s="243">
        <f t="shared" si="1274"/>
        <v>46081</v>
      </c>
      <c r="D3332" s="120">
        <f t="shared" si="1275"/>
        <v>28</v>
      </c>
      <c r="E3332" s="120">
        <f t="shared" si="1276"/>
        <v>2</v>
      </c>
      <c r="F3332" s="275">
        <f t="shared" si="1277"/>
        <v>46068</v>
      </c>
      <c r="G3332" s="120">
        <f t="shared" si="1278"/>
        <v>24313</v>
      </c>
      <c r="H3332" s="245">
        <f t="shared" si="1279"/>
        <v>1</v>
      </c>
      <c r="I3332" s="121">
        <f t="shared" si="1280"/>
        <v>1.02</v>
      </c>
      <c r="J3332" s="121">
        <f t="shared" si="1281"/>
        <v>1.02</v>
      </c>
      <c r="K3332" s="120">
        <f t="shared" si="1282"/>
        <v>0</v>
      </c>
      <c r="L3332" s="120">
        <f t="shared" si="1283"/>
        <v>0</v>
      </c>
      <c r="M3332" s="246">
        <f t="shared" si="1284"/>
        <v>0</v>
      </c>
      <c r="N3332" s="121">
        <f t="shared" si="1285"/>
        <v>1.02</v>
      </c>
      <c r="O3332" s="246">
        <f t="shared" si="1286"/>
        <v>0.98251641137855583</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87">
        <v>15</v>
      </c>
      <c r="B3333" s="242">
        <f t="shared" si="1293"/>
        <v>46082</v>
      </c>
      <c r="C3333" s="243">
        <f t="shared" si="1274"/>
        <v>46112</v>
      </c>
      <c r="D3333" s="120">
        <f t="shared" si="1275"/>
        <v>31</v>
      </c>
      <c r="E3333" s="120">
        <f t="shared" si="1276"/>
        <v>3</v>
      </c>
      <c r="F3333" s="275">
        <f t="shared" si="1277"/>
        <v>46097.5</v>
      </c>
      <c r="G3333" s="120">
        <f t="shared" si="1278"/>
        <v>24314</v>
      </c>
      <c r="H3333" s="245">
        <f t="shared" si="1279"/>
        <v>1</v>
      </c>
      <c r="I3333" s="121">
        <f t="shared" si="1280"/>
        <v>1.02</v>
      </c>
      <c r="J3333" s="121">
        <f t="shared" si="1281"/>
        <v>1.02</v>
      </c>
      <c r="K3333" s="120">
        <f t="shared" si="1282"/>
        <v>0</v>
      </c>
      <c r="L3333" s="120">
        <f t="shared" si="1283"/>
        <v>0</v>
      </c>
      <c r="M3333" s="246">
        <f t="shared" si="1284"/>
        <v>0</v>
      </c>
      <c r="N3333" s="121">
        <f t="shared" si="1285"/>
        <v>1.02</v>
      </c>
      <c r="O3333" s="246">
        <f t="shared" si="1286"/>
        <v>0.98348468271334799</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87">
        <v>16</v>
      </c>
      <c r="B3334" s="242">
        <f t="shared" si="1293"/>
        <v>46113</v>
      </c>
      <c r="C3334" s="243">
        <f t="shared" si="1274"/>
        <v>46142</v>
      </c>
      <c r="D3334" s="120">
        <f t="shared" si="1275"/>
        <v>30</v>
      </c>
      <c r="E3334" s="120">
        <f t="shared" si="1276"/>
        <v>4</v>
      </c>
      <c r="F3334" s="275">
        <f t="shared" si="1277"/>
        <v>46128</v>
      </c>
      <c r="G3334" s="120">
        <f t="shared" si="1278"/>
        <v>24315</v>
      </c>
      <c r="H3334" s="245">
        <f t="shared" si="1279"/>
        <v>1</v>
      </c>
      <c r="I3334" s="121">
        <f t="shared" si="1280"/>
        <v>1.02</v>
      </c>
      <c r="J3334" s="121">
        <f t="shared" si="1281"/>
        <v>1.02</v>
      </c>
      <c r="K3334" s="120">
        <f t="shared" si="1282"/>
        <v>0</v>
      </c>
      <c r="L3334" s="120">
        <f t="shared" si="1283"/>
        <v>0</v>
      </c>
      <c r="M3334" s="246">
        <f t="shared" si="1284"/>
        <v>0</v>
      </c>
      <c r="N3334" s="121">
        <f t="shared" si="1285"/>
        <v>1.02</v>
      </c>
      <c r="O3334" s="246">
        <f t="shared" si="1286"/>
        <v>0.98448577680525162</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87">
        <v>17</v>
      </c>
      <c r="B3335" s="242">
        <f t="shared" si="1293"/>
        <v>46143</v>
      </c>
      <c r="C3335" s="243">
        <f t="shared" si="1274"/>
        <v>46173</v>
      </c>
      <c r="D3335" s="120">
        <f t="shared" si="1275"/>
        <v>31</v>
      </c>
      <c r="E3335" s="120">
        <f t="shared" si="1276"/>
        <v>5</v>
      </c>
      <c r="F3335" s="275">
        <f t="shared" si="1277"/>
        <v>46158.5</v>
      </c>
      <c r="G3335" s="120">
        <f t="shared" si="1278"/>
        <v>24316</v>
      </c>
      <c r="H3335" s="245">
        <f t="shared" si="1279"/>
        <v>1</v>
      </c>
      <c r="I3335" s="121">
        <f t="shared" si="1280"/>
        <v>1.02</v>
      </c>
      <c r="J3335" s="121">
        <f t="shared" si="1281"/>
        <v>1.02</v>
      </c>
      <c r="K3335" s="120">
        <f t="shared" si="1282"/>
        <v>0</v>
      </c>
      <c r="L3335" s="120">
        <f t="shared" si="1283"/>
        <v>0</v>
      </c>
      <c r="M3335" s="246">
        <f t="shared" si="1284"/>
        <v>0</v>
      </c>
      <c r="N3335" s="121">
        <f t="shared" si="1285"/>
        <v>1.02</v>
      </c>
      <c r="O3335" s="246">
        <f t="shared" si="1286"/>
        <v>0.98548687089715536</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87">
        <v>18</v>
      </c>
      <c r="B3336" s="242">
        <f t="shared" si="1293"/>
        <v>46174</v>
      </c>
      <c r="C3336" s="243">
        <f t="shared" si="1274"/>
        <v>46203</v>
      </c>
      <c r="D3336" s="120">
        <f t="shared" si="1275"/>
        <v>30</v>
      </c>
      <c r="E3336" s="120">
        <f t="shared" si="1276"/>
        <v>6</v>
      </c>
      <c r="F3336" s="275">
        <f t="shared" si="1277"/>
        <v>46189</v>
      </c>
      <c r="G3336" s="120">
        <f t="shared" si="1278"/>
        <v>24317</v>
      </c>
      <c r="H3336" s="245">
        <f t="shared" si="1279"/>
        <v>1</v>
      </c>
      <c r="I3336" s="121">
        <f t="shared" si="1280"/>
        <v>1.02</v>
      </c>
      <c r="J3336" s="121">
        <f t="shared" si="1281"/>
        <v>1.02</v>
      </c>
      <c r="K3336" s="120">
        <f t="shared" si="1282"/>
        <v>0</v>
      </c>
      <c r="L3336" s="120">
        <f t="shared" si="1283"/>
        <v>0</v>
      </c>
      <c r="M3336" s="246">
        <f t="shared" si="1284"/>
        <v>0</v>
      </c>
      <c r="N3336" s="121">
        <f t="shared" si="1285"/>
        <v>1.02</v>
      </c>
      <c r="O3336" s="246">
        <f t="shared" si="1286"/>
        <v>0.98648796498905911</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87">
        <v>19</v>
      </c>
      <c r="B3337" s="242">
        <f t="shared" si="1293"/>
        <v>46204</v>
      </c>
      <c r="C3337" s="243">
        <f t="shared" si="1274"/>
        <v>46234</v>
      </c>
      <c r="D3337" s="120">
        <f t="shared" si="1275"/>
        <v>31</v>
      </c>
      <c r="E3337" s="120">
        <f t="shared" si="1276"/>
        <v>7</v>
      </c>
      <c r="F3337" s="275">
        <f t="shared" si="1277"/>
        <v>46219.5</v>
      </c>
      <c r="G3337" s="120">
        <f t="shared" si="1278"/>
        <v>24318</v>
      </c>
      <c r="H3337" s="245">
        <f t="shared" si="1279"/>
        <v>1</v>
      </c>
      <c r="I3337" s="121">
        <f t="shared" si="1280"/>
        <v>1.02</v>
      </c>
      <c r="J3337" s="121">
        <f t="shared" si="1281"/>
        <v>1.02</v>
      </c>
      <c r="K3337" s="120">
        <f t="shared" si="1282"/>
        <v>0</v>
      </c>
      <c r="L3337" s="120">
        <f t="shared" si="1283"/>
        <v>0</v>
      </c>
      <c r="M3337" s="246">
        <f t="shared" si="1284"/>
        <v>0</v>
      </c>
      <c r="N3337" s="121">
        <f t="shared" si="1285"/>
        <v>1.02</v>
      </c>
      <c r="O3337" s="246">
        <f t="shared" si="1286"/>
        <v>0.98748905908096285</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87">
        <v>20</v>
      </c>
      <c r="B3338" s="242">
        <f t="shared" si="1293"/>
        <v>46235</v>
      </c>
      <c r="C3338" s="243">
        <f t="shared" si="1274"/>
        <v>46265</v>
      </c>
      <c r="D3338" s="120">
        <f t="shared" si="1275"/>
        <v>31</v>
      </c>
      <c r="E3338" s="120">
        <f t="shared" si="1276"/>
        <v>8</v>
      </c>
      <c r="F3338" s="275">
        <f t="shared" si="1277"/>
        <v>46250.5</v>
      </c>
      <c r="G3338" s="120">
        <f t="shared" si="1278"/>
        <v>24319</v>
      </c>
      <c r="H3338" s="245">
        <f t="shared" si="1279"/>
        <v>1</v>
      </c>
      <c r="I3338" s="121">
        <f t="shared" si="1280"/>
        <v>1.02</v>
      </c>
      <c r="J3338" s="121">
        <f t="shared" si="1281"/>
        <v>1.02</v>
      </c>
      <c r="K3338" s="120">
        <f t="shared" si="1282"/>
        <v>0</v>
      </c>
      <c r="L3338" s="120">
        <f t="shared" si="1283"/>
        <v>0</v>
      </c>
      <c r="M3338" s="246">
        <f t="shared" si="1284"/>
        <v>0</v>
      </c>
      <c r="N3338" s="121">
        <f t="shared" si="1285"/>
        <v>1.02</v>
      </c>
      <c r="O3338" s="246">
        <f t="shared" si="1286"/>
        <v>0.98850656455142227</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87">
        <v>21</v>
      </c>
      <c r="B3339" s="242">
        <f t="shared" si="1293"/>
        <v>46266</v>
      </c>
      <c r="C3339" s="243">
        <f t="shared" si="1274"/>
        <v>46295</v>
      </c>
      <c r="D3339" s="120">
        <f t="shared" si="1275"/>
        <v>30</v>
      </c>
      <c r="E3339" s="120">
        <f t="shared" si="1276"/>
        <v>9</v>
      </c>
      <c r="F3339" s="275">
        <f t="shared" si="1277"/>
        <v>46281</v>
      </c>
      <c r="G3339" s="120">
        <f t="shared" si="1278"/>
        <v>24320</v>
      </c>
      <c r="H3339" s="245">
        <f t="shared" si="1279"/>
        <v>1</v>
      </c>
      <c r="I3339" s="121">
        <f t="shared" si="1280"/>
        <v>1.02</v>
      </c>
      <c r="J3339" s="121">
        <f t="shared" si="1281"/>
        <v>1.02</v>
      </c>
      <c r="K3339" s="120">
        <f t="shared" si="1282"/>
        <v>0</v>
      </c>
      <c r="L3339" s="120">
        <f t="shared" si="1283"/>
        <v>0</v>
      </c>
      <c r="M3339" s="246">
        <f t="shared" si="1284"/>
        <v>0</v>
      </c>
      <c r="N3339" s="121">
        <f t="shared" si="1285"/>
        <v>1.02</v>
      </c>
      <c r="O3339" s="246">
        <f t="shared" si="1286"/>
        <v>0.98950765864332602</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87">
        <v>22</v>
      </c>
      <c r="B3340" s="242">
        <f t="shared" si="1293"/>
        <v>46296</v>
      </c>
      <c r="C3340" s="243">
        <f t="shared" si="1274"/>
        <v>46326</v>
      </c>
      <c r="D3340" s="120">
        <f t="shared" si="1275"/>
        <v>31</v>
      </c>
      <c r="E3340" s="120">
        <f t="shared" si="1276"/>
        <v>10</v>
      </c>
      <c r="F3340" s="275">
        <f t="shared" si="1277"/>
        <v>46311.5</v>
      </c>
      <c r="G3340" s="120">
        <f t="shared" si="1278"/>
        <v>24321</v>
      </c>
      <c r="H3340" s="245">
        <f t="shared" si="1279"/>
        <v>1</v>
      </c>
      <c r="I3340" s="121">
        <f t="shared" si="1280"/>
        <v>1.02</v>
      </c>
      <c r="J3340" s="121">
        <f t="shared" si="1281"/>
        <v>1.02</v>
      </c>
      <c r="K3340" s="120">
        <f t="shared" si="1282"/>
        <v>0</v>
      </c>
      <c r="L3340" s="120">
        <f t="shared" si="1283"/>
        <v>0</v>
      </c>
      <c r="M3340" s="246">
        <f t="shared" si="1284"/>
        <v>0</v>
      </c>
      <c r="N3340" s="121">
        <f t="shared" si="1285"/>
        <v>1.02</v>
      </c>
      <c r="O3340" s="246">
        <f t="shared" si="1286"/>
        <v>0.99050875273522976</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87">
        <v>23</v>
      </c>
      <c r="B3341" s="242">
        <f t="shared" si="1293"/>
        <v>46327</v>
      </c>
      <c r="C3341" s="243">
        <f t="shared" si="1274"/>
        <v>46356</v>
      </c>
      <c r="D3341" s="120">
        <f t="shared" si="1275"/>
        <v>30</v>
      </c>
      <c r="E3341" s="120">
        <f t="shared" si="1276"/>
        <v>11</v>
      </c>
      <c r="F3341" s="275">
        <f t="shared" si="1277"/>
        <v>46342</v>
      </c>
      <c r="G3341" s="120">
        <f t="shared" si="1278"/>
        <v>24322</v>
      </c>
      <c r="H3341" s="245">
        <f t="shared" si="1279"/>
        <v>1</v>
      </c>
      <c r="I3341" s="121">
        <f t="shared" si="1280"/>
        <v>1.02</v>
      </c>
      <c r="J3341" s="121">
        <f t="shared" si="1281"/>
        <v>1.02</v>
      </c>
      <c r="K3341" s="120">
        <f t="shared" si="1282"/>
        <v>0</v>
      </c>
      <c r="L3341" s="120">
        <f t="shared" si="1283"/>
        <v>0</v>
      </c>
      <c r="M3341" s="246">
        <f t="shared" si="1284"/>
        <v>0</v>
      </c>
      <c r="N3341" s="121">
        <f t="shared" si="1285"/>
        <v>1.02</v>
      </c>
      <c r="O3341" s="246">
        <f t="shared" si="1286"/>
        <v>0.9915098468271335</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87">
        <v>24</v>
      </c>
      <c r="B3342" s="242">
        <f t="shared" si="1293"/>
        <v>46357</v>
      </c>
      <c r="C3342" s="243">
        <f t="shared" si="1274"/>
        <v>46387</v>
      </c>
      <c r="D3342" s="120">
        <f t="shared" si="1275"/>
        <v>31</v>
      </c>
      <c r="E3342" s="120">
        <f t="shared" si="1276"/>
        <v>12</v>
      </c>
      <c r="F3342" s="275">
        <f t="shared" si="1277"/>
        <v>46372.5</v>
      </c>
      <c r="G3342" s="120">
        <f t="shared" si="1278"/>
        <v>24323</v>
      </c>
      <c r="H3342" s="245">
        <f t="shared" si="1279"/>
        <v>1</v>
      </c>
      <c r="I3342" s="121">
        <f t="shared" si="1280"/>
        <v>1.02</v>
      </c>
      <c r="J3342" s="121">
        <f t="shared" si="1281"/>
        <v>1.02</v>
      </c>
      <c r="K3342" s="120">
        <f t="shared" si="1282"/>
        <v>0</v>
      </c>
      <c r="L3342" s="120">
        <f t="shared" si="1283"/>
        <v>0</v>
      </c>
      <c r="M3342" s="246">
        <f t="shared" si="1284"/>
        <v>0</v>
      </c>
      <c r="N3342" s="121">
        <f t="shared" si="1285"/>
        <v>1.02</v>
      </c>
      <c r="O3342" s="246">
        <f t="shared" si="1286"/>
        <v>0.99251094091903713</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87">
        <v>25</v>
      </c>
      <c r="B3343" s="242">
        <f t="shared" si="1293"/>
        <v>46388</v>
      </c>
      <c r="C3343" s="243">
        <f t="shared" si="1274"/>
        <v>46418</v>
      </c>
      <c r="D3343" s="120">
        <f t="shared" si="1275"/>
        <v>31</v>
      </c>
      <c r="E3343" s="120">
        <f t="shared" si="1276"/>
        <v>1</v>
      </c>
      <c r="F3343" s="275">
        <f t="shared" si="1277"/>
        <v>46403.5</v>
      </c>
      <c r="G3343" s="120">
        <f t="shared" si="1278"/>
        <v>24324</v>
      </c>
      <c r="H3343" s="245">
        <f t="shared" si="1279"/>
        <v>1</v>
      </c>
      <c r="I3343" s="121">
        <f t="shared" si="1280"/>
        <v>1.02</v>
      </c>
      <c r="J3343" s="121">
        <f t="shared" si="1281"/>
        <v>1.02</v>
      </c>
      <c r="K3343" s="120">
        <f t="shared" si="1282"/>
        <v>0</v>
      </c>
      <c r="L3343" s="120">
        <f t="shared" si="1283"/>
        <v>0</v>
      </c>
      <c r="M3343" s="246">
        <f t="shared" si="1284"/>
        <v>0</v>
      </c>
      <c r="N3343" s="121">
        <f t="shared" si="1285"/>
        <v>1.02</v>
      </c>
      <c r="O3343" s="246">
        <f t="shared" si="1286"/>
        <v>0.99352844638949667</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87">
        <v>26</v>
      </c>
      <c r="B3344" s="242">
        <f t="shared" si="1293"/>
        <v>46419</v>
      </c>
      <c r="C3344" s="243">
        <f t="shared" si="1274"/>
        <v>46446</v>
      </c>
      <c r="D3344" s="120">
        <f t="shared" si="1275"/>
        <v>28</v>
      </c>
      <c r="E3344" s="120">
        <f t="shared" si="1276"/>
        <v>2</v>
      </c>
      <c r="F3344" s="275">
        <f t="shared" si="1277"/>
        <v>46433</v>
      </c>
      <c r="G3344" s="120">
        <f t="shared" si="1278"/>
        <v>24325</v>
      </c>
      <c r="H3344" s="245">
        <f t="shared" si="1279"/>
        <v>1</v>
      </c>
      <c r="I3344" s="121">
        <f t="shared" si="1280"/>
        <v>1.02</v>
      </c>
      <c r="J3344" s="121">
        <f t="shared" si="1281"/>
        <v>1.02</v>
      </c>
      <c r="K3344" s="120">
        <f t="shared" si="1282"/>
        <v>0</v>
      </c>
      <c r="L3344" s="120">
        <f t="shared" si="1283"/>
        <v>0</v>
      </c>
      <c r="M3344" s="246">
        <f t="shared" si="1284"/>
        <v>0</v>
      </c>
      <c r="N3344" s="121">
        <f t="shared" si="1285"/>
        <v>1.02</v>
      </c>
      <c r="O3344" s="246">
        <f t="shared" si="1286"/>
        <v>0.99449671772428883</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87">
        <v>27</v>
      </c>
      <c r="B3345" s="242">
        <f t="shared" si="1293"/>
        <v>46447</v>
      </c>
      <c r="C3345" s="243">
        <f t="shared" si="1274"/>
        <v>46477</v>
      </c>
      <c r="D3345" s="120">
        <f t="shared" si="1275"/>
        <v>31</v>
      </c>
      <c r="E3345" s="120">
        <f t="shared" si="1276"/>
        <v>3</v>
      </c>
      <c r="F3345" s="275">
        <f t="shared" si="1277"/>
        <v>46462.5</v>
      </c>
      <c r="G3345" s="120">
        <f t="shared" si="1278"/>
        <v>24326</v>
      </c>
      <c r="H3345" s="245">
        <f t="shared" si="1279"/>
        <v>1</v>
      </c>
      <c r="I3345" s="121">
        <f t="shared" si="1280"/>
        <v>1.02</v>
      </c>
      <c r="J3345" s="121">
        <f t="shared" si="1281"/>
        <v>1.02</v>
      </c>
      <c r="K3345" s="120">
        <f t="shared" si="1282"/>
        <v>0</v>
      </c>
      <c r="L3345" s="120">
        <f t="shared" si="1283"/>
        <v>0</v>
      </c>
      <c r="M3345" s="246">
        <f t="shared" si="1284"/>
        <v>0</v>
      </c>
      <c r="N3345" s="121">
        <f t="shared" si="1285"/>
        <v>1.02</v>
      </c>
      <c r="O3345" s="246">
        <f t="shared" si="1286"/>
        <v>0.99546498905908087</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87">
        <v>28</v>
      </c>
      <c r="B3346" s="242">
        <f t="shared" si="1293"/>
        <v>46478</v>
      </c>
      <c r="C3346" s="243">
        <f t="shared" si="1274"/>
        <v>46507</v>
      </c>
      <c r="D3346" s="120">
        <f t="shared" si="1275"/>
        <v>30</v>
      </c>
      <c r="E3346" s="120">
        <f t="shared" si="1276"/>
        <v>4</v>
      </c>
      <c r="F3346" s="275">
        <f t="shared" si="1277"/>
        <v>46493</v>
      </c>
      <c r="G3346" s="120">
        <f t="shared" si="1278"/>
        <v>24327</v>
      </c>
      <c r="H3346" s="245">
        <f t="shared" si="1279"/>
        <v>1</v>
      </c>
      <c r="I3346" s="121">
        <f t="shared" si="1280"/>
        <v>1.02</v>
      </c>
      <c r="J3346" s="121">
        <f t="shared" si="1281"/>
        <v>1.02</v>
      </c>
      <c r="K3346" s="120">
        <f t="shared" si="1282"/>
        <v>0</v>
      </c>
      <c r="L3346" s="120">
        <f t="shared" si="1283"/>
        <v>0</v>
      </c>
      <c r="M3346" s="246">
        <f t="shared" si="1284"/>
        <v>0</v>
      </c>
      <c r="N3346" s="121">
        <f t="shared" si="1285"/>
        <v>1.02</v>
      </c>
      <c r="O3346" s="246">
        <f t="shared" si="1286"/>
        <v>0.99646608315098462</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87">
        <v>29</v>
      </c>
      <c r="B3347" s="242">
        <f t="shared" si="1293"/>
        <v>46508</v>
      </c>
      <c r="C3347" s="243">
        <f t="shared" si="1274"/>
        <v>46538</v>
      </c>
      <c r="D3347" s="120">
        <f t="shared" si="1275"/>
        <v>31</v>
      </c>
      <c r="E3347" s="120">
        <f t="shared" si="1276"/>
        <v>5</v>
      </c>
      <c r="F3347" s="275">
        <f t="shared" si="1277"/>
        <v>46523.5</v>
      </c>
      <c r="G3347" s="120">
        <f t="shared" si="1278"/>
        <v>24328</v>
      </c>
      <c r="H3347" s="245">
        <f t="shared" si="1279"/>
        <v>1</v>
      </c>
      <c r="I3347" s="121">
        <f t="shared" si="1280"/>
        <v>1.02</v>
      </c>
      <c r="J3347" s="121">
        <f t="shared" si="1281"/>
        <v>1.02</v>
      </c>
      <c r="K3347" s="120">
        <f t="shared" si="1282"/>
        <v>0</v>
      </c>
      <c r="L3347" s="120">
        <f t="shared" si="1283"/>
        <v>0</v>
      </c>
      <c r="M3347" s="246">
        <f t="shared" si="1284"/>
        <v>0</v>
      </c>
      <c r="N3347" s="121">
        <f t="shared" si="1285"/>
        <v>1.02</v>
      </c>
      <c r="O3347" s="246">
        <f t="shared" si="1286"/>
        <v>0.99746717724288836</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87">
        <v>30</v>
      </c>
      <c r="B3348" s="242">
        <f t="shared" si="1293"/>
        <v>46539</v>
      </c>
      <c r="C3348" s="243">
        <f t="shared" si="1274"/>
        <v>46568</v>
      </c>
      <c r="D3348" s="120">
        <f t="shared" si="1275"/>
        <v>30</v>
      </c>
      <c r="E3348" s="120">
        <f t="shared" si="1276"/>
        <v>6</v>
      </c>
      <c r="F3348" s="275">
        <f t="shared" si="1277"/>
        <v>46554</v>
      </c>
      <c r="G3348" s="120">
        <f t="shared" si="1278"/>
        <v>24329</v>
      </c>
      <c r="H3348" s="245">
        <f t="shared" si="1279"/>
        <v>1</v>
      </c>
      <c r="I3348" s="121">
        <f t="shared" si="1280"/>
        <v>1.02</v>
      </c>
      <c r="J3348" s="121">
        <f t="shared" si="1281"/>
        <v>1.02</v>
      </c>
      <c r="K3348" s="120">
        <f t="shared" si="1282"/>
        <v>0</v>
      </c>
      <c r="L3348" s="120">
        <f t="shared" si="1283"/>
        <v>0</v>
      </c>
      <c r="M3348" s="246">
        <f t="shared" si="1284"/>
        <v>0</v>
      </c>
      <c r="N3348" s="121">
        <f t="shared" si="1285"/>
        <v>1.02</v>
      </c>
      <c r="O3348" s="246">
        <f t="shared" si="1286"/>
        <v>0.9984682713347921</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87">
        <v>31</v>
      </c>
      <c r="B3349" s="242">
        <f t="shared" si="1293"/>
        <v>46569</v>
      </c>
      <c r="C3349" s="243">
        <f t="shared" si="1274"/>
        <v>46599</v>
      </c>
      <c r="D3349" s="120">
        <f t="shared" si="1275"/>
        <v>31</v>
      </c>
      <c r="E3349" s="120">
        <f t="shared" si="1276"/>
        <v>7</v>
      </c>
      <c r="F3349" s="275">
        <f t="shared" si="1277"/>
        <v>46584.5</v>
      </c>
      <c r="G3349" s="120">
        <f t="shared" si="1278"/>
        <v>24330</v>
      </c>
      <c r="H3349" s="245">
        <f t="shared" si="1279"/>
        <v>1</v>
      </c>
      <c r="I3349" s="121">
        <f t="shared" si="1280"/>
        <v>1.02</v>
      </c>
      <c r="J3349" s="121">
        <f t="shared" si="1281"/>
        <v>1.02</v>
      </c>
      <c r="K3349" s="120">
        <f t="shared" si="1282"/>
        <v>0</v>
      </c>
      <c r="L3349" s="120">
        <f t="shared" si="1283"/>
        <v>0</v>
      </c>
      <c r="M3349" s="246">
        <f t="shared" si="1284"/>
        <v>0</v>
      </c>
      <c r="N3349" s="121">
        <f t="shared" si="1285"/>
        <v>1.02</v>
      </c>
      <c r="O3349" s="246">
        <f t="shared" si="1286"/>
        <v>0.99946936542669573</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87">
        <v>32</v>
      </c>
      <c r="B3350" s="242">
        <f t="shared" si="1293"/>
        <v>46600</v>
      </c>
      <c r="C3350" s="243">
        <f t="shared" si="1274"/>
        <v>46630</v>
      </c>
      <c r="D3350" s="120">
        <f t="shared" si="1275"/>
        <v>31</v>
      </c>
      <c r="E3350" s="120">
        <f t="shared" si="1276"/>
        <v>8</v>
      </c>
      <c r="F3350" s="275">
        <f t="shared" si="1277"/>
        <v>46615.5</v>
      </c>
      <c r="G3350" s="120">
        <f t="shared" si="1278"/>
        <v>24331</v>
      </c>
      <c r="H3350" s="245">
        <f t="shared" si="1279"/>
        <v>1</v>
      </c>
      <c r="I3350" s="121">
        <f t="shared" si="1280"/>
        <v>1.02</v>
      </c>
      <c r="J3350" s="121">
        <f t="shared" si="1281"/>
        <v>1.02</v>
      </c>
      <c r="K3350" s="120">
        <f t="shared" si="1282"/>
        <v>0</v>
      </c>
      <c r="L3350" s="120">
        <f t="shared" si="1283"/>
        <v>0</v>
      </c>
      <c r="M3350" s="246">
        <f t="shared" si="1284"/>
        <v>0</v>
      </c>
      <c r="N3350" s="121">
        <f t="shared" si="1285"/>
        <v>1.02</v>
      </c>
      <c r="O3350" s="246">
        <f t="shared" si="1286"/>
        <v>1.0004868708971553</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87">
        <v>33</v>
      </c>
      <c r="B3351" s="242">
        <f t="shared" si="1293"/>
        <v>46631</v>
      </c>
      <c r="C3351" s="243">
        <f t="shared" si="1274"/>
        <v>46660</v>
      </c>
      <c r="D3351" s="120">
        <f t="shared" si="1275"/>
        <v>30</v>
      </c>
      <c r="E3351" s="120">
        <f t="shared" si="1276"/>
        <v>9</v>
      </c>
      <c r="F3351" s="275">
        <f t="shared" si="1277"/>
        <v>46646</v>
      </c>
      <c r="G3351" s="120">
        <f t="shared" si="1278"/>
        <v>24332</v>
      </c>
      <c r="H3351" s="245">
        <f t="shared" si="1279"/>
        <v>1</v>
      </c>
      <c r="I3351" s="121">
        <f t="shared" si="1280"/>
        <v>1.02</v>
      </c>
      <c r="J3351" s="121">
        <f t="shared" si="1281"/>
        <v>1.02</v>
      </c>
      <c r="K3351" s="120">
        <f t="shared" si="1282"/>
        <v>0</v>
      </c>
      <c r="L3351" s="120">
        <f t="shared" si="1283"/>
        <v>0</v>
      </c>
      <c r="M3351" s="246">
        <f t="shared" si="1284"/>
        <v>0</v>
      </c>
      <c r="N3351" s="121">
        <f t="shared" si="1285"/>
        <v>1.02</v>
      </c>
      <c r="O3351" s="246">
        <f t="shared" si="1286"/>
        <v>1.0014879649890589</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87">
        <v>34</v>
      </c>
      <c r="B3352" s="242">
        <f t="shared" si="1293"/>
        <v>46661</v>
      </c>
      <c r="C3352" s="243">
        <f t="shared" si="1274"/>
        <v>46691</v>
      </c>
      <c r="D3352" s="120">
        <f t="shared" si="1275"/>
        <v>31</v>
      </c>
      <c r="E3352" s="120">
        <f t="shared" si="1276"/>
        <v>10</v>
      </c>
      <c r="F3352" s="275">
        <f t="shared" si="1277"/>
        <v>46676.5</v>
      </c>
      <c r="G3352" s="120">
        <f t="shared" si="1278"/>
        <v>24333</v>
      </c>
      <c r="H3352" s="245">
        <f t="shared" si="1279"/>
        <v>1</v>
      </c>
      <c r="I3352" s="121">
        <f t="shared" si="1280"/>
        <v>1.02</v>
      </c>
      <c r="J3352" s="121">
        <f t="shared" si="1281"/>
        <v>1.02</v>
      </c>
      <c r="K3352" s="120">
        <f t="shared" si="1282"/>
        <v>0</v>
      </c>
      <c r="L3352" s="120">
        <f t="shared" si="1283"/>
        <v>0</v>
      </c>
      <c r="M3352" s="246">
        <f t="shared" si="1284"/>
        <v>0</v>
      </c>
      <c r="N3352" s="121">
        <f t="shared" si="1285"/>
        <v>1.02</v>
      </c>
      <c r="O3352" s="246">
        <f t="shared" si="1286"/>
        <v>1.0024890590809628</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87">
        <v>35</v>
      </c>
      <c r="B3353" s="242">
        <f t="shared" si="1293"/>
        <v>46692</v>
      </c>
      <c r="C3353" s="243">
        <f t="shared" si="1274"/>
        <v>46721</v>
      </c>
      <c r="D3353" s="120">
        <f t="shared" si="1275"/>
        <v>30</v>
      </c>
      <c r="E3353" s="120">
        <f t="shared" si="1276"/>
        <v>11</v>
      </c>
      <c r="F3353" s="275">
        <f t="shared" si="1277"/>
        <v>46707</v>
      </c>
      <c r="G3353" s="120">
        <f t="shared" si="1278"/>
        <v>24334</v>
      </c>
      <c r="H3353" s="245">
        <f t="shared" si="1279"/>
        <v>1</v>
      </c>
      <c r="I3353" s="121">
        <f t="shared" si="1280"/>
        <v>1.02</v>
      </c>
      <c r="J3353" s="121">
        <f t="shared" si="1281"/>
        <v>1.02</v>
      </c>
      <c r="K3353" s="120">
        <f t="shared" si="1282"/>
        <v>0</v>
      </c>
      <c r="L3353" s="120">
        <f t="shared" si="1283"/>
        <v>0</v>
      </c>
      <c r="M3353" s="246">
        <f t="shared" si="1284"/>
        <v>0</v>
      </c>
      <c r="N3353" s="121">
        <f t="shared" si="1285"/>
        <v>1.02</v>
      </c>
      <c r="O3353" s="246">
        <f t="shared" si="1286"/>
        <v>1.0034901531728664</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87">
        <v>36</v>
      </c>
      <c r="B3354" s="242">
        <f t="shared" si="1293"/>
        <v>46722</v>
      </c>
      <c r="C3354" s="243">
        <f t="shared" si="1274"/>
        <v>46752</v>
      </c>
      <c r="D3354" s="120">
        <f t="shared" si="1275"/>
        <v>31</v>
      </c>
      <c r="E3354" s="120">
        <f t="shared" si="1276"/>
        <v>12</v>
      </c>
      <c r="F3354" s="275">
        <f t="shared" si="1277"/>
        <v>46737.5</v>
      </c>
      <c r="G3354" s="120">
        <f t="shared" si="1278"/>
        <v>24335</v>
      </c>
      <c r="H3354" s="245">
        <f t="shared" si="1279"/>
        <v>1</v>
      </c>
      <c r="I3354" s="121">
        <f t="shared" si="1280"/>
        <v>1.02</v>
      </c>
      <c r="J3354" s="121">
        <f t="shared" si="1281"/>
        <v>1.02</v>
      </c>
      <c r="K3354" s="120">
        <f t="shared" si="1282"/>
        <v>0</v>
      </c>
      <c r="L3354" s="120">
        <f t="shared" si="1283"/>
        <v>0</v>
      </c>
      <c r="M3354" s="246">
        <f t="shared" si="1284"/>
        <v>0</v>
      </c>
      <c r="N3354" s="121">
        <f t="shared" si="1285"/>
        <v>1.02</v>
      </c>
      <c r="O3354" s="246">
        <f t="shared" si="1286"/>
        <v>1.0044912472647702</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87">
        <v>37</v>
      </c>
      <c r="B3355" s="242">
        <f t="shared" si="1293"/>
        <v>46753</v>
      </c>
      <c r="C3355" s="243">
        <f t="shared" si="1274"/>
        <v>46783</v>
      </c>
      <c r="D3355" s="120">
        <f t="shared" si="1275"/>
        <v>31</v>
      </c>
      <c r="E3355" s="120">
        <f t="shared" si="1276"/>
        <v>1</v>
      </c>
      <c r="F3355" s="275">
        <f t="shared" si="1277"/>
        <v>46768.5</v>
      </c>
      <c r="G3355" s="120">
        <f t="shared" si="1278"/>
        <v>24336</v>
      </c>
      <c r="H3355" s="245">
        <f t="shared" si="1279"/>
        <v>1</v>
      </c>
      <c r="I3355" s="121">
        <f t="shared" si="1280"/>
        <v>1.02</v>
      </c>
      <c r="J3355" s="121">
        <f t="shared" si="1281"/>
        <v>1.02</v>
      </c>
      <c r="K3355" s="120">
        <f t="shared" si="1282"/>
        <v>0</v>
      </c>
      <c r="L3355" s="120">
        <f t="shared" si="1283"/>
        <v>0</v>
      </c>
      <c r="M3355" s="246">
        <f t="shared" si="1284"/>
        <v>0</v>
      </c>
      <c r="N3355" s="121">
        <f t="shared" si="1285"/>
        <v>1.02</v>
      </c>
      <c r="O3355" s="246">
        <f t="shared" si="1286"/>
        <v>1.0049999999999999</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87">
        <v>38</v>
      </c>
      <c r="B3356" s="242">
        <f t="shared" si="1293"/>
        <v>46784</v>
      </c>
      <c r="C3356" s="243">
        <f t="shared" si="1274"/>
        <v>46812</v>
      </c>
      <c r="D3356" s="120">
        <f t="shared" si="1275"/>
        <v>29</v>
      </c>
      <c r="E3356" s="120">
        <f t="shared" si="1276"/>
        <v>2</v>
      </c>
      <c r="F3356" s="275">
        <f t="shared" si="1277"/>
        <v>46798.5</v>
      </c>
      <c r="G3356" s="120">
        <f t="shared" si="1278"/>
        <v>24337</v>
      </c>
      <c r="H3356" s="245">
        <f t="shared" si="1279"/>
        <v>1</v>
      </c>
      <c r="I3356" s="121">
        <f t="shared" si="1280"/>
        <v>1.02</v>
      </c>
      <c r="J3356" s="121">
        <f t="shared" si="1281"/>
        <v>1.02</v>
      </c>
      <c r="K3356" s="120">
        <f t="shared" si="1282"/>
        <v>0</v>
      </c>
      <c r="L3356" s="120">
        <f t="shared" si="1283"/>
        <v>0</v>
      </c>
      <c r="M3356" s="246">
        <f t="shared" si="1284"/>
        <v>0</v>
      </c>
      <c r="N3356" s="121">
        <f t="shared" si="1285"/>
        <v>1.02</v>
      </c>
      <c r="O3356" s="246">
        <f t="shared" si="1286"/>
        <v>1.0049999999999999</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87">
        <v>39</v>
      </c>
      <c r="B3357" s="242">
        <f t="shared" si="1293"/>
        <v>46813</v>
      </c>
      <c r="C3357" s="243">
        <f t="shared" si="1274"/>
        <v>46843</v>
      </c>
      <c r="D3357" s="120">
        <f t="shared" si="1275"/>
        <v>31</v>
      </c>
      <c r="E3357" s="120">
        <f t="shared" si="1276"/>
        <v>3</v>
      </c>
      <c r="F3357" s="275">
        <f t="shared" si="1277"/>
        <v>46828.5</v>
      </c>
      <c r="G3357" s="120">
        <f t="shared" si="1278"/>
        <v>24338</v>
      </c>
      <c r="H3357" s="245">
        <f t="shared" si="1279"/>
        <v>1</v>
      </c>
      <c r="I3357" s="121">
        <f t="shared" si="1280"/>
        <v>1.02</v>
      </c>
      <c r="J3357" s="121">
        <f t="shared" si="1281"/>
        <v>1.02</v>
      </c>
      <c r="K3357" s="120">
        <f t="shared" si="1282"/>
        <v>0</v>
      </c>
      <c r="L3357" s="120">
        <f t="shared" si="1283"/>
        <v>0</v>
      </c>
      <c r="M3357" s="246">
        <f t="shared" si="1284"/>
        <v>0</v>
      </c>
      <c r="N3357" s="121">
        <f t="shared" si="1285"/>
        <v>1.02</v>
      </c>
      <c r="O3357" s="246">
        <f t="shared" si="1286"/>
        <v>1.0049999999999999</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87">
        <v>40</v>
      </c>
      <c r="B3358" s="242">
        <f t="shared" si="1293"/>
        <v>46844</v>
      </c>
      <c r="C3358" s="243">
        <f t="shared" si="1274"/>
        <v>46873</v>
      </c>
      <c r="D3358" s="120">
        <f t="shared" si="1275"/>
        <v>30</v>
      </c>
      <c r="E3358" s="120">
        <f t="shared" si="1276"/>
        <v>4</v>
      </c>
      <c r="F3358" s="275">
        <f t="shared" si="1277"/>
        <v>46859</v>
      </c>
      <c r="G3358" s="120">
        <f t="shared" si="1278"/>
        <v>24339</v>
      </c>
      <c r="H3358" s="245">
        <f t="shared" si="1279"/>
        <v>1</v>
      </c>
      <c r="I3358" s="121">
        <f t="shared" si="1280"/>
        <v>1.02</v>
      </c>
      <c r="J3358" s="121">
        <f t="shared" si="1281"/>
        <v>1.02</v>
      </c>
      <c r="K3358" s="120">
        <f t="shared" si="1282"/>
        <v>0</v>
      </c>
      <c r="L3358" s="120">
        <f t="shared" si="1283"/>
        <v>0</v>
      </c>
      <c r="M3358" s="246">
        <f t="shared" si="1284"/>
        <v>0</v>
      </c>
      <c r="N3358" s="121">
        <f t="shared" si="1285"/>
        <v>1.02</v>
      </c>
      <c r="O3358" s="246">
        <f t="shared" si="1286"/>
        <v>1.0049999999999999</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87">
        <v>41</v>
      </c>
      <c r="B3359" s="242">
        <f t="shared" si="1293"/>
        <v>46874</v>
      </c>
      <c r="C3359" s="243">
        <f t="shared" si="1274"/>
        <v>46904</v>
      </c>
      <c r="D3359" s="120">
        <f t="shared" si="1275"/>
        <v>31</v>
      </c>
      <c r="E3359" s="120">
        <f t="shared" si="1276"/>
        <v>5</v>
      </c>
      <c r="F3359" s="275">
        <f t="shared" si="1277"/>
        <v>46889.5</v>
      </c>
      <c r="G3359" s="120">
        <f t="shared" si="1278"/>
        <v>24340</v>
      </c>
      <c r="H3359" s="245">
        <f t="shared" si="1279"/>
        <v>1</v>
      </c>
      <c r="I3359" s="121">
        <f t="shared" si="1280"/>
        <v>1.02</v>
      </c>
      <c r="J3359" s="121">
        <f t="shared" si="1281"/>
        <v>1.02</v>
      </c>
      <c r="K3359" s="120">
        <f t="shared" si="1282"/>
        <v>0</v>
      </c>
      <c r="L3359" s="120">
        <f t="shared" si="1283"/>
        <v>0</v>
      </c>
      <c r="M3359" s="246">
        <f t="shared" si="1284"/>
        <v>0</v>
      </c>
      <c r="N3359" s="121">
        <f t="shared" si="1285"/>
        <v>1.02</v>
      </c>
      <c r="O3359" s="246">
        <f t="shared" si="1286"/>
        <v>1.0049999999999999</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87">
        <v>42</v>
      </c>
      <c r="B3360" s="242">
        <f t="shared" si="1293"/>
        <v>46905</v>
      </c>
      <c r="C3360" s="243">
        <f t="shared" si="1274"/>
        <v>46934</v>
      </c>
      <c r="D3360" s="120">
        <f t="shared" si="1275"/>
        <v>30</v>
      </c>
      <c r="E3360" s="120">
        <f t="shared" si="1276"/>
        <v>6</v>
      </c>
      <c r="F3360" s="275">
        <f t="shared" si="1277"/>
        <v>46920</v>
      </c>
      <c r="G3360" s="120">
        <f t="shared" si="1278"/>
        <v>24341</v>
      </c>
      <c r="H3360" s="245">
        <f t="shared" si="1279"/>
        <v>1</v>
      </c>
      <c r="I3360" s="121">
        <f t="shared" si="1280"/>
        <v>1.02</v>
      </c>
      <c r="J3360" s="121">
        <f t="shared" si="1281"/>
        <v>1.02</v>
      </c>
      <c r="K3360" s="120">
        <f t="shared" si="1282"/>
        <v>0</v>
      </c>
      <c r="L3360" s="120">
        <f t="shared" si="1283"/>
        <v>0</v>
      </c>
      <c r="M3360" s="246">
        <f t="shared" si="1284"/>
        <v>0</v>
      </c>
      <c r="N3360" s="121">
        <f t="shared" si="1285"/>
        <v>1.02</v>
      </c>
      <c r="O3360" s="246">
        <f t="shared" si="1286"/>
        <v>1.0049999999999999</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87">
        <v>43</v>
      </c>
      <c r="B3361" s="242">
        <f t="shared" si="1293"/>
        <v>46935</v>
      </c>
      <c r="C3361" s="243">
        <f t="shared" si="1274"/>
        <v>46965</v>
      </c>
      <c r="D3361" s="120">
        <f t="shared" si="1275"/>
        <v>31</v>
      </c>
      <c r="E3361" s="120">
        <f t="shared" si="1276"/>
        <v>7</v>
      </c>
      <c r="F3361" s="275">
        <f t="shared" si="1277"/>
        <v>46950.5</v>
      </c>
      <c r="G3361" s="120">
        <f t="shared" si="1278"/>
        <v>24342</v>
      </c>
      <c r="H3361" s="245">
        <f t="shared" si="1279"/>
        <v>1</v>
      </c>
      <c r="I3361" s="121">
        <f t="shared" si="1280"/>
        <v>1.02</v>
      </c>
      <c r="J3361" s="121">
        <f t="shared" si="1281"/>
        <v>1.02</v>
      </c>
      <c r="K3361" s="120">
        <f t="shared" si="1282"/>
        <v>0</v>
      </c>
      <c r="L3361" s="120">
        <f t="shared" si="1283"/>
        <v>0</v>
      </c>
      <c r="M3361" s="246">
        <f t="shared" si="1284"/>
        <v>0</v>
      </c>
      <c r="N3361" s="121">
        <f t="shared" si="1285"/>
        <v>1.02</v>
      </c>
      <c r="O3361" s="246">
        <f t="shared" si="1286"/>
        <v>1.0049999999999999</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87">
        <v>44</v>
      </c>
      <c r="B3362" s="242">
        <f t="shared" si="1293"/>
        <v>46966</v>
      </c>
      <c r="C3362" s="243">
        <f t="shared" si="1274"/>
        <v>46996</v>
      </c>
      <c r="D3362" s="120">
        <f t="shared" si="1275"/>
        <v>31</v>
      </c>
      <c r="E3362" s="120">
        <f t="shared" si="1276"/>
        <v>8</v>
      </c>
      <c r="F3362" s="275">
        <f t="shared" si="1277"/>
        <v>46981.5</v>
      </c>
      <c r="G3362" s="120">
        <f t="shared" si="1278"/>
        <v>24343</v>
      </c>
      <c r="H3362" s="245">
        <f t="shared" si="1279"/>
        <v>1</v>
      </c>
      <c r="I3362" s="121">
        <f t="shared" si="1280"/>
        <v>1.02</v>
      </c>
      <c r="J3362" s="121">
        <f t="shared" si="1281"/>
        <v>1.02</v>
      </c>
      <c r="K3362" s="120">
        <f t="shared" si="1282"/>
        <v>0</v>
      </c>
      <c r="L3362" s="120">
        <f t="shared" si="1283"/>
        <v>0</v>
      </c>
      <c r="M3362" s="246">
        <f t="shared" si="1284"/>
        <v>0</v>
      </c>
      <c r="N3362" s="121">
        <f t="shared" si="1285"/>
        <v>1.02</v>
      </c>
      <c r="O3362" s="246">
        <f t="shared" si="1286"/>
        <v>1.0049999999999999</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87">
        <v>45</v>
      </c>
      <c r="B3363" s="242">
        <f t="shared" si="1293"/>
        <v>46997</v>
      </c>
      <c r="C3363" s="243">
        <f t="shared" si="1274"/>
        <v>47026</v>
      </c>
      <c r="D3363" s="120">
        <f t="shared" si="1275"/>
        <v>30</v>
      </c>
      <c r="E3363" s="120">
        <f t="shared" si="1276"/>
        <v>9</v>
      </c>
      <c r="F3363" s="275">
        <f t="shared" si="1277"/>
        <v>47012</v>
      </c>
      <c r="G3363" s="120">
        <f t="shared" si="1278"/>
        <v>24344</v>
      </c>
      <c r="H3363" s="245">
        <f t="shared" si="1279"/>
        <v>1</v>
      </c>
      <c r="I3363" s="121">
        <f t="shared" si="1280"/>
        <v>1.02</v>
      </c>
      <c r="J3363" s="121">
        <f t="shared" si="1281"/>
        <v>1.02</v>
      </c>
      <c r="K3363" s="120">
        <f t="shared" si="1282"/>
        <v>0</v>
      </c>
      <c r="L3363" s="120">
        <f t="shared" si="1283"/>
        <v>0</v>
      </c>
      <c r="M3363" s="246">
        <f t="shared" si="1284"/>
        <v>0</v>
      </c>
      <c r="N3363" s="121">
        <f t="shared" si="1285"/>
        <v>1.02</v>
      </c>
      <c r="O3363" s="246">
        <f t="shared" si="1286"/>
        <v>1.0049999999999999</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87">
        <v>46</v>
      </c>
      <c r="B3364" s="242">
        <f t="shared" si="1293"/>
        <v>47027</v>
      </c>
      <c r="C3364" s="243">
        <f t="shared" si="1274"/>
        <v>47057</v>
      </c>
      <c r="D3364" s="120">
        <f t="shared" si="1275"/>
        <v>31</v>
      </c>
      <c r="E3364" s="120">
        <f t="shared" si="1276"/>
        <v>10</v>
      </c>
      <c r="F3364" s="275">
        <f t="shared" si="1277"/>
        <v>47042.5</v>
      </c>
      <c r="G3364" s="120">
        <f t="shared" si="1278"/>
        <v>24345</v>
      </c>
      <c r="H3364" s="245">
        <f t="shared" si="1279"/>
        <v>1</v>
      </c>
      <c r="I3364" s="121">
        <f t="shared" si="1280"/>
        <v>1.02</v>
      </c>
      <c r="J3364" s="121">
        <f t="shared" si="1281"/>
        <v>1.02</v>
      </c>
      <c r="K3364" s="120">
        <f t="shared" si="1282"/>
        <v>0</v>
      </c>
      <c r="L3364" s="120">
        <f t="shared" si="1283"/>
        <v>0</v>
      </c>
      <c r="M3364" s="246">
        <f t="shared" si="1284"/>
        <v>0</v>
      </c>
      <c r="N3364" s="121">
        <f t="shared" si="1285"/>
        <v>1.02</v>
      </c>
      <c r="O3364" s="246">
        <f t="shared" si="1286"/>
        <v>1.0049999999999999</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87">
        <v>47</v>
      </c>
      <c r="B3365" s="242">
        <f t="shared" si="1293"/>
        <v>47058</v>
      </c>
      <c r="C3365" s="243">
        <f t="shared" si="1274"/>
        <v>47087</v>
      </c>
      <c r="D3365" s="120">
        <f t="shared" si="1275"/>
        <v>30</v>
      </c>
      <c r="E3365" s="120">
        <f t="shared" si="1276"/>
        <v>11</v>
      </c>
      <c r="F3365" s="275">
        <f t="shared" si="1277"/>
        <v>47073</v>
      </c>
      <c r="G3365" s="120">
        <f t="shared" si="1278"/>
        <v>24346</v>
      </c>
      <c r="H3365" s="245">
        <f t="shared" si="1279"/>
        <v>1</v>
      </c>
      <c r="I3365" s="121">
        <f t="shared" si="1280"/>
        <v>1.02</v>
      </c>
      <c r="J3365" s="121">
        <f t="shared" si="1281"/>
        <v>1.02</v>
      </c>
      <c r="K3365" s="120">
        <f t="shared" si="1282"/>
        <v>0</v>
      </c>
      <c r="L3365" s="120">
        <f t="shared" si="1283"/>
        <v>0</v>
      </c>
      <c r="M3365" s="246">
        <f t="shared" si="1284"/>
        <v>0</v>
      </c>
      <c r="N3365" s="121">
        <f t="shared" si="1285"/>
        <v>1.02</v>
      </c>
      <c r="O3365" s="246">
        <f t="shared" si="1286"/>
        <v>1.0049999999999999</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87">
        <v>48</v>
      </c>
      <c r="B3366" s="242">
        <f t="shared" si="1293"/>
        <v>47088</v>
      </c>
      <c r="C3366" s="243">
        <f t="shared" si="1274"/>
        <v>47118</v>
      </c>
      <c r="D3366" s="120">
        <f t="shared" si="1275"/>
        <v>31</v>
      </c>
      <c r="E3366" s="120">
        <f t="shared" si="1276"/>
        <v>12</v>
      </c>
      <c r="F3366" s="275">
        <f t="shared" si="1277"/>
        <v>47103.5</v>
      </c>
      <c r="G3366" s="120">
        <f t="shared" si="1278"/>
        <v>24347</v>
      </c>
      <c r="H3366" s="245">
        <f t="shared" si="1279"/>
        <v>1</v>
      </c>
      <c r="I3366" s="121">
        <f t="shared" si="1280"/>
        <v>1.02</v>
      </c>
      <c r="J3366" s="121">
        <f t="shared" si="1281"/>
        <v>1.02</v>
      </c>
      <c r="K3366" s="120">
        <f t="shared" si="1282"/>
        <v>0</v>
      </c>
      <c r="L3366" s="120">
        <f t="shared" si="1283"/>
        <v>0</v>
      </c>
      <c r="M3366" s="246">
        <f t="shared" si="1284"/>
        <v>0</v>
      </c>
      <c r="N3366" s="121">
        <f t="shared" si="1285"/>
        <v>1.02</v>
      </c>
      <c r="O3366" s="246">
        <f t="shared" si="1286"/>
        <v>1.0049999999999999</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1651</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24">
        <f>SUMPRODUCT($H$3319:$H$3366,$Q$3319:$Q$3366,$O$3319:$O$3366)/SUMPRODUCT($H$3319:$H$3366,$Q$3319:$Q$3366)</f>
        <v>0.99299370897155337</v>
      </c>
      <c r="G3367" s="224">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24">
        <f>IF(N(INDEX(lr_mind,62))=0,1,INDEX(lr_mind,62))</f>
        <v>1</v>
      </c>
      <c r="G3370" s="224">
        <f>IF(N(INDEX(lr_m0,62))=0,1,INDEX(lr_m0,62))</f>
        <v>0.99</v>
      </c>
      <c r="H3370" s="74">
        <f>IF(N(INDEX(lr_m0asof,62))=0,DATE(nr_PlanYear-1,10,1),INDEX(lr_m0asof,62))</f>
        <v>46295</v>
      </c>
      <c r="I3370" s="224">
        <f>IF(N(INDEX(lr_m1,62))=0,1,INDEX(lr_m1,62))</f>
        <v>0.98499999999999999</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94">EOMONTH($B3373,0)</f>
        <v>45688</v>
      </c>
      <c r="D3373" s="120">
        <f t="shared" ref="D3373:D3420" si="1295">$C3373-$B3373+1</f>
        <v>31</v>
      </c>
      <c r="E3373" s="120">
        <f t="shared" ref="E3373:E3420" si="1296">MONTH($B3373)</f>
        <v>1</v>
      </c>
      <c r="F3373" s="275">
        <f t="shared" ref="F3373:F3420" si="1297">($B3373+$C3373+1)/2</f>
        <v>45673.5</v>
      </c>
      <c r="G3373" s="120">
        <f t="shared" ref="G3373:G3420" si="1298">YEAR($B3373)*12+MONTH($B3373)-1</f>
        <v>24300</v>
      </c>
      <c r="H3373" s="245">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46">
        <f t="shared" ref="M3373:M3420" si="1304">IF($K3373=0,0,MIN(1,$L3373/$D3373))</f>
        <v>0</v>
      </c>
      <c r="N3373" s="121">
        <f t="shared" ref="N3373:N3420" si="1305">IF($K3373=0,$J3373,(1-$M3373)*$I3373+$M3373*$J3373)</f>
        <v>1</v>
      </c>
      <c r="O3373" s="246">
        <f t="shared" ref="O3373:O3420" si="1306">IF($F3373&lt;$B$3371,$E$3371+$I$3371*($F3373-$A$3371),IF($F3373&lt;$C$3371,$F$3371+$J$3371*($F3373-$B$3371),$G$3371+$K$3371*($F3373-$C$3371)))</f>
        <v>0.99681072210065647</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87">
        <v>2</v>
      </c>
      <c r="B3374" s="242">
        <f t="shared" ref="B3374:B3420" si="1313">EDATE($B3373,1)</f>
        <v>45689</v>
      </c>
      <c r="C3374" s="243">
        <f t="shared" si="1294"/>
        <v>45716</v>
      </c>
      <c r="D3374" s="120">
        <f t="shared" si="1295"/>
        <v>28</v>
      </c>
      <c r="E3374" s="120">
        <f t="shared" si="1296"/>
        <v>2</v>
      </c>
      <c r="F3374" s="275">
        <f t="shared" si="1297"/>
        <v>45703</v>
      </c>
      <c r="G3374" s="120">
        <f t="shared" si="1298"/>
        <v>24301</v>
      </c>
      <c r="H3374" s="245">
        <f t="shared" si="1299"/>
        <v>1</v>
      </c>
      <c r="I3374" s="121">
        <f t="shared" si="1300"/>
        <v>1</v>
      </c>
      <c r="J3374" s="121">
        <f t="shared" si="1301"/>
        <v>1</v>
      </c>
      <c r="K3374" s="120">
        <f t="shared" si="1302"/>
        <v>0</v>
      </c>
      <c r="L3374" s="120">
        <f t="shared" si="1303"/>
        <v>0</v>
      </c>
      <c r="M3374" s="246">
        <f t="shared" si="1304"/>
        <v>0</v>
      </c>
      <c r="N3374" s="121">
        <f t="shared" si="1305"/>
        <v>1</v>
      </c>
      <c r="O3374" s="246">
        <f t="shared" si="1306"/>
        <v>0.99648796498905901</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87">
        <v>3</v>
      </c>
      <c r="B3375" s="242">
        <f t="shared" si="1313"/>
        <v>45717</v>
      </c>
      <c r="C3375" s="243">
        <f t="shared" si="1294"/>
        <v>45747</v>
      </c>
      <c r="D3375" s="120">
        <f t="shared" si="1295"/>
        <v>31</v>
      </c>
      <c r="E3375" s="120">
        <f t="shared" si="1296"/>
        <v>3</v>
      </c>
      <c r="F3375" s="275">
        <f t="shared" si="1297"/>
        <v>45732.5</v>
      </c>
      <c r="G3375" s="120">
        <f t="shared" si="1298"/>
        <v>24302</v>
      </c>
      <c r="H3375" s="245">
        <f t="shared" si="1299"/>
        <v>1</v>
      </c>
      <c r="I3375" s="121">
        <f t="shared" si="1300"/>
        <v>1</v>
      </c>
      <c r="J3375" s="121">
        <f t="shared" si="1301"/>
        <v>1</v>
      </c>
      <c r="K3375" s="120">
        <f t="shared" si="1302"/>
        <v>0</v>
      </c>
      <c r="L3375" s="120">
        <f t="shared" si="1303"/>
        <v>0</v>
      </c>
      <c r="M3375" s="246">
        <f t="shared" si="1304"/>
        <v>0</v>
      </c>
      <c r="N3375" s="121">
        <f t="shared" si="1305"/>
        <v>1</v>
      </c>
      <c r="O3375" s="246">
        <f t="shared" si="1306"/>
        <v>0.99616520787746166</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87">
        <v>4</v>
      </c>
      <c r="B3376" s="242">
        <f t="shared" si="1313"/>
        <v>45748</v>
      </c>
      <c r="C3376" s="243">
        <f t="shared" si="1294"/>
        <v>45777</v>
      </c>
      <c r="D3376" s="120">
        <f t="shared" si="1295"/>
        <v>30</v>
      </c>
      <c r="E3376" s="120">
        <f t="shared" si="1296"/>
        <v>4</v>
      </c>
      <c r="F3376" s="275">
        <f t="shared" si="1297"/>
        <v>45763</v>
      </c>
      <c r="G3376" s="120">
        <f t="shared" si="1298"/>
        <v>24303</v>
      </c>
      <c r="H3376" s="245">
        <f t="shared" si="1299"/>
        <v>1</v>
      </c>
      <c r="I3376" s="121">
        <f t="shared" si="1300"/>
        <v>1</v>
      </c>
      <c r="J3376" s="121">
        <f t="shared" si="1301"/>
        <v>1</v>
      </c>
      <c r="K3376" s="120">
        <f t="shared" si="1302"/>
        <v>0</v>
      </c>
      <c r="L3376" s="120">
        <f t="shared" si="1303"/>
        <v>0</v>
      </c>
      <c r="M3376" s="246">
        <f t="shared" si="1304"/>
        <v>0</v>
      </c>
      <c r="N3376" s="121">
        <f t="shared" si="1305"/>
        <v>1</v>
      </c>
      <c r="O3376" s="246">
        <f t="shared" si="1306"/>
        <v>0.99583150984682711</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87">
        <v>5</v>
      </c>
      <c r="B3377" s="242">
        <f t="shared" si="1313"/>
        <v>45778</v>
      </c>
      <c r="C3377" s="243">
        <f t="shared" si="1294"/>
        <v>45808</v>
      </c>
      <c r="D3377" s="120">
        <f t="shared" si="1295"/>
        <v>31</v>
      </c>
      <c r="E3377" s="120">
        <f t="shared" si="1296"/>
        <v>5</v>
      </c>
      <c r="F3377" s="275">
        <f t="shared" si="1297"/>
        <v>45793.5</v>
      </c>
      <c r="G3377" s="120">
        <f t="shared" si="1298"/>
        <v>24304</v>
      </c>
      <c r="H3377" s="245">
        <f t="shared" si="1299"/>
        <v>1</v>
      </c>
      <c r="I3377" s="121">
        <f t="shared" si="1300"/>
        <v>1</v>
      </c>
      <c r="J3377" s="121">
        <f t="shared" si="1301"/>
        <v>1</v>
      </c>
      <c r="K3377" s="120">
        <f t="shared" si="1302"/>
        <v>0</v>
      </c>
      <c r="L3377" s="120">
        <f t="shared" si="1303"/>
        <v>0</v>
      </c>
      <c r="M3377" s="246">
        <f t="shared" si="1304"/>
        <v>0</v>
      </c>
      <c r="N3377" s="121">
        <f t="shared" si="1305"/>
        <v>1</v>
      </c>
      <c r="O3377" s="246">
        <f t="shared" si="1306"/>
        <v>0.99549781181619257</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87">
        <v>6</v>
      </c>
      <c r="B3378" s="242">
        <f t="shared" si="1313"/>
        <v>45809</v>
      </c>
      <c r="C3378" s="243">
        <f t="shared" si="1294"/>
        <v>45838</v>
      </c>
      <c r="D3378" s="120">
        <f t="shared" si="1295"/>
        <v>30</v>
      </c>
      <c r="E3378" s="120">
        <f t="shared" si="1296"/>
        <v>6</v>
      </c>
      <c r="F3378" s="275">
        <f t="shared" si="1297"/>
        <v>45824</v>
      </c>
      <c r="G3378" s="120">
        <f t="shared" si="1298"/>
        <v>24305</v>
      </c>
      <c r="H3378" s="245">
        <f t="shared" si="1299"/>
        <v>1</v>
      </c>
      <c r="I3378" s="121">
        <f t="shared" si="1300"/>
        <v>1</v>
      </c>
      <c r="J3378" s="121">
        <f t="shared" si="1301"/>
        <v>1</v>
      </c>
      <c r="K3378" s="120">
        <f t="shared" si="1302"/>
        <v>0</v>
      </c>
      <c r="L3378" s="120">
        <f t="shared" si="1303"/>
        <v>0</v>
      </c>
      <c r="M3378" s="246">
        <f t="shared" si="1304"/>
        <v>0</v>
      </c>
      <c r="N3378" s="121">
        <f t="shared" si="1305"/>
        <v>1</v>
      </c>
      <c r="O3378" s="246">
        <f t="shared" si="1306"/>
        <v>0.99516411378555791</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87">
        <v>7</v>
      </c>
      <c r="B3379" s="242">
        <f t="shared" si="1313"/>
        <v>45839</v>
      </c>
      <c r="C3379" s="243">
        <f t="shared" si="1294"/>
        <v>45869</v>
      </c>
      <c r="D3379" s="120">
        <f t="shared" si="1295"/>
        <v>31</v>
      </c>
      <c r="E3379" s="120">
        <f t="shared" si="1296"/>
        <v>7</v>
      </c>
      <c r="F3379" s="275">
        <f t="shared" si="1297"/>
        <v>45854.5</v>
      </c>
      <c r="G3379" s="120">
        <f t="shared" si="1298"/>
        <v>24306</v>
      </c>
      <c r="H3379" s="245">
        <f t="shared" si="1299"/>
        <v>1</v>
      </c>
      <c r="I3379" s="121">
        <f t="shared" si="1300"/>
        <v>1</v>
      </c>
      <c r="J3379" s="121">
        <f t="shared" si="1301"/>
        <v>1</v>
      </c>
      <c r="K3379" s="120">
        <f t="shared" si="1302"/>
        <v>0</v>
      </c>
      <c r="L3379" s="120">
        <f t="shared" si="1303"/>
        <v>0</v>
      </c>
      <c r="M3379" s="246">
        <f t="shared" si="1304"/>
        <v>0</v>
      </c>
      <c r="N3379" s="121">
        <f t="shared" si="1305"/>
        <v>1</v>
      </c>
      <c r="O3379" s="246">
        <f t="shared" si="1306"/>
        <v>0.99483041575492337</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87">
        <v>8</v>
      </c>
      <c r="B3380" s="242">
        <f t="shared" si="1313"/>
        <v>45870</v>
      </c>
      <c r="C3380" s="243">
        <f t="shared" si="1294"/>
        <v>45900</v>
      </c>
      <c r="D3380" s="120">
        <f t="shared" si="1295"/>
        <v>31</v>
      </c>
      <c r="E3380" s="120">
        <f t="shared" si="1296"/>
        <v>8</v>
      </c>
      <c r="F3380" s="275">
        <f t="shared" si="1297"/>
        <v>45885.5</v>
      </c>
      <c r="G3380" s="120">
        <f t="shared" si="1298"/>
        <v>24307</v>
      </c>
      <c r="H3380" s="245">
        <f t="shared" si="1299"/>
        <v>1</v>
      </c>
      <c r="I3380" s="121">
        <f t="shared" si="1300"/>
        <v>1</v>
      </c>
      <c r="J3380" s="121">
        <f t="shared" si="1301"/>
        <v>1</v>
      </c>
      <c r="K3380" s="120">
        <f t="shared" si="1302"/>
        <v>0</v>
      </c>
      <c r="L3380" s="120">
        <f t="shared" si="1303"/>
        <v>0</v>
      </c>
      <c r="M3380" s="246">
        <f t="shared" si="1304"/>
        <v>0</v>
      </c>
      <c r="N3380" s="121">
        <f t="shared" si="1305"/>
        <v>1</v>
      </c>
      <c r="O3380" s="246">
        <f t="shared" si="1306"/>
        <v>0.99449124726477023</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87">
        <v>9</v>
      </c>
      <c r="B3381" s="242">
        <f t="shared" si="1313"/>
        <v>45901</v>
      </c>
      <c r="C3381" s="243">
        <f t="shared" si="1294"/>
        <v>45930</v>
      </c>
      <c r="D3381" s="120">
        <f t="shared" si="1295"/>
        <v>30</v>
      </c>
      <c r="E3381" s="120">
        <f t="shared" si="1296"/>
        <v>9</v>
      </c>
      <c r="F3381" s="275">
        <f t="shared" si="1297"/>
        <v>45916</v>
      </c>
      <c r="G3381" s="120">
        <f t="shared" si="1298"/>
        <v>24308</v>
      </c>
      <c r="H3381" s="245">
        <f t="shared" si="1299"/>
        <v>1</v>
      </c>
      <c r="I3381" s="121">
        <f t="shared" si="1300"/>
        <v>1</v>
      </c>
      <c r="J3381" s="121">
        <f t="shared" si="1301"/>
        <v>1</v>
      </c>
      <c r="K3381" s="120">
        <f t="shared" si="1302"/>
        <v>0</v>
      </c>
      <c r="L3381" s="120">
        <f t="shared" si="1303"/>
        <v>0</v>
      </c>
      <c r="M3381" s="246">
        <f t="shared" si="1304"/>
        <v>0</v>
      </c>
      <c r="N3381" s="121">
        <f t="shared" si="1305"/>
        <v>1</v>
      </c>
      <c r="O3381" s="246">
        <f t="shared" si="1306"/>
        <v>0.99415754923413568</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87">
        <v>10</v>
      </c>
      <c r="B3382" s="242">
        <f t="shared" si="1313"/>
        <v>45931</v>
      </c>
      <c r="C3382" s="243">
        <f t="shared" si="1294"/>
        <v>45961</v>
      </c>
      <c r="D3382" s="120">
        <f t="shared" si="1295"/>
        <v>31</v>
      </c>
      <c r="E3382" s="120">
        <f t="shared" si="1296"/>
        <v>10</v>
      </c>
      <c r="F3382" s="275">
        <f t="shared" si="1297"/>
        <v>45946.5</v>
      </c>
      <c r="G3382" s="120">
        <f t="shared" si="1298"/>
        <v>24309</v>
      </c>
      <c r="H3382" s="245">
        <f t="shared" si="1299"/>
        <v>1</v>
      </c>
      <c r="I3382" s="121">
        <f t="shared" si="1300"/>
        <v>1</v>
      </c>
      <c r="J3382" s="121">
        <f t="shared" si="1301"/>
        <v>1</v>
      </c>
      <c r="K3382" s="120">
        <f t="shared" si="1302"/>
        <v>0</v>
      </c>
      <c r="L3382" s="120">
        <f t="shared" si="1303"/>
        <v>0</v>
      </c>
      <c r="M3382" s="246">
        <f t="shared" si="1304"/>
        <v>0</v>
      </c>
      <c r="N3382" s="121">
        <f t="shared" si="1305"/>
        <v>1</v>
      </c>
      <c r="O3382" s="246">
        <f t="shared" si="1306"/>
        <v>0.99382385120350103</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87">
        <v>11</v>
      </c>
      <c r="B3383" s="242">
        <f t="shared" si="1313"/>
        <v>45962</v>
      </c>
      <c r="C3383" s="243">
        <f t="shared" si="1294"/>
        <v>45991</v>
      </c>
      <c r="D3383" s="120">
        <f t="shared" si="1295"/>
        <v>30</v>
      </c>
      <c r="E3383" s="120">
        <f t="shared" si="1296"/>
        <v>11</v>
      </c>
      <c r="F3383" s="275">
        <f t="shared" si="1297"/>
        <v>45977</v>
      </c>
      <c r="G3383" s="120">
        <f t="shared" si="1298"/>
        <v>24310</v>
      </c>
      <c r="H3383" s="245">
        <f t="shared" si="1299"/>
        <v>1</v>
      </c>
      <c r="I3383" s="121">
        <f t="shared" si="1300"/>
        <v>1</v>
      </c>
      <c r="J3383" s="121">
        <f t="shared" si="1301"/>
        <v>1</v>
      </c>
      <c r="K3383" s="120">
        <f t="shared" si="1302"/>
        <v>0</v>
      </c>
      <c r="L3383" s="120">
        <f t="shared" si="1303"/>
        <v>0</v>
      </c>
      <c r="M3383" s="246">
        <f t="shared" si="1304"/>
        <v>0</v>
      </c>
      <c r="N3383" s="121">
        <f t="shared" si="1305"/>
        <v>1</v>
      </c>
      <c r="O3383" s="246">
        <f t="shared" si="1306"/>
        <v>0.99349015317286649</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87">
        <v>12</v>
      </c>
      <c r="B3384" s="242">
        <f t="shared" si="1313"/>
        <v>45992</v>
      </c>
      <c r="C3384" s="243">
        <f t="shared" si="1294"/>
        <v>46022</v>
      </c>
      <c r="D3384" s="120">
        <f t="shared" si="1295"/>
        <v>31</v>
      </c>
      <c r="E3384" s="120">
        <f t="shared" si="1296"/>
        <v>12</v>
      </c>
      <c r="F3384" s="275">
        <f t="shared" si="1297"/>
        <v>46007.5</v>
      </c>
      <c r="G3384" s="120">
        <f t="shared" si="1298"/>
        <v>24311</v>
      </c>
      <c r="H3384" s="245">
        <f t="shared" si="1299"/>
        <v>1</v>
      </c>
      <c r="I3384" s="121">
        <f t="shared" si="1300"/>
        <v>1</v>
      </c>
      <c r="J3384" s="121">
        <f t="shared" si="1301"/>
        <v>1</v>
      </c>
      <c r="K3384" s="120">
        <f t="shared" si="1302"/>
        <v>0</v>
      </c>
      <c r="L3384" s="120">
        <f t="shared" si="1303"/>
        <v>0</v>
      </c>
      <c r="M3384" s="246">
        <f t="shared" si="1304"/>
        <v>0</v>
      </c>
      <c r="N3384" s="121">
        <f t="shared" si="1305"/>
        <v>1</v>
      </c>
      <c r="O3384" s="246">
        <f t="shared" si="1306"/>
        <v>0.99315645514223194</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87">
        <v>13</v>
      </c>
      <c r="B3385" s="242">
        <f t="shared" si="1313"/>
        <v>46023</v>
      </c>
      <c r="C3385" s="243">
        <f t="shared" si="1294"/>
        <v>46053</v>
      </c>
      <c r="D3385" s="120">
        <f t="shared" si="1295"/>
        <v>31</v>
      </c>
      <c r="E3385" s="120">
        <f t="shared" si="1296"/>
        <v>1</v>
      </c>
      <c r="F3385" s="275">
        <f t="shared" si="1297"/>
        <v>46038.5</v>
      </c>
      <c r="G3385" s="120">
        <f t="shared" si="1298"/>
        <v>24312</v>
      </c>
      <c r="H3385" s="245">
        <f t="shared" si="1299"/>
        <v>1</v>
      </c>
      <c r="I3385" s="121">
        <f t="shared" si="1300"/>
        <v>1</v>
      </c>
      <c r="J3385" s="121">
        <f t="shared" si="1301"/>
        <v>1</v>
      </c>
      <c r="K3385" s="120">
        <f t="shared" si="1302"/>
        <v>0</v>
      </c>
      <c r="L3385" s="120">
        <f t="shared" si="1303"/>
        <v>0</v>
      </c>
      <c r="M3385" s="246">
        <f t="shared" si="1304"/>
        <v>0</v>
      </c>
      <c r="N3385" s="121">
        <f t="shared" si="1305"/>
        <v>1</v>
      </c>
      <c r="O3385" s="246">
        <f t="shared" si="1306"/>
        <v>0.9928172866520788</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87">
        <v>14</v>
      </c>
      <c r="B3386" s="242">
        <f t="shared" si="1313"/>
        <v>46054</v>
      </c>
      <c r="C3386" s="243">
        <f t="shared" si="1294"/>
        <v>46081</v>
      </c>
      <c r="D3386" s="120">
        <f t="shared" si="1295"/>
        <v>28</v>
      </c>
      <c r="E3386" s="120">
        <f t="shared" si="1296"/>
        <v>2</v>
      </c>
      <c r="F3386" s="275">
        <f t="shared" si="1297"/>
        <v>46068</v>
      </c>
      <c r="G3386" s="120">
        <f t="shared" si="1298"/>
        <v>24313</v>
      </c>
      <c r="H3386" s="245">
        <f t="shared" si="1299"/>
        <v>1</v>
      </c>
      <c r="I3386" s="121">
        <f t="shared" si="1300"/>
        <v>1</v>
      </c>
      <c r="J3386" s="121">
        <f t="shared" si="1301"/>
        <v>1.03</v>
      </c>
      <c r="K3386" s="120">
        <f t="shared" si="1302"/>
        <v>1</v>
      </c>
      <c r="L3386" s="120">
        <f t="shared" si="1303"/>
        <v>28</v>
      </c>
      <c r="M3386" s="246">
        <f t="shared" si="1304"/>
        <v>1</v>
      </c>
      <c r="N3386" s="121">
        <f t="shared" si="1305"/>
        <v>1.03</v>
      </c>
      <c r="O3386" s="246">
        <f t="shared" si="1306"/>
        <v>0.99249452954048134</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87">
        <v>15</v>
      </c>
      <c r="B3387" s="242">
        <f t="shared" si="1313"/>
        <v>46082</v>
      </c>
      <c r="C3387" s="243">
        <f t="shared" si="1294"/>
        <v>46112</v>
      </c>
      <c r="D3387" s="120">
        <f t="shared" si="1295"/>
        <v>31</v>
      </c>
      <c r="E3387" s="120">
        <f t="shared" si="1296"/>
        <v>3</v>
      </c>
      <c r="F3387" s="275">
        <f t="shared" si="1297"/>
        <v>46097.5</v>
      </c>
      <c r="G3387" s="120">
        <f t="shared" si="1298"/>
        <v>24314</v>
      </c>
      <c r="H3387" s="245">
        <f t="shared" si="1299"/>
        <v>1</v>
      </c>
      <c r="I3387" s="121">
        <f t="shared" si="1300"/>
        <v>1.03</v>
      </c>
      <c r="J3387" s="121">
        <f t="shared" si="1301"/>
        <v>1.03</v>
      </c>
      <c r="K3387" s="120">
        <f t="shared" si="1302"/>
        <v>0</v>
      </c>
      <c r="L3387" s="120">
        <f t="shared" si="1303"/>
        <v>0</v>
      </c>
      <c r="M3387" s="246">
        <f t="shared" si="1304"/>
        <v>0</v>
      </c>
      <c r="N3387" s="121">
        <f t="shared" si="1305"/>
        <v>1.03</v>
      </c>
      <c r="O3387" s="246">
        <f t="shared" si="1306"/>
        <v>0.99217177242888399</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87">
        <v>16</v>
      </c>
      <c r="B3388" s="242">
        <f t="shared" si="1313"/>
        <v>46113</v>
      </c>
      <c r="C3388" s="243">
        <f t="shared" si="1294"/>
        <v>46142</v>
      </c>
      <c r="D3388" s="120">
        <f t="shared" si="1295"/>
        <v>30</v>
      </c>
      <c r="E3388" s="120">
        <f t="shared" si="1296"/>
        <v>4</v>
      </c>
      <c r="F3388" s="275">
        <f t="shared" si="1297"/>
        <v>46128</v>
      </c>
      <c r="G3388" s="120">
        <f t="shared" si="1298"/>
        <v>24315</v>
      </c>
      <c r="H3388" s="245">
        <f t="shared" si="1299"/>
        <v>1</v>
      </c>
      <c r="I3388" s="121">
        <f t="shared" si="1300"/>
        <v>1.03</v>
      </c>
      <c r="J3388" s="121">
        <f t="shared" si="1301"/>
        <v>1.03</v>
      </c>
      <c r="K3388" s="120">
        <f t="shared" si="1302"/>
        <v>0</v>
      </c>
      <c r="L3388" s="120">
        <f t="shared" si="1303"/>
        <v>0</v>
      </c>
      <c r="M3388" s="246">
        <f t="shared" si="1304"/>
        <v>0</v>
      </c>
      <c r="N3388" s="121">
        <f t="shared" si="1305"/>
        <v>1.03</v>
      </c>
      <c r="O3388" s="246">
        <f t="shared" si="1306"/>
        <v>0.99183807439824945</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87">
        <v>17</v>
      </c>
      <c r="B3389" s="242">
        <f t="shared" si="1313"/>
        <v>46143</v>
      </c>
      <c r="C3389" s="243">
        <f t="shared" si="1294"/>
        <v>46173</v>
      </c>
      <c r="D3389" s="120">
        <f t="shared" si="1295"/>
        <v>31</v>
      </c>
      <c r="E3389" s="120">
        <f t="shared" si="1296"/>
        <v>5</v>
      </c>
      <c r="F3389" s="275">
        <f t="shared" si="1297"/>
        <v>46158.5</v>
      </c>
      <c r="G3389" s="120">
        <f t="shared" si="1298"/>
        <v>24316</v>
      </c>
      <c r="H3389" s="245">
        <f t="shared" si="1299"/>
        <v>1</v>
      </c>
      <c r="I3389" s="121">
        <f t="shared" si="1300"/>
        <v>1.03</v>
      </c>
      <c r="J3389" s="121">
        <f t="shared" si="1301"/>
        <v>1.03</v>
      </c>
      <c r="K3389" s="120">
        <f t="shared" si="1302"/>
        <v>0</v>
      </c>
      <c r="L3389" s="120">
        <f t="shared" si="1303"/>
        <v>0</v>
      </c>
      <c r="M3389" s="246">
        <f t="shared" si="1304"/>
        <v>0</v>
      </c>
      <c r="N3389" s="121">
        <f t="shared" si="1305"/>
        <v>1.03</v>
      </c>
      <c r="O3389" s="246">
        <f t="shared" si="1306"/>
        <v>0.9915043763676149</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87">
        <v>18</v>
      </c>
      <c r="B3390" s="242">
        <f t="shared" si="1313"/>
        <v>46174</v>
      </c>
      <c r="C3390" s="243">
        <f t="shared" si="1294"/>
        <v>46203</v>
      </c>
      <c r="D3390" s="120">
        <f t="shared" si="1295"/>
        <v>30</v>
      </c>
      <c r="E3390" s="120">
        <f t="shared" si="1296"/>
        <v>6</v>
      </c>
      <c r="F3390" s="275">
        <f t="shared" si="1297"/>
        <v>46189</v>
      </c>
      <c r="G3390" s="120">
        <f t="shared" si="1298"/>
        <v>24317</v>
      </c>
      <c r="H3390" s="245">
        <f t="shared" si="1299"/>
        <v>1</v>
      </c>
      <c r="I3390" s="121">
        <f t="shared" si="1300"/>
        <v>1.03</v>
      </c>
      <c r="J3390" s="121">
        <f t="shared" si="1301"/>
        <v>1.03</v>
      </c>
      <c r="K3390" s="120">
        <f t="shared" si="1302"/>
        <v>0</v>
      </c>
      <c r="L3390" s="120">
        <f t="shared" si="1303"/>
        <v>0</v>
      </c>
      <c r="M3390" s="246">
        <f t="shared" si="1304"/>
        <v>0</v>
      </c>
      <c r="N3390" s="121">
        <f t="shared" si="1305"/>
        <v>1.03</v>
      </c>
      <c r="O3390" s="246">
        <f t="shared" si="1306"/>
        <v>0.99117067833698025</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87">
        <v>19</v>
      </c>
      <c r="B3391" s="242">
        <f t="shared" si="1313"/>
        <v>46204</v>
      </c>
      <c r="C3391" s="243">
        <f t="shared" si="1294"/>
        <v>46234</v>
      </c>
      <c r="D3391" s="120">
        <f t="shared" si="1295"/>
        <v>31</v>
      </c>
      <c r="E3391" s="120">
        <f t="shared" si="1296"/>
        <v>7</v>
      </c>
      <c r="F3391" s="275">
        <f t="shared" si="1297"/>
        <v>46219.5</v>
      </c>
      <c r="G3391" s="120">
        <f t="shared" si="1298"/>
        <v>24318</v>
      </c>
      <c r="H3391" s="245">
        <f t="shared" si="1299"/>
        <v>1</v>
      </c>
      <c r="I3391" s="121">
        <f t="shared" si="1300"/>
        <v>1.03</v>
      </c>
      <c r="J3391" s="121">
        <f t="shared" si="1301"/>
        <v>1.03</v>
      </c>
      <c r="K3391" s="120">
        <f t="shared" si="1302"/>
        <v>0</v>
      </c>
      <c r="L3391" s="120">
        <f t="shared" si="1303"/>
        <v>0</v>
      </c>
      <c r="M3391" s="246">
        <f t="shared" si="1304"/>
        <v>0</v>
      </c>
      <c r="N3391" s="121">
        <f t="shared" si="1305"/>
        <v>1.03</v>
      </c>
      <c r="O3391" s="246">
        <f t="shared" si="1306"/>
        <v>0.9908369803063457</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87">
        <v>20</v>
      </c>
      <c r="B3392" s="242">
        <f t="shared" si="1313"/>
        <v>46235</v>
      </c>
      <c r="C3392" s="243">
        <f t="shared" si="1294"/>
        <v>46265</v>
      </c>
      <c r="D3392" s="120">
        <f t="shared" si="1295"/>
        <v>31</v>
      </c>
      <c r="E3392" s="120">
        <f t="shared" si="1296"/>
        <v>8</v>
      </c>
      <c r="F3392" s="275">
        <f t="shared" si="1297"/>
        <v>46250.5</v>
      </c>
      <c r="G3392" s="120">
        <f t="shared" si="1298"/>
        <v>24319</v>
      </c>
      <c r="H3392" s="245">
        <f t="shared" si="1299"/>
        <v>1</v>
      </c>
      <c r="I3392" s="121">
        <f t="shared" si="1300"/>
        <v>1.03</v>
      </c>
      <c r="J3392" s="121">
        <f t="shared" si="1301"/>
        <v>1.03</v>
      </c>
      <c r="K3392" s="120">
        <f t="shared" si="1302"/>
        <v>0</v>
      </c>
      <c r="L3392" s="120">
        <f t="shared" si="1303"/>
        <v>0</v>
      </c>
      <c r="M3392" s="246">
        <f t="shared" si="1304"/>
        <v>0</v>
      </c>
      <c r="N3392" s="121">
        <f t="shared" si="1305"/>
        <v>1.03</v>
      </c>
      <c r="O3392" s="246">
        <f t="shared" si="1306"/>
        <v>0.99049781181619256</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87">
        <v>21</v>
      </c>
      <c r="B3393" s="242">
        <f t="shared" si="1313"/>
        <v>46266</v>
      </c>
      <c r="C3393" s="243">
        <f t="shared" si="1294"/>
        <v>46295</v>
      </c>
      <c r="D3393" s="120">
        <f t="shared" si="1295"/>
        <v>30</v>
      </c>
      <c r="E3393" s="120">
        <f t="shared" si="1296"/>
        <v>9</v>
      </c>
      <c r="F3393" s="275">
        <f t="shared" si="1297"/>
        <v>46281</v>
      </c>
      <c r="G3393" s="120">
        <f t="shared" si="1298"/>
        <v>24320</v>
      </c>
      <c r="H3393" s="245">
        <f t="shared" si="1299"/>
        <v>1</v>
      </c>
      <c r="I3393" s="121">
        <f t="shared" si="1300"/>
        <v>1.03</v>
      </c>
      <c r="J3393" s="121">
        <f t="shared" si="1301"/>
        <v>1.03</v>
      </c>
      <c r="K3393" s="120">
        <f t="shared" si="1302"/>
        <v>0</v>
      </c>
      <c r="L3393" s="120">
        <f t="shared" si="1303"/>
        <v>0</v>
      </c>
      <c r="M3393" s="246">
        <f t="shared" si="1304"/>
        <v>0</v>
      </c>
      <c r="N3393" s="121">
        <f t="shared" si="1305"/>
        <v>1.03</v>
      </c>
      <c r="O3393" s="246">
        <f t="shared" si="1306"/>
        <v>0.99016411378555802</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87">
        <v>22</v>
      </c>
      <c r="B3394" s="242">
        <f t="shared" si="1313"/>
        <v>46296</v>
      </c>
      <c r="C3394" s="243">
        <f t="shared" si="1294"/>
        <v>46326</v>
      </c>
      <c r="D3394" s="120">
        <f t="shared" si="1295"/>
        <v>31</v>
      </c>
      <c r="E3394" s="120">
        <f t="shared" si="1296"/>
        <v>10</v>
      </c>
      <c r="F3394" s="275">
        <f t="shared" si="1297"/>
        <v>46311.5</v>
      </c>
      <c r="G3394" s="120">
        <f t="shared" si="1298"/>
        <v>24321</v>
      </c>
      <c r="H3394" s="245">
        <f t="shared" si="1299"/>
        <v>1</v>
      </c>
      <c r="I3394" s="121">
        <f t="shared" si="1300"/>
        <v>1.03</v>
      </c>
      <c r="J3394" s="121">
        <f t="shared" si="1301"/>
        <v>1.03</v>
      </c>
      <c r="K3394" s="120">
        <f t="shared" si="1302"/>
        <v>0</v>
      </c>
      <c r="L3394" s="120">
        <f t="shared" si="1303"/>
        <v>0</v>
      </c>
      <c r="M3394" s="246">
        <f t="shared" si="1304"/>
        <v>0</v>
      </c>
      <c r="N3394" s="121">
        <f t="shared" si="1305"/>
        <v>1.03</v>
      </c>
      <c r="O3394" s="246">
        <f t="shared" si="1306"/>
        <v>0.98983041575492337</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87">
        <v>23</v>
      </c>
      <c r="B3395" s="242">
        <f t="shared" si="1313"/>
        <v>46327</v>
      </c>
      <c r="C3395" s="243">
        <f t="shared" si="1294"/>
        <v>46356</v>
      </c>
      <c r="D3395" s="120">
        <f t="shared" si="1295"/>
        <v>30</v>
      </c>
      <c r="E3395" s="120">
        <f t="shared" si="1296"/>
        <v>11</v>
      </c>
      <c r="F3395" s="275">
        <f t="shared" si="1297"/>
        <v>46342</v>
      </c>
      <c r="G3395" s="120">
        <f t="shared" si="1298"/>
        <v>24322</v>
      </c>
      <c r="H3395" s="245">
        <f t="shared" si="1299"/>
        <v>1</v>
      </c>
      <c r="I3395" s="121">
        <f t="shared" si="1300"/>
        <v>1.03</v>
      </c>
      <c r="J3395" s="121">
        <f t="shared" si="1301"/>
        <v>1.03</v>
      </c>
      <c r="K3395" s="120">
        <f t="shared" si="1302"/>
        <v>0</v>
      </c>
      <c r="L3395" s="120">
        <f t="shared" si="1303"/>
        <v>0</v>
      </c>
      <c r="M3395" s="246">
        <f t="shared" si="1304"/>
        <v>0</v>
      </c>
      <c r="N3395" s="121">
        <f t="shared" si="1305"/>
        <v>1.03</v>
      </c>
      <c r="O3395" s="246">
        <f t="shared" si="1306"/>
        <v>0.98949671772428882</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87">
        <v>24</v>
      </c>
      <c r="B3396" s="242">
        <f t="shared" si="1313"/>
        <v>46357</v>
      </c>
      <c r="C3396" s="243">
        <f t="shared" si="1294"/>
        <v>46387</v>
      </c>
      <c r="D3396" s="120">
        <f t="shared" si="1295"/>
        <v>31</v>
      </c>
      <c r="E3396" s="120">
        <f t="shared" si="1296"/>
        <v>12</v>
      </c>
      <c r="F3396" s="275">
        <f t="shared" si="1297"/>
        <v>46372.5</v>
      </c>
      <c r="G3396" s="120">
        <f t="shared" si="1298"/>
        <v>24323</v>
      </c>
      <c r="H3396" s="245">
        <f t="shared" si="1299"/>
        <v>1</v>
      </c>
      <c r="I3396" s="121">
        <f t="shared" si="1300"/>
        <v>1.03</v>
      </c>
      <c r="J3396" s="121">
        <f t="shared" si="1301"/>
        <v>1.03</v>
      </c>
      <c r="K3396" s="120">
        <f t="shared" si="1302"/>
        <v>0</v>
      </c>
      <c r="L3396" s="120">
        <f t="shared" si="1303"/>
        <v>0</v>
      </c>
      <c r="M3396" s="246">
        <f t="shared" si="1304"/>
        <v>0</v>
      </c>
      <c r="N3396" s="121">
        <f t="shared" si="1305"/>
        <v>1.03</v>
      </c>
      <c r="O3396" s="246">
        <f t="shared" si="1306"/>
        <v>0.98916301969365428</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87">
        <v>25</v>
      </c>
      <c r="B3397" s="242">
        <f t="shared" si="1313"/>
        <v>46388</v>
      </c>
      <c r="C3397" s="243">
        <f t="shared" si="1294"/>
        <v>46418</v>
      </c>
      <c r="D3397" s="120">
        <f t="shared" si="1295"/>
        <v>31</v>
      </c>
      <c r="E3397" s="120">
        <f t="shared" si="1296"/>
        <v>1</v>
      </c>
      <c r="F3397" s="275">
        <f t="shared" si="1297"/>
        <v>46403.5</v>
      </c>
      <c r="G3397" s="120">
        <f t="shared" si="1298"/>
        <v>24324</v>
      </c>
      <c r="H3397" s="245">
        <f t="shared" si="1299"/>
        <v>1</v>
      </c>
      <c r="I3397" s="121">
        <f t="shared" si="1300"/>
        <v>1.03</v>
      </c>
      <c r="J3397" s="121">
        <f t="shared" si="1301"/>
        <v>1.03</v>
      </c>
      <c r="K3397" s="120">
        <f t="shared" si="1302"/>
        <v>0</v>
      </c>
      <c r="L3397" s="120">
        <f t="shared" si="1303"/>
        <v>0</v>
      </c>
      <c r="M3397" s="246">
        <f t="shared" si="1304"/>
        <v>0</v>
      </c>
      <c r="N3397" s="121">
        <f t="shared" si="1305"/>
        <v>1.03</v>
      </c>
      <c r="O3397" s="246">
        <f t="shared" si="1306"/>
        <v>0.98882385120350114</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87">
        <v>26</v>
      </c>
      <c r="B3398" s="242">
        <f t="shared" si="1313"/>
        <v>46419</v>
      </c>
      <c r="C3398" s="243">
        <f t="shared" si="1294"/>
        <v>46446</v>
      </c>
      <c r="D3398" s="120">
        <f t="shared" si="1295"/>
        <v>28</v>
      </c>
      <c r="E3398" s="120">
        <f t="shared" si="1296"/>
        <v>2</v>
      </c>
      <c r="F3398" s="275">
        <f t="shared" si="1297"/>
        <v>46433</v>
      </c>
      <c r="G3398" s="120">
        <f t="shared" si="1298"/>
        <v>24325</v>
      </c>
      <c r="H3398" s="245">
        <f t="shared" si="1299"/>
        <v>1</v>
      </c>
      <c r="I3398" s="121">
        <f t="shared" si="1300"/>
        <v>1.03</v>
      </c>
      <c r="J3398" s="121">
        <f t="shared" si="1301"/>
        <v>1.0712000000000002</v>
      </c>
      <c r="K3398" s="120">
        <f t="shared" si="1302"/>
        <v>1</v>
      </c>
      <c r="L3398" s="120">
        <f t="shared" si="1303"/>
        <v>28</v>
      </c>
      <c r="M3398" s="246">
        <f t="shared" si="1304"/>
        <v>1</v>
      </c>
      <c r="N3398" s="121">
        <f t="shared" si="1305"/>
        <v>1.0712000000000002</v>
      </c>
      <c r="O3398" s="246">
        <f t="shared" si="1306"/>
        <v>0.98850109409190368</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87">
        <v>27</v>
      </c>
      <c r="B3399" s="242">
        <f t="shared" si="1313"/>
        <v>46447</v>
      </c>
      <c r="C3399" s="243">
        <f t="shared" si="1294"/>
        <v>46477</v>
      </c>
      <c r="D3399" s="120">
        <f t="shared" si="1295"/>
        <v>31</v>
      </c>
      <c r="E3399" s="120">
        <f t="shared" si="1296"/>
        <v>3</v>
      </c>
      <c r="F3399" s="275">
        <f t="shared" si="1297"/>
        <v>46462.5</v>
      </c>
      <c r="G3399" s="120">
        <f t="shared" si="1298"/>
        <v>24326</v>
      </c>
      <c r="H3399" s="245">
        <f t="shared" si="1299"/>
        <v>1</v>
      </c>
      <c r="I3399" s="121">
        <f t="shared" si="1300"/>
        <v>1.0712000000000002</v>
      </c>
      <c r="J3399" s="121">
        <f t="shared" si="1301"/>
        <v>1.0712000000000002</v>
      </c>
      <c r="K3399" s="120">
        <f t="shared" si="1302"/>
        <v>0</v>
      </c>
      <c r="L3399" s="120">
        <f t="shared" si="1303"/>
        <v>0</v>
      </c>
      <c r="M3399" s="246">
        <f t="shared" si="1304"/>
        <v>0</v>
      </c>
      <c r="N3399" s="121">
        <f t="shared" si="1305"/>
        <v>1.0712000000000002</v>
      </c>
      <c r="O3399" s="246">
        <f t="shared" si="1306"/>
        <v>0.98817833698030633</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87">
        <v>28</v>
      </c>
      <c r="B3400" s="242">
        <f t="shared" si="1313"/>
        <v>46478</v>
      </c>
      <c r="C3400" s="243">
        <f t="shared" si="1294"/>
        <v>46507</v>
      </c>
      <c r="D3400" s="120">
        <f t="shared" si="1295"/>
        <v>30</v>
      </c>
      <c r="E3400" s="120">
        <f t="shared" si="1296"/>
        <v>4</v>
      </c>
      <c r="F3400" s="275">
        <f t="shared" si="1297"/>
        <v>46493</v>
      </c>
      <c r="G3400" s="120">
        <f t="shared" si="1298"/>
        <v>24327</v>
      </c>
      <c r="H3400" s="245">
        <f t="shared" si="1299"/>
        <v>1</v>
      </c>
      <c r="I3400" s="121">
        <f t="shared" si="1300"/>
        <v>1.0712000000000002</v>
      </c>
      <c r="J3400" s="121">
        <f t="shared" si="1301"/>
        <v>1.0712000000000002</v>
      </c>
      <c r="K3400" s="120">
        <f t="shared" si="1302"/>
        <v>0</v>
      </c>
      <c r="L3400" s="120">
        <f t="shared" si="1303"/>
        <v>0</v>
      </c>
      <c r="M3400" s="246">
        <f t="shared" si="1304"/>
        <v>0</v>
      </c>
      <c r="N3400" s="121">
        <f t="shared" si="1305"/>
        <v>1.0712000000000002</v>
      </c>
      <c r="O3400" s="246">
        <f t="shared" si="1306"/>
        <v>0.98784463894967178</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87">
        <v>29</v>
      </c>
      <c r="B3401" s="242">
        <f t="shared" si="1313"/>
        <v>46508</v>
      </c>
      <c r="C3401" s="243">
        <f t="shared" si="1294"/>
        <v>46538</v>
      </c>
      <c r="D3401" s="120">
        <f t="shared" si="1295"/>
        <v>31</v>
      </c>
      <c r="E3401" s="120">
        <f t="shared" si="1296"/>
        <v>5</v>
      </c>
      <c r="F3401" s="275">
        <f t="shared" si="1297"/>
        <v>46523.5</v>
      </c>
      <c r="G3401" s="120">
        <f t="shared" si="1298"/>
        <v>24328</v>
      </c>
      <c r="H3401" s="245">
        <f t="shared" si="1299"/>
        <v>1</v>
      </c>
      <c r="I3401" s="121">
        <f t="shared" si="1300"/>
        <v>1.0712000000000002</v>
      </c>
      <c r="J3401" s="121">
        <f t="shared" si="1301"/>
        <v>1.0712000000000002</v>
      </c>
      <c r="K3401" s="120">
        <f t="shared" si="1302"/>
        <v>0</v>
      </c>
      <c r="L3401" s="120">
        <f t="shared" si="1303"/>
        <v>0</v>
      </c>
      <c r="M3401" s="246">
        <f t="shared" si="1304"/>
        <v>0</v>
      </c>
      <c r="N3401" s="121">
        <f t="shared" si="1305"/>
        <v>1.0712000000000002</v>
      </c>
      <c r="O3401" s="246">
        <f t="shared" si="1306"/>
        <v>0.98751094091903724</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87">
        <v>30</v>
      </c>
      <c r="B3402" s="242">
        <f t="shared" si="1313"/>
        <v>46539</v>
      </c>
      <c r="C3402" s="243">
        <f t="shared" si="1294"/>
        <v>46568</v>
      </c>
      <c r="D3402" s="120">
        <f t="shared" si="1295"/>
        <v>30</v>
      </c>
      <c r="E3402" s="120">
        <f t="shared" si="1296"/>
        <v>6</v>
      </c>
      <c r="F3402" s="275">
        <f t="shared" si="1297"/>
        <v>46554</v>
      </c>
      <c r="G3402" s="120">
        <f t="shared" si="1298"/>
        <v>24329</v>
      </c>
      <c r="H3402" s="245">
        <f t="shared" si="1299"/>
        <v>1</v>
      </c>
      <c r="I3402" s="121">
        <f t="shared" si="1300"/>
        <v>1.0712000000000002</v>
      </c>
      <c r="J3402" s="121">
        <f t="shared" si="1301"/>
        <v>1.0712000000000002</v>
      </c>
      <c r="K3402" s="120">
        <f t="shared" si="1302"/>
        <v>0</v>
      </c>
      <c r="L3402" s="120">
        <f t="shared" si="1303"/>
        <v>0</v>
      </c>
      <c r="M3402" s="246">
        <f t="shared" si="1304"/>
        <v>0</v>
      </c>
      <c r="N3402" s="121">
        <f t="shared" si="1305"/>
        <v>1.0712000000000002</v>
      </c>
      <c r="O3402" s="246">
        <f t="shared" si="1306"/>
        <v>0.98717724288840258</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87">
        <v>31</v>
      </c>
      <c r="B3403" s="242">
        <f t="shared" si="1313"/>
        <v>46569</v>
      </c>
      <c r="C3403" s="243">
        <f t="shared" si="1294"/>
        <v>46599</v>
      </c>
      <c r="D3403" s="120">
        <f t="shared" si="1295"/>
        <v>31</v>
      </c>
      <c r="E3403" s="120">
        <f t="shared" si="1296"/>
        <v>7</v>
      </c>
      <c r="F3403" s="275">
        <f t="shared" si="1297"/>
        <v>46584.5</v>
      </c>
      <c r="G3403" s="120">
        <f t="shared" si="1298"/>
        <v>24330</v>
      </c>
      <c r="H3403" s="245">
        <f t="shared" si="1299"/>
        <v>1</v>
      </c>
      <c r="I3403" s="121">
        <f t="shared" si="1300"/>
        <v>1.0712000000000002</v>
      </c>
      <c r="J3403" s="121">
        <f t="shared" si="1301"/>
        <v>1.0712000000000002</v>
      </c>
      <c r="K3403" s="120">
        <f t="shared" si="1302"/>
        <v>0</v>
      </c>
      <c r="L3403" s="120">
        <f t="shared" si="1303"/>
        <v>0</v>
      </c>
      <c r="M3403" s="246">
        <f t="shared" si="1304"/>
        <v>0</v>
      </c>
      <c r="N3403" s="121">
        <f t="shared" si="1305"/>
        <v>1.0712000000000002</v>
      </c>
      <c r="O3403" s="246">
        <f t="shared" si="1306"/>
        <v>0.98684354485776804</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87">
        <v>32</v>
      </c>
      <c r="B3404" s="242">
        <f t="shared" si="1313"/>
        <v>46600</v>
      </c>
      <c r="C3404" s="243">
        <f t="shared" si="1294"/>
        <v>46630</v>
      </c>
      <c r="D3404" s="120">
        <f t="shared" si="1295"/>
        <v>31</v>
      </c>
      <c r="E3404" s="120">
        <f t="shared" si="1296"/>
        <v>8</v>
      </c>
      <c r="F3404" s="275">
        <f t="shared" si="1297"/>
        <v>46615.5</v>
      </c>
      <c r="G3404" s="120">
        <f t="shared" si="1298"/>
        <v>24331</v>
      </c>
      <c r="H3404" s="245">
        <f t="shared" si="1299"/>
        <v>1</v>
      </c>
      <c r="I3404" s="121">
        <f t="shared" si="1300"/>
        <v>1.0712000000000002</v>
      </c>
      <c r="J3404" s="121">
        <f t="shared" si="1301"/>
        <v>1.0712000000000002</v>
      </c>
      <c r="K3404" s="120">
        <f t="shared" si="1302"/>
        <v>0</v>
      </c>
      <c r="L3404" s="120">
        <f t="shared" si="1303"/>
        <v>0</v>
      </c>
      <c r="M3404" s="246">
        <f t="shared" si="1304"/>
        <v>0</v>
      </c>
      <c r="N3404" s="121">
        <f t="shared" si="1305"/>
        <v>1.0712000000000002</v>
      </c>
      <c r="O3404" s="246">
        <f t="shared" si="1306"/>
        <v>0.9865043763676149</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87">
        <v>33</v>
      </c>
      <c r="B3405" s="242">
        <f t="shared" si="1313"/>
        <v>46631</v>
      </c>
      <c r="C3405" s="243">
        <f t="shared" si="1294"/>
        <v>46660</v>
      </c>
      <c r="D3405" s="120">
        <f t="shared" si="1295"/>
        <v>30</v>
      </c>
      <c r="E3405" s="120">
        <f t="shared" si="1296"/>
        <v>9</v>
      </c>
      <c r="F3405" s="275">
        <f t="shared" si="1297"/>
        <v>46646</v>
      </c>
      <c r="G3405" s="120">
        <f t="shared" si="1298"/>
        <v>24332</v>
      </c>
      <c r="H3405" s="245">
        <f t="shared" si="1299"/>
        <v>1</v>
      </c>
      <c r="I3405" s="121">
        <f t="shared" si="1300"/>
        <v>1.0712000000000002</v>
      </c>
      <c r="J3405" s="121">
        <f t="shared" si="1301"/>
        <v>1.0712000000000002</v>
      </c>
      <c r="K3405" s="120">
        <f t="shared" si="1302"/>
        <v>0</v>
      </c>
      <c r="L3405" s="120">
        <f t="shared" si="1303"/>
        <v>0</v>
      </c>
      <c r="M3405" s="246">
        <f t="shared" si="1304"/>
        <v>0</v>
      </c>
      <c r="N3405" s="121">
        <f t="shared" si="1305"/>
        <v>1.0712000000000002</v>
      </c>
      <c r="O3405" s="246">
        <f t="shared" si="1306"/>
        <v>0.98617067833698024</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87">
        <v>34</v>
      </c>
      <c r="B3406" s="242">
        <f t="shared" si="1313"/>
        <v>46661</v>
      </c>
      <c r="C3406" s="243">
        <f t="shared" si="1294"/>
        <v>46691</v>
      </c>
      <c r="D3406" s="120">
        <f t="shared" si="1295"/>
        <v>31</v>
      </c>
      <c r="E3406" s="120">
        <f t="shared" si="1296"/>
        <v>10</v>
      </c>
      <c r="F3406" s="275">
        <f t="shared" si="1297"/>
        <v>46676.5</v>
      </c>
      <c r="G3406" s="120">
        <f t="shared" si="1298"/>
        <v>24333</v>
      </c>
      <c r="H3406" s="245">
        <f t="shared" si="1299"/>
        <v>1</v>
      </c>
      <c r="I3406" s="121">
        <f t="shared" si="1300"/>
        <v>1.0712000000000002</v>
      </c>
      <c r="J3406" s="121">
        <f t="shared" si="1301"/>
        <v>1.0712000000000002</v>
      </c>
      <c r="K3406" s="120">
        <f t="shared" si="1302"/>
        <v>0</v>
      </c>
      <c r="L3406" s="120">
        <f t="shared" si="1303"/>
        <v>0</v>
      </c>
      <c r="M3406" s="246">
        <f t="shared" si="1304"/>
        <v>0</v>
      </c>
      <c r="N3406" s="121">
        <f t="shared" si="1305"/>
        <v>1.0712000000000002</v>
      </c>
      <c r="O3406" s="246">
        <f t="shared" si="1306"/>
        <v>0.9858369803063457</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87">
        <v>35</v>
      </c>
      <c r="B3407" s="242">
        <f t="shared" si="1313"/>
        <v>46692</v>
      </c>
      <c r="C3407" s="243">
        <f t="shared" si="1294"/>
        <v>46721</v>
      </c>
      <c r="D3407" s="120">
        <f t="shared" si="1295"/>
        <v>30</v>
      </c>
      <c r="E3407" s="120">
        <f t="shared" si="1296"/>
        <v>11</v>
      </c>
      <c r="F3407" s="275">
        <f t="shared" si="1297"/>
        <v>46707</v>
      </c>
      <c r="G3407" s="120">
        <f t="shared" si="1298"/>
        <v>24334</v>
      </c>
      <c r="H3407" s="245">
        <f t="shared" si="1299"/>
        <v>1</v>
      </c>
      <c r="I3407" s="121">
        <f t="shared" si="1300"/>
        <v>1.0712000000000002</v>
      </c>
      <c r="J3407" s="121">
        <f t="shared" si="1301"/>
        <v>1.0712000000000002</v>
      </c>
      <c r="K3407" s="120">
        <f t="shared" si="1302"/>
        <v>0</v>
      </c>
      <c r="L3407" s="120">
        <f t="shared" si="1303"/>
        <v>0</v>
      </c>
      <c r="M3407" s="246">
        <f t="shared" si="1304"/>
        <v>0</v>
      </c>
      <c r="N3407" s="121">
        <f t="shared" si="1305"/>
        <v>1.0712000000000002</v>
      </c>
      <c r="O3407" s="246">
        <f t="shared" si="1306"/>
        <v>0.98550328227571116</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87">
        <v>36</v>
      </c>
      <c r="B3408" s="242">
        <f t="shared" si="1313"/>
        <v>46722</v>
      </c>
      <c r="C3408" s="243">
        <f t="shared" si="1294"/>
        <v>46752</v>
      </c>
      <c r="D3408" s="120">
        <f t="shared" si="1295"/>
        <v>31</v>
      </c>
      <c r="E3408" s="120">
        <f t="shared" si="1296"/>
        <v>12</v>
      </c>
      <c r="F3408" s="275">
        <f t="shared" si="1297"/>
        <v>46737.5</v>
      </c>
      <c r="G3408" s="120">
        <f t="shared" si="1298"/>
        <v>24335</v>
      </c>
      <c r="H3408" s="245">
        <f t="shared" si="1299"/>
        <v>1</v>
      </c>
      <c r="I3408" s="121">
        <f t="shared" si="1300"/>
        <v>1.0712000000000002</v>
      </c>
      <c r="J3408" s="121">
        <f t="shared" si="1301"/>
        <v>1.0712000000000002</v>
      </c>
      <c r="K3408" s="120">
        <f t="shared" si="1302"/>
        <v>0</v>
      </c>
      <c r="L3408" s="120">
        <f t="shared" si="1303"/>
        <v>0</v>
      </c>
      <c r="M3408" s="246">
        <f t="shared" si="1304"/>
        <v>0</v>
      </c>
      <c r="N3408" s="121">
        <f t="shared" si="1305"/>
        <v>1.0712000000000002</v>
      </c>
      <c r="O3408" s="246">
        <f t="shared" si="1306"/>
        <v>0.98516958424507661</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87">
        <v>37</v>
      </c>
      <c r="B3409" s="242">
        <f t="shared" si="1313"/>
        <v>46753</v>
      </c>
      <c r="C3409" s="243">
        <f t="shared" si="1294"/>
        <v>46783</v>
      </c>
      <c r="D3409" s="120">
        <f t="shared" si="1295"/>
        <v>31</v>
      </c>
      <c r="E3409" s="120">
        <f t="shared" si="1296"/>
        <v>1</v>
      </c>
      <c r="F3409" s="275">
        <f t="shared" si="1297"/>
        <v>46768.5</v>
      </c>
      <c r="G3409" s="120">
        <f t="shared" si="1298"/>
        <v>24336</v>
      </c>
      <c r="H3409" s="245">
        <f t="shared" si="1299"/>
        <v>1</v>
      </c>
      <c r="I3409" s="121">
        <f t="shared" si="1300"/>
        <v>1.0712000000000002</v>
      </c>
      <c r="J3409" s="121">
        <f t="shared" si="1301"/>
        <v>1.0712000000000002</v>
      </c>
      <c r="K3409" s="120">
        <f t="shared" si="1302"/>
        <v>0</v>
      </c>
      <c r="L3409" s="120">
        <f t="shared" si="1303"/>
        <v>0</v>
      </c>
      <c r="M3409" s="246">
        <f t="shared" si="1304"/>
        <v>0</v>
      </c>
      <c r="N3409" s="121">
        <f t="shared" si="1305"/>
        <v>1.0712000000000002</v>
      </c>
      <c r="O3409" s="246">
        <f t="shared" si="1306"/>
        <v>0.98499999999999999</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87">
        <v>38</v>
      </c>
      <c r="B3410" s="242">
        <f t="shared" si="1313"/>
        <v>46784</v>
      </c>
      <c r="C3410" s="243">
        <f t="shared" si="1294"/>
        <v>46812</v>
      </c>
      <c r="D3410" s="120">
        <f t="shared" si="1295"/>
        <v>29</v>
      </c>
      <c r="E3410" s="120">
        <f t="shared" si="1296"/>
        <v>2</v>
      </c>
      <c r="F3410" s="275">
        <f t="shared" si="1297"/>
        <v>46798.5</v>
      </c>
      <c r="G3410" s="120">
        <f t="shared" si="1298"/>
        <v>24337</v>
      </c>
      <c r="H3410" s="245">
        <f t="shared" si="1299"/>
        <v>1</v>
      </c>
      <c r="I3410" s="121">
        <f t="shared" si="1300"/>
        <v>1.0712000000000002</v>
      </c>
      <c r="J3410" s="121">
        <f t="shared" si="1301"/>
        <v>1.0712000000000002</v>
      </c>
      <c r="K3410" s="120">
        <f t="shared" si="1302"/>
        <v>0</v>
      </c>
      <c r="L3410" s="120">
        <f t="shared" si="1303"/>
        <v>0</v>
      </c>
      <c r="M3410" s="246">
        <f t="shared" si="1304"/>
        <v>0</v>
      </c>
      <c r="N3410" s="121">
        <f t="shared" si="1305"/>
        <v>1.0712000000000002</v>
      </c>
      <c r="O3410" s="246">
        <f t="shared" si="1306"/>
        <v>0.98499999999999999</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87">
        <v>39</v>
      </c>
      <c r="B3411" s="242">
        <f t="shared" si="1313"/>
        <v>46813</v>
      </c>
      <c r="C3411" s="243">
        <f t="shared" si="1294"/>
        <v>46843</v>
      </c>
      <c r="D3411" s="120">
        <f t="shared" si="1295"/>
        <v>31</v>
      </c>
      <c r="E3411" s="120">
        <f t="shared" si="1296"/>
        <v>3</v>
      </c>
      <c r="F3411" s="275">
        <f t="shared" si="1297"/>
        <v>46828.5</v>
      </c>
      <c r="G3411" s="120">
        <f t="shared" si="1298"/>
        <v>24338</v>
      </c>
      <c r="H3411" s="245">
        <f t="shared" si="1299"/>
        <v>1</v>
      </c>
      <c r="I3411" s="121">
        <f t="shared" si="1300"/>
        <v>1.0712000000000002</v>
      </c>
      <c r="J3411" s="121">
        <f t="shared" si="1301"/>
        <v>1.0712000000000002</v>
      </c>
      <c r="K3411" s="120">
        <f t="shared" si="1302"/>
        <v>0</v>
      </c>
      <c r="L3411" s="120">
        <f t="shared" si="1303"/>
        <v>0</v>
      </c>
      <c r="M3411" s="246">
        <f t="shared" si="1304"/>
        <v>0</v>
      </c>
      <c r="N3411" s="121">
        <f t="shared" si="1305"/>
        <v>1.0712000000000002</v>
      </c>
      <c r="O3411" s="246">
        <f t="shared" si="1306"/>
        <v>0.98499999999999999</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87">
        <v>40</v>
      </c>
      <c r="B3412" s="242">
        <f t="shared" si="1313"/>
        <v>46844</v>
      </c>
      <c r="C3412" s="243">
        <f t="shared" si="1294"/>
        <v>46873</v>
      </c>
      <c r="D3412" s="120">
        <f t="shared" si="1295"/>
        <v>30</v>
      </c>
      <c r="E3412" s="120">
        <f t="shared" si="1296"/>
        <v>4</v>
      </c>
      <c r="F3412" s="275">
        <f t="shared" si="1297"/>
        <v>46859</v>
      </c>
      <c r="G3412" s="120">
        <f t="shared" si="1298"/>
        <v>24339</v>
      </c>
      <c r="H3412" s="245">
        <f t="shared" si="1299"/>
        <v>1</v>
      </c>
      <c r="I3412" s="121">
        <f t="shared" si="1300"/>
        <v>1.0712000000000002</v>
      </c>
      <c r="J3412" s="121">
        <f t="shared" si="1301"/>
        <v>1.0712000000000002</v>
      </c>
      <c r="K3412" s="120">
        <f t="shared" si="1302"/>
        <v>0</v>
      </c>
      <c r="L3412" s="120">
        <f t="shared" si="1303"/>
        <v>0</v>
      </c>
      <c r="M3412" s="246">
        <f t="shared" si="1304"/>
        <v>0</v>
      </c>
      <c r="N3412" s="121">
        <f t="shared" si="1305"/>
        <v>1.0712000000000002</v>
      </c>
      <c r="O3412" s="246">
        <f t="shared" si="1306"/>
        <v>0.98499999999999999</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87">
        <v>41</v>
      </c>
      <c r="B3413" s="242">
        <f t="shared" si="1313"/>
        <v>46874</v>
      </c>
      <c r="C3413" s="243">
        <f t="shared" si="1294"/>
        <v>46904</v>
      </c>
      <c r="D3413" s="120">
        <f t="shared" si="1295"/>
        <v>31</v>
      </c>
      <c r="E3413" s="120">
        <f t="shared" si="1296"/>
        <v>5</v>
      </c>
      <c r="F3413" s="275">
        <f t="shared" si="1297"/>
        <v>46889.5</v>
      </c>
      <c r="G3413" s="120">
        <f t="shared" si="1298"/>
        <v>24340</v>
      </c>
      <c r="H3413" s="245">
        <f t="shared" si="1299"/>
        <v>1</v>
      </c>
      <c r="I3413" s="121">
        <f t="shared" si="1300"/>
        <v>1.0712000000000002</v>
      </c>
      <c r="J3413" s="121">
        <f t="shared" si="1301"/>
        <v>1.0712000000000002</v>
      </c>
      <c r="K3413" s="120">
        <f t="shared" si="1302"/>
        <v>0</v>
      </c>
      <c r="L3413" s="120">
        <f t="shared" si="1303"/>
        <v>0</v>
      </c>
      <c r="M3413" s="246">
        <f t="shared" si="1304"/>
        <v>0</v>
      </c>
      <c r="N3413" s="121">
        <f t="shared" si="1305"/>
        <v>1.0712000000000002</v>
      </c>
      <c r="O3413" s="246">
        <f t="shared" si="1306"/>
        <v>0.98499999999999999</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87">
        <v>42</v>
      </c>
      <c r="B3414" s="242">
        <f t="shared" si="1313"/>
        <v>46905</v>
      </c>
      <c r="C3414" s="243">
        <f t="shared" si="1294"/>
        <v>46934</v>
      </c>
      <c r="D3414" s="120">
        <f t="shared" si="1295"/>
        <v>30</v>
      </c>
      <c r="E3414" s="120">
        <f t="shared" si="1296"/>
        <v>6</v>
      </c>
      <c r="F3414" s="275">
        <f t="shared" si="1297"/>
        <v>46920</v>
      </c>
      <c r="G3414" s="120">
        <f t="shared" si="1298"/>
        <v>24341</v>
      </c>
      <c r="H3414" s="245">
        <f t="shared" si="1299"/>
        <v>1</v>
      </c>
      <c r="I3414" s="121">
        <f t="shared" si="1300"/>
        <v>1.0712000000000002</v>
      </c>
      <c r="J3414" s="121">
        <f t="shared" si="1301"/>
        <v>1.0712000000000002</v>
      </c>
      <c r="K3414" s="120">
        <f t="shared" si="1302"/>
        <v>0</v>
      </c>
      <c r="L3414" s="120">
        <f t="shared" si="1303"/>
        <v>0</v>
      </c>
      <c r="M3414" s="246">
        <f t="shared" si="1304"/>
        <v>0</v>
      </c>
      <c r="N3414" s="121">
        <f t="shared" si="1305"/>
        <v>1.0712000000000002</v>
      </c>
      <c r="O3414" s="246">
        <f t="shared" si="1306"/>
        <v>0.98499999999999999</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87">
        <v>43</v>
      </c>
      <c r="B3415" s="242">
        <f t="shared" si="1313"/>
        <v>46935</v>
      </c>
      <c r="C3415" s="243">
        <f t="shared" si="1294"/>
        <v>46965</v>
      </c>
      <c r="D3415" s="120">
        <f t="shared" si="1295"/>
        <v>31</v>
      </c>
      <c r="E3415" s="120">
        <f t="shared" si="1296"/>
        <v>7</v>
      </c>
      <c r="F3415" s="275">
        <f t="shared" si="1297"/>
        <v>46950.5</v>
      </c>
      <c r="G3415" s="120">
        <f t="shared" si="1298"/>
        <v>24342</v>
      </c>
      <c r="H3415" s="245">
        <f t="shared" si="1299"/>
        <v>1</v>
      </c>
      <c r="I3415" s="121">
        <f t="shared" si="1300"/>
        <v>1.0712000000000002</v>
      </c>
      <c r="J3415" s="121">
        <f t="shared" si="1301"/>
        <v>1.0712000000000002</v>
      </c>
      <c r="K3415" s="120">
        <f t="shared" si="1302"/>
        <v>0</v>
      </c>
      <c r="L3415" s="120">
        <f t="shared" si="1303"/>
        <v>0</v>
      </c>
      <c r="M3415" s="246">
        <f t="shared" si="1304"/>
        <v>0</v>
      </c>
      <c r="N3415" s="121">
        <f t="shared" si="1305"/>
        <v>1.0712000000000002</v>
      </c>
      <c r="O3415" s="246">
        <f t="shared" si="1306"/>
        <v>0.98499999999999999</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87">
        <v>44</v>
      </c>
      <c r="B3416" s="242">
        <f t="shared" si="1313"/>
        <v>46966</v>
      </c>
      <c r="C3416" s="243">
        <f t="shared" si="1294"/>
        <v>46996</v>
      </c>
      <c r="D3416" s="120">
        <f t="shared" si="1295"/>
        <v>31</v>
      </c>
      <c r="E3416" s="120">
        <f t="shared" si="1296"/>
        <v>8</v>
      </c>
      <c r="F3416" s="275">
        <f t="shared" si="1297"/>
        <v>46981.5</v>
      </c>
      <c r="G3416" s="120">
        <f t="shared" si="1298"/>
        <v>24343</v>
      </c>
      <c r="H3416" s="245">
        <f t="shared" si="1299"/>
        <v>1</v>
      </c>
      <c r="I3416" s="121">
        <f t="shared" si="1300"/>
        <v>1.0712000000000002</v>
      </c>
      <c r="J3416" s="121">
        <f t="shared" si="1301"/>
        <v>1.0712000000000002</v>
      </c>
      <c r="K3416" s="120">
        <f t="shared" si="1302"/>
        <v>0</v>
      </c>
      <c r="L3416" s="120">
        <f t="shared" si="1303"/>
        <v>0</v>
      </c>
      <c r="M3416" s="246">
        <f t="shared" si="1304"/>
        <v>0</v>
      </c>
      <c r="N3416" s="121">
        <f t="shared" si="1305"/>
        <v>1.0712000000000002</v>
      </c>
      <c r="O3416" s="246">
        <f t="shared" si="1306"/>
        <v>0.98499999999999999</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87">
        <v>45</v>
      </c>
      <c r="B3417" s="242">
        <f t="shared" si="1313"/>
        <v>46997</v>
      </c>
      <c r="C3417" s="243">
        <f t="shared" si="1294"/>
        <v>47026</v>
      </c>
      <c r="D3417" s="120">
        <f t="shared" si="1295"/>
        <v>30</v>
      </c>
      <c r="E3417" s="120">
        <f t="shared" si="1296"/>
        <v>9</v>
      </c>
      <c r="F3417" s="275">
        <f t="shared" si="1297"/>
        <v>47012</v>
      </c>
      <c r="G3417" s="120">
        <f t="shared" si="1298"/>
        <v>24344</v>
      </c>
      <c r="H3417" s="245">
        <f t="shared" si="1299"/>
        <v>1</v>
      </c>
      <c r="I3417" s="121">
        <f t="shared" si="1300"/>
        <v>1.0712000000000002</v>
      </c>
      <c r="J3417" s="121">
        <f t="shared" si="1301"/>
        <v>1.0712000000000002</v>
      </c>
      <c r="K3417" s="120">
        <f t="shared" si="1302"/>
        <v>0</v>
      </c>
      <c r="L3417" s="120">
        <f t="shared" si="1303"/>
        <v>0</v>
      </c>
      <c r="M3417" s="246">
        <f t="shared" si="1304"/>
        <v>0</v>
      </c>
      <c r="N3417" s="121">
        <f t="shared" si="1305"/>
        <v>1.0712000000000002</v>
      </c>
      <c r="O3417" s="246">
        <f t="shared" si="1306"/>
        <v>0.98499999999999999</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87">
        <v>46</v>
      </c>
      <c r="B3418" s="242">
        <f t="shared" si="1313"/>
        <v>47027</v>
      </c>
      <c r="C3418" s="243">
        <f t="shared" si="1294"/>
        <v>47057</v>
      </c>
      <c r="D3418" s="120">
        <f t="shared" si="1295"/>
        <v>31</v>
      </c>
      <c r="E3418" s="120">
        <f t="shared" si="1296"/>
        <v>10</v>
      </c>
      <c r="F3418" s="275">
        <f t="shared" si="1297"/>
        <v>47042.5</v>
      </c>
      <c r="G3418" s="120">
        <f t="shared" si="1298"/>
        <v>24345</v>
      </c>
      <c r="H3418" s="245">
        <f t="shared" si="1299"/>
        <v>1</v>
      </c>
      <c r="I3418" s="121">
        <f t="shared" si="1300"/>
        <v>1.0712000000000002</v>
      </c>
      <c r="J3418" s="121">
        <f t="shared" si="1301"/>
        <v>1.0712000000000002</v>
      </c>
      <c r="K3418" s="120">
        <f t="shared" si="1302"/>
        <v>0</v>
      </c>
      <c r="L3418" s="120">
        <f t="shared" si="1303"/>
        <v>0</v>
      </c>
      <c r="M3418" s="246">
        <f t="shared" si="1304"/>
        <v>0</v>
      </c>
      <c r="N3418" s="121">
        <f t="shared" si="1305"/>
        <v>1.0712000000000002</v>
      </c>
      <c r="O3418" s="246">
        <f t="shared" si="1306"/>
        <v>0.98499999999999999</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87">
        <v>47</v>
      </c>
      <c r="B3419" s="242">
        <f t="shared" si="1313"/>
        <v>47058</v>
      </c>
      <c r="C3419" s="243">
        <f t="shared" si="1294"/>
        <v>47087</v>
      </c>
      <c r="D3419" s="120">
        <f t="shared" si="1295"/>
        <v>30</v>
      </c>
      <c r="E3419" s="120">
        <f t="shared" si="1296"/>
        <v>11</v>
      </c>
      <c r="F3419" s="275">
        <f t="shared" si="1297"/>
        <v>47073</v>
      </c>
      <c r="G3419" s="120">
        <f t="shared" si="1298"/>
        <v>24346</v>
      </c>
      <c r="H3419" s="245">
        <f t="shared" si="1299"/>
        <v>1</v>
      </c>
      <c r="I3419" s="121">
        <f t="shared" si="1300"/>
        <v>1.0712000000000002</v>
      </c>
      <c r="J3419" s="121">
        <f t="shared" si="1301"/>
        <v>1.0712000000000002</v>
      </c>
      <c r="K3419" s="120">
        <f t="shared" si="1302"/>
        <v>0</v>
      </c>
      <c r="L3419" s="120">
        <f t="shared" si="1303"/>
        <v>0</v>
      </c>
      <c r="M3419" s="246">
        <f t="shared" si="1304"/>
        <v>0</v>
      </c>
      <c r="N3419" s="121">
        <f t="shared" si="1305"/>
        <v>1.0712000000000002</v>
      </c>
      <c r="O3419" s="246">
        <f t="shared" si="1306"/>
        <v>0.98499999999999999</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87">
        <v>48</v>
      </c>
      <c r="B3420" s="242">
        <f t="shared" si="1313"/>
        <v>47088</v>
      </c>
      <c r="C3420" s="243">
        <f t="shared" si="1294"/>
        <v>47118</v>
      </c>
      <c r="D3420" s="120">
        <f t="shared" si="1295"/>
        <v>31</v>
      </c>
      <c r="E3420" s="120">
        <f t="shared" si="1296"/>
        <v>12</v>
      </c>
      <c r="F3420" s="275">
        <f t="shared" si="1297"/>
        <v>47103.5</v>
      </c>
      <c r="G3420" s="120">
        <f t="shared" si="1298"/>
        <v>24347</v>
      </c>
      <c r="H3420" s="245">
        <f t="shared" si="1299"/>
        <v>1</v>
      </c>
      <c r="I3420" s="121">
        <f t="shared" si="1300"/>
        <v>1.0712000000000002</v>
      </c>
      <c r="J3420" s="121">
        <f t="shared" si="1301"/>
        <v>1.0712000000000002</v>
      </c>
      <c r="K3420" s="120">
        <f t="shared" si="1302"/>
        <v>0</v>
      </c>
      <c r="L3420" s="120">
        <f t="shared" si="1303"/>
        <v>0</v>
      </c>
      <c r="M3420" s="246">
        <f t="shared" si="1304"/>
        <v>0</v>
      </c>
      <c r="N3420" s="121">
        <f t="shared" si="1305"/>
        <v>1.0712000000000002</v>
      </c>
      <c r="O3420" s="246">
        <f t="shared" si="1306"/>
        <v>0.98499999999999999</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1651</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24">
        <f>SUMPRODUCT($H$3373:$H$3420,$Q$3373:$Q$3420,$O$3373:$O$3420)/SUMPRODUCT($H$3373:$H$3420,$Q$3373:$Q$3420)</f>
        <v>0.98900209700948194</v>
      </c>
      <c r="G3421" s="224">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24">
        <f>IF(N(INDEX(lr_mind,63))=0,1,INDEX(lr_mind,63))</f>
        <v>1</v>
      </c>
      <c r="G3424" s="224">
        <f>IF(N(INDEX(lr_m0,63))=0,1,INDEX(lr_m0,63))</f>
        <v>0.99</v>
      </c>
      <c r="H3424" s="74">
        <f>IF(N(INDEX(lr_m0asof,63))=0,DATE(nr_PlanYear-1,10,1),INDEX(lr_m0asof,63))</f>
        <v>46295</v>
      </c>
      <c r="I3424" s="224">
        <f>IF(N(INDEX(lr_m1,63))=0,1,INDEX(lr_m1,63))</f>
        <v>1</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314">EOMONTH($B3427,0)</f>
        <v>45688</v>
      </c>
      <c r="D3427" s="120">
        <f t="shared" ref="D3427:D3474" si="1315">$C3427-$B3427+1</f>
        <v>31</v>
      </c>
      <c r="E3427" s="120">
        <f t="shared" ref="E3427:E3474" si="1316">MONTH($B3427)</f>
        <v>1</v>
      </c>
      <c r="F3427" s="275">
        <f t="shared" ref="F3427:F3474" si="1317">($B3427+$C3427+1)/2</f>
        <v>45673.5</v>
      </c>
      <c r="G3427" s="120">
        <f t="shared" ref="G3427:G3474" si="1318">YEAR($B3427)*12+MONTH($B3427)-1</f>
        <v>24300</v>
      </c>
      <c r="H3427" s="245">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46">
        <f t="shared" ref="M3427:M3474" si="1324">IF($K3427=0,0,MIN(1,$L3427/$D3427))</f>
        <v>0</v>
      </c>
      <c r="N3427" s="121">
        <f t="shared" ref="N3427:N3474" si="1325">IF($K3427=0,$J3427,(1-$M3427)*$I3427+$M3427*$J3427)</f>
        <v>1</v>
      </c>
      <c r="O3427" s="246">
        <f t="shared" ref="O3427:O3474" si="1326">IF($F3427&lt;$B$3425,$E$3425+$I$3425*($F3427-$A$3425),IF($F3427&lt;$C$3425,$F$3425+$J$3425*($F3427-$B$3425),$G$3425+$K$3425*($F3427-$C$3425)))</f>
        <v>0.97637855579868715</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87">
        <v>2</v>
      </c>
      <c r="B3428" s="242">
        <f t="shared" ref="B3428:B3474" si="1333">EDATE($B3427,1)</f>
        <v>45689</v>
      </c>
      <c r="C3428" s="243">
        <f t="shared" si="1314"/>
        <v>45716</v>
      </c>
      <c r="D3428" s="120">
        <f t="shared" si="1315"/>
        <v>28</v>
      </c>
      <c r="E3428" s="120">
        <f t="shared" si="1316"/>
        <v>2</v>
      </c>
      <c r="F3428" s="275">
        <f t="shared" si="1317"/>
        <v>45703</v>
      </c>
      <c r="G3428" s="120">
        <f t="shared" si="1318"/>
        <v>24301</v>
      </c>
      <c r="H3428" s="245">
        <f t="shared" si="1319"/>
        <v>1</v>
      </c>
      <c r="I3428" s="121">
        <f t="shared" si="1320"/>
        <v>1</v>
      </c>
      <c r="J3428" s="121">
        <f t="shared" si="1321"/>
        <v>1</v>
      </c>
      <c r="K3428" s="120">
        <f t="shared" si="1322"/>
        <v>0</v>
      </c>
      <c r="L3428" s="120">
        <f t="shared" si="1323"/>
        <v>0</v>
      </c>
      <c r="M3428" s="246">
        <f t="shared" si="1324"/>
        <v>0</v>
      </c>
      <c r="N3428" s="121">
        <f t="shared" si="1325"/>
        <v>1</v>
      </c>
      <c r="O3428" s="246">
        <f t="shared" si="1326"/>
        <v>0.97702407002188185</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87">
        <v>3</v>
      </c>
      <c r="B3429" s="242">
        <f t="shared" si="1333"/>
        <v>45717</v>
      </c>
      <c r="C3429" s="243">
        <f t="shared" si="1314"/>
        <v>45747</v>
      </c>
      <c r="D3429" s="120">
        <f t="shared" si="1315"/>
        <v>31</v>
      </c>
      <c r="E3429" s="120">
        <f t="shared" si="1316"/>
        <v>3</v>
      </c>
      <c r="F3429" s="275">
        <f t="shared" si="1317"/>
        <v>45732.5</v>
      </c>
      <c r="G3429" s="120">
        <f t="shared" si="1318"/>
        <v>24302</v>
      </c>
      <c r="H3429" s="245">
        <f t="shared" si="1319"/>
        <v>1</v>
      </c>
      <c r="I3429" s="121">
        <f t="shared" si="1320"/>
        <v>1</v>
      </c>
      <c r="J3429" s="121">
        <f t="shared" si="1321"/>
        <v>1</v>
      </c>
      <c r="K3429" s="120">
        <f t="shared" si="1322"/>
        <v>0</v>
      </c>
      <c r="L3429" s="120">
        <f t="shared" si="1323"/>
        <v>0</v>
      </c>
      <c r="M3429" s="246">
        <f t="shared" si="1324"/>
        <v>0</v>
      </c>
      <c r="N3429" s="121">
        <f t="shared" si="1325"/>
        <v>1</v>
      </c>
      <c r="O3429" s="246">
        <f t="shared" si="1326"/>
        <v>0.97766958424507666</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87">
        <v>4</v>
      </c>
      <c r="B3430" s="242">
        <f t="shared" si="1333"/>
        <v>45748</v>
      </c>
      <c r="C3430" s="243">
        <f t="shared" si="1314"/>
        <v>45777</v>
      </c>
      <c r="D3430" s="120">
        <f t="shared" si="1315"/>
        <v>30</v>
      </c>
      <c r="E3430" s="120">
        <f t="shared" si="1316"/>
        <v>4</v>
      </c>
      <c r="F3430" s="275">
        <f t="shared" si="1317"/>
        <v>45763</v>
      </c>
      <c r="G3430" s="120">
        <f t="shared" si="1318"/>
        <v>24303</v>
      </c>
      <c r="H3430" s="245">
        <f t="shared" si="1319"/>
        <v>1</v>
      </c>
      <c r="I3430" s="121">
        <f t="shared" si="1320"/>
        <v>1</v>
      </c>
      <c r="J3430" s="121">
        <f t="shared" si="1321"/>
        <v>1</v>
      </c>
      <c r="K3430" s="120">
        <f t="shared" si="1322"/>
        <v>0</v>
      </c>
      <c r="L3430" s="120">
        <f t="shared" si="1323"/>
        <v>0</v>
      </c>
      <c r="M3430" s="246">
        <f t="shared" si="1324"/>
        <v>0</v>
      </c>
      <c r="N3430" s="121">
        <f t="shared" si="1325"/>
        <v>1</v>
      </c>
      <c r="O3430" s="246">
        <f t="shared" si="1326"/>
        <v>0.97833698030634575</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87">
        <v>5</v>
      </c>
      <c r="B3431" s="242">
        <f t="shared" si="1333"/>
        <v>45778</v>
      </c>
      <c r="C3431" s="243">
        <f t="shared" si="1314"/>
        <v>45808</v>
      </c>
      <c r="D3431" s="120">
        <f t="shared" si="1315"/>
        <v>31</v>
      </c>
      <c r="E3431" s="120">
        <f t="shared" si="1316"/>
        <v>5</v>
      </c>
      <c r="F3431" s="275">
        <f t="shared" si="1317"/>
        <v>45793.5</v>
      </c>
      <c r="G3431" s="120">
        <f t="shared" si="1318"/>
        <v>24304</v>
      </c>
      <c r="H3431" s="245">
        <f t="shared" si="1319"/>
        <v>1</v>
      </c>
      <c r="I3431" s="121">
        <f t="shared" si="1320"/>
        <v>1</v>
      </c>
      <c r="J3431" s="121">
        <f t="shared" si="1321"/>
        <v>1</v>
      </c>
      <c r="K3431" s="120">
        <f t="shared" si="1322"/>
        <v>0</v>
      </c>
      <c r="L3431" s="120">
        <f t="shared" si="1323"/>
        <v>0</v>
      </c>
      <c r="M3431" s="246">
        <f t="shared" si="1324"/>
        <v>0</v>
      </c>
      <c r="N3431" s="121">
        <f t="shared" si="1325"/>
        <v>1</v>
      </c>
      <c r="O3431" s="246">
        <f t="shared" si="1326"/>
        <v>0.97900437636761495</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87">
        <v>6</v>
      </c>
      <c r="B3432" s="242">
        <f t="shared" si="1333"/>
        <v>45809</v>
      </c>
      <c r="C3432" s="243">
        <f t="shared" si="1314"/>
        <v>45838</v>
      </c>
      <c r="D3432" s="120">
        <f t="shared" si="1315"/>
        <v>30</v>
      </c>
      <c r="E3432" s="120">
        <f t="shared" si="1316"/>
        <v>6</v>
      </c>
      <c r="F3432" s="275">
        <f t="shared" si="1317"/>
        <v>45824</v>
      </c>
      <c r="G3432" s="120">
        <f t="shared" si="1318"/>
        <v>24305</v>
      </c>
      <c r="H3432" s="245">
        <f t="shared" si="1319"/>
        <v>1</v>
      </c>
      <c r="I3432" s="121">
        <f t="shared" si="1320"/>
        <v>1</v>
      </c>
      <c r="J3432" s="121">
        <f t="shared" si="1321"/>
        <v>1</v>
      </c>
      <c r="K3432" s="120">
        <f t="shared" si="1322"/>
        <v>0</v>
      </c>
      <c r="L3432" s="120">
        <f t="shared" si="1323"/>
        <v>0</v>
      </c>
      <c r="M3432" s="246">
        <f t="shared" si="1324"/>
        <v>0</v>
      </c>
      <c r="N3432" s="121">
        <f t="shared" si="1325"/>
        <v>1</v>
      </c>
      <c r="O3432" s="246">
        <f t="shared" si="1326"/>
        <v>0.97967177242888404</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87">
        <v>7</v>
      </c>
      <c r="B3433" s="242">
        <f t="shared" si="1333"/>
        <v>45839</v>
      </c>
      <c r="C3433" s="243">
        <f t="shared" si="1314"/>
        <v>45869</v>
      </c>
      <c r="D3433" s="120">
        <f t="shared" si="1315"/>
        <v>31</v>
      </c>
      <c r="E3433" s="120">
        <f t="shared" si="1316"/>
        <v>7</v>
      </c>
      <c r="F3433" s="275">
        <f t="shared" si="1317"/>
        <v>45854.5</v>
      </c>
      <c r="G3433" s="120">
        <f t="shared" si="1318"/>
        <v>24306</v>
      </c>
      <c r="H3433" s="245">
        <f t="shared" si="1319"/>
        <v>1</v>
      </c>
      <c r="I3433" s="121">
        <f t="shared" si="1320"/>
        <v>1</v>
      </c>
      <c r="J3433" s="121">
        <f t="shared" si="1321"/>
        <v>1</v>
      </c>
      <c r="K3433" s="120">
        <f t="shared" si="1322"/>
        <v>0</v>
      </c>
      <c r="L3433" s="120">
        <f t="shared" si="1323"/>
        <v>0</v>
      </c>
      <c r="M3433" s="246">
        <f t="shared" si="1324"/>
        <v>0</v>
      </c>
      <c r="N3433" s="121">
        <f t="shared" si="1325"/>
        <v>1</v>
      </c>
      <c r="O3433" s="246">
        <f t="shared" si="1326"/>
        <v>0.98033916849015323</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87">
        <v>8</v>
      </c>
      <c r="B3434" s="242">
        <f t="shared" si="1333"/>
        <v>45870</v>
      </c>
      <c r="C3434" s="243">
        <f t="shared" si="1314"/>
        <v>45900</v>
      </c>
      <c r="D3434" s="120">
        <f t="shared" si="1315"/>
        <v>31</v>
      </c>
      <c r="E3434" s="120">
        <f t="shared" si="1316"/>
        <v>8</v>
      </c>
      <c r="F3434" s="275">
        <f t="shared" si="1317"/>
        <v>45885.5</v>
      </c>
      <c r="G3434" s="120">
        <f t="shared" si="1318"/>
        <v>24307</v>
      </c>
      <c r="H3434" s="245">
        <f t="shared" si="1319"/>
        <v>1</v>
      </c>
      <c r="I3434" s="121">
        <f t="shared" si="1320"/>
        <v>1</v>
      </c>
      <c r="J3434" s="121">
        <f t="shared" si="1321"/>
        <v>1</v>
      </c>
      <c r="K3434" s="120">
        <f t="shared" si="1322"/>
        <v>0</v>
      </c>
      <c r="L3434" s="120">
        <f t="shared" si="1323"/>
        <v>0</v>
      </c>
      <c r="M3434" s="246">
        <f t="shared" si="1324"/>
        <v>0</v>
      </c>
      <c r="N3434" s="121">
        <f t="shared" si="1325"/>
        <v>1</v>
      </c>
      <c r="O3434" s="246">
        <f t="shared" si="1326"/>
        <v>0.98101750547045952</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87">
        <v>9</v>
      </c>
      <c r="B3435" s="242">
        <f t="shared" si="1333"/>
        <v>45901</v>
      </c>
      <c r="C3435" s="243">
        <f t="shared" si="1314"/>
        <v>45930</v>
      </c>
      <c r="D3435" s="120">
        <f t="shared" si="1315"/>
        <v>30</v>
      </c>
      <c r="E3435" s="120">
        <f t="shared" si="1316"/>
        <v>9</v>
      </c>
      <c r="F3435" s="275">
        <f t="shared" si="1317"/>
        <v>45916</v>
      </c>
      <c r="G3435" s="120">
        <f t="shared" si="1318"/>
        <v>24308</v>
      </c>
      <c r="H3435" s="245">
        <f t="shared" si="1319"/>
        <v>1</v>
      </c>
      <c r="I3435" s="121">
        <f t="shared" si="1320"/>
        <v>1</v>
      </c>
      <c r="J3435" s="121">
        <f t="shared" si="1321"/>
        <v>1</v>
      </c>
      <c r="K3435" s="120">
        <f t="shared" si="1322"/>
        <v>0</v>
      </c>
      <c r="L3435" s="120">
        <f t="shared" si="1323"/>
        <v>0</v>
      </c>
      <c r="M3435" s="246">
        <f t="shared" si="1324"/>
        <v>0</v>
      </c>
      <c r="N3435" s="121">
        <f t="shared" si="1325"/>
        <v>1</v>
      </c>
      <c r="O3435" s="246">
        <f t="shared" si="1326"/>
        <v>0.98168490153172872</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87">
        <v>10</v>
      </c>
      <c r="B3436" s="242">
        <f t="shared" si="1333"/>
        <v>45931</v>
      </c>
      <c r="C3436" s="243">
        <f t="shared" si="1314"/>
        <v>45961</v>
      </c>
      <c r="D3436" s="120">
        <f t="shared" si="1315"/>
        <v>31</v>
      </c>
      <c r="E3436" s="120">
        <f t="shared" si="1316"/>
        <v>10</v>
      </c>
      <c r="F3436" s="275">
        <f t="shared" si="1317"/>
        <v>45946.5</v>
      </c>
      <c r="G3436" s="120">
        <f t="shared" si="1318"/>
        <v>24309</v>
      </c>
      <c r="H3436" s="245">
        <f t="shared" si="1319"/>
        <v>1</v>
      </c>
      <c r="I3436" s="121">
        <f t="shared" si="1320"/>
        <v>1</v>
      </c>
      <c r="J3436" s="121">
        <f t="shared" si="1321"/>
        <v>1</v>
      </c>
      <c r="K3436" s="120">
        <f t="shared" si="1322"/>
        <v>0</v>
      </c>
      <c r="L3436" s="120">
        <f t="shared" si="1323"/>
        <v>0</v>
      </c>
      <c r="M3436" s="246">
        <f t="shared" si="1324"/>
        <v>0</v>
      </c>
      <c r="N3436" s="121">
        <f t="shared" si="1325"/>
        <v>1</v>
      </c>
      <c r="O3436" s="246">
        <f t="shared" si="1326"/>
        <v>0.9823522975929978</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87">
        <v>11</v>
      </c>
      <c r="B3437" s="242">
        <f t="shared" si="1333"/>
        <v>45962</v>
      </c>
      <c r="C3437" s="243">
        <f t="shared" si="1314"/>
        <v>45991</v>
      </c>
      <c r="D3437" s="120">
        <f t="shared" si="1315"/>
        <v>30</v>
      </c>
      <c r="E3437" s="120">
        <f t="shared" si="1316"/>
        <v>11</v>
      </c>
      <c r="F3437" s="275">
        <f t="shared" si="1317"/>
        <v>45977</v>
      </c>
      <c r="G3437" s="120">
        <f t="shared" si="1318"/>
        <v>24310</v>
      </c>
      <c r="H3437" s="245">
        <f t="shared" si="1319"/>
        <v>1</v>
      </c>
      <c r="I3437" s="121">
        <f t="shared" si="1320"/>
        <v>1</v>
      </c>
      <c r="J3437" s="121">
        <f t="shared" si="1321"/>
        <v>1</v>
      </c>
      <c r="K3437" s="120">
        <f t="shared" si="1322"/>
        <v>0</v>
      </c>
      <c r="L3437" s="120">
        <f t="shared" si="1323"/>
        <v>0</v>
      </c>
      <c r="M3437" s="246">
        <f t="shared" si="1324"/>
        <v>0</v>
      </c>
      <c r="N3437" s="121">
        <f t="shared" si="1325"/>
        <v>1</v>
      </c>
      <c r="O3437" s="246">
        <f t="shared" si="1326"/>
        <v>0.983019693654267</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87">
        <v>12</v>
      </c>
      <c r="B3438" s="242">
        <f t="shared" si="1333"/>
        <v>45992</v>
      </c>
      <c r="C3438" s="243">
        <f t="shared" si="1314"/>
        <v>46022</v>
      </c>
      <c r="D3438" s="120">
        <f t="shared" si="1315"/>
        <v>31</v>
      </c>
      <c r="E3438" s="120">
        <f t="shared" si="1316"/>
        <v>12</v>
      </c>
      <c r="F3438" s="275">
        <f t="shared" si="1317"/>
        <v>46007.5</v>
      </c>
      <c r="G3438" s="120">
        <f t="shared" si="1318"/>
        <v>24311</v>
      </c>
      <c r="H3438" s="245">
        <f t="shared" si="1319"/>
        <v>1</v>
      </c>
      <c r="I3438" s="121">
        <f t="shared" si="1320"/>
        <v>1</v>
      </c>
      <c r="J3438" s="121">
        <f t="shared" si="1321"/>
        <v>1</v>
      </c>
      <c r="K3438" s="120">
        <f t="shared" si="1322"/>
        <v>0</v>
      </c>
      <c r="L3438" s="120">
        <f t="shared" si="1323"/>
        <v>0</v>
      </c>
      <c r="M3438" s="246">
        <f t="shared" si="1324"/>
        <v>0</v>
      </c>
      <c r="N3438" s="121">
        <f t="shared" si="1325"/>
        <v>1</v>
      </c>
      <c r="O3438" s="246">
        <f t="shared" si="1326"/>
        <v>0.98368708971553609</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87">
        <v>13</v>
      </c>
      <c r="B3439" s="242">
        <f t="shared" si="1333"/>
        <v>46023</v>
      </c>
      <c r="C3439" s="243">
        <f t="shared" si="1314"/>
        <v>46053</v>
      </c>
      <c r="D3439" s="120">
        <f t="shared" si="1315"/>
        <v>31</v>
      </c>
      <c r="E3439" s="120">
        <f t="shared" si="1316"/>
        <v>1</v>
      </c>
      <c r="F3439" s="275">
        <f t="shared" si="1317"/>
        <v>46038.5</v>
      </c>
      <c r="G3439" s="120">
        <f t="shared" si="1318"/>
        <v>24312</v>
      </c>
      <c r="H3439" s="245">
        <f t="shared" si="1319"/>
        <v>1</v>
      </c>
      <c r="I3439" s="121">
        <f t="shared" si="1320"/>
        <v>1</v>
      </c>
      <c r="J3439" s="121">
        <f t="shared" si="1321"/>
        <v>1</v>
      </c>
      <c r="K3439" s="120">
        <f t="shared" si="1322"/>
        <v>0</v>
      </c>
      <c r="L3439" s="120">
        <f t="shared" si="1323"/>
        <v>0</v>
      </c>
      <c r="M3439" s="246">
        <f t="shared" si="1324"/>
        <v>0</v>
      </c>
      <c r="N3439" s="121">
        <f t="shared" si="1325"/>
        <v>1</v>
      </c>
      <c r="O3439" s="246">
        <f t="shared" si="1326"/>
        <v>0.98436542669584248</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87">
        <v>14</v>
      </c>
      <c r="B3440" s="242">
        <f t="shared" si="1333"/>
        <v>46054</v>
      </c>
      <c r="C3440" s="243">
        <f t="shared" si="1314"/>
        <v>46081</v>
      </c>
      <c r="D3440" s="120">
        <f t="shared" si="1315"/>
        <v>28</v>
      </c>
      <c r="E3440" s="120">
        <f t="shared" si="1316"/>
        <v>2</v>
      </c>
      <c r="F3440" s="275">
        <f t="shared" si="1317"/>
        <v>46068</v>
      </c>
      <c r="G3440" s="120">
        <f t="shared" si="1318"/>
        <v>24313</v>
      </c>
      <c r="H3440" s="245">
        <f t="shared" si="1319"/>
        <v>1</v>
      </c>
      <c r="I3440" s="121">
        <f t="shared" si="1320"/>
        <v>1</v>
      </c>
      <c r="J3440" s="121">
        <f t="shared" si="1321"/>
        <v>1</v>
      </c>
      <c r="K3440" s="120">
        <f t="shared" si="1322"/>
        <v>0</v>
      </c>
      <c r="L3440" s="120">
        <f t="shared" si="1323"/>
        <v>0</v>
      </c>
      <c r="M3440" s="246">
        <f t="shared" si="1324"/>
        <v>0</v>
      </c>
      <c r="N3440" s="121">
        <f t="shared" si="1325"/>
        <v>1</v>
      </c>
      <c r="O3440" s="246">
        <f t="shared" si="1326"/>
        <v>0.98501094091903718</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87">
        <v>15</v>
      </c>
      <c r="B3441" s="242">
        <f t="shared" si="1333"/>
        <v>46082</v>
      </c>
      <c r="C3441" s="243">
        <f t="shared" si="1314"/>
        <v>46112</v>
      </c>
      <c r="D3441" s="120">
        <f t="shared" si="1315"/>
        <v>31</v>
      </c>
      <c r="E3441" s="120">
        <f t="shared" si="1316"/>
        <v>3</v>
      </c>
      <c r="F3441" s="275">
        <f t="shared" si="1317"/>
        <v>46097.5</v>
      </c>
      <c r="G3441" s="120">
        <f t="shared" si="1318"/>
        <v>24314</v>
      </c>
      <c r="H3441" s="245">
        <f t="shared" si="1319"/>
        <v>1</v>
      </c>
      <c r="I3441" s="121">
        <f t="shared" si="1320"/>
        <v>1</v>
      </c>
      <c r="J3441" s="121">
        <f t="shared" si="1321"/>
        <v>1</v>
      </c>
      <c r="K3441" s="120">
        <f t="shared" si="1322"/>
        <v>0</v>
      </c>
      <c r="L3441" s="120">
        <f t="shared" si="1323"/>
        <v>0</v>
      </c>
      <c r="M3441" s="246">
        <f t="shared" si="1324"/>
        <v>0</v>
      </c>
      <c r="N3441" s="121">
        <f t="shared" si="1325"/>
        <v>1</v>
      </c>
      <c r="O3441" s="246">
        <f t="shared" si="1326"/>
        <v>0.98565645514223199</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87">
        <v>16</v>
      </c>
      <c r="B3442" s="242">
        <f t="shared" si="1333"/>
        <v>46113</v>
      </c>
      <c r="C3442" s="243">
        <f t="shared" si="1314"/>
        <v>46142</v>
      </c>
      <c r="D3442" s="120">
        <f t="shared" si="1315"/>
        <v>30</v>
      </c>
      <c r="E3442" s="120">
        <f t="shared" si="1316"/>
        <v>4</v>
      </c>
      <c r="F3442" s="275">
        <f t="shared" si="1317"/>
        <v>46128</v>
      </c>
      <c r="G3442" s="120">
        <f t="shared" si="1318"/>
        <v>24315</v>
      </c>
      <c r="H3442" s="245">
        <f t="shared" si="1319"/>
        <v>1</v>
      </c>
      <c r="I3442" s="121">
        <f t="shared" si="1320"/>
        <v>1</v>
      </c>
      <c r="J3442" s="121">
        <f t="shared" si="1321"/>
        <v>1</v>
      </c>
      <c r="K3442" s="120">
        <f t="shared" si="1322"/>
        <v>0</v>
      </c>
      <c r="L3442" s="120">
        <f t="shared" si="1323"/>
        <v>0</v>
      </c>
      <c r="M3442" s="246">
        <f t="shared" si="1324"/>
        <v>0</v>
      </c>
      <c r="N3442" s="121">
        <f t="shared" si="1325"/>
        <v>1</v>
      </c>
      <c r="O3442" s="246">
        <f t="shared" si="1326"/>
        <v>0.98632385120350108</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87">
        <v>17</v>
      </c>
      <c r="B3443" s="242">
        <f t="shared" si="1333"/>
        <v>46143</v>
      </c>
      <c r="C3443" s="243">
        <f t="shared" si="1314"/>
        <v>46173</v>
      </c>
      <c r="D3443" s="120">
        <f t="shared" si="1315"/>
        <v>31</v>
      </c>
      <c r="E3443" s="120">
        <f t="shared" si="1316"/>
        <v>5</v>
      </c>
      <c r="F3443" s="275">
        <f t="shared" si="1317"/>
        <v>46158.5</v>
      </c>
      <c r="G3443" s="120">
        <f t="shared" si="1318"/>
        <v>24316</v>
      </c>
      <c r="H3443" s="245">
        <f t="shared" si="1319"/>
        <v>1</v>
      </c>
      <c r="I3443" s="121">
        <f t="shared" si="1320"/>
        <v>1</v>
      </c>
      <c r="J3443" s="121">
        <f t="shared" si="1321"/>
        <v>1</v>
      </c>
      <c r="K3443" s="120">
        <f t="shared" si="1322"/>
        <v>0</v>
      </c>
      <c r="L3443" s="120">
        <f t="shared" si="1323"/>
        <v>0</v>
      </c>
      <c r="M3443" s="246">
        <f t="shared" si="1324"/>
        <v>0</v>
      </c>
      <c r="N3443" s="121">
        <f t="shared" si="1325"/>
        <v>1</v>
      </c>
      <c r="O3443" s="246">
        <f t="shared" si="1326"/>
        <v>0.98699124726477028</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87">
        <v>18</v>
      </c>
      <c r="B3444" s="242">
        <f t="shared" si="1333"/>
        <v>46174</v>
      </c>
      <c r="C3444" s="243">
        <f t="shared" si="1314"/>
        <v>46203</v>
      </c>
      <c r="D3444" s="120">
        <f t="shared" si="1315"/>
        <v>30</v>
      </c>
      <c r="E3444" s="120">
        <f t="shared" si="1316"/>
        <v>6</v>
      </c>
      <c r="F3444" s="275">
        <f t="shared" si="1317"/>
        <v>46189</v>
      </c>
      <c r="G3444" s="120">
        <f t="shared" si="1318"/>
        <v>24317</v>
      </c>
      <c r="H3444" s="245">
        <f t="shared" si="1319"/>
        <v>1</v>
      </c>
      <c r="I3444" s="121">
        <f t="shared" si="1320"/>
        <v>1</v>
      </c>
      <c r="J3444" s="121">
        <f t="shared" si="1321"/>
        <v>1</v>
      </c>
      <c r="K3444" s="120">
        <f t="shared" si="1322"/>
        <v>0</v>
      </c>
      <c r="L3444" s="120">
        <f t="shared" si="1323"/>
        <v>0</v>
      </c>
      <c r="M3444" s="246">
        <f t="shared" si="1324"/>
        <v>0</v>
      </c>
      <c r="N3444" s="121">
        <f t="shared" si="1325"/>
        <v>1</v>
      </c>
      <c r="O3444" s="246">
        <f t="shared" si="1326"/>
        <v>0.98765864332603936</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87">
        <v>19</v>
      </c>
      <c r="B3445" s="242">
        <f t="shared" si="1333"/>
        <v>46204</v>
      </c>
      <c r="C3445" s="243">
        <f t="shared" si="1314"/>
        <v>46234</v>
      </c>
      <c r="D3445" s="120">
        <f t="shared" si="1315"/>
        <v>31</v>
      </c>
      <c r="E3445" s="120">
        <f t="shared" si="1316"/>
        <v>7</v>
      </c>
      <c r="F3445" s="275">
        <f t="shared" si="1317"/>
        <v>46219.5</v>
      </c>
      <c r="G3445" s="120">
        <f t="shared" si="1318"/>
        <v>24318</v>
      </c>
      <c r="H3445" s="245">
        <f t="shared" si="1319"/>
        <v>1</v>
      </c>
      <c r="I3445" s="121">
        <f t="shared" si="1320"/>
        <v>1</v>
      </c>
      <c r="J3445" s="121">
        <f t="shared" si="1321"/>
        <v>1</v>
      </c>
      <c r="K3445" s="120">
        <f t="shared" si="1322"/>
        <v>0</v>
      </c>
      <c r="L3445" s="120">
        <f t="shared" si="1323"/>
        <v>0</v>
      </c>
      <c r="M3445" s="246">
        <f t="shared" si="1324"/>
        <v>0</v>
      </c>
      <c r="N3445" s="121">
        <f t="shared" si="1325"/>
        <v>1</v>
      </c>
      <c r="O3445" s="246">
        <f t="shared" si="1326"/>
        <v>0.98832603938730856</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87">
        <v>20</v>
      </c>
      <c r="B3446" s="242">
        <f t="shared" si="1333"/>
        <v>46235</v>
      </c>
      <c r="C3446" s="243">
        <f t="shared" si="1314"/>
        <v>46265</v>
      </c>
      <c r="D3446" s="120">
        <f t="shared" si="1315"/>
        <v>31</v>
      </c>
      <c r="E3446" s="120">
        <f t="shared" si="1316"/>
        <v>8</v>
      </c>
      <c r="F3446" s="275">
        <f t="shared" si="1317"/>
        <v>46250.5</v>
      </c>
      <c r="G3446" s="120">
        <f t="shared" si="1318"/>
        <v>24319</v>
      </c>
      <c r="H3446" s="245">
        <f t="shared" si="1319"/>
        <v>1</v>
      </c>
      <c r="I3446" s="121">
        <f t="shared" si="1320"/>
        <v>1</v>
      </c>
      <c r="J3446" s="121">
        <f t="shared" si="1321"/>
        <v>1</v>
      </c>
      <c r="K3446" s="120">
        <f t="shared" si="1322"/>
        <v>0</v>
      </c>
      <c r="L3446" s="120">
        <f t="shared" si="1323"/>
        <v>0</v>
      </c>
      <c r="M3446" s="246">
        <f t="shared" si="1324"/>
        <v>0</v>
      </c>
      <c r="N3446" s="121">
        <f t="shared" si="1325"/>
        <v>1</v>
      </c>
      <c r="O3446" s="246">
        <f t="shared" si="1326"/>
        <v>0.98900437636761485</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87">
        <v>21</v>
      </c>
      <c r="B3447" s="242">
        <f t="shared" si="1333"/>
        <v>46266</v>
      </c>
      <c r="C3447" s="243">
        <f t="shared" si="1314"/>
        <v>46295</v>
      </c>
      <c r="D3447" s="120">
        <f t="shared" si="1315"/>
        <v>30</v>
      </c>
      <c r="E3447" s="120">
        <f t="shared" si="1316"/>
        <v>9</v>
      </c>
      <c r="F3447" s="275">
        <f t="shared" si="1317"/>
        <v>46281</v>
      </c>
      <c r="G3447" s="120">
        <f t="shared" si="1318"/>
        <v>24320</v>
      </c>
      <c r="H3447" s="245">
        <f t="shared" si="1319"/>
        <v>1</v>
      </c>
      <c r="I3447" s="121">
        <f t="shared" si="1320"/>
        <v>1</v>
      </c>
      <c r="J3447" s="121">
        <f t="shared" si="1321"/>
        <v>1</v>
      </c>
      <c r="K3447" s="120">
        <f t="shared" si="1322"/>
        <v>0</v>
      </c>
      <c r="L3447" s="120">
        <f t="shared" si="1323"/>
        <v>0</v>
      </c>
      <c r="M3447" s="246">
        <f t="shared" si="1324"/>
        <v>0</v>
      </c>
      <c r="N3447" s="121">
        <f t="shared" si="1325"/>
        <v>1</v>
      </c>
      <c r="O3447" s="246">
        <f t="shared" si="1326"/>
        <v>0.98967177242888404</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87">
        <v>22</v>
      </c>
      <c r="B3448" s="242">
        <f t="shared" si="1333"/>
        <v>46296</v>
      </c>
      <c r="C3448" s="243">
        <f t="shared" si="1314"/>
        <v>46326</v>
      </c>
      <c r="D3448" s="120">
        <f t="shared" si="1315"/>
        <v>31</v>
      </c>
      <c r="E3448" s="120">
        <f t="shared" si="1316"/>
        <v>10</v>
      </c>
      <c r="F3448" s="275">
        <f t="shared" si="1317"/>
        <v>46311.5</v>
      </c>
      <c r="G3448" s="120">
        <f t="shared" si="1318"/>
        <v>24321</v>
      </c>
      <c r="H3448" s="245">
        <f t="shared" si="1319"/>
        <v>1</v>
      </c>
      <c r="I3448" s="121">
        <f t="shared" si="1320"/>
        <v>1</v>
      </c>
      <c r="J3448" s="121">
        <f t="shared" si="1321"/>
        <v>1</v>
      </c>
      <c r="K3448" s="120">
        <f t="shared" si="1322"/>
        <v>0</v>
      </c>
      <c r="L3448" s="120">
        <f t="shared" si="1323"/>
        <v>0</v>
      </c>
      <c r="M3448" s="246">
        <f t="shared" si="1324"/>
        <v>0</v>
      </c>
      <c r="N3448" s="121">
        <f t="shared" si="1325"/>
        <v>1</v>
      </c>
      <c r="O3448" s="246">
        <f t="shared" si="1326"/>
        <v>0.99033916849015313</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87">
        <v>23</v>
      </c>
      <c r="B3449" s="242">
        <f t="shared" si="1333"/>
        <v>46327</v>
      </c>
      <c r="C3449" s="243">
        <f t="shared" si="1314"/>
        <v>46356</v>
      </c>
      <c r="D3449" s="120">
        <f t="shared" si="1315"/>
        <v>30</v>
      </c>
      <c r="E3449" s="120">
        <f t="shared" si="1316"/>
        <v>11</v>
      </c>
      <c r="F3449" s="275">
        <f t="shared" si="1317"/>
        <v>46342</v>
      </c>
      <c r="G3449" s="120">
        <f t="shared" si="1318"/>
        <v>24322</v>
      </c>
      <c r="H3449" s="245">
        <f t="shared" si="1319"/>
        <v>1</v>
      </c>
      <c r="I3449" s="121">
        <f t="shared" si="1320"/>
        <v>1</v>
      </c>
      <c r="J3449" s="121">
        <f t="shared" si="1321"/>
        <v>1</v>
      </c>
      <c r="K3449" s="120">
        <f t="shared" si="1322"/>
        <v>0</v>
      </c>
      <c r="L3449" s="120">
        <f t="shared" si="1323"/>
        <v>0</v>
      </c>
      <c r="M3449" s="246">
        <f t="shared" si="1324"/>
        <v>0</v>
      </c>
      <c r="N3449" s="121">
        <f t="shared" si="1325"/>
        <v>1</v>
      </c>
      <c r="O3449" s="246">
        <f t="shared" si="1326"/>
        <v>0.99100656455142233</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87">
        <v>24</v>
      </c>
      <c r="B3450" s="242">
        <f t="shared" si="1333"/>
        <v>46357</v>
      </c>
      <c r="C3450" s="243">
        <f t="shared" si="1314"/>
        <v>46387</v>
      </c>
      <c r="D3450" s="120">
        <f t="shared" si="1315"/>
        <v>31</v>
      </c>
      <c r="E3450" s="120">
        <f t="shared" si="1316"/>
        <v>12</v>
      </c>
      <c r="F3450" s="275">
        <f t="shared" si="1317"/>
        <v>46372.5</v>
      </c>
      <c r="G3450" s="120">
        <f t="shared" si="1318"/>
        <v>24323</v>
      </c>
      <c r="H3450" s="245">
        <f t="shared" si="1319"/>
        <v>1</v>
      </c>
      <c r="I3450" s="121">
        <f t="shared" si="1320"/>
        <v>1</v>
      </c>
      <c r="J3450" s="121">
        <f t="shared" si="1321"/>
        <v>1</v>
      </c>
      <c r="K3450" s="120">
        <f t="shared" si="1322"/>
        <v>0</v>
      </c>
      <c r="L3450" s="120">
        <f t="shared" si="1323"/>
        <v>0</v>
      </c>
      <c r="M3450" s="246">
        <f t="shared" si="1324"/>
        <v>0</v>
      </c>
      <c r="N3450" s="121">
        <f t="shared" si="1325"/>
        <v>1</v>
      </c>
      <c r="O3450" s="246">
        <f t="shared" si="1326"/>
        <v>0.99167396061269142</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87">
        <v>25</v>
      </c>
      <c r="B3451" s="242">
        <f t="shared" si="1333"/>
        <v>46388</v>
      </c>
      <c r="C3451" s="243">
        <f t="shared" si="1314"/>
        <v>46418</v>
      </c>
      <c r="D3451" s="120">
        <f t="shared" si="1315"/>
        <v>31</v>
      </c>
      <c r="E3451" s="120">
        <f t="shared" si="1316"/>
        <v>1</v>
      </c>
      <c r="F3451" s="275">
        <f t="shared" si="1317"/>
        <v>46403.5</v>
      </c>
      <c r="G3451" s="120">
        <f t="shared" si="1318"/>
        <v>24324</v>
      </c>
      <c r="H3451" s="245">
        <f t="shared" si="1319"/>
        <v>1</v>
      </c>
      <c r="I3451" s="121">
        <f t="shared" si="1320"/>
        <v>1</v>
      </c>
      <c r="J3451" s="121">
        <f t="shared" si="1321"/>
        <v>1</v>
      </c>
      <c r="K3451" s="120">
        <f t="shared" si="1322"/>
        <v>0</v>
      </c>
      <c r="L3451" s="120">
        <f t="shared" si="1323"/>
        <v>0</v>
      </c>
      <c r="M3451" s="246">
        <f t="shared" si="1324"/>
        <v>0</v>
      </c>
      <c r="N3451" s="121">
        <f t="shared" si="1325"/>
        <v>1</v>
      </c>
      <c r="O3451" s="246">
        <f t="shared" si="1326"/>
        <v>0.99235229759299781</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87">
        <v>26</v>
      </c>
      <c r="B3452" s="242">
        <f t="shared" si="1333"/>
        <v>46419</v>
      </c>
      <c r="C3452" s="243">
        <f t="shared" si="1314"/>
        <v>46446</v>
      </c>
      <c r="D3452" s="120">
        <f t="shared" si="1315"/>
        <v>28</v>
      </c>
      <c r="E3452" s="120">
        <f t="shared" si="1316"/>
        <v>2</v>
      </c>
      <c r="F3452" s="275">
        <f t="shared" si="1317"/>
        <v>46433</v>
      </c>
      <c r="G3452" s="120">
        <f t="shared" si="1318"/>
        <v>24325</v>
      </c>
      <c r="H3452" s="245">
        <f t="shared" si="1319"/>
        <v>1</v>
      </c>
      <c r="I3452" s="121">
        <f t="shared" si="1320"/>
        <v>1</v>
      </c>
      <c r="J3452" s="121">
        <f t="shared" si="1321"/>
        <v>1</v>
      </c>
      <c r="K3452" s="120">
        <f t="shared" si="1322"/>
        <v>0</v>
      </c>
      <c r="L3452" s="120">
        <f t="shared" si="1323"/>
        <v>0</v>
      </c>
      <c r="M3452" s="246">
        <f t="shared" si="1324"/>
        <v>0</v>
      </c>
      <c r="N3452" s="121">
        <f t="shared" si="1325"/>
        <v>1</v>
      </c>
      <c r="O3452" s="246">
        <f t="shared" si="1326"/>
        <v>0.99299781181619251</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87">
        <v>27</v>
      </c>
      <c r="B3453" s="242">
        <f t="shared" si="1333"/>
        <v>46447</v>
      </c>
      <c r="C3453" s="243">
        <f t="shared" si="1314"/>
        <v>46477</v>
      </c>
      <c r="D3453" s="120">
        <f t="shared" si="1315"/>
        <v>31</v>
      </c>
      <c r="E3453" s="120">
        <f t="shared" si="1316"/>
        <v>3</v>
      </c>
      <c r="F3453" s="275">
        <f t="shared" si="1317"/>
        <v>46462.5</v>
      </c>
      <c r="G3453" s="120">
        <f t="shared" si="1318"/>
        <v>24326</v>
      </c>
      <c r="H3453" s="245">
        <f t="shared" si="1319"/>
        <v>1</v>
      </c>
      <c r="I3453" s="121">
        <f t="shared" si="1320"/>
        <v>1</v>
      </c>
      <c r="J3453" s="121">
        <f t="shared" si="1321"/>
        <v>1</v>
      </c>
      <c r="K3453" s="120">
        <f t="shared" si="1322"/>
        <v>0</v>
      </c>
      <c r="L3453" s="120">
        <f t="shared" si="1323"/>
        <v>0</v>
      </c>
      <c r="M3453" s="246">
        <f t="shared" si="1324"/>
        <v>0</v>
      </c>
      <c r="N3453" s="121">
        <f t="shared" si="1325"/>
        <v>1</v>
      </c>
      <c r="O3453" s="246">
        <f t="shared" si="1326"/>
        <v>0.99364332603938732</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87">
        <v>28</v>
      </c>
      <c r="B3454" s="242">
        <f t="shared" si="1333"/>
        <v>46478</v>
      </c>
      <c r="C3454" s="243">
        <f t="shared" si="1314"/>
        <v>46507</v>
      </c>
      <c r="D3454" s="120">
        <f t="shared" si="1315"/>
        <v>30</v>
      </c>
      <c r="E3454" s="120">
        <f t="shared" si="1316"/>
        <v>4</v>
      </c>
      <c r="F3454" s="275">
        <f t="shared" si="1317"/>
        <v>46493</v>
      </c>
      <c r="G3454" s="120">
        <f t="shared" si="1318"/>
        <v>24327</v>
      </c>
      <c r="H3454" s="245">
        <f t="shared" si="1319"/>
        <v>1</v>
      </c>
      <c r="I3454" s="121">
        <f t="shared" si="1320"/>
        <v>1</v>
      </c>
      <c r="J3454" s="121">
        <f t="shared" si="1321"/>
        <v>1</v>
      </c>
      <c r="K3454" s="120">
        <f t="shared" si="1322"/>
        <v>0</v>
      </c>
      <c r="L3454" s="120">
        <f t="shared" si="1323"/>
        <v>0</v>
      </c>
      <c r="M3454" s="246">
        <f t="shared" si="1324"/>
        <v>0</v>
      </c>
      <c r="N3454" s="121">
        <f t="shared" si="1325"/>
        <v>1</v>
      </c>
      <c r="O3454" s="246">
        <f t="shared" si="1326"/>
        <v>0.99431072210065641</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87">
        <v>29</v>
      </c>
      <c r="B3455" s="242">
        <f t="shared" si="1333"/>
        <v>46508</v>
      </c>
      <c r="C3455" s="243">
        <f t="shared" si="1314"/>
        <v>46538</v>
      </c>
      <c r="D3455" s="120">
        <f t="shared" si="1315"/>
        <v>31</v>
      </c>
      <c r="E3455" s="120">
        <f t="shared" si="1316"/>
        <v>5</v>
      </c>
      <c r="F3455" s="275">
        <f t="shared" si="1317"/>
        <v>46523.5</v>
      </c>
      <c r="G3455" s="120">
        <f t="shared" si="1318"/>
        <v>24328</v>
      </c>
      <c r="H3455" s="245">
        <f t="shared" si="1319"/>
        <v>1</v>
      </c>
      <c r="I3455" s="121">
        <f t="shared" si="1320"/>
        <v>1</v>
      </c>
      <c r="J3455" s="121">
        <f t="shared" si="1321"/>
        <v>1</v>
      </c>
      <c r="K3455" s="120">
        <f t="shared" si="1322"/>
        <v>0</v>
      </c>
      <c r="L3455" s="120">
        <f t="shared" si="1323"/>
        <v>0</v>
      </c>
      <c r="M3455" s="246">
        <f t="shared" si="1324"/>
        <v>0</v>
      </c>
      <c r="N3455" s="121">
        <f t="shared" si="1325"/>
        <v>1</v>
      </c>
      <c r="O3455" s="246">
        <f t="shared" si="1326"/>
        <v>0.99497811816192561</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87">
        <v>30</v>
      </c>
      <c r="B3456" s="242">
        <f t="shared" si="1333"/>
        <v>46539</v>
      </c>
      <c r="C3456" s="243">
        <f t="shared" si="1314"/>
        <v>46568</v>
      </c>
      <c r="D3456" s="120">
        <f t="shared" si="1315"/>
        <v>30</v>
      </c>
      <c r="E3456" s="120">
        <f t="shared" si="1316"/>
        <v>6</v>
      </c>
      <c r="F3456" s="275">
        <f t="shared" si="1317"/>
        <v>46554</v>
      </c>
      <c r="G3456" s="120">
        <f t="shared" si="1318"/>
        <v>24329</v>
      </c>
      <c r="H3456" s="245">
        <f t="shared" si="1319"/>
        <v>1</v>
      </c>
      <c r="I3456" s="121">
        <f t="shared" si="1320"/>
        <v>1</v>
      </c>
      <c r="J3456" s="121">
        <f t="shared" si="1321"/>
        <v>1</v>
      </c>
      <c r="K3456" s="120">
        <f t="shared" si="1322"/>
        <v>0</v>
      </c>
      <c r="L3456" s="120">
        <f t="shared" si="1323"/>
        <v>0</v>
      </c>
      <c r="M3456" s="246">
        <f t="shared" si="1324"/>
        <v>0</v>
      </c>
      <c r="N3456" s="121">
        <f t="shared" si="1325"/>
        <v>1</v>
      </c>
      <c r="O3456" s="246">
        <f t="shared" si="1326"/>
        <v>0.99564551422319469</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87">
        <v>31</v>
      </c>
      <c r="B3457" s="242">
        <f t="shared" si="1333"/>
        <v>46569</v>
      </c>
      <c r="C3457" s="243">
        <f t="shared" si="1314"/>
        <v>46599</v>
      </c>
      <c r="D3457" s="120">
        <f t="shared" si="1315"/>
        <v>31</v>
      </c>
      <c r="E3457" s="120">
        <f t="shared" si="1316"/>
        <v>7</v>
      </c>
      <c r="F3457" s="275">
        <f t="shared" si="1317"/>
        <v>46584.5</v>
      </c>
      <c r="G3457" s="120">
        <f t="shared" si="1318"/>
        <v>24330</v>
      </c>
      <c r="H3457" s="245">
        <f t="shared" si="1319"/>
        <v>1</v>
      </c>
      <c r="I3457" s="121">
        <f t="shared" si="1320"/>
        <v>1</v>
      </c>
      <c r="J3457" s="121">
        <f t="shared" si="1321"/>
        <v>1</v>
      </c>
      <c r="K3457" s="120">
        <f t="shared" si="1322"/>
        <v>0</v>
      </c>
      <c r="L3457" s="120">
        <f t="shared" si="1323"/>
        <v>0</v>
      </c>
      <c r="M3457" s="246">
        <f t="shared" si="1324"/>
        <v>0</v>
      </c>
      <c r="N3457" s="121">
        <f t="shared" si="1325"/>
        <v>1</v>
      </c>
      <c r="O3457" s="246">
        <f t="shared" si="1326"/>
        <v>0.99631291028446389</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87">
        <v>32</v>
      </c>
      <c r="B3458" s="242">
        <f t="shared" si="1333"/>
        <v>46600</v>
      </c>
      <c r="C3458" s="243">
        <f t="shared" si="1314"/>
        <v>46630</v>
      </c>
      <c r="D3458" s="120">
        <f t="shared" si="1315"/>
        <v>31</v>
      </c>
      <c r="E3458" s="120">
        <f t="shared" si="1316"/>
        <v>8</v>
      </c>
      <c r="F3458" s="275">
        <f t="shared" si="1317"/>
        <v>46615.5</v>
      </c>
      <c r="G3458" s="120">
        <f t="shared" si="1318"/>
        <v>24331</v>
      </c>
      <c r="H3458" s="245">
        <f t="shared" si="1319"/>
        <v>1</v>
      </c>
      <c r="I3458" s="121">
        <f t="shared" si="1320"/>
        <v>1</v>
      </c>
      <c r="J3458" s="121">
        <f t="shared" si="1321"/>
        <v>1</v>
      </c>
      <c r="K3458" s="120">
        <f t="shared" si="1322"/>
        <v>0</v>
      </c>
      <c r="L3458" s="120">
        <f t="shared" si="1323"/>
        <v>0</v>
      </c>
      <c r="M3458" s="246">
        <f t="shared" si="1324"/>
        <v>0</v>
      </c>
      <c r="N3458" s="121">
        <f t="shared" si="1325"/>
        <v>1</v>
      </c>
      <c r="O3458" s="246">
        <f t="shared" si="1326"/>
        <v>0.99699124726477029</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87">
        <v>33</v>
      </c>
      <c r="B3459" s="242">
        <f t="shared" si="1333"/>
        <v>46631</v>
      </c>
      <c r="C3459" s="243">
        <f t="shared" si="1314"/>
        <v>46660</v>
      </c>
      <c r="D3459" s="120">
        <f t="shared" si="1315"/>
        <v>30</v>
      </c>
      <c r="E3459" s="120">
        <f t="shared" si="1316"/>
        <v>9</v>
      </c>
      <c r="F3459" s="275">
        <f t="shared" si="1317"/>
        <v>46646</v>
      </c>
      <c r="G3459" s="120">
        <f t="shared" si="1318"/>
        <v>24332</v>
      </c>
      <c r="H3459" s="245">
        <f t="shared" si="1319"/>
        <v>1</v>
      </c>
      <c r="I3459" s="121">
        <f t="shared" si="1320"/>
        <v>1</v>
      </c>
      <c r="J3459" s="121">
        <f t="shared" si="1321"/>
        <v>1</v>
      </c>
      <c r="K3459" s="120">
        <f t="shared" si="1322"/>
        <v>0</v>
      </c>
      <c r="L3459" s="120">
        <f t="shared" si="1323"/>
        <v>0</v>
      </c>
      <c r="M3459" s="246">
        <f t="shared" si="1324"/>
        <v>0</v>
      </c>
      <c r="N3459" s="121">
        <f t="shared" si="1325"/>
        <v>1</v>
      </c>
      <c r="O3459" s="246">
        <f t="shared" si="1326"/>
        <v>0.99765864332603937</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87">
        <v>34</v>
      </c>
      <c r="B3460" s="242">
        <f t="shared" si="1333"/>
        <v>46661</v>
      </c>
      <c r="C3460" s="243">
        <f t="shared" si="1314"/>
        <v>46691</v>
      </c>
      <c r="D3460" s="120">
        <f t="shared" si="1315"/>
        <v>31</v>
      </c>
      <c r="E3460" s="120">
        <f t="shared" si="1316"/>
        <v>10</v>
      </c>
      <c r="F3460" s="275">
        <f t="shared" si="1317"/>
        <v>46676.5</v>
      </c>
      <c r="G3460" s="120">
        <f t="shared" si="1318"/>
        <v>24333</v>
      </c>
      <c r="H3460" s="245">
        <f t="shared" si="1319"/>
        <v>1</v>
      </c>
      <c r="I3460" s="121">
        <f t="shared" si="1320"/>
        <v>1</v>
      </c>
      <c r="J3460" s="121">
        <f t="shared" si="1321"/>
        <v>1</v>
      </c>
      <c r="K3460" s="120">
        <f t="shared" si="1322"/>
        <v>0</v>
      </c>
      <c r="L3460" s="120">
        <f t="shared" si="1323"/>
        <v>0</v>
      </c>
      <c r="M3460" s="246">
        <f t="shared" si="1324"/>
        <v>0</v>
      </c>
      <c r="N3460" s="121">
        <f t="shared" si="1325"/>
        <v>1</v>
      </c>
      <c r="O3460" s="246">
        <f t="shared" si="1326"/>
        <v>0.99832603938730857</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87">
        <v>35</v>
      </c>
      <c r="B3461" s="242">
        <f t="shared" si="1333"/>
        <v>46692</v>
      </c>
      <c r="C3461" s="243">
        <f t="shared" si="1314"/>
        <v>46721</v>
      </c>
      <c r="D3461" s="120">
        <f t="shared" si="1315"/>
        <v>30</v>
      </c>
      <c r="E3461" s="120">
        <f t="shared" si="1316"/>
        <v>11</v>
      </c>
      <c r="F3461" s="275">
        <f t="shared" si="1317"/>
        <v>46707</v>
      </c>
      <c r="G3461" s="120">
        <f t="shared" si="1318"/>
        <v>24334</v>
      </c>
      <c r="H3461" s="245">
        <f t="shared" si="1319"/>
        <v>1</v>
      </c>
      <c r="I3461" s="121">
        <f t="shared" si="1320"/>
        <v>1</v>
      </c>
      <c r="J3461" s="121">
        <f t="shared" si="1321"/>
        <v>1</v>
      </c>
      <c r="K3461" s="120">
        <f t="shared" si="1322"/>
        <v>0</v>
      </c>
      <c r="L3461" s="120">
        <f t="shared" si="1323"/>
        <v>0</v>
      </c>
      <c r="M3461" s="246">
        <f t="shared" si="1324"/>
        <v>0</v>
      </c>
      <c r="N3461" s="121">
        <f t="shared" si="1325"/>
        <v>1</v>
      </c>
      <c r="O3461" s="246">
        <f t="shared" si="1326"/>
        <v>0.99899343544857766</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87">
        <v>36</v>
      </c>
      <c r="B3462" s="242">
        <f t="shared" si="1333"/>
        <v>46722</v>
      </c>
      <c r="C3462" s="243">
        <f t="shared" si="1314"/>
        <v>46752</v>
      </c>
      <c r="D3462" s="120">
        <f t="shared" si="1315"/>
        <v>31</v>
      </c>
      <c r="E3462" s="120">
        <f t="shared" si="1316"/>
        <v>12</v>
      </c>
      <c r="F3462" s="275">
        <f t="shared" si="1317"/>
        <v>46737.5</v>
      </c>
      <c r="G3462" s="120">
        <f t="shared" si="1318"/>
        <v>24335</v>
      </c>
      <c r="H3462" s="245">
        <f t="shared" si="1319"/>
        <v>1</v>
      </c>
      <c r="I3462" s="121">
        <f t="shared" si="1320"/>
        <v>1</v>
      </c>
      <c r="J3462" s="121">
        <f t="shared" si="1321"/>
        <v>1</v>
      </c>
      <c r="K3462" s="120">
        <f t="shared" si="1322"/>
        <v>0</v>
      </c>
      <c r="L3462" s="120">
        <f t="shared" si="1323"/>
        <v>0</v>
      </c>
      <c r="M3462" s="246">
        <f t="shared" si="1324"/>
        <v>0</v>
      </c>
      <c r="N3462" s="121">
        <f t="shared" si="1325"/>
        <v>1</v>
      </c>
      <c r="O3462" s="246">
        <f t="shared" si="1326"/>
        <v>0.99966083150984686</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87">
        <v>37</v>
      </c>
      <c r="B3463" s="242">
        <f t="shared" si="1333"/>
        <v>46753</v>
      </c>
      <c r="C3463" s="243">
        <f t="shared" si="1314"/>
        <v>46783</v>
      </c>
      <c r="D3463" s="120">
        <f t="shared" si="1315"/>
        <v>31</v>
      </c>
      <c r="E3463" s="120">
        <f t="shared" si="1316"/>
        <v>1</v>
      </c>
      <c r="F3463" s="275">
        <f t="shared" si="1317"/>
        <v>46768.5</v>
      </c>
      <c r="G3463" s="120">
        <f t="shared" si="1318"/>
        <v>24336</v>
      </c>
      <c r="H3463" s="245">
        <f t="shared" si="1319"/>
        <v>1</v>
      </c>
      <c r="I3463" s="121">
        <f t="shared" si="1320"/>
        <v>1</v>
      </c>
      <c r="J3463" s="121">
        <f t="shared" si="1321"/>
        <v>1</v>
      </c>
      <c r="K3463" s="120">
        <f t="shared" si="1322"/>
        <v>0</v>
      </c>
      <c r="L3463" s="120">
        <f t="shared" si="1323"/>
        <v>0</v>
      </c>
      <c r="M3463" s="246">
        <f t="shared" si="1324"/>
        <v>0</v>
      </c>
      <c r="N3463" s="121">
        <f t="shared" si="1325"/>
        <v>1</v>
      </c>
      <c r="O3463" s="246">
        <f t="shared" si="1326"/>
        <v>1</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87">
        <v>38</v>
      </c>
      <c r="B3464" s="242">
        <f t="shared" si="1333"/>
        <v>46784</v>
      </c>
      <c r="C3464" s="243">
        <f t="shared" si="1314"/>
        <v>46812</v>
      </c>
      <c r="D3464" s="120">
        <f t="shared" si="1315"/>
        <v>29</v>
      </c>
      <c r="E3464" s="120">
        <f t="shared" si="1316"/>
        <v>2</v>
      </c>
      <c r="F3464" s="275">
        <f t="shared" si="1317"/>
        <v>46798.5</v>
      </c>
      <c r="G3464" s="120">
        <f t="shared" si="1318"/>
        <v>24337</v>
      </c>
      <c r="H3464" s="245">
        <f t="shared" si="1319"/>
        <v>1</v>
      </c>
      <c r="I3464" s="121">
        <f t="shared" si="1320"/>
        <v>1</v>
      </c>
      <c r="J3464" s="121">
        <f t="shared" si="1321"/>
        <v>1</v>
      </c>
      <c r="K3464" s="120">
        <f t="shared" si="1322"/>
        <v>0</v>
      </c>
      <c r="L3464" s="120">
        <f t="shared" si="1323"/>
        <v>0</v>
      </c>
      <c r="M3464" s="246">
        <f t="shared" si="1324"/>
        <v>0</v>
      </c>
      <c r="N3464" s="121">
        <f t="shared" si="1325"/>
        <v>1</v>
      </c>
      <c r="O3464" s="246">
        <f t="shared" si="1326"/>
        <v>1</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87">
        <v>39</v>
      </c>
      <c r="B3465" s="242">
        <f t="shared" si="1333"/>
        <v>46813</v>
      </c>
      <c r="C3465" s="243">
        <f t="shared" si="1314"/>
        <v>46843</v>
      </c>
      <c r="D3465" s="120">
        <f t="shared" si="1315"/>
        <v>31</v>
      </c>
      <c r="E3465" s="120">
        <f t="shared" si="1316"/>
        <v>3</v>
      </c>
      <c r="F3465" s="275">
        <f t="shared" si="1317"/>
        <v>46828.5</v>
      </c>
      <c r="G3465" s="120">
        <f t="shared" si="1318"/>
        <v>24338</v>
      </c>
      <c r="H3465" s="245">
        <f t="shared" si="1319"/>
        <v>1</v>
      </c>
      <c r="I3465" s="121">
        <f t="shared" si="1320"/>
        <v>1</v>
      </c>
      <c r="J3465" s="121">
        <f t="shared" si="1321"/>
        <v>1</v>
      </c>
      <c r="K3465" s="120">
        <f t="shared" si="1322"/>
        <v>0</v>
      </c>
      <c r="L3465" s="120">
        <f t="shared" si="1323"/>
        <v>0</v>
      </c>
      <c r="M3465" s="246">
        <f t="shared" si="1324"/>
        <v>0</v>
      </c>
      <c r="N3465" s="121">
        <f t="shared" si="1325"/>
        <v>1</v>
      </c>
      <c r="O3465" s="246">
        <f t="shared" si="1326"/>
        <v>1</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87">
        <v>40</v>
      </c>
      <c r="B3466" s="242">
        <f t="shared" si="1333"/>
        <v>46844</v>
      </c>
      <c r="C3466" s="243">
        <f t="shared" si="1314"/>
        <v>46873</v>
      </c>
      <c r="D3466" s="120">
        <f t="shared" si="1315"/>
        <v>30</v>
      </c>
      <c r="E3466" s="120">
        <f t="shared" si="1316"/>
        <v>4</v>
      </c>
      <c r="F3466" s="275">
        <f t="shared" si="1317"/>
        <v>46859</v>
      </c>
      <c r="G3466" s="120">
        <f t="shared" si="1318"/>
        <v>24339</v>
      </c>
      <c r="H3466" s="245">
        <f t="shared" si="1319"/>
        <v>1</v>
      </c>
      <c r="I3466" s="121">
        <f t="shared" si="1320"/>
        <v>1</v>
      </c>
      <c r="J3466" s="121">
        <f t="shared" si="1321"/>
        <v>1</v>
      </c>
      <c r="K3466" s="120">
        <f t="shared" si="1322"/>
        <v>0</v>
      </c>
      <c r="L3466" s="120">
        <f t="shared" si="1323"/>
        <v>0</v>
      </c>
      <c r="M3466" s="246">
        <f t="shared" si="1324"/>
        <v>0</v>
      </c>
      <c r="N3466" s="121">
        <f t="shared" si="1325"/>
        <v>1</v>
      </c>
      <c r="O3466" s="246">
        <f t="shared" si="1326"/>
        <v>1</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87">
        <v>41</v>
      </c>
      <c r="B3467" s="242">
        <f t="shared" si="1333"/>
        <v>46874</v>
      </c>
      <c r="C3467" s="243">
        <f t="shared" si="1314"/>
        <v>46904</v>
      </c>
      <c r="D3467" s="120">
        <f t="shared" si="1315"/>
        <v>31</v>
      </c>
      <c r="E3467" s="120">
        <f t="shared" si="1316"/>
        <v>5</v>
      </c>
      <c r="F3467" s="275">
        <f t="shared" si="1317"/>
        <v>46889.5</v>
      </c>
      <c r="G3467" s="120">
        <f t="shared" si="1318"/>
        <v>24340</v>
      </c>
      <c r="H3467" s="245">
        <f t="shared" si="1319"/>
        <v>1</v>
      </c>
      <c r="I3467" s="121">
        <f t="shared" si="1320"/>
        <v>1</v>
      </c>
      <c r="J3467" s="121">
        <f t="shared" si="1321"/>
        <v>1</v>
      </c>
      <c r="K3467" s="120">
        <f t="shared" si="1322"/>
        <v>0</v>
      </c>
      <c r="L3467" s="120">
        <f t="shared" si="1323"/>
        <v>0</v>
      </c>
      <c r="M3467" s="246">
        <f t="shared" si="1324"/>
        <v>0</v>
      </c>
      <c r="N3467" s="121">
        <f t="shared" si="1325"/>
        <v>1</v>
      </c>
      <c r="O3467" s="246">
        <f t="shared" si="1326"/>
        <v>1</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87">
        <v>42</v>
      </c>
      <c r="B3468" s="242">
        <f t="shared" si="1333"/>
        <v>46905</v>
      </c>
      <c r="C3468" s="243">
        <f t="shared" si="1314"/>
        <v>46934</v>
      </c>
      <c r="D3468" s="120">
        <f t="shared" si="1315"/>
        <v>30</v>
      </c>
      <c r="E3468" s="120">
        <f t="shared" si="1316"/>
        <v>6</v>
      </c>
      <c r="F3468" s="275">
        <f t="shared" si="1317"/>
        <v>46920</v>
      </c>
      <c r="G3468" s="120">
        <f t="shared" si="1318"/>
        <v>24341</v>
      </c>
      <c r="H3468" s="245">
        <f t="shared" si="1319"/>
        <v>1</v>
      </c>
      <c r="I3468" s="121">
        <f t="shared" si="1320"/>
        <v>1</v>
      </c>
      <c r="J3468" s="121">
        <f t="shared" si="1321"/>
        <v>1</v>
      </c>
      <c r="K3468" s="120">
        <f t="shared" si="1322"/>
        <v>0</v>
      </c>
      <c r="L3468" s="120">
        <f t="shared" si="1323"/>
        <v>0</v>
      </c>
      <c r="M3468" s="246">
        <f t="shared" si="1324"/>
        <v>0</v>
      </c>
      <c r="N3468" s="121">
        <f t="shared" si="1325"/>
        <v>1</v>
      </c>
      <c r="O3468" s="246">
        <f t="shared" si="1326"/>
        <v>1</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87">
        <v>43</v>
      </c>
      <c r="B3469" s="242">
        <f t="shared" si="1333"/>
        <v>46935</v>
      </c>
      <c r="C3469" s="243">
        <f t="shared" si="1314"/>
        <v>46965</v>
      </c>
      <c r="D3469" s="120">
        <f t="shared" si="1315"/>
        <v>31</v>
      </c>
      <c r="E3469" s="120">
        <f t="shared" si="1316"/>
        <v>7</v>
      </c>
      <c r="F3469" s="275">
        <f t="shared" si="1317"/>
        <v>46950.5</v>
      </c>
      <c r="G3469" s="120">
        <f t="shared" si="1318"/>
        <v>24342</v>
      </c>
      <c r="H3469" s="245">
        <f t="shared" si="1319"/>
        <v>1</v>
      </c>
      <c r="I3469" s="121">
        <f t="shared" si="1320"/>
        <v>1</v>
      </c>
      <c r="J3469" s="121">
        <f t="shared" si="1321"/>
        <v>1</v>
      </c>
      <c r="K3469" s="120">
        <f t="shared" si="1322"/>
        <v>0</v>
      </c>
      <c r="L3469" s="120">
        <f t="shared" si="1323"/>
        <v>0</v>
      </c>
      <c r="M3469" s="246">
        <f t="shared" si="1324"/>
        <v>0</v>
      </c>
      <c r="N3469" s="121">
        <f t="shared" si="1325"/>
        <v>1</v>
      </c>
      <c r="O3469" s="246">
        <f t="shared" si="1326"/>
        <v>1</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87">
        <v>44</v>
      </c>
      <c r="B3470" s="242">
        <f t="shared" si="1333"/>
        <v>46966</v>
      </c>
      <c r="C3470" s="243">
        <f t="shared" si="1314"/>
        <v>46996</v>
      </c>
      <c r="D3470" s="120">
        <f t="shared" si="1315"/>
        <v>31</v>
      </c>
      <c r="E3470" s="120">
        <f t="shared" si="1316"/>
        <v>8</v>
      </c>
      <c r="F3470" s="275">
        <f t="shared" si="1317"/>
        <v>46981.5</v>
      </c>
      <c r="G3470" s="120">
        <f t="shared" si="1318"/>
        <v>24343</v>
      </c>
      <c r="H3470" s="245">
        <f t="shared" si="1319"/>
        <v>1</v>
      </c>
      <c r="I3470" s="121">
        <f t="shared" si="1320"/>
        <v>1</v>
      </c>
      <c r="J3470" s="121">
        <f t="shared" si="1321"/>
        <v>1</v>
      </c>
      <c r="K3470" s="120">
        <f t="shared" si="1322"/>
        <v>0</v>
      </c>
      <c r="L3470" s="120">
        <f t="shared" si="1323"/>
        <v>0</v>
      </c>
      <c r="M3470" s="246">
        <f t="shared" si="1324"/>
        <v>0</v>
      </c>
      <c r="N3470" s="121">
        <f t="shared" si="1325"/>
        <v>1</v>
      </c>
      <c r="O3470" s="246">
        <f t="shared" si="1326"/>
        <v>1</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87">
        <v>45</v>
      </c>
      <c r="B3471" s="242">
        <f t="shared" si="1333"/>
        <v>46997</v>
      </c>
      <c r="C3471" s="243">
        <f t="shared" si="1314"/>
        <v>47026</v>
      </c>
      <c r="D3471" s="120">
        <f t="shared" si="1315"/>
        <v>30</v>
      </c>
      <c r="E3471" s="120">
        <f t="shared" si="1316"/>
        <v>9</v>
      </c>
      <c r="F3471" s="275">
        <f t="shared" si="1317"/>
        <v>47012</v>
      </c>
      <c r="G3471" s="120">
        <f t="shared" si="1318"/>
        <v>24344</v>
      </c>
      <c r="H3471" s="245">
        <f t="shared" si="1319"/>
        <v>1</v>
      </c>
      <c r="I3471" s="121">
        <f t="shared" si="1320"/>
        <v>1</v>
      </c>
      <c r="J3471" s="121">
        <f t="shared" si="1321"/>
        <v>1</v>
      </c>
      <c r="K3471" s="120">
        <f t="shared" si="1322"/>
        <v>0</v>
      </c>
      <c r="L3471" s="120">
        <f t="shared" si="1323"/>
        <v>0</v>
      </c>
      <c r="M3471" s="246">
        <f t="shared" si="1324"/>
        <v>0</v>
      </c>
      <c r="N3471" s="121">
        <f t="shared" si="1325"/>
        <v>1</v>
      </c>
      <c r="O3471" s="246">
        <f t="shared" si="1326"/>
        <v>1</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87">
        <v>46</v>
      </c>
      <c r="B3472" s="242">
        <f t="shared" si="1333"/>
        <v>47027</v>
      </c>
      <c r="C3472" s="243">
        <f t="shared" si="1314"/>
        <v>47057</v>
      </c>
      <c r="D3472" s="120">
        <f t="shared" si="1315"/>
        <v>31</v>
      </c>
      <c r="E3472" s="120">
        <f t="shared" si="1316"/>
        <v>10</v>
      </c>
      <c r="F3472" s="275">
        <f t="shared" si="1317"/>
        <v>47042.5</v>
      </c>
      <c r="G3472" s="120">
        <f t="shared" si="1318"/>
        <v>24345</v>
      </c>
      <c r="H3472" s="245">
        <f t="shared" si="1319"/>
        <v>1</v>
      </c>
      <c r="I3472" s="121">
        <f t="shared" si="1320"/>
        <v>1</v>
      </c>
      <c r="J3472" s="121">
        <f t="shared" si="1321"/>
        <v>1</v>
      </c>
      <c r="K3472" s="120">
        <f t="shared" si="1322"/>
        <v>0</v>
      </c>
      <c r="L3472" s="120">
        <f t="shared" si="1323"/>
        <v>0</v>
      </c>
      <c r="M3472" s="246">
        <f t="shared" si="1324"/>
        <v>0</v>
      </c>
      <c r="N3472" s="121">
        <f t="shared" si="1325"/>
        <v>1</v>
      </c>
      <c r="O3472" s="246">
        <f t="shared" si="1326"/>
        <v>1</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87">
        <v>47</v>
      </c>
      <c r="B3473" s="242">
        <f t="shared" si="1333"/>
        <v>47058</v>
      </c>
      <c r="C3473" s="243">
        <f t="shared" si="1314"/>
        <v>47087</v>
      </c>
      <c r="D3473" s="120">
        <f t="shared" si="1315"/>
        <v>30</v>
      </c>
      <c r="E3473" s="120">
        <f t="shared" si="1316"/>
        <v>11</v>
      </c>
      <c r="F3473" s="275">
        <f t="shared" si="1317"/>
        <v>47073</v>
      </c>
      <c r="G3473" s="120">
        <f t="shared" si="1318"/>
        <v>24346</v>
      </c>
      <c r="H3473" s="245">
        <f t="shared" si="1319"/>
        <v>1</v>
      </c>
      <c r="I3473" s="121">
        <f t="shared" si="1320"/>
        <v>1</v>
      </c>
      <c r="J3473" s="121">
        <f t="shared" si="1321"/>
        <v>1</v>
      </c>
      <c r="K3473" s="120">
        <f t="shared" si="1322"/>
        <v>0</v>
      </c>
      <c r="L3473" s="120">
        <f t="shared" si="1323"/>
        <v>0</v>
      </c>
      <c r="M3473" s="246">
        <f t="shared" si="1324"/>
        <v>0</v>
      </c>
      <c r="N3473" s="121">
        <f t="shared" si="1325"/>
        <v>1</v>
      </c>
      <c r="O3473" s="246">
        <f t="shared" si="1326"/>
        <v>1</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87">
        <v>48</v>
      </c>
      <c r="B3474" s="242">
        <f t="shared" si="1333"/>
        <v>47088</v>
      </c>
      <c r="C3474" s="243">
        <f t="shared" si="1314"/>
        <v>47118</v>
      </c>
      <c r="D3474" s="120">
        <f t="shared" si="1315"/>
        <v>31</v>
      </c>
      <c r="E3474" s="120">
        <f t="shared" si="1316"/>
        <v>12</v>
      </c>
      <c r="F3474" s="275">
        <f t="shared" si="1317"/>
        <v>47103.5</v>
      </c>
      <c r="G3474" s="120">
        <f t="shared" si="1318"/>
        <v>24347</v>
      </c>
      <c r="H3474" s="245">
        <f t="shared" si="1319"/>
        <v>1</v>
      </c>
      <c r="I3474" s="121">
        <f t="shared" si="1320"/>
        <v>1</v>
      </c>
      <c r="J3474" s="121">
        <f t="shared" si="1321"/>
        <v>1</v>
      </c>
      <c r="K3474" s="120">
        <f t="shared" si="1322"/>
        <v>0</v>
      </c>
      <c r="L3474" s="120">
        <f t="shared" si="1323"/>
        <v>0</v>
      </c>
      <c r="M3474" s="246">
        <f t="shared" si="1324"/>
        <v>0</v>
      </c>
      <c r="N3474" s="121">
        <f t="shared" si="1325"/>
        <v>1</v>
      </c>
      <c r="O3474" s="246">
        <f t="shared" si="1326"/>
        <v>1</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1651</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0.99199580598103554</v>
      </c>
      <c r="G3475" s="224">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12</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34">EOMONTH($B3481,0)</f>
        <v>45688</v>
      </c>
      <c r="D3481" s="120">
        <f t="shared" ref="D3481:D3528" si="1335">$C3481-$B3481+1</f>
        <v>31</v>
      </c>
      <c r="E3481" s="120">
        <f t="shared" ref="E3481:E3528" si="1336">MONTH($B3481)</f>
        <v>1</v>
      </c>
      <c r="F3481" s="275">
        <f t="shared" ref="F3481:F3528" si="1337">($B3481+$C3481+1)/2</f>
        <v>45673.5</v>
      </c>
      <c r="G3481" s="120">
        <f t="shared" ref="G3481:G3528" si="1338">YEAR($B3481)*12+MONTH($B3481)-1</f>
        <v>24300</v>
      </c>
      <c r="H3481" s="245">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46">
        <f t="shared" ref="M3481:M3528" si="1344">IF($K3481=0,0,MIN(1,$L3481/$D3481))</f>
        <v>0</v>
      </c>
      <c r="N3481" s="121">
        <f t="shared" ref="N3481:N3528" si="1345">IF($K3481=0,$J3481,(1-$M3481)*$I3481+$M3481*$J3481)</f>
        <v>1</v>
      </c>
      <c r="O3481" s="246">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87">
        <v>2</v>
      </c>
      <c r="B3482" s="242">
        <f t="shared" ref="B3482:B3528" si="1353">EDATE($B3481,1)</f>
        <v>45689</v>
      </c>
      <c r="C3482" s="243">
        <f t="shared" si="1334"/>
        <v>45716</v>
      </c>
      <c r="D3482" s="120">
        <f t="shared" si="1335"/>
        <v>28</v>
      </c>
      <c r="E3482" s="120">
        <f t="shared" si="1336"/>
        <v>2</v>
      </c>
      <c r="F3482" s="275">
        <f t="shared" si="1337"/>
        <v>45703</v>
      </c>
      <c r="G3482" s="120">
        <f t="shared" si="1338"/>
        <v>24301</v>
      </c>
      <c r="H3482" s="245">
        <f t="shared" si="1339"/>
        <v>1</v>
      </c>
      <c r="I3482" s="121">
        <f t="shared" si="1340"/>
        <v>1</v>
      </c>
      <c r="J3482" s="121">
        <f t="shared" si="1341"/>
        <v>1</v>
      </c>
      <c r="K3482" s="120">
        <f t="shared" si="1342"/>
        <v>0</v>
      </c>
      <c r="L3482" s="120">
        <f t="shared" si="1343"/>
        <v>0</v>
      </c>
      <c r="M3482" s="246">
        <f t="shared" si="1344"/>
        <v>0</v>
      </c>
      <c r="N3482" s="121">
        <f t="shared" si="1345"/>
        <v>1</v>
      </c>
      <c r="O3482" s="246">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87">
        <v>3</v>
      </c>
      <c r="B3483" s="242">
        <f t="shared" si="1353"/>
        <v>45717</v>
      </c>
      <c r="C3483" s="243">
        <f t="shared" si="1334"/>
        <v>45747</v>
      </c>
      <c r="D3483" s="120">
        <f t="shared" si="1335"/>
        <v>31</v>
      </c>
      <c r="E3483" s="120">
        <f t="shared" si="1336"/>
        <v>3</v>
      </c>
      <c r="F3483" s="275">
        <f t="shared" si="1337"/>
        <v>45732.5</v>
      </c>
      <c r="G3483" s="120">
        <f t="shared" si="1338"/>
        <v>24302</v>
      </c>
      <c r="H3483" s="245">
        <f t="shared" si="1339"/>
        <v>1</v>
      </c>
      <c r="I3483" s="121">
        <f t="shared" si="1340"/>
        <v>1</v>
      </c>
      <c r="J3483" s="121">
        <f t="shared" si="1341"/>
        <v>1</v>
      </c>
      <c r="K3483" s="120">
        <f t="shared" si="1342"/>
        <v>0</v>
      </c>
      <c r="L3483" s="120">
        <f t="shared" si="1343"/>
        <v>0</v>
      </c>
      <c r="M3483" s="246">
        <f t="shared" si="1344"/>
        <v>0</v>
      </c>
      <c r="N3483" s="121">
        <f t="shared" si="1345"/>
        <v>1</v>
      </c>
      <c r="O3483" s="246">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87">
        <v>4</v>
      </c>
      <c r="B3484" s="242">
        <f t="shared" si="1353"/>
        <v>45748</v>
      </c>
      <c r="C3484" s="243">
        <f t="shared" si="1334"/>
        <v>45777</v>
      </c>
      <c r="D3484" s="120">
        <f t="shared" si="1335"/>
        <v>30</v>
      </c>
      <c r="E3484" s="120">
        <f t="shared" si="1336"/>
        <v>4</v>
      </c>
      <c r="F3484" s="275">
        <f t="shared" si="1337"/>
        <v>45763</v>
      </c>
      <c r="G3484" s="120">
        <f t="shared" si="1338"/>
        <v>24303</v>
      </c>
      <c r="H3484" s="245">
        <f t="shared" si="1339"/>
        <v>1</v>
      </c>
      <c r="I3484" s="121">
        <f t="shared" si="1340"/>
        <v>1</v>
      </c>
      <c r="J3484" s="121">
        <f t="shared" si="1341"/>
        <v>1</v>
      </c>
      <c r="K3484" s="120">
        <f t="shared" si="1342"/>
        <v>0</v>
      </c>
      <c r="L3484" s="120">
        <f t="shared" si="1343"/>
        <v>0</v>
      </c>
      <c r="M3484" s="246">
        <f t="shared" si="1344"/>
        <v>0</v>
      </c>
      <c r="N3484" s="121">
        <f t="shared" si="1345"/>
        <v>1</v>
      </c>
      <c r="O3484" s="246">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87">
        <v>5</v>
      </c>
      <c r="B3485" s="242">
        <f t="shared" si="1353"/>
        <v>45778</v>
      </c>
      <c r="C3485" s="243">
        <f t="shared" si="1334"/>
        <v>45808</v>
      </c>
      <c r="D3485" s="120">
        <f t="shared" si="1335"/>
        <v>31</v>
      </c>
      <c r="E3485" s="120">
        <f t="shared" si="1336"/>
        <v>5</v>
      </c>
      <c r="F3485" s="275">
        <f t="shared" si="1337"/>
        <v>45793.5</v>
      </c>
      <c r="G3485" s="120">
        <f t="shared" si="1338"/>
        <v>24304</v>
      </c>
      <c r="H3485" s="245">
        <f t="shared" si="1339"/>
        <v>1</v>
      </c>
      <c r="I3485" s="121">
        <f t="shared" si="1340"/>
        <v>1</v>
      </c>
      <c r="J3485" s="121">
        <f t="shared" si="1341"/>
        <v>1</v>
      </c>
      <c r="K3485" s="120">
        <f t="shared" si="1342"/>
        <v>0</v>
      </c>
      <c r="L3485" s="120">
        <f t="shared" si="1343"/>
        <v>0</v>
      </c>
      <c r="M3485" s="246">
        <f t="shared" si="1344"/>
        <v>0</v>
      </c>
      <c r="N3485" s="121">
        <f t="shared" si="1345"/>
        <v>1</v>
      </c>
      <c r="O3485" s="246">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87">
        <v>6</v>
      </c>
      <c r="B3486" s="242">
        <f t="shared" si="1353"/>
        <v>45809</v>
      </c>
      <c r="C3486" s="243">
        <f t="shared" si="1334"/>
        <v>45838</v>
      </c>
      <c r="D3486" s="120">
        <f t="shared" si="1335"/>
        <v>30</v>
      </c>
      <c r="E3486" s="120">
        <f t="shared" si="1336"/>
        <v>6</v>
      </c>
      <c r="F3486" s="275">
        <f t="shared" si="1337"/>
        <v>45824</v>
      </c>
      <c r="G3486" s="120">
        <f t="shared" si="1338"/>
        <v>24305</v>
      </c>
      <c r="H3486" s="245">
        <f t="shared" si="1339"/>
        <v>1</v>
      </c>
      <c r="I3486" s="121">
        <f t="shared" si="1340"/>
        <v>1</v>
      </c>
      <c r="J3486" s="121">
        <f t="shared" si="1341"/>
        <v>1</v>
      </c>
      <c r="K3486" s="120">
        <f t="shared" si="1342"/>
        <v>0</v>
      </c>
      <c r="L3486" s="120">
        <f t="shared" si="1343"/>
        <v>0</v>
      </c>
      <c r="M3486" s="246">
        <f t="shared" si="1344"/>
        <v>0</v>
      </c>
      <c r="N3486" s="121">
        <f t="shared" si="1345"/>
        <v>1</v>
      </c>
      <c r="O3486" s="246">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87">
        <v>7</v>
      </c>
      <c r="B3487" s="242">
        <f t="shared" si="1353"/>
        <v>45839</v>
      </c>
      <c r="C3487" s="243">
        <f t="shared" si="1334"/>
        <v>45869</v>
      </c>
      <c r="D3487" s="120">
        <f t="shared" si="1335"/>
        <v>31</v>
      </c>
      <c r="E3487" s="120">
        <f t="shared" si="1336"/>
        <v>7</v>
      </c>
      <c r="F3487" s="275">
        <f t="shared" si="1337"/>
        <v>45854.5</v>
      </c>
      <c r="G3487" s="120">
        <f t="shared" si="1338"/>
        <v>24306</v>
      </c>
      <c r="H3487" s="245">
        <f t="shared" si="1339"/>
        <v>1</v>
      </c>
      <c r="I3487" s="121">
        <f t="shared" si="1340"/>
        <v>1</v>
      </c>
      <c r="J3487" s="121">
        <f t="shared" si="1341"/>
        <v>1</v>
      </c>
      <c r="K3487" s="120">
        <f t="shared" si="1342"/>
        <v>0</v>
      </c>
      <c r="L3487" s="120">
        <f t="shared" si="1343"/>
        <v>0</v>
      </c>
      <c r="M3487" s="246">
        <f t="shared" si="1344"/>
        <v>0</v>
      </c>
      <c r="N3487" s="121">
        <f t="shared" si="1345"/>
        <v>1</v>
      </c>
      <c r="O3487" s="246">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87">
        <v>8</v>
      </c>
      <c r="B3488" s="242">
        <f t="shared" si="1353"/>
        <v>45870</v>
      </c>
      <c r="C3488" s="243">
        <f t="shared" si="1334"/>
        <v>45900</v>
      </c>
      <c r="D3488" s="120">
        <f t="shared" si="1335"/>
        <v>31</v>
      </c>
      <c r="E3488" s="120">
        <f t="shared" si="1336"/>
        <v>8</v>
      </c>
      <c r="F3488" s="275">
        <f t="shared" si="1337"/>
        <v>45885.5</v>
      </c>
      <c r="G3488" s="120">
        <f t="shared" si="1338"/>
        <v>24307</v>
      </c>
      <c r="H3488" s="245">
        <f t="shared" si="1339"/>
        <v>1</v>
      </c>
      <c r="I3488" s="121">
        <f t="shared" si="1340"/>
        <v>1</v>
      </c>
      <c r="J3488" s="121">
        <f t="shared" si="1341"/>
        <v>1</v>
      </c>
      <c r="K3488" s="120">
        <f t="shared" si="1342"/>
        <v>0</v>
      </c>
      <c r="L3488" s="120">
        <f t="shared" si="1343"/>
        <v>0</v>
      </c>
      <c r="M3488" s="246">
        <f t="shared" si="1344"/>
        <v>0</v>
      </c>
      <c r="N3488" s="121">
        <f t="shared" si="1345"/>
        <v>1</v>
      </c>
      <c r="O3488" s="246">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87">
        <v>9</v>
      </c>
      <c r="B3489" s="242">
        <f t="shared" si="1353"/>
        <v>45901</v>
      </c>
      <c r="C3489" s="243">
        <f t="shared" si="1334"/>
        <v>45930</v>
      </c>
      <c r="D3489" s="120">
        <f t="shared" si="1335"/>
        <v>30</v>
      </c>
      <c r="E3489" s="120">
        <f t="shared" si="1336"/>
        <v>9</v>
      </c>
      <c r="F3489" s="275">
        <f t="shared" si="1337"/>
        <v>45916</v>
      </c>
      <c r="G3489" s="120">
        <f t="shared" si="1338"/>
        <v>24308</v>
      </c>
      <c r="H3489" s="245">
        <f t="shared" si="1339"/>
        <v>1</v>
      </c>
      <c r="I3489" s="121">
        <f t="shared" si="1340"/>
        <v>1</v>
      </c>
      <c r="J3489" s="121">
        <f t="shared" si="1341"/>
        <v>1</v>
      </c>
      <c r="K3489" s="120">
        <f t="shared" si="1342"/>
        <v>0</v>
      </c>
      <c r="L3489" s="120">
        <f t="shared" si="1343"/>
        <v>0</v>
      </c>
      <c r="M3489" s="246">
        <f t="shared" si="1344"/>
        <v>0</v>
      </c>
      <c r="N3489" s="121">
        <f t="shared" si="1345"/>
        <v>1</v>
      </c>
      <c r="O3489" s="246">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87">
        <v>10</v>
      </c>
      <c r="B3490" s="242">
        <f t="shared" si="1353"/>
        <v>45931</v>
      </c>
      <c r="C3490" s="243">
        <f t="shared" si="1334"/>
        <v>45961</v>
      </c>
      <c r="D3490" s="120">
        <f t="shared" si="1335"/>
        <v>31</v>
      </c>
      <c r="E3490" s="120">
        <f t="shared" si="1336"/>
        <v>10</v>
      </c>
      <c r="F3490" s="275">
        <f t="shared" si="1337"/>
        <v>45946.5</v>
      </c>
      <c r="G3490" s="120">
        <f t="shared" si="1338"/>
        <v>24309</v>
      </c>
      <c r="H3490" s="245">
        <f t="shared" si="1339"/>
        <v>1</v>
      </c>
      <c r="I3490" s="121">
        <f t="shared" si="1340"/>
        <v>1</v>
      </c>
      <c r="J3490" s="121">
        <f t="shared" si="1341"/>
        <v>1</v>
      </c>
      <c r="K3490" s="120">
        <f t="shared" si="1342"/>
        <v>0</v>
      </c>
      <c r="L3490" s="120">
        <f t="shared" si="1343"/>
        <v>0</v>
      </c>
      <c r="M3490" s="246">
        <f t="shared" si="1344"/>
        <v>0</v>
      </c>
      <c r="N3490" s="121">
        <f t="shared" si="1345"/>
        <v>1</v>
      </c>
      <c r="O3490" s="246">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87">
        <v>11</v>
      </c>
      <c r="B3491" s="242">
        <f t="shared" si="1353"/>
        <v>45962</v>
      </c>
      <c r="C3491" s="243">
        <f t="shared" si="1334"/>
        <v>45991</v>
      </c>
      <c r="D3491" s="120">
        <f t="shared" si="1335"/>
        <v>30</v>
      </c>
      <c r="E3491" s="120">
        <f t="shared" si="1336"/>
        <v>11</v>
      </c>
      <c r="F3491" s="275">
        <f t="shared" si="1337"/>
        <v>45977</v>
      </c>
      <c r="G3491" s="120">
        <f t="shared" si="1338"/>
        <v>24310</v>
      </c>
      <c r="H3491" s="245">
        <f t="shared" si="1339"/>
        <v>1</v>
      </c>
      <c r="I3491" s="121">
        <f t="shared" si="1340"/>
        <v>1</v>
      </c>
      <c r="J3491" s="121">
        <f t="shared" si="1341"/>
        <v>1</v>
      </c>
      <c r="K3491" s="120">
        <f t="shared" si="1342"/>
        <v>0</v>
      </c>
      <c r="L3491" s="120">
        <f t="shared" si="1343"/>
        <v>0</v>
      </c>
      <c r="M3491" s="246">
        <f t="shared" si="1344"/>
        <v>0</v>
      </c>
      <c r="N3491" s="121">
        <f t="shared" si="1345"/>
        <v>1</v>
      </c>
      <c r="O3491" s="246">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87">
        <v>12</v>
      </c>
      <c r="B3492" s="242">
        <f t="shared" si="1353"/>
        <v>45992</v>
      </c>
      <c r="C3492" s="243">
        <f t="shared" si="1334"/>
        <v>46022</v>
      </c>
      <c r="D3492" s="120">
        <f t="shared" si="1335"/>
        <v>31</v>
      </c>
      <c r="E3492" s="120">
        <f t="shared" si="1336"/>
        <v>12</v>
      </c>
      <c r="F3492" s="275">
        <f t="shared" si="1337"/>
        <v>46007.5</v>
      </c>
      <c r="G3492" s="120">
        <f t="shared" si="1338"/>
        <v>24311</v>
      </c>
      <c r="H3492" s="245">
        <f t="shared" si="1339"/>
        <v>1</v>
      </c>
      <c r="I3492" s="121">
        <f t="shared" si="1340"/>
        <v>1</v>
      </c>
      <c r="J3492" s="121">
        <f t="shared" si="1341"/>
        <v>1</v>
      </c>
      <c r="K3492" s="120">
        <f t="shared" si="1342"/>
        <v>0</v>
      </c>
      <c r="L3492" s="120">
        <f t="shared" si="1343"/>
        <v>0</v>
      </c>
      <c r="M3492" s="246">
        <f t="shared" si="1344"/>
        <v>0</v>
      </c>
      <c r="N3492" s="121">
        <f t="shared" si="1345"/>
        <v>1</v>
      </c>
      <c r="O3492" s="246">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87">
        <v>13</v>
      </c>
      <c r="B3493" s="242">
        <f t="shared" si="1353"/>
        <v>46023</v>
      </c>
      <c r="C3493" s="243">
        <f t="shared" si="1334"/>
        <v>46053</v>
      </c>
      <c r="D3493" s="120">
        <f t="shared" si="1335"/>
        <v>31</v>
      </c>
      <c r="E3493" s="120">
        <f t="shared" si="1336"/>
        <v>1</v>
      </c>
      <c r="F3493" s="275">
        <f t="shared" si="1337"/>
        <v>46038.5</v>
      </c>
      <c r="G3493" s="120">
        <f t="shared" si="1338"/>
        <v>24312</v>
      </c>
      <c r="H3493" s="245">
        <f t="shared" si="1339"/>
        <v>1</v>
      </c>
      <c r="I3493" s="121">
        <f t="shared" si="1340"/>
        <v>1</v>
      </c>
      <c r="J3493" s="121">
        <f t="shared" si="1341"/>
        <v>1</v>
      </c>
      <c r="K3493" s="120">
        <f t="shared" si="1342"/>
        <v>0</v>
      </c>
      <c r="L3493" s="120">
        <f t="shared" si="1343"/>
        <v>0</v>
      </c>
      <c r="M3493" s="246">
        <f t="shared" si="1344"/>
        <v>0</v>
      </c>
      <c r="N3493" s="121">
        <f t="shared" si="1345"/>
        <v>1</v>
      </c>
      <c r="O3493" s="246">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87">
        <v>14</v>
      </c>
      <c r="B3494" s="242">
        <f t="shared" si="1353"/>
        <v>46054</v>
      </c>
      <c r="C3494" s="243">
        <f t="shared" si="1334"/>
        <v>46081</v>
      </c>
      <c r="D3494" s="120">
        <f t="shared" si="1335"/>
        <v>28</v>
      </c>
      <c r="E3494" s="120">
        <f t="shared" si="1336"/>
        <v>2</v>
      </c>
      <c r="F3494" s="275">
        <f t="shared" si="1337"/>
        <v>46068</v>
      </c>
      <c r="G3494" s="120">
        <f t="shared" si="1338"/>
        <v>24313</v>
      </c>
      <c r="H3494" s="245">
        <f t="shared" si="1339"/>
        <v>1</v>
      </c>
      <c r="I3494" s="121">
        <f t="shared" si="1340"/>
        <v>1</v>
      </c>
      <c r="J3494" s="121">
        <f t="shared" si="1341"/>
        <v>1</v>
      </c>
      <c r="K3494" s="120">
        <f t="shared" si="1342"/>
        <v>0</v>
      </c>
      <c r="L3494" s="120">
        <f t="shared" si="1343"/>
        <v>0</v>
      </c>
      <c r="M3494" s="246">
        <f t="shared" si="1344"/>
        <v>0</v>
      </c>
      <c r="N3494" s="121">
        <f t="shared" si="1345"/>
        <v>1</v>
      </c>
      <c r="O3494" s="246">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87">
        <v>15</v>
      </c>
      <c r="B3495" s="242">
        <f t="shared" si="1353"/>
        <v>46082</v>
      </c>
      <c r="C3495" s="243">
        <f t="shared" si="1334"/>
        <v>46112</v>
      </c>
      <c r="D3495" s="120">
        <f t="shared" si="1335"/>
        <v>31</v>
      </c>
      <c r="E3495" s="120">
        <f t="shared" si="1336"/>
        <v>3</v>
      </c>
      <c r="F3495" s="275">
        <f t="shared" si="1337"/>
        <v>46097.5</v>
      </c>
      <c r="G3495" s="120">
        <f t="shared" si="1338"/>
        <v>24314</v>
      </c>
      <c r="H3495" s="245">
        <f t="shared" si="1339"/>
        <v>1</v>
      </c>
      <c r="I3495" s="121">
        <f t="shared" si="1340"/>
        <v>1</v>
      </c>
      <c r="J3495" s="121">
        <f t="shared" si="1341"/>
        <v>1</v>
      </c>
      <c r="K3495" s="120">
        <f t="shared" si="1342"/>
        <v>0</v>
      </c>
      <c r="L3495" s="120">
        <f t="shared" si="1343"/>
        <v>0</v>
      </c>
      <c r="M3495" s="246">
        <f t="shared" si="1344"/>
        <v>0</v>
      </c>
      <c r="N3495" s="121">
        <f t="shared" si="1345"/>
        <v>1</v>
      </c>
      <c r="O3495" s="246">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87">
        <v>16</v>
      </c>
      <c r="B3496" s="242">
        <f t="shared" si="1353"/>
        <v>46113</v>
      </c>
      <c r="C3496" s="243">
        <f t="shared" si="1334"/>
        <v>46142</v>
      </c>
      <c r="D3496" s="120">
        <f t="shared" si="1335"/>
        <v>30</v>
      </c>
      <c r="E3496" s="120">
        <f t="shared" si="1336"/>
        <v>4</v>
      </c>
      <c r="F3496" s="275">
        <f t="shared" si="1337"/>
        <v>46128</v>
      </c>
      <c r="G3496" s="120">
        <f t="shared" si="1338"/>
        <v>24315</v>
      </c>
      <c r="H3496" s="245">
        <f t="shared" si="1339"/>
        <v>1</v>
      </c>
      <c r="I3496" s="121">
        <f t="shared" si="1340"/>
        <v>1</v>
      </c>
      <c r="J3496" s="121">
        <f t="shared" si="1341"/>
        <v>1</v>
      </c>
      <c r="K3496" s="120">
        <f t="shared" si="1342"/>
        <v>0</v>
      </c>
      <c r="L3496" s="120">
        <f t="shared" si="1343"/>
        <v>0</v>
      </c>
      <c r="M3496" s="246">
        <f t="shared" si="1344"/>
        <v>0</v>
      </c>
      <c r="N3496" s="121">
        <f t="shared" si="1345"/>
        <v>1</v>
      </c>
      <c r="O3496" s="246">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87">
        <v>17</v>
      </c>
      <c r="B3497" s="242">
        <f t="shared" si="1353"/>
        <v>46143</v>
      </c>
      <c r="C3497" s="243">
        <f t="shared" si="1334"/>
        <v>46173</v>
      </c>
      <c r="D3497" s="120">
        <f t="shared" si="1335"/>
        <v>31</v>
      </c>
      <c r="E3497" s="120">
        <f t="shared" si="1336"/>
        <v>5</v>
      </c>
      <c r="F3497" s="275">
        <f t="shared" si="1337"/>
        <v>46158.5</v>
      </c>
      <c r="G3497" s="120">
        <f t="shared" si="1338"/>
        <v>24316</v>
      </c>
      <c r="H3497" s="245">
        <f t="shared" si="1339"/>
        <v>1</v>
      </c>
      <c r="I3497" s="121">
        <f t="shared" si="1340"/>
        <v>1</v>
      </c>
      <c r="J3497" s="121">
        <f t="shared" si="1341"/>
        <v>1</v>
      </c>
      <c r="K3497" s="120">
        <f t="shared" si="1342"/>
        <v>0</v>
      </c>
      <c r="L3497" s="120">
        <f t="shared" si="1343"/>
        <v>0</v>
      </c>
      <c r="M3497" s="246">
        <f t="shared" si="1344"/>
        <v>0</v>
      </c>
      <c r="N3497" s="121">
        <f t="shared" si="1345"/>
        <v>1</v>
      </c>
      <c r="O3497" s="246">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87">
        <v>18</v>
      </c>
      <c r="B3498" s="242">
        <f t="shared" si="1353"/>
        <v>46174</v>
      </c>
      <c r="C3498" s="243">
        <f t="shared" si="1334"/>
        <v>46203</v>
      </c>
      <c r="D3498" s="120">
        <f t="shared" si="1335"/>
        <v>30</v>
      </c>
      <c r="E3498" s="120">
        <f t="shared" si="1336"/>
        <v>6</v>
      </c>
      <c r="F3498" s="275">
        <f t="shared" si="1337"/>
        <v>46189</v>
      </c>
      <c r="G3498" s="120">
        <f t="shared" si="1338"/>
        <v>24317</v>
      </c>
      <c r="H3498" s="245">
        <f t="shared" si="1339"/>
        <v>1</v>
      </c>
      <c r="I3498" s="121">
        <f t="shared" si="1340"/>
        <v>1</v>
      </c>
      <c r="J3498" s="121">
        <f t="shared" si="1341"/>
        <v>1</v>
      </c>
      <c r="K3498" s="120">
        <f t="shared" si="1342"/>
        <v>0</v>
      </c>
      <c r="L3498" s="120">
        <f t="shared" si="1343"/>
        <v>0</v>
      </c>
      <c r="M3498" s="246">
        <f t="shared" si="1344"/>
        <v>0</v>
      </c>
      <c r="N3498" s="121">
        <f t="shared" si="1345"/>
        <v>1</v>
      </c>
      <c r="O3498" s="246">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87">
        <v>19</v>
      </c>
      <c r="B3499" s="242">
        <f t="shared" si="1353"/>
        <v>46204</v>
      </c>
      <c r="C3499" s="243">
        <f t="shared" si="1334"/>
        <v>46234</v>
      </c>
      <c r="D3499" s="120">
        <f t="shared" si="1335"/>
        <v>31</v>
      </c>
      <c r="E3499" s="120">
        <f t="shared" si="1336"/>
        <v>7</v>
      </c>
      <c r="F3499" s="275">
        <f t="shared" si="1337"/>
        <v>46219.5</v>
      </c>
      <c r="G3499" s="120">
        <f t="shared" si="1338"/>
        <v>24318</v>
      </c>
      <c r="H3499" s="245">
        <f t="shared" si="1339"/>
        <v>1</v>
      </c>
      <c r="I3499" s="121">
        <f t="shared" si="1340"/>
        <v>1</v>
      </c>
      <c r="J3499" s="121">
        <f t="shared" si="1341"/>
        <v>1</v>
      </c>
      <c r="K3499" s="120">
        <f t="shared" si="1342"/>
        <v>0</v>
      </c>
      <c r="L3499" s="120">
        <f t="shared" si="1343"/>
        <v>0</v>
      </c>
      <c r="M3499" s="246">
        <f t="shared" si="1344"/>
        <v>0</v>
      </c>
      <c r="N3499" s="121">
        <f t="shared" si="1345"/>
        <v>1</v>
      </c>
      <c r="O3499" s="246">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87">
        <v>20</v>
      </c>
      <c r="B3500" s="242">
        <f t="shared" si="1353"/>
        <v>46235</v>
      </c>
      <c r="C3500" s="243">
        <f t="shared" si="1334"/>
        <v>46265</v>
      </c>
      <c r="D3500" s="120">
        <f t="shared" si="1335"/>
        <v>31</v>
      </c>
      <c r="E3500" s="120">
        <f t="shared" si="1336"/>
        <v>8</v>
      </c>
      <c r="F3500" s="275">
        <f t="shared" si="1337"/>
        <v>46250.5</v>
      </c>
      <c r="G3500" s="120">
        <f t="shared" si="1338"/>
        <v>24319</v>
      </c>
      <c r="H3500" s="245">
        <f t="shared" si="1339"/>
        <v>1</v>
      </c>
      <c r="I3500" s="121">
        <f t="shared" si="1340"/>
        <v>1</v>
      </c>
      <c r="J3500" s="121">
        <f t="shared" si="1341"/>
        <v>1</v>
      </c>
      <c r="K3500" s="120">
        <f t="shared" si="1342"/>
        <v>0</v>
      </c>
      <c r="L3500" s="120">
        <f t="shared" si="1343"/>
        <v>0</v>
      </c>
      <c r="M3500" s="246">
        <f t="shared" si="1344"/>
        <v>0</v>
      </c>
      <c r="N3500" s="121">
        <f t="shared" si="1345"/>
        <v>1</v>
      </c>
      <c r="O3500" s="246">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87">
        <v>21</v>
      </c>
      <c r="B3501" s="242">
        <f t="shared" si="1353"/>
        <v>46266</v>
      </c>
      <c r="C3501" s="243">
        <f t="shared" si="1334"/>
        <v>46295</v>
      </c>
      <c r="D3501" s="120">
        <f t="shared" si="1335"/>
        <v>30</v>
      </c>
      <c r="E3501" s="120">
        <f t="shared" si="1336"/>
        <v>9</v>
      </c>
      <c r="F3501" s="275">
        <f t="shared" si="1337"/>
        <v>46281</v>
      </c>
      <c r="G3501" s="120">
        <f t="shared" si="1338"/>
        <v>24320</v>
      </c>
      <c r="H3501" s="245">
        <f t="shared" si="1339"/>
        <v>1</v>
      </c>
      <c r="I3501" s="121">
        <f t="shared" si="1340"/>
        <v>1</v>
      </c>
      <c r="J3501" s="121">
        <f t="shared" si="1341"/>
        <v>1</v>
      </c>
      <c r="K3501" s="120">
        <f t="shared" si="1342"/>
        <v>0</v>
      </c>
      <c r="L3501" s="120">
        <f t="shared" si="1343"/>
        <v>0</v>
      </c>
      <c r="M3501" s="246">
        <f t="shared" si="1344"/>
        <v>0</v>
      </c>
      <c r="N3501" s="121">
        <f t="shared" si="1345"/>
        <v>1</v>
      </c>
      <c r="O3501" s="246">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87">
        <v>22</v>
      </c>
      <c r="B3502" s="242">
        <f t="shared" si="1353"/>
        <v>46296</v>
      </c>
      <c r="C3502" s="243">
        <f t="shared" si="1334"/>
        <v>46326</v>
      </c>
      <c r="D3502" s="120">
        <f t="shared" si="1335"/>
        <v>31</v>
      </c>
      <c r="E3502" s="120">
        <f t="shared" si="1336"/>
        <v>10</v>
      </c>
      <c r="F3502" s="275">
        <f t="shared" si="1337"/>
        <v>46311.5</v>
      </c>
      <c r="G3502" s="120">
        <f t="shared" si="1338"/>
        <v>24321</v>
      </c>
      <c r="H3502" s="245">
        <f t="shared" si="1339"/>
        <v>1</v>
      </c>
      <c r="I3502" s="121">
        <f t="shared" si="1340"/>
        <v>1</v>
      </c>
      <c r="J3502" s="121">
        <f t="shared" si="1341"/>
        <v>1</v>
      </c>
      <c r="K3502" s="120">
        <f t="shared" si="1342"/>
        <v>0</v>
      </c>
      <c r="L3502" s="120">
        <f t="shared" si="1343"/>
        <v>0</v>
      </c>
      <c r="M3502" s="246">
        <f t="shared" si="1344"/>
        <v>0</v>
      </c>
      <c r="N3502" s="121">
        <f t="shared" si="1345"/>
        <v>1</v>
      </c>
      <c r="O3502" s="246">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87">
        <v>23</v>
      </c>
      <c r="B3503" s="242">
        <f t="shared" si="1353"/>
        <v>46327</v>
      </c>
      <c r="C3503" s="243">
        <f t="shared" si="1334"/>
        <v>46356</v>
      </c>
      <c r="D3503" s="120">
        <f t="shared" si="1335"/>
        <v>30</v>
      </c>
      <c r="E3503" s="120">
        <f t="shared" si="1336"/>
        <v>11</v>
      </c>
      <c r="F3503" s="275">
        <f t="shared" si="1337"/>
        <v>46342</v>
      </c>
      <c r="G3503" s="120">
        <f t="shared" si="1338"/>
        <v>24322</v>
      </c>
      <c r="H3503" s="245">
        <f t="shared" si="1339"/>
        <v>1</v>
      </c>
      <c r="I3503" s="121">
        <f t="shared" si="1340"/>
        <v>1</v>
      </c>
      <c r="J3503" s="121">
        <f t="shared" si="1341"/>
        <v>1</v>
      </c>
      <c r="K3503" s="120">
        <f t="shared" si="1342"/>
        <v>0</v>
      </c>
      <c r="L3503" s="120">
        <f t="shared" si="1343"/>
        <v>0</v>
      </c>
      <c r="M3503" s="246">
        <f t="shared" si="1344"/>
        <v>0</v>
      </c>
      <c r="N3503" s="121">
        <f t="shared" si="1345"/>
        <v>1</v>
      </c>
      <c r="O3503" s="246">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87">
        <v>24</v>
      </c>
      <c r="B3504" s="242">
        <f t="shared" si="1353"/>
        <v>46357</v>
      </c>
      <c r="C3504" s="243">
        <f t="shared" si="1334"/>
        <v>46387</v>
      </c>
      <c r="D3504" s="120">
        <f t="shared" si="1335"/>
        <v>31</v>
      </c>
      <c r="E3504" s="120">
        <f t="shared" si="1336"/>
        <v>12</v>
      </c>
      <c r="F3504" s="275">
        <f t="shared" si="1337"/>
        <v>46372.5</v>
      </c>
      <c r="G3504" s="120">
        <f t="shared" si="1338"/>
        <v>24323</v>
      </c>
      <c r="H3504" s="245">
        <f t="shared" si="1339"/>
        <v>1</v>
      </c>
      <c r="I3504" s="121">
        <f t="shared" si="1340"/>
        <v>1</v>
      </c>
      <c r="J3504" s="121">
        <f t="shared" si="1341"/>
        <v>1</v>
      </c>
      <c r="K3504" s="120">
        <f t="shared" si="1342"/>
        <v>0</v>
      </c>
      <c r="L3504" s="120">
        <f t="shared" si="1343"/>
        <v>0</v>
      </c>
      <c r="M3504" s="246">
        <f t="shared" si="1344"/>
        <v>0</v>
      </c>
      <c r="N3504" s="121">
        <f t="shared" si="1345"/>
        <v>1</v>
      </c>
      <c r="O3504" s="246">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87">
        <v>25</v>
      </c>
      <c r="B3505" s="242">
        <f t="shared" si="1353"/>
        <v>46388</v>
      </c>
      <c r="C3505" s="243">
        <f t="shared" si="1334"/>
        <v>46418</v>
      </c>
      <c r="D3505" s="120">
        <f t="shared" si="1335"/>
        <v>31</v>
      </c>
      <c r="E3505" s="120">
        <f t="shared" si="1336"/>
        <v>1</v>
      </c>
      <c r="F3505" s="275">
        <f t="shared" si="1337"/>
        <v>46403.5</v>
      </c>
      <c r="G3505" s="120">
        <f t="shared" si="1338"/>
        <v>24324</v>
      </c>
      <c r="H3505" s="245">
        <f t="shared" si="1339"/>
        <v>1</v>
      </c>
      <c r="I3505" s="121">
        <f t="shared" si="1340"/>
        <v>1</v>
      </c>
      <c r="J3505" s="121">
        <f t="shared" si="1341"/>
        <v>1</v>
      </c>
      <c r="K3505" s="120">
        <f t="shared" si="1342"/>
        <v>0</v>
      </c>
      <c r="L3505" s="120">
        <f t="shared" si="1343"/>
        <v>0</v>
      </c>
      <c r="M3505" s="246">
        <f t="shared" si="1344"/>
        <v>0</v>
      </c>
      <c r="N3505" s="121">
        <f t="shared" si="1345"/>
        <v>1</v>
      </c>
      <c r="O3505" s="246">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87">
        <v>26</v>
      </c>
      <c r="B3506" s="242">
        <f t="shared" si="1353"/>
        <v>46419</v>
      </c>
      <c r="C3506" s="243">
        <f t="shared" si="1334"/>
        <v>46446</v>
      </c>
      <c r="D3506" s="120">
        <f t="shared" si="1335"/>
        <v>28</v>
      </c>
      <c r="E3506" s="120">
        <f t="shared" si="1336"/>
        <v>2</v>
      </c>
      <c r="F3506" s="275">
        <f t="shared" si="1337"/>
        <v>46433</v>
      </c>
      <c r="G3506" s="120">
        <f t="shared" si="1338"/>
        <v>24325</v>
      </c>
      <c r="H3506" s="245">
        <f t="shared" si="1339"/>
        <v>1</v>
      </c>
      <c r="I3506" s="121">
        <f t="shared" si="1340"/>
        <v>1</v>
      </c>
      <c r="J3506" s="121">
        <f t="shared" si="1341"/>
        <v>1</v>
      </c>
      <c r="K3506" s="120">
        <f t="shared" si="1342"/>
        <v>0</v>
      </c>
      <c r="L3506" s="120">
        <f t="shared" si="1343"/>
        <v>0</v>
      </c>
      <c r="M3506" s="246">
        <f t="shared" si="1344"/>
        <v>0</v>
      </c>
      <c r="N3506" s="121">
        <f t="shared" si="1345"/>
        <v>1</v>
      </c>
      <c r="O3506" s="246">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87">
        <v>27</v>
      </c>
      <c r="B3507" s="242">
        <f t="shared" si="1353"/>
        <v>46447</v>
      </c>
      <c r="C3507" s="243">
        <f t="shared" si="1334"/>
        <v>46477</v>
      </c>
      <c r="D3507" s="120">
        <f t="shared" si="1335"/>
        <v>31</v>
      </c>
      <c r="E3507" s="120">
        <f t="shared" si="1336"/>
        <v>3</v>
      </c>
      <c r="F3507" s="275">
        <f t="shared" si="1337"/>
        <v>46462.5</v>
      </c>
      <c r="G3507" s="120">
        <f t="shared" si="1338"/>
        <v>24326</v>
      </c>
      <c r="H3507" s="245">
        <f t="shared" si="1339"/>
        <v>1</v>
      </c>
      <c r="I3507" s="121">
        <f t="shared" si="1340"/>
        <v>1</v>
      </c>
      <c r="J3507" s="121">
        <f t="shared" si="1341"/>
        <v>1</v>
      </c>
      <c r="K3507" s="120">
        <f t="shared" si="1342"/>
        <v>0</v>
      </c>
      <c r="L3507" s="120">
        <f t="shared" si="1343"/>
        <v>0</v>
      </c>
      <c r="M3507" s="246">
        <f t="shared" si="1344"/>
        <v>0</v>
      </c>
      <c r="N3507" s="121">
        <f t="shared" si="1345"/>
        <v>1</v>
      </c>
      <c r="O3507" s="246">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87">
        <v>28</v>
      </c>
      <c r="B3508" s="242">
        <f t="shared" si="1353"/>
        <v>46478</v>
      </c>
      <c r="C3508" s="243">
        <f t="shared" si="1334"/>
        <v>46507</v>
      </c>
      <c r="D3508" s="120">
        <f t="shared" si="1335"/>
        <v>30</v>
      </c>
      <c r="E3508" s="120">
        <f t="shared" si="1336"/>
        <v>4</v>
      </c>
      <c r="F3508" s="275">
        <f t="shared" si="1337"/>
        <v>46493</v>
      </c>
      <c r="G3508" s="120">
        <f t="shared" si="1338"/>
        <v>24327</v>
      </c>
      <c r="H3508" s="245">
        <f t="shared" si="1339"/>
        <v>1</v>
      </c>
      <c r="I3508" s="121">
        <f t="shared" si="1340"/>
        <v>1</v>
      </c>
      <c r="J3508" s="121">
        <f t="shared" si="1341"/>
        <v>1</v>
      </c>
      <c r="K3508" s="120">
        <f t="shared" si="1342"/>
        <v>0</v>
      </c>
      <c r="L3508" s="120">
        <f t="shared" si="1343"/>
        <v>0</v>
      </c>
      <c r="M3508" s="246">
        <f t="shared" si="1344"/>
        <v>0</v>
      </c>
      <c r="N3508" s="121">
        <f t="shared" si="1345"/>
        <v>1</v>
      </c>
      <c r="O3508" s="246">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87">
        <v>29</v>
      </c>
      <c r="B3509" s="242">
        <f t="shared" si="1353"/>
        <v>46508</v>
      </c>
      <c r="C3509" s="243">
        <f t="shared" si="1334"/>
        <v>46538</v>
      </c>
      <c r="D3509" s="120">
        <f t="shared" si="1335"/>
        <v>31</v>
      </c>
      <c r="E3509" s="120">
        <f t="shared" si="1336"/>
        <v>5</v>
      </c>
      <c r="F3509" s="275">
        <f t="shared" si="1337"/>
        <v>46523.5</v>
      </c>
      <c r="G3509" s="120">
        <f t="shared" si="1338"/>
        <v>24328</v>
      </c>
      <c r="H3509" s="245">
        <f t="shared" si="1339"/>
        <v>1</v>
      </c>
      <c r="I3509" s="121">
        <f t="shared" si="1340"/>
        <v>1</v>
      </c>
      <c r="J3509" s="121">
        <f t="shared" si="1341"/>
        <v>1</v>
      </c>
      <c r="K3509" s="120">
        <f t="shared" si="1342"/>
        <v>0</v>
      </c>
      <c r="L3509" s="120">
        <f t="shared" si="1343"/>
        <v>0</v>
      </c>
      <c r="M3509" s="246">
        <f t="shared" si="1344"/>
        <v>0</v>
      </c>
      <c r="N3509" s="121">
        <f t="shared" si="1345"/>
        <v>1</v>
      </c>
      <c r="O3509" s="246">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87">
        <v>30</v>
      </c>
      <c r="B3510" s="242">
        <f t="shared" si="1353"/>
        <v>46539</v>
      </c>
      <c r="C3510" s="243">
        <f t="shared" si="1334"/>
        <v>46568</v>
      </c>
      <c r="D3510" s="120">
        <f t="shared" si="1335"/>
        <v>30</v>
      </c>
      <c r="E3510" s="120">
        <f t="shared" si="1336"/>
        <v>6</v>
      </c>
      <c r="F3510" s="275">
        <f t="shared" si="1337"/>
        <v>46554</v>
      </c>
      <c r="G3510" s="120">
        <f t="shared" si="1338"/>
        <v>24329</v>
      </c>
      <c r="H3510" s="245">
        <f t="shared" si="1339"/>
        <v>1</v>
      </c>
      <c r="I3510" s="121">
        <f t="shared" si="1340"/>
        <v>1</v>
      </c>
      <c r="J3510" s="121">
        <f t="shared" si="1341"/>
        <v>1</v>
      </c>
      <c r="K3510" s="120">
        <f t="shared" si="1342"/>
        <v>0</v>
      </c>
      <c r="L3510" s="120">
        <f t="shared" si="1343"/>
        <v>0</v>
      </c>
      <c r="M3510" s="246">
        <f t="shared" si="1344"/>
        <v>0</v>
      </c>
      <c r="N3510" s="121">
        <f t="shared" si="1345"/>
        <v>1</v>
      </c>
      <c r="O3510" s="246">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87">
        <v>31</v>
      </c>
      <c r="B3511" s="242">
        <f t="shared" si="1353"/>
        <v>46569</v>
      </c>
      <c r="C3511" s="243">
        <f t="shared" si="1334"/>
        <v>46599</v>
      </c>
      <c r="D3511" s="120">
        <f t="shared" si="1335"/>
        <v>31</v>
      </c>
      <c r="E3511" s="120">
        <f t="shared" si="1336"/>
        <v>7</v>
      </c>
      <c r="F3511" s="275">
        <f t="shared" si="1337"/>
        <v>46584.5</v>
      </c>
      <c r="G3511" s="120">
        <f t="shared" si="1338"/>
        <v>24330</v>
      </c>
      <c r="H3511" s="245">
        <f t="shared" si="1339"/>
        <v>1</v>
      </c>
      <c r="I3511" s="121">
        <f t="shared" si="1340"/>
        <v>1</v>
      </c>
      <c r="J3511" s="121">
        <f t="shared" si="1341"/>
        <v>1</v>
      </c>
      <c r="K3511" s="120">
        <f t="shared" si="1342"/>
        <v>0</v>
      </c>
      <c r="L3511" s="120">
        <f t="shared" si="1343"/>
        <v>0</v>
      </c>
      <c r="M3511" s="246">
        <f t="shared" si="1344"/>
        <v>0</v>
      </c>
      <c r="N3511" s="121">
        <f t="shared" si="1345"/>
        <v>1</v>
      </c>
      <c r="O3511" s="246">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87">
        <v>32</v>
      </c>
      <c r="B3512" s="242">
        <f t="shared" si="1353"/>
        <v>46600</v>
      </c>
      <c r="C3512" s="243">
        <f t="shared" si="1334"/>
        <v>46630</v>
      </c>
      <c r="D3512" s="120">
        <f t="shared" si="1335"/>
        <v>31</v>
      </c>
      <c r="E3512" s="120">
        <f t="shared" si="1336"/>
        <v>8</v>
      </c>
      <c r="F3512" s="275">
        <f t="shared" si="1337"/>
        <v>46615.5</v>
      </c>
      <c r="G3512" s="120">
        <f t="shared" si="1338"/>
        <v>24331</v>
      </c>
      <c r="H3512" s="245">
        <f t="shared" si="1339"/>
        <v>1</v>
      </c>
      <c r="I3512" s="121">
        <f t="shared" si="1340"/>
        <v>1</v>
      </c>
      <c r="J3512" s="121">
        <f t="shared" si="1341"/>
        <v>1</v>
      </c>
      <c r="K3512" s="120">
        <f t="shared" si="1342"/>
        <v>0</v>
      </c>
      <c r="L3512" s="120">
        <f t="shared" si="1343"/>
        <v>0</v>
      </c>
      <c r="M3512" s="246">
        <f t="shared" si="1344"/>
        <v>0</v>
      </c>
      <c r="N3512" s="121">
        <f t="shared" si="1345"/>
        <v>1</v>
      </c>
      <c r="O3512" s="246">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87">
        <v>33</v>
      </c>
      <c r="B3513" s="242">
        <f t="shared" si="1353"/>
        <v>46631</v>
      </c>
      <c r="C3513" s="243">
        <f t="shared" si="1334"/>
        <v>46660</v>
      </c>
      <c r="D3513" s="120">
        <f t="shared" si="1335"/>
        <v>30</v>
      </c>
      <c r="E3513" s="120">
        <f t="shared" si="1336"/>
        <v>9</v>
      </c>
      <c r="F3513" s="275">
        <f t="shared" si="1337"/>
        <v>46646</v>
      </c>
      <c r="G3513" s="120">
        <f t="shared" si="1338"/>
        <v>24332</v>
      </c>
      <c r="H3513" s="245">
        <f t="shared" si="1339"/>
        <v>1</v>
      </c>
      <c r="I3513" s="121">
        <f t="shared" si="1340"/>
        <v>1</v>
      </c>
      <c r="J3513" s="121">
        <f t="shared" si="1341"/>
        <v>1</v>
      </c>
      <c r="K3513" s="120">
        <f t="shared" si="1342"/>
        <v>0</v>
      </c>
      <c r="L3513" s="120">
        <f t="shared" si="1343"/>
        <v>0</v>
      </c>
      <c r="M3513" s="246">
        <f t="shared" si="1344"/>
        <v>0</v>
      </c>
      <c r="N3513" s="121">
        <f t="shared" si="1345"/>
        <v>1</v>
      </c>
      <c r="O3513" s="246">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87">
        <v>34</v>
      </c>
      <c r="B3514" s="242">
        <f t="shared" si="1353"/>
        <v>46661</v>
      </c>
      <c r="C3514" s="243">
        <f t="shared" si="1334"/>
        <v>46691</v>
      </c>
      <c r="D3514" s="120">
        <f t="shared" si="1335"/>
        <v>31</v>
      </c>
      <c r="E3514" s="120">
        <f t="shared" si="1336"/>
        <v>10</v>
      </c>
      <c r="F3514" s="275">
        <f t="shared" si="1337"/>
        <v>46676.5</v>
      </c>
      <c r="G3514" s="120">
        <f t="shared" si="1338"/>
        <v>24333</v>
      </c>
      <c r="H3514" s="245">
        <f t="shared" si="1339"/>
        <v>1</v>
      </c>
      <c r="I3514" s="121">
        <f t="shared" si="1340"/>
        <v>1</v>
      </c>
      <c r="J3514" s="121">
        <f t="shared" si="1341"/>
        <v>1</v>
      </c>
      <c r="K3514" s="120">
        <f t="shared" si="1342"/>
        <v>0</v>
      </c>
      <c r="L3514" s="120">
        <f t="shared" si="1343"/>
        <v>0</v>
      </c>
      <c r="M3514" s="246">
        <f t="shared" si="1344"/>
        <v>0</v>
      </c>
      <c r="N3514" s="121">
        <f t="shared" si="1345"/>
        <v>1</v>
      </c>
      <c r="O3514" s="246">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87">
        <v>35</v>
      </c>
      <c r="B3515" s="242">
        <f t="shared" si="1353"/>
        <v>46692</v>
      </c>
      <c r="C3515" s="243">
        <f t="shared" si="1334"/>
        <v>46721</v>
      </c>
      <c r="D3515" s="120">
        <f t="shared" si="1335"/>
        <v>30</v>
      </c>
      <c r="E3515" s="120">
        <f t="shared" si="1336"/>
        <v>11</v>
      </c>
      <c r="F3515" s="275">
        <f t="shared" si="1337"/>
        <v>46707</v>
      </c>
      <c r="G3515" s="120">
        <f t="shared" si="1338"/>
        <v>24334</v>
      </c>
      <c r="H3515" s="245">
        <f t="shared" si="1339"/>
        <v>1</v>
      </c>
      <c r="I3515" s="121">
        <f t="shared" si="1340"/>
        <v>1</v>
      </c>
      <c r="J3515" s="121">
        <f t="shared" si="1341"/>
        <v>1</v>
      </c>
      <c r="K3515" s="120">
        <f t="shared" si="1342"/>
        <v>0</v>
      </c>
      <c r="L3515" s="120">
        <f t="shared" si="1343"/>
        <v>0</v>
      </c>
      <c r="M3515" s="246">
        <f t="shared" si="1344"/>
        <v>0</v>
      </c>
      <c r="N3515" s="121">
        <f t="shared" si="1345"/>
        <v>1</v>
      </c>
      <c r="O3515" s="246">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87">
        <v>36</v>
      </c>
      <c r="B3516" s="242">
        <f t="shared" si="1353"/>
        <v>46722</v>
      </c>
      <c r="C3516" s="243">
        <f t="shared" si="1334"/>
        <v>46752</v>
      </c>
      <c r="D3516" s="120">
        <f t="shared" si="1335"/>
        <v>31</v>
      </c>
      <c r="E3516" s="120">
        <f t="shared" si="1336"/>
        <v>12</v>
      </c>
      <c r="F3516" s="275">
        <f t="shared" si="1337"/>
        <v>46737.5</v>
      </c>
      <c r="G3516" s="120">
        <f t="shared" si="1338"/>
        <v>24335</v>
      </c>
      <c r="H3516" s="245">
        <f t="shared" si="1339"/>
        <v>1</v>
      </c>
      <c r="I3516" s="121">
        <f t="shared" si="1340"/>
        <v>1</v>
      </c>
      <c r="J3516" s="121">
        <f t="shared" si="1341"/>
        <v>1</v>
      </c>
      <c r="K3516" s="120">
        <f t="shared" si="1342"/>
        <v>0</v>
      </c>
      <c r="L3516" s="120">
        <f t="shared" si="1343"/>
        <v>0</v>
      </c>
      <c r="M3516" s="246">
        <f t="shared" si="1344"/>
        <v>0</v>
      </c>
      <c r="N3516" s="121">
        <f t="shared" si="1345"/>
        <v>1</v>
      </c>
      <c r="O3516" s="246">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87">
        <v>37</v>
      </c>
      <c r="B3517" s="242">
        <f t="shared" si="1353"/>
        <v>46753</v>
      </c>
      <c r="C3517" s="243">
        <f t="shared" si="1334"/>
        <v>46783</v>
      </c>
      <c r="D3517" s="120">
        <f t="shared" si="1335"/>
        <v>31</v>
      </c>
      <c r="E3517" s="120">
        <f t="shared" si="1336"/>
        <v>1</v>
      </c>
      <c r="F3517" s="275">
        <f t="shared" si="1337"/>
        <v>46768.5</v>
      </c>
      <c r="G3517" s="120">
        <f t="shared" si="1338"/>
        <v>24336</v>
      </c>
      <c r="H3517" s="245">
        <f t="shared" si="1339"/>
        <v>1</v>
      </c>
      <c r="I3517" s="121">
        <f t="shared" si="1340"/>
        <v>1</v>
      </c>
      <c r="J3517" s="121">
        <f t="shared" si="1341"/>
        <v>1</v>
      </c>
      <c r="K3517" s="120">
        <f t="shared" si="1342"/>
        <v>0</v>
      </c>
      <c r="L3517" s="120">
        <f t="shared" si="1343"/>
        <v>0</v>
      </c>
      <c r="M3517" s="246">
        <f t="shared" si="1344"/>
        <v>0</v>
      </c>
      <c r="N3517" s="121">
        <f t="shared" si="1345"/>
        <v>1</v>
      </c>
      <c r="O3517" s="246">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87">
        <v>38</v>
      </c>
      <c r="B3518" s="242">
        <f t="shared" si="1353"/>
        <v>46784</v>
      </c>
      <c r="C3518" s="243">
        <f t="shared" si="1334"/>
        <v>46812</v>
      </c>
      <c r="D3518" s="120">
        <f t="shared" si="1335"/>
        <v>29</v>
      </c>
      <c r="E3518" s="120">
        <f t="shared" si="1336"/>
        <v>2</v>
      </c>
      <c r="F3518" s="275">
        <f t="shared" si="1337"/>
        <v>46798.5</v>
      </c>
      <c r="G3518" s="120">
        <f t="shared" si="1338"/>
        <v>24337</v>
      </c>
      <c r="H3518" s="245">
        <f t="shared" si="1339"/>
        <v>1</v>
      </c>
      <c r="I3518" s="121">
        <f t="shared" si="1340"/>
        <v>1</v>
      </c>
      <c r="J3518" s="121">
        <f t="shared" si="1341"/>
        <v>1</v>
      </c>
      <c r="K3518" s="120">
        <f t="shared" si="1342"/>
        <v>0</v>
      </c>
      <c r="L3518" s="120">
        <f t="shared" si="1343"/>
        <v>0</v>
      </c>
      <c r="M3518" s="246">
        <f t="shared" si="1344"/>
        <v>0</v>
      </c>
      <c r="N3518" s="121">
        <f t="shared" si="1345"/>
        <v>1</v>
      </c>
      <c r="O3518" s="246">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87">
        <v>39</v>
      </c>
      <c r="B3519" s="242">
        <f t="shared" si="1353"/>
        <v>46813</v>
      </c>
      <c r="C3519" s="243">
        <f t="shared" si="1334"/>
        <v>46843</v>
      </c>
      <c r="D3519" s="120">
        <f t="shared" si="1335"/>
        <v>31</v>
      </c>
      <c r="E3519" s="120">
        <f t="shared" si="1336"/>
        <v>3</v>
      </c>
      <c r="F3519" s="275">
        <f t="shared" si="1337"/>
        <v>46828.5</v>
      </c>
      <c r="G3519" s="120">
        <f t="shared" si="1338"/>
        <v>24338</v>
      </c>
      <c r="H3519" s="245">
        <f t="shared" si="1339"/>
        <v>1</v>
      </c>
      <c r="I3519" s="121">
        <f t="shared" si="1340"/>
        <v>1</v>
      </c>
      <c r="J3519" s="121">
        <f t="shared" si="1341"/>
        <v>1</v>
      </c>
      <c r="K3519" s="120">
        <f t="shared" si="1342"/>
        <v>0</v>
      </c>
      <c r="L3519" s="120">
        <f t="shared" si="1343"/>
        <v>0</v>
      </c>
      <c r="M3519" s="246">
        <f t="shared" si="1344"/>
        <v>0</v>
      </c>
      <c r="N3519" s="121">
        <f t="shared" si="1345"/>
        <v>1</v>
      </c>
      <c r="O3519" s="246">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87">
        <v>40</v>
      </c>
      <c r="B3520" s="242">
        <f t="shared" si="1353"/>
        <v>46844</v>
      </c>
      <c r="C3520" s="243">
        <f t="shared" si="1334"/>
        <v>46873</v>
      </c>
      <c r="D3520" s="120">
        <f t="shared" si="1335"/>
        <v>30</v>
      </c>
      <c r="E3520" s="120">
        <f t="shared" si="1336"/>
        <v>4</v>
      </c>
      <c r="F3520" s="275">
        <f t="shared" si="1337"/>
        <v>46859</v>
      </c>
      <c r="G3520" s="120">
        <f t="shared" si="1338"/>
        <v>24339</v>
      </c>
      <c r="H3520" s="245">
        <f t="shared" si="1339"/>
        <v>1</v>
      </c>
      <c r="I3520" s="121">
        <f t="shared" si="1340"/>
        <v>1</v>
      </c>
      <c r="J3520" s="121">
        <f t="shared" si="1341"/>
        <v>1</v>
      </c>
      <c r="K3520" s="120">
        <f t="shared" si="1342"/>
        <v>0</v>
      </c>
      <c r="L3520" s="120">
        <f t="shared" si="1343"/>
        <v>0</v>
      </c>
      <c r="M3520" s="246">
        <f t="shared" si="1344"/>
        <v>0</v>
      </c>
      <c r="N3520" s="121">
        <f t="shared" si="1345"/>
        <v>1</v>
      </c>
      <c r="O3520" s="246">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87">
        <v>41</v>
      </c>
      <c r="B3521" s="242">
        <f t="shared" si="1353"/>
        <v>46874</v>
      </c>
      <c r="C3521" s="243">
        <f t="shared" si="1334"/>
        <v>46904</v>
      </c>
      <c r="D3521" s="120">
        <f t="shared" si="1335"/>
        <v>31</v>
      </c>
      <c r="E3521" s="120">
        <f t="shared" si="1336"/>
        <v>5</v>
      </c>
      <c r="F3521" s="275">
        <f t="shared" si="1337"/>
        <v>46889.5</v>
      </c>
      <c r="G3521" s="120">
        <f t="shared" si="1338"/>
        <v>24340</v>
      </c>
      <c r="H3521" s="245">
        <f t="shared" si="1339"/>
        <v>1</v>
      </c>
      <c r="I3521" s="121">
        <f t="shared" si="1340"/>
        <v>1</v>
      </c>
      <c r="J3521" s="121">
        <f t="shared" si="1341"/>
        <v>1</v>
      </c>
      <c r="K3521" s="120">
        <f t="shared" si="1342"/>
        <v>0</v>
      </c>
      <c r="L3521" s="120">
        <f t="shared" si="1343"/>
        <v>0</v>
      </c>
      <c r="M3521" s="246">
        <f t="shared" si="1344"/>
        <v>0</v>
      </c>
      <c r="N3521" s="121">
        <f t="shared" si="1345"/>
        <v>1</v>
      </c>
      <c r="O3521" s="246">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87">
        <v>42</v>
      </c>
      <c r="B3522" s="242">
        <f t="shared" si="1353"/>
        <v>46905</v>
      </c>
      <c r="C3522" s="243">
        <f t="shared" si="1334"/>
        <v>46934</v>
      </c>
      <c r="D3522" s="120">
        <f t="shared" si="1335"/>
        <v>30</v>
      </c>
      <c r="E3522" s="120">
        <f t="shared" si="1336"/>
        <v>6</v>
      </c>
      <c r="F3522" s="275">
        <f t="shared" si="1337"/>
        <v>46920</v>
      </c>
      <c r="G3522" s="120">
        <f t="shared" si="1338"/>
        <v>24341</v>
      </c>
      <c r="H3522" s="245">
        <f t="shared" si="1339"/>
        <v>1</v>
      </c>
      <c r="I3522" s="121">
        <f t="shared" si="1340"/>
        <v>1</v>
      </c>
      <c r="J3522" s="121">
        <f t="shared" si="1341"/>
        <v>1</v>
      </c>
      <c r="K3522" s="120">
        <f t="shared" si="1342"/>
        <v>0</v>
      </c>
      <c r="L3522" s="120">
        <f t="shared" si="1343"/>
        <v>0</v>
      </c>
      <c r="M3522" s="246">
        <f t="shared" si="1344"/>
        <v>0</v>
      </c>
      <c r="N3522" s="121">
        <f t="shared" si="1345"/>
        <v>1</v>
      </c>
      <c r="O3522" s="246">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87">
        <v>43</v>
      </c>
      <c r="B3523" s="242">
        <f t="shared" si="1353"/>
        <v>46935</v>
      </c>
      <c r="C3523" s="243">
        <f t="shared" si="1334"/>
        <v>46965</v>
      </c>
      <c r="D3523" s="120">
        <f t="shared" si="1335"/>
        <v>31</v>
      </c>
      <c r="E3523" s="120">
        <f t="shared" si="1336"/>
        <v>7</v>
      </c>
      <c r="F3523" s="275">
        <f t="shared" si="1337"/>
        <v>46950.5</v>
      </c>
      <c r="G3523" s="120">
        <f t="shared" si="1338"/>
        <v>24342</v>
      </c>
      <c r="H3523" s="245">
        <f t="shared" si="1339"/>
        <v>1</v>
      </c>
      <c r="I3523" s="121">
        <f t="shared" si="1340"/>
        <v>1</v>
      </c>
      <c r="J3523" s="121">
        <f t="shared" si="1341"/>
        <v>1</v>
      </c>
      <c r="K3523" s="120">
        <f t="shared" si="1342"/>
        <v>0</v>
      </c>
      <c r="L3523" s="120">
        <f t="shared" si="1343"/>
        <v>0</v>
      </c>
      <c r="M3523" s="246">
        <f t="shared" si="1344"/>
        <v>0</v>
      </c>
      <c r="N3523" s="121">
        <f t="shared" si="1345"/>
        <v>1</v>
      </c>
      <c r="O3523" s="246">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87">
        <v>44</v>
      </c>
      <c r="B3524" s="242">
        <f t="shared" si="1353"/>
        <v>46966</v>
      </c>
      <c r="C3524" s="243">
        <f t="shared" si="1334"/>
        <v>46996</v>
      </c>
      <c r="D3524" s="120">
        <f t="shared" si="1335"/>
        <v>31</v>
      </c>
      <c r="E3524" s="120">
        <f t="shared" si="1336"/>
        <v>8</v>
      </c>
      <c r="F3524" s="275">
        <f t="shared" si="1337"/>
        <v>46981.5</v>
      </c>
      <c r="G3524" s="120">
        <f t="shared" si="1338"/>
        <v>24343</v>
      </c>
      <c r="H3524" s="245">
        <f t="shared" si="1339"/>
        <v>1</v>
      </c>
      <c r="I3524" s="121">
        <f t="shared" si="1340"/>
        <v>1</v>
      </c>
      <c r="J3524" s="121">
        <f t="shared" si="1341"/>
        <v>1</v>
      </c>
      <c r="K3524" s="120">
        <f t="shared" si="1342"/>
        <v>0</v>
      </c>
      <c r="L3524" s="120">
        <f t="shared" si="1343"/>
        <v>0</v>
      </c>
      <c r="M3524" s="246">
        <f t="shared" si="1344"/>
        <v>0</v>
      </c>
      <c r="N3524" s="121">
        <f t="shared" si="1345"/>
        <v>1</v>
      </c>
      <c r="O3524" s="246">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87">
        <v>45</v>
      </c>
      <c r="B3525" s="242">
        <f t="shared" si="1353"/>
        <v>46997</v>
      </c>
      <c r="C3525" s="243">
        <f t="shared" si="1334"/>
        <v>47026</v>
      </c>
      <c r="D3525" s="120">
        <f t="shared" si="1335"/>
        <v>30</v>
      </c>
      <c r="E3525" s="120">
        <f t="shared" si="1336"/>
        <v>9</v>
      </c>
      <c r="F3525" s="275">
        <f t="shared" si="1337"/>
        <v>47012</v>
      </c>
      <c r="G3525" s="120">
        <f t="shared" si="1338"/>
        <v>24344</v>
      </c>
      <c r="H3525" s="245">
        <f t="shared" si="1339"/>
        <v>1</v>
      </c>
      <c r="I3525" s="121">
        <f t="shared" si="1340"/>
        <v>1</v>
      </c>
      <c r="J3525" s="121">
        <f t="shared" si="1341"/>
        <v>1</v>
      </c>
      <c r="K3525" s="120">
        <f t="shared" si="1342"/>
        <v>0</v>
      </c>
      <c r="L3525" s="120">
        <f t="shared" si="1343"/>
        <v>0</v>
      </c>
      <c r="M3525" s="246">
        <f t="shared" si="1344"/>
        <v>0</v>
      </c>
      <c r="N3525" s="121">
        <f t="shared" si="1345"/>
        <v>1</v>
      </c>
      <c r="O3525" s="246">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87">
        <v>46</v>
      </c>
      <c r="B3526" s="242">
        <f t="shared" si="1353"/>
        <v>47027</v>
      </c>
      <c r="C3526" s="243">
        <f t="shared" si="1334"/>
        <v>47057</v>
      </c>
      <c r="D3526" s="120">
        <f t="shared" si="1335"/>
        <v>31</v>
      </c>
      <c r="E3526" s="120">
        <f t="shared" si="1336"/>
        <v>10</v>
      </c>
      <c r="F3526" s="275">
        <f t="shared" si="1337"/>
        <v>47042.5</v>
      </c>
      <c r="G3526" s="120">
        <f t="shared" si="1338"/>
        <v>24345</v>
      </c>
      <c r="H3526" s="245">
        <f t="shared" si="1339"/>
        <v>1</v>
      </c>
      <c r="I3526" s="121">
        <f t="shared" si="1340"/>
        <v>1</v>
      </c>
      <c r="J3526" s="121">
        <f t="shared" si="1341"/>
        <v>1</v>
      </c>
      <c r="K3526" s="120">
        <f t="shared" si="1342"/>
        <v>0</v>
      </c>
      <c r="L3526" s="120">
        <f t="shared" si="1343"/>
        <v>0</v>
      </c>
      <c r="M3526" s="246">
        <f t="shared" si="1344"/>
        <v>0</v>
      </c>
      <c r="N3526" s="121">
        <f t="shared" si="1345"/>
        <v>1</v>
      </c>
      <c r="O3526" s="246">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87">
        <v>47</v>
      </c>
      <c r="B3527" s="242">
        <f t="shared" si="1353"/>
        <v>47058</v>
      </c>
      <c r="C3527" s="243">
        <f t="shared" si="1334"/>
        <v>47087</v>
      </c>
      <c r="D3527" s="120">
        <f t="shared" si="1335"/>
        <v>30</v>
      </c>
      <c r="E3527" s="120">
        <f t="shared" si="1336"/>
        <v>11</v>
      </c>
      <c r="F3527" s="275">
        <f t="shared" si="1337"/>
        <v>47073</v>
      </c>
      <c r="G3527" s="120">
        <f t="shared" si="1338"/>
        <v>24346</v>
      </c>
      <c r="H3527" s="245">
        <f t="shared" si="1339"/>
        <v>1</v>
      </c>
      <c r="I3527" s="121">
        <f t="shared" si="1340"/>
        <v>1</v>
      </c>
      <c r="J3527" s="121">
        <f t="shared" si="1341"/>
        <v>1</v>
      </c>
      <c r="K3527" s="120">
        <f t="shared" si="1342"/>
        <v>0</v>
      </c>
      <c r="L3527" s="120">
        <f t="shared" si="1343"/>
        <v>0</v>
      </c>
      <c r="M3527" s="246">
        <f t="shared" si="1344"/>
        <v>0</v>
      </c>
      <c r="N3527" s="121">
        <f t="shared" si="1345"/>
        <v>1</v>
      </c>
      <c r="O3527" s="246">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87">
        <v>48</v>
      </c>
      <c r="B3528" s="242">
        <f t="shared" si="1353"/>
        <v>47088</v>
      </c>
      <c r="C3528" s="243">
        <f t="shared" si="1334"/>
        <v>47118</v>
      </c>
      <c r="D3528" s="120">
        <f t="shared" si="1335"/>
        <v>31</v>
      </c>
      <c r="E3528" s="120">
        <f t="shared" si="1336"/>
        <v>12</v>
      </c>
      <c r="F3528" s="275">
        <f t="shared" si="1337"/>
        <v>47103.5</v>
      </c>
      <c r="G3528" s="120">
        <f t="shared" si="1338"/>
        <v>24347</v>
      </c>
      <c r="H3528" s="245">
        <f t="shared" si="1339"/>
        <v>1</v>
      </c>
      <c r="I3528" s="121">
        <f t="shared" si="1340"/>
        <v>1</v>
      </c>
      <c r="J3528" s="121">
        <f t="shared" si="1341"/>
        <v>1</v>
      </c>
      <c r="K3528" s="120">
        <f t="shared" si="1342"/>
        <v>0</v>
      </c>
      <c r="L3528" s="120">
        <f t="shared" si="1343"/>
        <v>0</v>
      </c>
      <c r="M3528" s="246">
        <f t="shared" si="1344"/>
        <v>0</v>
      </c>
      <c r="N3528" s="121">
        <f t="shared" si="1345"/>
        <v>1</v>
      </c>
      <c r="O3528" s="246">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1651</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54">EOMONTH($B3535,0)</f>
        <v>45688</v>
      </c>
      <c r="D3535" s="120">
        <f t="shared" ref="D3535:D3582" si="1355">$C3535-$B3535+1</f>
        <v>31</v>
      </c>
      <c r="E3535" s="120">
        <f t="shared" ref="E3535:E3582" si="1356">MONTH($B3535)</f>
        <v>1</v>
      </c>
      <c r="F3535" s="275">
        <f t="shared" ref="F3535:F3582" si="1357">($B3535+$C3535+1)/2</f>
        <v>45673.5</v>
      </c>
      <c r="G3535" s="120">
        <f t="shared" ref="G3535:G3582" si="1358">YEAR($B3535)*12+MONTH($B3535)-1</f>
        <v>24300</v>
      </c>
      <c r="H3535" s="245">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46">
        <f t="shared" ref="M3535:M3582" si="1364">IF($K3535=0,0,MIN(1,$L3535/$D3535))</f>
        <v>0</v>
      </c>
      <c r="N3535" s="121">
        <f t="shared" ref="N3535:N3582" si="1365">IF($K3535=0,$J3535,(1-$M3535)*$I3535+$M3535*$J3535)</f>
        <v>1</v>
      </c>
      <c r="O3535" s="246">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87">
        <v>2</v>
      </c>
      <c r="B3536" s="242">
        <f t="shared" ref="B3536:B3582" si="1373">EDATE($B3535,1)</f>
        <v>45689</v>
      </c>
      <c r="C3536" s="243">
        <f t="shared" si="1354"/>
        <v>45716</v>
      </c>
      <c r="D3536" s="120">
        <f t="shared" si="1355"/>
        <v>28</v>
      </c>
      <c r="E3536" s="120">
        <f t="shared" si="1356"/>
        <v>2</v>
      </c>
      <c r="F3536" s="275">
        <f t="shared" si="1357"/>
        <v>45703</v>
      </c>
      <c r="G3536" s="120">
        <f t="shared" si="1358"/>
        <v>24301</v>
      </c>
      <c r="H3536" s="245">
        <f t="shared" si="1359"/>
        <v>1</v>
      </c>
      <c r="I3536" s="121">
        <f t="shared" si="1360"/>
        <v>1</v>
      </c>
      <c r="J3536" s="121">
        <f t="shared" si="1361"/>
        <v>1</v>
      </c>
      <c r="K3536" s="120">
        <f t="shared" si="1362"/>
        <v>0</v>
      </c>
      <c r="L3536" s="120">
        <f t="shared" si="1363"/>
        <v>0</v>
      </c>
      <c r="M3536" s="246">
        <f t="shared" si="1364"/>
        <v>0</v>
      </c>
      <c r="N3536" s="121">
        <f t="shared" si="1365"/>
        <v>1</v>
      </c>
      <c r="O3536" s="246">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87">
        <v>3</v>
      </c>
      <c r="B3537" s="242">
        <f t="shared" si="1373"/>
        <v>45717</v>
      </c>
      <c r="C3537" s="243">
        <f t="shared" si="1354"/>
        <v>45747</v>
      </c>
      <c r="D3537" s="120">
        <f t="shared" si="1355"/>
        <v>31</v>
      </c>
      <c r="E3537" s="120">
        <f t="shared" si="1356"/>
        <v>3</v>
      </c>
      <c r="F3537" s="275">
        <f t="shared" si="1357"/>
        <v>45732.5</v>
      </c>
      <c r="G3537" s="120">
        <f t="shared" si="1358"/>
        <v>24302</v>
      </c>
      <c r="H3537" s="245">
        <f t="shared" si="1359"/>
        <v>1</v>
      </c>
      <c r="I3537" s="121">
        <f t="shared" si="1360"/>
        <v>1</v>
      </c>
      <c r="J3537" s="121">
        <f t="shared" si="1361"/>
        <v>1</v>
      </c>
      <c r="K3537" s="120">
        <f t="shared" si="1362"/>
        <v>0</v>
      </c>
      <c r="L3537" s="120">
        <f t="shared" si="1363"/>
        <v>0</v>
      </c>
      <c r="M3537" s="246">
        <f t="shared" si="1364"/>
        <v>0</v>
      </c>
      <c r="N3537" s="121">
        <f t="shared" si="1365"/>
        <v>1</v>
      </c>
      <c r="O3537" s="246">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87">
        <v>4</v>
      </c>
      <c r="B3538" s="242">
        <f t="shared" si="1373"/>
        <v>45748</v>
      </c>
      <c r="C3538" s="243">
        <f t="shared" si="1354"/>
        <v>45777</v>
      </c>
      <c r="D3538" s="120">
        <f t="shared" si="1355"/>
        <v>30</v>
      </c>
      <c r="E3538" s="120">
        <f t="shared" si="1356"/>
        <v>4</v>
      </c>
      <c r="F3538" s="275">
        <f t="shared" si="1357"/>
        <v>45763</v>
      </c>
      <c r="G3538" s="120">
        <f t="shared" si="1358"/>
        <v>24303</v>
      </c>
      <c r="H3538" s="245">
        <f t="shared" si="1359"/>
        <v>1</v>
      </c>
      <c r="I3538" s="121">
        <f t="shared" si="1360"/>
        <v>1</v>
      </c>
      <c r="J3538" s="121">
        <f t="shared" si="1361"/>
        <v>1</v>
      </c>
      <c r="K3538" s="120">
        <f t="shared" si="1362"/>
        <v>0</v>
      </c>
      <c r="L3538" s="120">
        <f t="shared" si="1363"/>
        <v>0</v>
      </c>
      <c r="M3538" s="246">
        <f t="shared" si="1364"/>
        <v>0</v>
      </c>
      <c r="N3538" s="121">
        <f t="shared" si="1365"/>
        <v>1</v>
      </c>
      <c r="O3538" s="246">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87">
        <v>5</v>
      </c>
      <c r="B3539" s="242">
        <f t="shared" si="1373"/>
        <v>45778</v>
      </c>
      <c r="C3539" s="243">
        <f t="shared" si="1354"/>
        <v>45808</v>
      </c>
      <c r="D3539" s="120">
        <f t="shared" si="1355"/>
        <v>31</v>
      </c>
      <c r="E3539" s="120">
        <f t="shared" si="1356"/>
        <v>5</v>
      </c>
      <c r="F3539" s="275">
        <f t="shared" si="1357"/>
        <v>45793.5</v>
      </c>
      <c r="G3539" s="120">
        <f t="shared" si="1358"/>
        <v>24304</v>
      </c>
      <c r="H3539" s="245">
        <f t="shared" si="1359"/>
        <v>1</v>
      </c>
      <c r="I3539" s="121">
        <f t="shared" si="1360"/>
        <v>1</v>
      </c>
      <c r="J3539" s="121">
        <f t="shared" si="1361"/>
        <v>1</v>
      </c>
      <c r="K3539" s="120">
        <f t="shared" si="1362"/>
        <v>0</v>
      </c>
      <c r="L3539" s="120">
        <f t="shared" si="1363"/>
        <v>0</v>
      </c>
      <c r="M3539" s="246">
        <f t="shared" si="1364"/>
        <v>0</v>
      </c>
      <c r="N3539" s="121">
        <f t="shared" si="1365"/>
        <v>1</v>
      </c>
      <c r="O3539" s="246">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87">
        <v>6</v>
      </c>
      <c r="B3540" s="242">
        <f t="shared" si="1373"/>
        <v>45809</v>
      </c>
      <c r="C3540" s="243">
        <f t="shared" si="1354"/>
        <v>45838</v>
      </c>
      <c r="D3540" s="120">
        <f t="shared" si="1355"/>
        <v>30</v>
      </c>
      <c r="E3540" s="120">
        <f t="shared" si="1356"/>
        <v>6</v>
      </c>
      <c r="F3540" s="275">
        <f t="shared" si="1357"/>
        <v>45824</v>
      </c>
      <c r="G3540" s="120">
        <f t="shared" si="1358"/>
        <v>24305</v>
      </c>
      <c r="H3540" s="245">
        <f t="shared" si="1359"/>
        <v>1</v>
      </c>
      <c r="I3540" s="121">
        <f t="shared" si="1360"/>
        <v>1</v>
      </c>
      <c r="J3540" s="121">
        <f t="shared" si="1361"/>
        <v>1</v>
      </c>
      <c r="K3540" s="120">
        <f t="shared" si="1362"/>
        <v>0</v>
      </c>
      <c r="L3540" s="120">
        <f t="shared" si="1363"/>
        <v>0</v>
      </c>
      <c r="M3540" s="246">
        <f t="shared" si="1364"/>
        <v>0</v>
      </c>
      <c r="N3540" s="121">
        <f t="shared" si="1365"/>
        <v>1</v>
      </c>
      <c r="O3540" s="246">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87">
        <v>7</v>
      </c>
      <c r="B3541" s="242">
        <f t="shared" si="1373"/>
        <v>45839</v>
      </c>
      <c r="C3541" s="243">
        <f t="shared" si="1354"/>
        <v>45869</v>
      </c>
      <c r="D3541" s="120">
        <f t="shared" si="1355"/>
        <v>31</v>
      </c>
      <c r="E3541" s="120">
        <f t="shared" si="1356"/>
        <v>7</v>
      </c>
      <c r="F3541" s="275">
        <f t="shared" si="1357"/>
        <v>45854.5</v>
      </c>
      <c r="G3541" s="120">
        <f t="shared" si="1358"/>
        <v>24306</v>
      </c>
      <c r="H3541" s="245">
        <f t="shared" si="1359"/>
        <v>1</v>
      </c>
      <c r="I3541" s="121">
        <f t="shared" si="1360"/>
        <v>1</v>
      </c>
      <c r="J3541" s="121">
        <f t="shared" si="1361"/>
        <v>1</v>
      </c>
      <c r="K3541" s="120">
        <f t="shared" si="1362"/>
        <v>0</v>
      </c>
      <c r="L3541" s="120">
        <f t="shared" si="1363"/>
        <v>0</v>
      </c>
      <c r="M3541" s="246">
        <f t="shared" si="1364"/>
        <v>0</v>
      </c>
      <c r="N3541" s="121">
        <f t="shared" si="1365"/>
        <v>1</v>
      </c>
      <c r="O3541" s="246">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87">
        <v>8</v>
      </c>
      <c r="B3542" s="242">
        <f t="shared" si="1373"/>
        <v>45870</v>
      </c>
      <c r="C3542" s="243">
        <f t="shared" si="1354"/>
        <v>45900</v>
      </c>
      <c r="D3542" s="120">
        <f t="shared" si="1355"/>
        <v>31</v>
      </c>
      <c r="E3542" s="120">
        <f t="shared" si="1356"/>
        <v>8</v>
      </c>
      <c r="F3542" s="275">
        <f t="shared" si="1357"/>
        <v>45885.5</v>
      </c>
      <c r="G3542" s="120">
        <f t="shared" si="1358"/>
        <v>24307</v>
      </c>
      <c r="H3542" s="245">
        <f t="shared" si="1359"/>
        <v>1</v>
      </c>
      <c r="I3542" s="121">
        <f t="shared" si="1360"/>
        <v>1</v>
      </c>
      <c r="J3542" s="121">
        <f t="shared" si="1361"/>
        <v>1</v>
      </c>
      <c r="K3542" s="120">
        <f t="shared" si="1362"/>
        <v>0</v>
      </c>
      <c r="L3542" s="120">
        <f t="shared" si="1363"/>
        <v>0</v>
      </c>
      <c r="M3542" s="246">
        <f t="shared" si="1364"/>
        <v>0</v>
      </c>
      <c r="N3542" s="121">
        <f t="shared" si="1365"/>
        <v>1</v>
      </c>
      <c r="O3542" s="246">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87">
        <v>9</v>
      </c>
      <c r="B3543" s="242">
        <f t="shared" si="1373"/>
        <v>45901</v>
      </c>
      <c r="C3543" s="243">
        <f t="shared" si="1354"/>
        <v>45930</v>
      </c>
      <c r="D3543" s="120">
        <f t="shared" si="1355"/>
        <v>30</v>
      </c>
      <c r="E3543" s="120">
        <f t="shared" si="1356"/>
        <v>9</v>
      </c>
      <c r="F3543" s="275">
        <f t="shared" si="1357"/>
        <v>45916</v>
      </c>
      <c r="G3543" s="120">
        <f t="shared" si="1358"/>
        <v>24308</v>
      </c>
      <c r="H3543" s="245">
        <f t="shared" si="1359"/>
        <v>1</v>
      </c>
      <c r="I3543" s="121">
        <f t="shared" si="1360"/>
        <v>1</v>
      </c>
      <c r="J3543" s="121">
        <f t="shared" si="1361"/>
        <v>1</v>
      </c>
      <c r="K3543" s="120">
        <f t="shared" si="1362"/>
        <v>0</v>
      </c>
      <c r="L3543" s="120">
        <f t="shared" si="1363"/>
        <v>0</v>
      </c>
      <c r="M3543" s="246">
        <f t="shared" si="1364"/>
        <v>0</v>
      </c>
      <c r="N3543" s="121">
        <f t="shared" si="1365"/>
        <v>1</v>
      </c>
      <c r="O3543" s="246">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87">
        <v>10</v>
      </c>
      <c r="B3544" s="242">
        <f t="shared" si="1373"/>
        <v>45931</v>
      </c>
      <c r="C3544" s="243">
        <f t="shared" si="1354"/>
        <v>45961</v>
      </c>
      <c r="D3544" s="120">
        <f t="shared" si="1355"/>
        <v>31</v>
      </c>
      <c r="E3544" s="120">
        <f t="shared" si="1356"/>
        <v>10</v>
      </c>
      <c r="F3544" s="275">
        <f t="shared" si="1357"/>
        <v>45946.5</v>
      </c>
      <c r="G3544" s="120">
        <f t="shared" si="1358"/>
        <v>24309</v>
      </c>
      <c r="H3544" s="245">
        <f t="shared" si="1359"/>
        <v>1</v>
      </c>
      <c r="I3544" s="121">
        <f t="shared" si="1360"/>
        <v>1</v>
      </c>
      <c r="J3544" s="121">
        <f t="shared" si="1361"/>
        <v>1</v>
      </c>
      <c r="K3544" s="120">
        <f t="shared" si="1362"/>
        <v>0</v>
      </c>
      <c r="L3544" s="120">
        <f t="shared" si="1363"/>
        <v>0</v>
      </c>
      <c r="M3544" s="246">
        <f t="shared" si="1364"/>
        <v>0</v>
      </c>
      <c r="N3544" s="121">
        <f t="shared" si="1365"/>
        <v>1</v>
      </c>
      <c r="O3544" s="246">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87">
        <v>11</v>
      </c>
      <c r="B3545" s="242">
        <f t="shared" si="1373"/>
        <v>45962</v>
      </c>
      <c r="C3545" s="243">
        <f t="shared" si="1354"/>
        <v>45991</v>
      </c>
      <c r="D3545" s="120">
        <f t="shared" si="1355"/>
        <v>30</v>
      </c>
      <c r="E3545" s="120">
        <f t="shared" si="1356"/>
        <v>11</v>
      </c>
      <c r="F3545" s="275">
        <f t="shared" si="1357"/>
        <v>45977</v>
      </c>
      <c r="G3545" s="120">
        <f t="shared" si="1358"/>
        <v>24310</v>
      </c>
      <c r="H3545" s="245">
        <f t="shared" si="1359"/>
        <v>1</v>
      </c>
      <c r="I3545" s="121">
        <f t="shared" si="1360"/>
        <v>1</v>
      </c>
      <c r="J3545" s="121">
        <f t="shared" si="1361"/>
        <v>1</v>
      </c>
      <c r="K3545" s="120">
        <f t="shared" si="1362"/>
        <v>0</v>
      </c>
      <c r="L3545" s="120">
        <f t="shared" si="1363"/>
        <v>0</v>
      </c>
      <c r="M3545" s="246">
        <f t="shared" si="1364"/>
        <v>0</v>
      </c>
      <c r="N3545" s="121">
        <f t="shared" si="1365"/>
        <v>1</v>
      </c>
      <c r="O3545" s="246">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87">
        <v>12</v>
      </c>
      <c r="B3546" s="242">
        <f t="shared" si="1373"/>
        <v>45992</v>
      </c>
      <c r="C3546" s="243">
        <f t="shared" si="1354"/>
        <v>46022</v>
      </c>
      <c r="D3546" s="120">
        <f t="shared" si="1355"/>
        <v>31</v>
      </c>
      <c r="E3546" s="120">
        <f t="shared" si="1356"/>
        <v>12</v>
      </c>
      <c r="F3546" s="275">
        <f t="shared" si="1357"/>
        <v>46007.5</v>
      </c>
      <c r="G3546" s="120">
        <f t="shared" si="1358"/>
        <v>24311</v>
      </c>
      <c r="H3546" s="245">
        <f t="shared" si="1359"/>
        <v>1</v>
      </c>
      <c r="I3546" s="121">
        <f t="shared" si="1360"/>
        <v>1</v>
      </c>
      <c r="J3546" s="121">
        <f t="shared" si="1361"/>
        <v>1</v>
      </c>
      <c r="K3546" s="120">
        <f t="shared" si="1362"/>
        <v>0</v>
      </c>
      <c r="L3546" s="120">
        <f t="shared" si="1363"/>
        <v>0</v>
      </c>
      <c r="M3546" s="246">
        <f t="shared" si="1364"/>
        <v>0</v>
      </c>
      <c r="N3546" s="121">
        <f t="shared" si="1365"/>
        <v>1</v>
      </c>
      <c r="O3546" s="246">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87">
        <v>13</v>
      </c>
      <c r="B3547" s="242">
        <f t="shared" si="1373"/>
        <v>46023</v>
      </c>
      <c r="C3547" s="243">
        <f t="shared" si="1354"/>
        <v>46053</v>
      </c>
      <c r="D3547" s="120">
        <f t="shared" si="1355"/>
        <v>31</v>
      </c>
      <c r="E3547" s="120">
        <f t="shared" si="1356"/>
        <v>1</v>
      </c>
      <c r="F3547" s="275">
        <f t="shared" si="1357"/>
        <v>46038.5</v>
      </c>
      <c r="G3547" s="120">
        <f t="shared" si="1358"/>
        <v>24312</v>
      </c>
      <c r="H3547" s="245">
        <f t="shared" si="1359"/>
        <v>1</v>
      </c>
      <c r="I3547" s="121">
        <f t="shared" si="1360"/>
        <v>1</v>
      </c>
      <c r="J3547" s="121">
        <f t="shared" si="1361"/>
        <v>1</v>
      </c>
      <c r="K3547" s="120">
        <f t="shared" si="1362"/>
        <v>0</v>
      </c>
      <c r="L3547" s="120">
        <f t="shared" si="1363"/>
        <v>0</v>
      </c>
      <c r="M3547" s="246">
        <f t="shared" si="1364"/>
        <v>0</v>
      </c>
      <c r="N3547" s="121">
        <f t="shared" si="1365"/>
        <v>1</v>
      </c>
      <c r="O3547" s="246">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87">
        <v>14</v>
      </c>
      <c r="B3548" s="242">
        <f t="shared" si="1373"/>
        <v>46054</v>
      </c>
      <c r="C3548" s="243">
        <f t="shared" si="1354"/>
        <v>46081</v>
      </c>
      <c r="D3548" s="120">
        <f t="shared" si="1355"/>
        <v>28</v>
      </c>
      <c r="E3548" s="120">
        <f t="shared" si="1356"/>
        <v>2</v>
      </c>
      <c r="F3548" s="275">
        <f t="shared" si="1357"/>
        <v>46068</v>
      </c>
      <c r="G3548" s="120">
        <f t="shared" si="1358"/>
        <v>24313</v>
      </c>
      <c r="H3548" s="245">
        <f t="shared" si="1359"/>
        <v>1</v>
      </c>
      <c r="I3548" s="121">
        <f t="shared" si="1360"/>
        <v>1</v>
      </c>
      <c r="J3548" s="121">
        <f t="shared" si="1361"/>
        <v>1</v>
      </c>
      <c r="K3548" s="120">
        <f t="shared" si="1362"/>
        <v>0</v>
      </c>
      <c r="L3548" s="120">
        <f t="shared" si="1363"/>
        <v>0</v>
      </c>
      <c r="M3548" s="246">
        <f t="shared" si="1364"/>
        <v>0</v>
      </c>
      <c r="N3548" s="121">
        <f t="shared" si="1365"/>
        <v>1</v>
      </c>
      <c r="O3548" s="246">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87">
        <v>15</v>
      </c>
      <c r="B3549" s="242">
        <f t="shared" si="1373"/>
        <v>46082</v>
      </c>
      <c r="C3549" s="243">
        <f t="shared" si="1354"/>
        <v>46112</v>
      </c>
      <c r="D3549" s="120">
        <f t="shared" si="1355"/>
        <v>31</v>
      </c>
      <c r="E3549" s="120">
        <f t="shared" si="1356"/>
        <v>3</v>
      </c>
      <c r="F3549" s="275">
        <f t="shared" si="1357"/>
        <v>46097.5</v>
      </c>
      <c r="G3549" s="120">
        <f t="shared" si="1358"/>
        <v>24314</v>
      </c>
      <c r="H3549" s="245">
        <f t="shared" si="1359"/>
        <v>1</v>
      </c>
      <c r="I3549" s="121">
        <f t="shared" si="1360"/>
        <v>1</v>
      </c>
      <c r="J3549" s="121">
        <f t="shared" si="1361"/>
        <v>1</v>
      </c>
      <c r="K3549" s="120">
        <f t="shared" si="1362"/>
        <v>0</v>
      </c>
      <c r="L3549" s="120">
        <f t="shared" si="1363"/>
        <v>0</v>
      </c>
      <c r="M3549" s="246">
        <f t="shared" si="1364"/>
        <v>0</v>
      </c>
      <c r="N3549" s="121">
        <f t="shared" si="1365"/>
        <v>1</v>
      </c>
      <c r="O3549" s="246">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87">
        <v>16</v>
      </c>
      <c r="B3550" s="242">
        <f t="shared" si="1373"/>
        <v>46113</v>
      </c>
      <c r="C3550" s="243">
        <f t="shared" si="1354"/>
        <v>46142</v>
      </c>
      <c r="D3550" s="120">
        <f t="shared" si="1355"/>
        <v>30</v>
      </c>
      <c r="E3550" s="120">
        <f t="shared" si="1356"/>
        <v>4</v>
      </c>
      <c r="F3550" s="275">
        <f t="shared" si="1357"/>
        <v>46128</v>
      </c>
      <c r="G3550" s="120">
        <f t="shared" si="1358"/>
        <v>24315</v>
      </c>
      <c r="H3550" s="245">
        <f t="shared" si="1359"/>
        <v>1</v>
      </c>
      <c r="I3550" s="121">
        <f t="shared" si="1360"/>
        <v>1</v>
      </c>
      <c r="J3550" s="121">
        <f t="shared" si="1361"/>
        <v>1</v>
      </c>
      <c r="K3550" s="120">
        <f t="shared" si="1362"/>
        <v>0</v>
      </c>
      <c r="L3550" s="120">
        <f t="shared" si="1363"/>
        <v>0</v>
      </c>
      <c r="M3550" s="246">
        <f t="shared" si="1364"/>
        <v>0</v>
      </c>
      <c r="N3550" s="121">
        <f t="shared" si="1365"/>
        <v>1</v>
      </c>
      <c r="O3550" s="246">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87">
        <v>17</v>
      </c>
      <c r="B3551" s="242">
        <f t="shared" si="1373"/>
        <v>46143</v>
      </c>
      <c r="C3551" s="243">
        <f t="shared" si="1354"/>
        <v>46173</v>
      </c>
      <c r="D3551" s="120">
        <f t="shared" si="1355"/>
        <v>31</v>
      </c>
      <c r="E3551" s="120">
        <f t="shared" si="1356"/>
        <v>5</v>
      </c>
      <c r="F3551" s="275">
        <f t="shared" si="1357"/>
        <v>46158.5</v>
      </c>
      <c r="G3551" s="120">
        <f t="shared" si="1358"/>
        <v>24316</v>
      </c>
      <c r="H3551" s="245">
        <f t="shared" si="1359"/>
        <v>1</v>
      </c>
      <c r="I3551" s="121">
        <f t="shared" si="1360"/>
        <v>1</v>
      </c>
      <c r="J3551" s="121">
        <f t="shared" si="1361"/>
        <v>1</v>
      </c>
      <c r="K3551" s="120">
        <f t="shared" si="1362"/>
        <v>0</v>
      </c>
      <c r="L3551" s="120">
        <f t="shared" si="1363"/>
        <v>0</v>
      </c>
      <c r="M3551" s="246">
        <f t="shared" si="1364"/>
        <v>0</v>
      </c>
      <c r="N3551" s="121">
        <f t="shared" si="1365"/>
        <v>1</v>
      </c>
      <c r="O3551" s="246">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87">
        <v>18</v>
      </c>
      <c r="B3552" s="242">
        <f t="shared" si="1373"/>
        <v>46174</v>
      </c>
      <c r="C3552" s="243">
        <f t="shared" si="1354"/>
        <v>46203</v>
      </c>
      <c r="D3552" s="120">
        <f t="shared" si="1355"/>
        <v>30</v>
      </c>
      <c r="E3552" s="120">
        <f t="shared" si="1356"/>
        <v>6</v>
      </c>
      <c r="F3552" s="275">
        <f t="shared" si="1357"/>
        <v>46189</v>
      </c>
      <c r="G3552" s="120">
        <f t="shared" si="1358"/>
        <v>24317</v>
      </c>
      <c r="H3552" s="245">
        <f t="shared" si="1359"/>
        <v>1</v>
      </c>
      <c r="I3552" s="121">
        <f t="shared" si="1360"/>
        <v>1</v>
      </c>
      <c r="J3552" s="121">
        <f t="shared" si="1361"/>
        <v>1</v>
      </c>
      <c r="K3552" s="120">
        <f t="shared" si="1362"/>
        <v>0</v>
      </c>
      <c r="L3552" s="120">
        <f t="shared" si="1363"/>
        <v>0</v>
      </c>
      <c r="M3552" s="246">
        <f t="shared" si="1364"/>
        <v>0</v>
      </c>
      <c r="N3552" s="121">
        <f t="shared" si="1365"/>
        <v>1</v>
      </c>
      <c r="O3552" s="246">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87">
        <v>19</v>
      </c>
      <c r="B3553" s="242">
        <f t="shared" si="1373"/>
        <v>46204</v>
      </c>
      <c r="C3553" s="243">
        <f t="shared" si="1354"/>
        <v>46234</v>
      </c>
      <c r="D3553" s="120">
        <f t="shared" si="1355"/>
        <v>31</v>
      </c>
      <c r="E3553" s="120">
        <f t="shared" si="1356"/>
        <v>7</v>
      </c>
      <c r="F3553" s="275">
        <f t="shared" si="1357"/>
        <v>46219.5</v>
      </c>
      <c r="G3553" s="120">
        <f t="shared" si="1358"/>
        <v>24318</v>
      </c>
      <c r="H3553" s="245">
        <f t="shared" si="1359"/>
        <v>1</v>
      </c>
      <c r="I3553" s="121">
        <f t="shared" si="1360"/>
        <v>1</v>
      </c>
      <c r="J3553" s="121">
        <f t="shared" si="1361"/>
        <v>1</v>
      </c>
      <c r="K3553" s="120">
        <f t="shared" si="1362"/>
        <v>0</v>
      </c>
      <c r="L3553" s="120">
        <f t="shared" si="1363"/>
        <v>0</v>
      </c>
      <c r="M3553" s="246">
        <f t="shared" si="1364"/>
        <v>0</v>
      </c>
      <c r="N3553" s="121">
        <f t="shared" si="1365"/>
        <v>1</v>
      </c>
      <c r="O3553" s="246">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87">
        <v>20</v>
      </c>
      <c r="B3554" s="242">
        <f t="shared" si="1373"/>
        <v>46235</v>
      </c>
      <c r="C3554" s="243">
        <f t="shared" si="1354"/>
        <v>46265</v>
      </c>
      <c r="D3554" s="120">
        <f t="shared" si="1355"/>
        <v>31</v>
      </c>
      <c r="E3554" s="120">
        <f t="shared" si="1356"/>
        <v>8</v>
      </c>
      <c r="F3554" s="275">
        <f t="shared" si="1357"/>
        <v>46250.5</v>
      </c>
      <c r="G3554" s="120">
        <f t="shared" si="1358"/>
        <v>24319</v>
      </c>
      <c r="H3554" s="245">
        <f t="shared" si="1359"/>
        <v>1</v>
      </c>
      <c r="I3554" s="121">
        <f t="shared" si="1360"/>
        <v>1</v>
      </c>
      <c r="J3554" s="121">
        <f t="shared" si="1361"/>
        <v>1</v>
      </c>
      <c r="K3554" s="120">
        <f t="shared" si="1362"/>
        <v>0</v>
      </c>
      <c r="L3554" s="120">
        <f t="shared" si="1363"/>
        <v>0</v>
      </c>
      <c r="M3554" s="246">
        <f t="shared" si="1364"/>
        <v>0</v>
      </c>
      <c r="N3554" s="121">
        <f t="shared" si="1365"/>
        <v>1</v>
      </c>
      <c r="O3554" s="246">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87">
        <v>21</v>
      </c>
      <c r="B3555" s="242">
        <f t="shared" si="1373"/>
        <v>46266</v>
      </c>
      <c r="C3555" s="243">
        <f t="shared" si="1354"/>
        <v>46295</v>
      </c>
      <c r="D3555" s="120">
        <f t="shared" si="1355"/>
        <v>30</v>
      </c>
      <c r="E3555" s="120">
        <f t="shared" si="1356"/>
        <v>9</v>
      </c>
      <c r="F3555" s="275">
        <f t="shared" si="1357"/>
        <v>46281</v>
      </c>
      <c r="G3555" s="120">
        <f t="shared" si="1358"/>
        <v>24320</v>
      </c>
      <c r="H3555" s="245">
        <f t="shared" si="1359"/>
        <v>1</v>
      </c>
      <c r="I3555" s="121">
        <f t="shared" si="1360"/>
        <v>1</v>
      </c>
      <c r="J3555" s="121">
        <f t="shared" si="1361"/>
        <v>1</v>
      </c>
      <c r="K3555" s="120">
        <f t="shared" si="1362"/>
        <v>0</v>
      </c>
      <c r="L3555" s="120">
        <f t="shared" si="1363"/>
        <v>0</v>
      </c>
      <c r="M3555" s="246">
        <f t="shared" si="1364"/>
        <v>0</v>
      </c>
      <c r="N3555" s="121">
        <f t="shared" si="1365"/>
        <v>1</v>
      </c>
      <c r="O3555" s="246">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87">
        <v>22</v>
      </c>
      <c r="B3556" s="242">
        <f t="shared" si="1373"/>
        <v>46296</v>
      </c>
      <c r="C3556" s="243">
        <f t="shared" si="1354"/>
        <v>46326</v>
      </c>
      <c r="D3556" s="120">
        <f t="shared" si="1355"/>
        <v>31</v>
      </c>
      <c r="E3556" s="120">
        <f t="shared" si="1356"/>
        <v>10</v>
      </c>
      <c r="F3556" s="275">
        <f t="shared" si="1357"/>
        <v>46311.5</v>
      </c>
      <c r="G3556" s="120">
        <f t="shared" si="1358"/>
        <v>24321</v>
      </c>
      <c r="H3556" s="245">
        <f t="shared" si="1359"/>
        <v>1</v>
      </c>
      <c r="I3556" s="121">
        <f t="shared" si="1360"/>
        <v>1</v>
      </c>
      <c r="J3556" s="121">
        <f t="shared" si="1361"/>
        <v>1</v>
      </c>
      <c r="K3556" s="120">
        <f t="shared" si="1362"/>
        <v>0</v>
      </c>
      <c r="L3556" s="120">
        <f t="shared" si="1363"/>
        <v>0</v>
      </c>
      <c r="M3556" s="246">
        <f t="shared" si="1364"/>
        <v>0</v>
      </c>
      <c r="N3556" s="121">
        <f t="shared" si="1365"/>
        <v>1</v>
      </c>
      <c r="O3556" s="246">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87">
        <v>23</v>
      </c>
      <c r="B3557" s="242">
        <f t="shared" si="1373"/>
        <v>46327</v>
      </c>
      <c r="C3557" s="243">
        <f t="shared" si="1354"/>
        <v>46356</v>
      </c>
      <c r="D3557" s="120">
        <f t="shared" si="1355"/>
        <v>30</v>
      </c>
      <c r="E3557" s="120">
        <f t="shared" si="1356"/>
        <v>11</v>
      </c>
      <c r="F3557" s="275">
        <f t="shared" si="1357"/>
        <v>46342</v>
      </c>
      <c r="G3557" s="120">
        <f t="shared" si="1358"/>
        <v>24322</v>
      </c>
      <c r="H3557" s="245">
        <f t="shared" si="1359"/>
        <v>1</v>
      </c>
      <c r="I3557" s="121">
        <f t="shared" si="1360"/>
        <v>1</v>
      </c>
      <c r="J3557" s="121">
        <f t="shared" si="1361"/>
        <v>1</v>
      </c>
      <c r="K3557" s="120">
        <f t="shared" si="1362"/>
        <v>0</v>
      </c>
      <c r="L3557" s="120">
        <f t="shared" si="1363"/>
        <v>0</v>
      </c>
      <c r="M3557" s="246">
        <f t="shared" si="1364"/>
        <v>0</v>
      </c>
      <c r="N3557" s="121">
        <f t="shared" si="1365"/>
        <v>1</v>
      </c>
      <c r="O3557" s="246">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87">
        <v>24</v>
      </c>
      <c r="B3558" s="242">
        <f t="shared" si="1373"/>
        <v>46357</v>
      </c>
      <c r="C3558" s="243">
        <f t="shared" si="1354"/>
        <v>46387</v>
      </c>
      <c r="D3558" s="120">
        <f t="shared" si="1355"/>
        <v>31</v>
      </c>
      <c r="E3558" s="120">
        <f t="shared" si="1356"/>
        <v>12</v>
      </c>
      <c r="F3558" s="275">
        <f t="shared" si="1357"/>
        <v>46372.5</v>
      </c>
      <c r="G3558" s="120">
        <f t="shared" si="1358"/>
        <v>24323</v>
      </c>
      <c r="H3558" s="245">
        <f t="shared" si="1359"/>
        <v>1</v>
      </c>
      <c r="I3558" s="121">
        <f t="shared" si="1360"/>
        <v>1</v>
      </c>
      <c r="J3558" s="121">
        <f t="shared" si="1361"/>
        <v>1</v>
      </c>
      <c r="K3558" s="120">
        <f t="shared" si="1362"/>
        <v>0</v>
      </c>
      <c r="L3558" s="120">
        <f t="shared" si="1363"/>
        <v>0</v>
      </c>
      <c r="M3558" s="246">
        <f t="shared" si="1364"/>
        <v>0</v>
      </c>
      <c r="N3558" s="121">
        <f t="shared" si="1365"/>
        <v>1</v>
      </c>
      <c r="O3558" s="246">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87">
        <v>25</v>
      </c>
      <c r="B3559" s="242">
        <f t="shared" si="1373"/>
        <v>46388</v>
      </c>
      <c r="C3559" s="243">
        <f t="shared" si="1354"/>
        <v>46418</v>
      </c>
      <c r="D3559" s="120">
        <f t="shared" si="1355"/>
        <v>31</v>
      </c>
      <c r="E3559" s="120">
        <f t="shared" si="1356"/>
        <v>1</v>
      </c>
      <c r="F3559" s="275">
        <f t="shared" si="1357"/>
        <v>46403.5</v>
      </c>
      <c r="G3559" s="120">
        <f t="shared" si="1358"/>
        <v>24324</v>
      </c>
      <c r="H3559" s="245">
        <f t="shared" si="1359"/>
        <v>1</v>
      </c>
      <c r="I3559" s="121">
        <f t="shared" si="1360"/>
        <v>1</v>
      </c>
      <c r="J3559" s="121">
        <f t="shared" si="1361"/>
        <v>1</v>
      </c>
      <c r="K3559" s="120">
        <f t="shared" si="1362"/>
        <v>0</v>
      </c>
      <c r="L3559" s="120">
        <f t="shared" si="1363"/>
        <v>0</v>
      </c>
      <c r="M3559" s="246">
        <f t="shared" si="1364"/>
        <v>0</v>
      </c>
      <c r="N3559" s="121">
        <f t="shared" si="1365"/>
        <v>1</v>
      </c>
      <c r="O3559" s="246">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87">
        <v>26</v>
      </c>
      <c r="B3560" s="242">
        <f t="shared" si="1373"/>
        <v>46419</v>
      </c>
      <c r="C3560" s="243">
        <f t="shared" si="1354"/>
        <v>46446</v>
      </c>
      <c r="D3560" s="120">
        <f t="shared" si="1355"/>
        <v>28</v>
      </c>
      <c r="E3560" s="120">
        <f t="shared" si="1356"/>
        <v>2</v>
      </c>
      <c r="F3560" s="275">
        <f t="shared" si="1357"/>
        <v>46433</v>
      </c>
      <c r="G3560" s="120">
        <f t="shared" si="1358"/>
        <v>24325</v>
      </c>
      <c r="H3560" s="245">
        <f t="shared" si="1359"/>
        <v>1</v>
      </c>
      <c r="I3560" s="121">
        <f t="shared" si="1360"/>
        <v>1</v>
      </c>
      <c r="J3560" s="121">
        <f t="shared" si="1361"/>
        <v>1</v>
      </c>
      <c r="K3560" s="120">
        <f t="shared" si="1362"/>
        <v>0</v>
      </c>
      <c r="L3560" s="120">
        <f t="shared" si="1363"/>
        <v>0</v>
      </c>
      <c r="M3560" s="246">
        <f t="shared" si="1364"/>
        <v>0</v>
      </c>
      <c r="N3560" s="121">
        <f t="shared" si="1365"/>
        <v>1</v>
      </c>
      <c r="O3560" s="246">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87">
        <v>27</v>
      </c>
      <c r="B3561" s="242">
        <f t="shared" si="1373"/>
        <v>46447</v>
      </c>
      <c r="C3561" s="243">
        <f t="shared" si="1354"/>
        <v>46477</v>
      </c>
      <c r="D3561" s="120">
        <f t="shared" si="1355"/>
        <v>31</v>
      </c>
      <c r="E3561" s="120">
        <f t="shared" si="1356"/>
        <v>3</v>
      </c>
      <c r="F3561" s="275">
        <f t="shared" si="1357"/>
        <v>46462.5</v>
      </c>
      <c r="G3561" s="120">
        <f t="shared" si="1358"/>
        <v>24326</v>
      </c>
      <c r="H3561" s="245">
        <f t="shared" si="1359"/>
        <v>1</v>
      </c>
      <c r="I3561" s="121">
        <f t="shared" si="1360"/>
        <v>1</v>
      </c>
      <c r="J3561" s="121">
        <f t="shared" si="1361"/>
        <v>1</v>
      </c>
      <c r="K3561" s="120">
        <f t="shared" si="1362"/>
        <v>0</v>
      </c>
      <c r="L3561" s="120">
        <f t="shared" si="1363"/>
        <v>0</v>
      </c>
      <c r="M3561" s="246">
        <f t="shared" si="1364"/>
        <v>0</v>
      </c>
      <c r="N3561" s="121">
        <f t="shared" si="1365"/>
        <v>1</v>
      </c>
      <c r="O3561" s="246">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87">
        <v>28</v>
      </c>
      <c r="B3562" s="242">
        <f t="shared" si="1373"/>
        <v>46478</v>
      </c>
      <c r="C3562" s="243">
        <f t="shared" si="1354"/>
        <v>46507</v>
      </c>
      <c r="D3562" s="120">
        <f t="shared" si="1355"/>
        <v>30</v>
      </c>
      <c r="E3562" s="120">
        <f t="shared" si="1356"/>
        <v>4</v>
      </c>
      <c r="F3562" s="275">
        <f t="shared" si="1357"/>
        <v>46493</v>
      </c>
      <c r="G3562" s="120">
        <f t="shared" si="1358"/>
        <v>24327</v>
      </c>
      <c r="H3562" s="245">
        <f t="shared" si="1359"/>
        <v>1</v>
      </c>
      <c r="I3562" s="121">
        <f t="shared" si="1360"/>
        <v>1</v>
      </c>
      <c r="J3562" s="121">
        <f t="shared" si="1361"/>
        <v>1</v>
      </c>
      <c r="K3562" s="120">
        <f t="shared" si="1362"/>
        <v>0</v>
      </c>
      <c r="L3562" s="120">
        <f t="shared" si="1363"/>
        <v>0</v>
      </c>
      <c r="M3562" s="246">
        <f t="shared" si="1364"/>
        <v>0</v>
      </c>
      <c r="N3562" s="121">
        <f t="shared" si="1365"/>
        <v>1</v>
      </c>
      <c r="O3562" s="246">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87">
        <v>29</v>
      </c>
      <c r="B3563" s="242">
        <f t="shared" si="1373"/>
        <v>46508</v>
      </c>
      <c r="C3563" s="243">
        <f t="shared" si="1354"/>
        <v>46538</v>
      </c>
      <c r="D3563" s="120">
        <f t="shared" si="1355"/>
        <v>31</v>
      </c>
      <c r="E3563" s="120">
        <f t="shared" si="1356"/>
        <v>5</v>
      </c>
      <c r="F3563" s="275">
        <f t="shared" si="1357"/>
        <v>46523.5</v>
      </c>
      <c r="G3563" s="120">
        <f t="shared" si="1358"/>
        <v>24328</v>
      </c>
      <c r="H3563" s="245">
        <f t="shared" si="1359"/>
        <v>1</v>
      </c>
      <c r="I3563" s="121">
        <f t="shared" si="1360"/>
        <v>1</v>
      </c>
      <c r="J3563" s="121">
        <f t="shared" si="1361"/>
        <v>1</v>
      </c>
      <c r="K3563" s="120">
        <f t="shared" si="1362"/>
        <v>0</v>
      </c>
      <c r="L3563" s="120">
        <f t="shared" si="1363"/>
        <v>0</v>
      </c>
      <c r="M3563" s="246">
        <f t="shared" si="1364"/>
        <v>0</v>
      </c>
      <c r="N3563" s="121">
        <f t="shared" si="1365"/>
        <v>1</v>
      </c>
      <c r="O3563" s="246">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87">
        <v>30</v>
      </c>
      <c r="B3564" s="242">
        <f t="shared" si="1373"/>
        <v>46539</v>
      </c>
      <c r="C3564" s="243">
        <f t="shared" si="1354"/>
        <v>46568</v>
      </c>
      <c r="D3564" s="120">
        <f t="shared" si="1355"/>
        <v>30</v>
      </c>
      <c r="E3564" s="120">
        <f t="shared" si="1356"/>
        <v>6</v>
      </c>
      <c r="F3564" s="275">
        <f t="shared" si="1357"/>
        <v>46554</v>
      </c>
      <c r="G3564" s="120">
        <f t="shared" si="1358"/>
        <v>24329</v>
      </c>
      <c r="H3564" s="245">
        <f t="shared" si="1359"/>
        <v>1</v>
      </c>
      <c r="I3564" s="121">
        <f t="shared" si="1360"/>
        <v>1</v>
      </c>
      <c r="J3564" s="121">
        <f t="shared" si="1361"/>
        <v>1</v>
      </c>
      <c r="K3564" s="120">
        <f t="shared" si="1362"/>
        <v>0</v>
      </c>
      <c r="L3564" s="120">
        <f t="shared" si="1363"/>
        <v>0</v>
      </c>
      <c r="M3564" s="246">
        <f t="shared" si="1364"/>
        <v>0</v>
      </c>
      <c r="N3564" s="121">
        <f t="shared" si="1365"/>
        <v>1</v>
      </c>
      <c r="O3564" s="246">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87">
        <v>31</v>
      </c>
      <c r="B3565" s="242">
        <f t="shared" si="1373"/>
        <v>46569</v>
      </c>
      <c r="C3565" s="243">
        <f t="shared" si="1354"/>
        <v>46599</v>
      </c>
      <c r="D3565" s="120">
        <f t="shared" si="1355"/>
        <v>31</v>
      </c>
      <c r="E3565" s="120">
        <f t="shared" si="1356"/>
        <v>7</v>
      </c>
      <c r="F3565" s="275">
        <f t="shared" si="1357"/>
        <v>46584.5</v>
      </c>
      <c r="G3565" s="120">
        <f t="shared" si="1358"/>
        <v>24330</v>
      </c>
      <c r="H3565" s="245">
        <f t="shared" si="1359"/>
        <v>1</v>
      </c>
      <c r="I3565" s="121">
        <f t="shared" si="1360"/>
        <v>1</v>
      </c>
      <c r="J3565" s="121">
        <f t="shared" si="1361"/>
        <v>1</v>
      </c>
      <c r="K3565" s="120">
        <f t="shared" si="1362"/>
        <v>0</v>
      </c>
      <c r="L3565" s="120">
        <f t="shared" si="1363"/>
        <v>0</v>
      </c>
      <c r="M3565" s="246">
        <f t="shared" si="1364"/>
        <v>0</v>
      </c>
      <c r="N3565" s="121">
        <f t="shared" si="1365"/>
        <v>1</v>
      </c>
      <c r="O3565" s="246">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87">
        <v>32</v>
      </c>
      <c r="B3566" s="242">
        <f t="shared" si="1373"/>
        <v>46600</v>
      </c>
      <c r="C3566" s="243">
        <f t="shared" si="1354"/>
        <v>46630</v>
      </c>
      <c r="D3566" s="120">
        <f t="shared" si="1355"/>
        <v>31</v>
      </c>
      <c r="E3566" s="120">
        <f t="shared" si="1356"/>
        <v>8</v>
      </c>
      <c r="F3566" s="275">
        <f t="shared" si="1357"/>
        <v>46615.5</v>
      </c>
      <c r="G3566" s="120">
        <f t="shared" si="1358"/>
        <v>24331</v>
      </c>
      <c r="H3566" s="245">
        <f t="shared" si="1359"/>
        <v>1</v>
      </c>
      <c r="I3566" s="121">
        <f t="shared" si="1360"/>
        <v>1</v>
      </c>
      <c r="J3566" s="121">
        <f t="shared" si="1361"/>
        <v>1</v>
      </c>
      <c r="K3566" s="120">
        <f t="shared" si="1362"/>
        <v>0</v>
      </c>
      <c r="L3566" s="120">
        <f t="shared" si="1363"/>
        <v>0</v>
      </c>
      <c r="M3566" s="246">
        <f t="shared" si="1364"/>
        <v>0</v>
      </c>
      <c r="N3566" s="121">
        <f t="shared" si="1365"/>
        <v>1</v>
      </c>
      <c r="O3566" s="246">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87">
        <v>33</v>
      </c>
      <c r="B3567" s="242">
        <f t="shared" si="1373"/>
        <v>46631</v>
      </c>
      <c r="C3567" s="243">
        <f t="shared" si="1354"/>
        <v>46660</v>
      </c>
      <c r="D3567" s="120">
        <f t="shared" si="1355"/>
        <v>30</v>
      </c>
      <c r="E3567" s="120">
        <f t="shared" si="1356"/>
        <v>9</v>
      </c>
      <c r="F3567" s="275">
        <f t="shared" si="1357"/>
        <v>46646</v>
      </c>
      <c r="G3567" s="120">
        <f t="shared" si="1358"/>
        <v>24332</v>
      </c>
      <c r="H3567" s="245">
        <f t="shared" si="1359"/>
        <v>1</v>
      </c>
      <c r="I3567" s="121">
        <f t="shared" si="1360"/>
        <v>1</v>
      </c>
      <c r="J3567" s="121">
        <f t="shared" si="1361"/>
        <v>1</v>
      </c>
      <c r="K3567" s="120">
        <f t="shared" si="1362"/>
        <v>0</v>
      </c>
      <c r="L3567" s="120">
        <f t="shared" si="1363"/>
        <v>0</v>
      </c>
      <c r="M3567" s="246">
        <f t="shared" si="1364"/>
        <v>0</v>
      </c>
      <c r="N3567" s="121">
        <f t="shared" si="1365"/>
        <v>1</v>
      </c>
      <c r="O3567" s="246">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87">
        <v>34</v>
      </c>
      <c r="B3568" s="242">
        <f t="shared" si="1373"/>
        <v>46661</v>
      </c>
      <c r="C3568" s="243">
        <f t="shared" si="1354"/>
        <v>46691</v>
      </c>
      <c r="D3568" s="120">
        <f t="shared" si="1355"/>
        <v>31</v>
      </c>
      <c r="E3568" s="120">
        <f t="shared" si="1356"/>
        <v>10</v>
      </c>
      <c r="F3568" s="275">
        <f t="shared" si="1357"/>
        <v>46676.5</v>
      </c>
      <c r="G3568" s="120">
        <f t="shared" si="1358"/>
        <v>24333</v>
      </c>
      <c r="H3568" s="245">
        <f t="shared" si="1359"/>
        <v>1</v>
      </c>
      <c r="I3568" s="121">
        <f t="shared" si="1360"/>
        <v>1</v>
      </c>
      <c r="J3568" s="121">
        <f t="shared" si="1361"/>
        <v>1</v>
      </c>
      <c r="K3568" s="120">
        <f t="shared" si="1362"/>
        <v>0</v>
      </c>
      <c r="L3568" s="120">
        <f t="shared" si="1363"/>
        <v>0</v>
      </c>
      <c r="M3568" s="246">
        <f t="shared" si="1364"/>
        <v>0</v>
      </c>
      <c r="N3568" s="121">
        <f t="shared" si="1365"/>
        <v>1</v>
      </c>
      <c r="O3568" s="246">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87">
        <v>35</v>
      </c>
      <c r="B3569" s="242">
        <f t="shared" si="1373"/>
        <v>46692</v>
      </c>
      <c r="C3569" s="243">
        <f t="shared" si="1354"/>
        <v>46721</v>
      </c>
      <c r="D3569" s="120">
        <f t="shared" si="1355"/>
        <v>30</v>
      </c>
      <c r="E3569" s="120">
        <f t="shared" si="1356"/>
        <v>11</v>
      </c>
      <c r="F3569" s="275">
        <f t="shared" si="1357"/>
        <v>46707</v>
      </c>
      <c r="G3569" s="120">
        <f t="shared" si="1358"/>
        <v>24334</v>
      </c>
      <c r="H3569" s="245">
        <f t="shared" si="1359"/>
        <v>1</v>
      </c>
      <c r="I3569" s="121">
        <f t="shared" si="1360"/>
        <v>1</v>
      </c>
      <c r="J3569" s="121">
        <f t="shared" si="1361"/>
        <v>1</v>
      </c>
      <c r="K3569" s="120">
        <f t="shared" si="1362"/>
        <v>0</v>
      </c>
      <c r="L3569" s="120">
        <f t="shared" si="1363"/>
        <v>0</v>
      </c>
      <c r="M3569" s="246">
        <f t="shared" si="1364"/>
        <v>0</v>
      </c>
      <c r="N3569" s="121">
        <f t="shared" si="1365"/>
        <v>1</v>
      </c>
      <c r="O3569" s="246">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87">
        <v>36</v>
      </c>
      <c r="B3570" s="242">
        <f t="shared" si="1373"/>
        <v>46722</v>
      </c>
      <c r="C3570" s="243">
        <f t="shared" si="1354"/>
        <v>46752</v>
      </c>
      <c r="D3570" s="120">
        <f t="shared" si="1355"/>
        <v>31</v>
      </c>
      <c r="E3570" s="120">
        <f t="shared" si="1356"/>
        <v>12</v>
      </c>
      <c r="F3570" s="275">
        <f t="shared" si="1357"/>
        <v>46737.5</v>
      </c>
      <c r="G3570" s="120">
        <f t="shared" si="1358"/>
        <v>24335</v>
      </c>
      <c r="H3570" s="245">
        <f t="shared" si="1359"/>
        <v>1</v>
      </c>
      <c r="I3570" s="121">
        <f t="shared" si="1360"/>
        <v>1</v>
      </c>
      <c r="J3570" s="121">
        <f t="shared" si="1361"/>
        <v>1</v>
      </c>
      <c r="K3570" s="120">
        <f t="shared" si="1362"/>
        <v>0</v>
      </c>
      <c r="L3570" s="120">
        <f t="shared" si="1363"/>
        <v>0</v>
      </c>
      <c r="M3570" s="246">
        <f t="shared" si="1364"/>
        <v>0</v>
      </c>
      <c r="N3570" s="121">
        <f t="shared" si="1365"/>
        <v>1</v>
      </c>
      <c r="O3570" s="246">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87">
        <v>37</v>
      </c>
      <c r="B3571" s="242">
        <f t="shared" si="1373"/>
        <v>46753</v>
      </c>
      <c r="C3571" s="243">
        <f t="shared" si="1354"/>
        <v>46783</v>
      </c>
      <c r="D3571" s="120">
        <f t="shared" si="1355"/>
        <v>31</v>
      </c>
      <c r="E3571" s="120">
        <f t="shared" si="1356"/>
        <v>1</v>
      </c>
      <c r="F3571" s="275">
        <f t="shared" si="1357"/>
        <v>46768.5</v>
      </c>
      <c r="G3571" s="120">
        <f t="shared" si="1358"/>
        <v>24336</v>
      </c>
      <c r="H3571" s="245">
        <f t="shared" si="1359"/>
        <v>1</v>
      </c>
      <c r="I3571" s="121">
        <f t="shared" si="1360"/>
        <v>1</v>
      </c>
      <c r="J3571" s="121">
        <f t="shared" si="1361"/>
        <v>1</v>
      </c>
      <c r="K3571" s="120">
        <f t="shared" si="1362"/>
        <v>0</v>
      </c>
      <c r="L3571" s="120">
        <f t="shared" si="1363"/>
        <v>0</v>
      </c>
      <c r="M3571" s="246">
        <f t="shared" si="1364"/>
        <v>0</v>
      </c>
      <c r="N3571" s="121">
        <f t="shared" si="1365"/>
        <v>1</v>
      </c>
      <c r="O3571" s="246">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87">
        <v>38</v>
      </c>
      <c r="B3572" s="242">
        <f t="shared" si="1373"/>
        <v>46784</v>
      </c>
      <c r="C3572" s="243">
        <f t="shared" si="1354"/>
        <v>46812</v>
      </c>
      <c r="D3572" s="120">
        <f t="shared" si="1355"/>
        <v>29</v>
      </c>
      <c r="E3572" s="120">
        <f t="shared" si="1356"/>
        <v>2</v>
      </c>
      <c r="F3572" s="275">
        <f t="shared" si="1357"/>
        <v>46798.5</v>
      </c>
      <c r="G3572" s="120">
        <f t="shared" si="1358"/>
        <v>24337</v>
      </c>
      <c r="H3572" s="245">
        <f t="shared" si="1359"/>
        <v>1</v>
      </c>
      <c r="I3572" s="121">
        <f t="shared" si="1360"/>
        <v>1</v>
      </c>
      <c r="J3572" s="121">
        <f t="shared" si="1361"/>
        <v>1</v>
      </c>
      <c r="K3572" s="120">
        <f t="shared" si="1362"/>
        <v>0</v>
      </c>
      <c r="L3572" s="120">
        <f t="shared" si="1363"/>
        <v>0</v>
      </c>
      <c r="M3572" s="246">
        <f t="shared" si="1364"/>
        <v>0</v>
      </c>
      <c r="N3572" s="121">
        <f t="shared" si="1365"/>
        <v>1</v>
      </c>
      <c r="O3572" s="246">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87">
        <v>39</v>
      </c>
      <c r="B3573" s="242">
        <f t="shared" si="1373"/>
        <v>46813</v>
      </c>
      <c r="C3573" s="243">
        <f t="shared" si="1354"/>
        <v>46843</v>
      </c>
      <c r="D3573" s="120">
        <f t="shared" si="1355"/>
        <v>31</v>
      </c>
      <c r="E3573" s="120">
        <f t="shared" si="1356"/>
        <v>3</v>
      </c>
      <c r="F3573" s="275">
        <f t="shared" si="1357"/>
        <v>46828.5</v>
      </c>
      <c r="G3573" s="120">
        <f t="shared" si="1358"/>
        <v>24338</v>
      </c>
      <c r="H3573" s="245">
        <f t="shared" si="1359"/>
        <v>1</v>
      </c>
      <c r="I3573" s="121">
        <f t="shared" si="1360"/>
        <v>1</v>
      </c>
      <c r="J3573" s="121">
        <f t="shared" si="1361"/>
        <v>1</v>
      </c>
      <c r="K3573" s="120">
        <f t="shared" si="1362"/>
        <v>0</v>
      </c>
      <c r="L3573" s="120">
        <f t="shared" si="1363"/>
        <v>0</v>
      </c>
      <c r="M3573" s="246">
        <f t="shared" si="1364"/>
        <v>0</v>
      </c>
      <c r="N3573" s="121">
        <f t="shared" si="1365"/>
        <v>1</v>
      </c>
      <c r="O3573" s="246">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87">
        <v>40</v>
      </c>
      <c r="B3574" s="242">
        <f t="shared" si="1373"/>
        <v>46844</v>
      </c>
      <c r="C3574" s="243">
        <f t="shared" si="1354"/>
        <v>46873</v>
      </c>
      <c r="D3574" s="120">
        <f t="shared" si="1355"/>
        <v>30</v>
      </c>
      <c r="E3574" s="120">
        <f t="shared" si="1356"/>
        <v>4</v>
      </c>
      <c r="F3574" s="275">
        <f t="shared" si="1357"/>
        <v>46859</v>
      </c>
      <c r="G3574" s="120">
        <f t="shared" si="1358"/>
        <v>24339</v>
      </c>
      <c r="H3574" s="245">
        <f t="shared" si="1359"/>
        <v>1</v>
      </c>
      <c r="I3574" s="121">
        <f t="shared" si="1360"/>
        <v>1</v>
      </c>
      <c r="J3574" s="121">
        <f t="shared" si="1361"/>
        <v>1</v>
      </c>
      <c r="K3574" s="120">
        <f t="shared" si="1362"/>
        <v>0</v>
      </c>
      <c r="L3574" s="120">
        <f t="shared" si="1363"/>
        <v>0</v>
      </c>
      <c r="M3574" s="246">
        <f t="shared" si="1364"/>
        <v>0</v>
      </c>
      <c r="N3574" s="121">
        <f t="shared" si="1365"/>
        <v>1</v>
      </c>
      <c r="O3574" s="246">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87">
        <v>41</v>
      </c>
      <c r="B3575" s="242">
        <f t="shared" si="1373"/>
        <v>46874</v>
      </c>
      <c r="C3575" s="243">
        <f t="shared" si="1354"/>
        <v>46904</v>
      </c>
      <c r="D3575" s="120">
        <f t="shared" si="1355"/>
        <v>31</v>
      </c>
      <c r="E3575" s="120">
        <f t="shared" si="1356"/>
        <v>5</v>
      </c>
      <c r="F3575" s="275">
        <f t="shared" si="1357"/>
        <v>46889.5</v>
      </c>
      <c r="G3575" s="120">
        <f t="shared" si="1358"/>
        <v>24340</v>
      </c>
      <c r="H3575" s="245">
        <f t="shared" si="1359"/>
        <v>1</v>
      </c>
      <c r="I3575" s="121">
        <f t="shared" si="1360"/>
        <v>1</v>
      </c>
      <c r="J3575" s="121">
        <f t="shared" si="1361"/>
        <v>1</v>
      </c>
      <c r="K3575" s="120">
        <f t="shared" si="1362"/>
        <v>0</v>
      </c>
      <c r="L3575" s="120">
        <f t="shared" si="1363"/>
        <v>0</v>
      </c>
      <c r="M3575" s="246">
        <f t="shared" si="1364"/>
        <v>0</v>
      </c>
      <c r="N3575" s="121">
        <f t="shared" si="1365"/>
        <v>1</v>
      </c>
      <c r="O3575" s="246">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87">
        <v>42</v>
      </c>
      <c r="B3576" s="242">
        <f t="shared" si="1373"/>
        <v>46905</v>
      </c>
      <c r="C3576" s="243">
        <f t="shared" si="1354"/>
        <v>46934</v>
      </c>
      <c r="D3576" s="120">
        <f t="shared" si="1355"/>
        <v>30</v>
      </c>
      <c r="E3576" s="120">
        <f t="shared" si="1356"/>
        <v>6</v>
      </c>
      <c r="F3576" s="275">
        <f t="shared" si="1357"/>
        <v>46920</v>
      </c>
      <c r="G3576" s="120">
        <f t="shared" si="1358"/>
        <v>24341</v>
      </c>
      <c r="H3576" s="245">
        <f t="shared" si="1359"/>
        <v>1</v>
      </c>
      <c r="I3576" s="121">
        <f t="shared" si="1360"/>
        <v>1</v>
      </c>
      <c r="J3576" s="121">
        <f t="shared" si="1361"/>
        <v>1</v>
      </c>
      <c r="K3576" s="120">
        <f t="shared" si="1362"/>
        <v>0</v>
      </c>
      <c r="L3576" s="120">
        <f t="shared" si="1363"/>
        <v>0</v>
      </c>
      <c r="M3576" s="246">
        <f t="shared" si="1364"/>
        <v>0</v>
      </c>
      <c r="N3576" s="121">
        <f t="shared" si="1365"/>
        <v>1</v>
      </c>
      <c r="O3576" s="246">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87">
        <v>43</v>
      </c>
      <c r="B3577" s="242">
        <f t="shared" si="1373"/>
        <v>46935</v>
      </c>
      <c r="C3577" s="243">
        <f t="shared" si="1354"/>
        <v>46965</v>
      </c>
      <c r="D3577" s="120">
        <f t="shared" si="1355"/>
        <v>31</v>
      </c>
      <c r="E3577" s="120">
        <f t="shared" si="1356"/>
        <v>7</v>
      </c>
      <c r="F3577" s="275">
        <f t="shared" si="1357"/>
        <v>46950.5</v>
      </c>
      <c r="G3577" s="120">
        <f t="shared" si="1358"/>
        <v>24342</v>
      </c>
      <c r="H3577" s="245">
        <f t="shared" si="1359"/>
        <v>1</v>
      </c>
      <c r="I3577" s="121">
        <f t="shared" si="1360"/>
        <v>1</v>
      </c>
      <c r="J3577" s="121">
        <f t="shared" si="1361"/>
        <v>1</v>
      </c>
      <c r="K3577" s="120">
        <f t="shared" si="1362"/>
        <v>0</v>
      </c>
      <c r="L3577" s="120">
        <f t="shared" si="1363"/>
        <v>0</v>
      </c>
      <c r="M3577" s="246">
        <f t="shared" si="1364"/>
        <v>0</v>
      </c>
      <c r="N3577" s="121">
        <f t="shared" si="1365"/>
        <v>1</v>
      </c>
      <c r="O3577" s="246">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87">
        <v>44</v>
      </c>
      <c r="B3578" s="242">
        <f t="shared" si="1373"/>
        <v>46966</v>
      </c>
      <c r="C3578" s="243">
        <f t="shared" si="1354"/>
        <v>46996</v>
      </c>
      <c r="D3578" s="120">
        <f t="shared" si="1355"/>
        <v>31</v>
      </c>
      <c r="E3578" s="120">
        <f t="shared" si="1356"/>
        <v>8</v>
      </c>
      <c r="F3578" s="275">
        <f t="shared" si="1357"/>
        <v>46981.5</v>
      </c>
      <c r="G3578" s="120">
        <f t="shared" si="1358"/>
        <v>24343</v>
      </c>
      <c r="H3578" s="245">
        <f t="shared" si="1359"/>
        <v>1</v>
      </c>
      <c r="I3578" s="121">
        <f t="shared" si="1360"/>
        <v>1</v>
      </c>
      <c r="J3578" s="121">
        <f t="shared" si="1361"/>
        <v>1</v>
      </c>
      <c r="K3578" s="120">
        <f t="shared" si="1362"/>
        <v>0</v>
      </c>
      <c r="L3578" s="120">
        <f t="shared" si="1363"/>
        <v>0</v>
      </c>
      <c r="M3578" s="246">
        <f t="shared" si="1364"/>
        <v>0</v>
      </c>
      <c r="N3578" s="121">
        <f t="shared" si="1365"/>
        <v>1</v>
      </c>
      <c r="O3578" s="246">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87">
        <v>45</v>
      </c>
      <c r="B3579" s="242">
        <f t="shared" si="1373"/>
        <v>46997</v>
      </c>
      <c r="C3579" s="243">
        <f t="shared" si="1354"/>
        <v>47026</v>
      </c>
      <c r="D3579" s="120">
        <f t="shared" si="1355"/>
        <v>30</v>
      </c>
      <c r="E3579" s="120">
        <f t="shared" si="1356"/>
        <v>9</v>
      </c>
      <c r="F3579" s="275">
        <f t="shared" si="1357"/>
        <v>47012</v>
      </c>
      <c r="G3579" s="120">
        <f t="shared" si="1358"/>
        <v>24344</v>
      </c>
      <c r="H3579" s="245">
        <f t="shared" si="1359"/>
        <v>1</v>
      </c>
      <c r="I3579" s="121">
        <f t="shared" si="1360"/>
        <v>1</v>
      </c>
      <c r="J3579" s="121">
        <f t="shared" si="1361"/>
        <v>1</v>
      </c>
      <c r="K3579" s="120">
        <f t="shared" si="1362"/>
        <v>0</v>
      </c>
      <c r="L3579" s="120">
        <f t="shared" si="1363"/>
        <v>0</v>
      </c>
      <c r="M3579" s="246">
        <f t="shared" si="1364"/>
        <v>0</v>
      </c>
      <c r="N3579" s="121">
        <f t="shared" si="1365"/>
        <v>1</v>
      </c>
      <c r="O3579" s="246">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87">
        <v>46</v>
      </c>
      <c r="B3580" s="242">
        <f t="shared" si="1373"/>
        <v>47027</v>
      </c>
      <c r="C3580" s="243">
        <f t="shared" si="1354"/>
        <v>47057</v>
      </c>
      <c r="D3580" s="120">
        <f t="shared" si="1355"/>
        <v>31</v>
      </c>
      <c r="E3580" s="120">
        <f t="shared" si="1356"/>
        <v>10</v>
      </c>
      <c r="F3580" s="275">
        <f t="shared" si="1357"/>
        <v>47042.5</v>
      </c>
      <c r="G3580" s="120">
        <f t="shared" si="1358"/>
        <v>24345</v>
      </c>
      <c r="H3580" s="245">
        <f t="shared" si="1359"/>
        <v>1</v>
      </c>
      <c r="I3580" s="121">
        <f t="shared" si="1360"/>
        <v>1</v>
      </c>
      <c r="J3580" s="121">
        <f t="shared" si="1361"/>
        <v>1</v>
      </c>
      <c r="K3580" s="120">
        <f t="shared" si="1362"/>
        <v>0</v>
      </c>
      <c r="L3580" s="120">
        <f t="shared" si="1363"/>
        <v>0</v>
      </c>
      <c r="M3580" s="246">
        <f t="shared" si="1364"/>
        <v>0</v>
      </c>
      <c r="N3580" s="121">
        <f t="shared" si="1365"/>
        <v>1</v>
      </c>
      <c r="O3580" s="246">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87">
        <v>47</v>
      </c>
      <c r="B3581" s="242">
        <f t="shared" si="1373"/>
        <v>47058</v>
      </c>
      <c r="C3581" s="243">
        <f t="shared" si="1354"/>
        <v>47087</v>
      </c>
      <c r="D3581" s="120">
        <f t="shared" si="1355"/>
        <v>30</v>
      </c>
      <c r="E3581" s="120">
        <f t="shared" si="1356"/>
        <v>11</v>
      </c>
      <c r="F3581" s="275">
        <f t="shared" si="1357"/>
        <v>47073</v>
      </c>
      <c r="G3581" s="120">
        <f t="shared" si="1358"/>
        <v>24346</v>
      </c>
      <c r="H3581" s="245">
        <f t="shared" si="1359"/>
        <v>1</v>
      </c>
      <c r="I3581" s="121">
        <f t="shared" si="1360"/>
        <v>1</v>
      </c>
      <c r="J3581" s="121">
        <f t="shared" si="1361"/>
        <v>1</v>
      </c>
      <c r="K3581" s="120">
        <f t="shared" si="1362"/>
        <v>0</v>
      </c>
      <c r="L3581" s="120">
        <f t="shared" si="1363"/>
        <v>0</v>
      </c>
      <c r="M3581" s="246">
        <f t="shared" si="1364"/>
        <v>0</v>
      </c>
      <c r="N3581" s="121">
        <f t="shared" si="1365"/>
        <v>1</v>
      </c>
      <c r="O3581" s="246">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87">
        <v>48</v>
      </c>
      <c r="B3582" s="242">
        <f t="shared" si="1373"/>
        <v>47088</v>
      </c>
      <c r="C3582" s="243">
        <f t="shared" si="1354"/>
        <v>47118</v>
      </c>
      <c r="D3582" s="120">
        <f t="shared" si="1355"/>
        <v>31</v>
      </c>
      <c r="E3582" s="120">
        <f t="shared" si="1356"/>
        <v>12</v>
      </c>
      <c r="F3582" s="275">
        <f t="shared" si="1357"/>
        <v>47103.5</v>
      </c>
      <c r="G3582" s="120">
        <f t="shared" si="1358"/>
        <v>24347</v>
      </c>
      <c r="H3582" s="245">
        <f t="shared" si="1359"/>
        <v>1</v>
      </c>
      <c r="I3582" s="121">
        <f t="shared" si="1360"/>
        <v>1</v>
      </c>
      <c r="J3582" s="121">
        <f t="shared" si="1361"/>
        <v>1</v>
      </c>
      <c r="K3582" s="120">
        <f t="shared" si="1362"/>
        <v>0</v>
      </c>
      <c r="L3582" s="120">
        <f t="shared" si="1363"/>
        <v>0</v>
      </c>
      <c r="M3582" s="246">
        <f t="shared" si="1364"/>
        <v>0</v>
      </c>
      <c r="N3582" s="121">
        <f t="shared" si="1365"/>
        <v>1</v>
      </c>
      <c r="O3582" s="246">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1651</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74">EOMONTH($B3589,0)</f>
        <v>45688</v>
      </c>
      <c r="D3589" s="120">
        <f t="shared" ref="D3589:D3636" si="1375">$C3589-$B3589+1</f>
        <v>31</v>
      </c>
      <c r="E3589" s="120">
        <f t="shared" ref="E3589:E3636" si="1376">MONTH($B3589)</f>
        <v>1</v>
      </c>
      <c r="F3589" s="275">
        <f t="shared" ref="F3589:F3636" si="1377">($B3589+$C3589+1)/2</f>
        <v>45673.5</v>
      </c>
      <c r="G3589" s="120">
        <f t="shared" ref="G3589:G3636" si="1378">YEAR($B3589)*12+MONTH($B3589)-1</f>
        <v>24300</v>
      </c>
      <c r="H3589" s="245">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46">
        <f t="shared" ref="M3589:M3636" si="1384">IF($K3589=0,0,MIN(1,$L3589/$D3589))</f>
        <v>0</v>
      </c>
      <c r="N3589" s="121">
        <f t="shared" ref="N3589:N3636" si="1385">IF($K3589=0,$J3589,(1-$M3589)*$I3589+$M3589*$J3589)</f>
        <v>1</v>
      </c>
      <c r="O3589" s="246">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87">
        <v>2</v>
      </c>
      <c r="B3590" s="242">
        <f t="shared" ref="B3590:B3636" si="1393">EDATE($B3589,1)</f>
        <v>45689</v>
      </c>
      <c r="C3590" s="243">
        <f t="shared" si="1374"/>
        <v>45716</v>
      </c>
      <c r="D3590" s="120">
        <f t="shared" si="1375"/>
        <v>28</v>
      </c>
      <c r="E3590" s="120">
        <f t="shared" si="1376"/>
        <v>2</v>
      </c>
      <c r="F3590" s="275">
        <f t="shared" si="1377"/>
        <v>45703</v>
      </c>
      <c r="G3590" s="120">
        <f t="shared" si="1378"/>
        <v>24301</v>
      </c>
      <c r="H3590" s="245">
        <f t="shared" si="1379"/>
        <v>1</v>
      </c>
      <c r="I3590" s="121">
        <f t="shared" si="1380"/>
        <v>1</v>
      </c>
      <c r="J3590" s="121">
        <f t="shared" si="1381"/>
        <v>1</v>
      </c>
      <c r="K3590" s="120">
        <f t="shared" si="1382"/>
        <v>0</v>
      </c>
      <c r="L3590" s="120">
        <f t="shared" si="1383"/>
        <v>0</v>
      </c>
      <c r="M3590" s="246">
        <f t="shared" si="1384"/>
        <v>0</v>
      </c>
      <c r="N3590" s="121">
        <f t="shared" si="1385"/>
        <v>1</v>
      </c>
      <c r="O3590" s="246">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87">
        <v>3</v>
      </c>
      <c r="B3591" s="242">
        <f t="shared" si="1393"/>
        <v>45717</v>
      </c>
      <c r="C3591" s="243">
        <f t="shared" si="1374"/>
        <v>45747</v>
      </c>
      <c r="D3591" s="120">
        <f t="shared" si="1375"/>
        <v>31</v>
      </c>
      <c r="E3591" s="120">
        <f t="shared" si="1376"/>
        <v>3</v>
      </c>
      <c r="F3591" s="275">
        <f t="shared" si="1377"/>
        <v>45732.5</v>
      </c>
      <c r="G3591" s="120">
        <f t="shared" si="1378"/>
        <v>24302</v>
      </c>
      <c r="H3591" s="245">
        <f t="shared" si="1379"/>
        <v>1</v>
      </c>
      <c r="I3591" s="121">
        <f t="shared" si="1380"/>
        <v>1</v>
      </c>
      <c r="J3591" s="121">
        <f t="shared" si="1381"/>
        <v>1</v>
      </c>
      <c r="K3591" s="120">
        <f t="shared" si="1382"/>
        <v>0</v>
      </c>
      <c r="L3591" s="120">
        <f t="shared" si="1383"/>
        <v>0</v>
      </c>
      <c r="M3591" s="246">
        <f t="shared" si="1384"/>
        <v>0</v>
      </c>
      <c r="N3591" s="121">
        <f t="shared" si="1385"/>
        <v>1</v>
      </c>
      <c r="O3591" s="246">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87">
        <v>4</v>
      </c>
      <c r="B3592" s="242">
        <f t="shared" si="1393"/>
        <v>45748</v>
      </c>
      <c r="C3592" s="243">
        <f t="shared" si="1374"/>
        <v>45777</v>
      </c>
      <c r="D3592" s="120">
        <f t="shared" si="1375"/>
        <v>30</v>
      </c>
      <c r="E3592" s="120">
        <f t="shared" si="1376"/>
        <v>4</v>
      </c>
      <c r="F3592" s="275">
        <f t="shared" si="1377"/>
        <v>45763</v>
      </c>
      <c r="G3592" s="120">
        <f t="shared" si="1378"/>
        <v>24303</v>
      </c>
      <c r="H3592" s="245">
        <f t="shared" si="1379"/>
        <v>1</v>
      </c>
      <c r="I3592" s="121">
        <f t="shared" si="1380"/>
        <v>1</v>
      </c>
      <c r="J3592" s="121">
        <f t="shared" si="1381"/>
        <v>1</v>
      </c>
      <c r="K3592" s="120">
        <f t="shared" si="1382"/>
        <v>0</v>
      </c>
      <c r="L3592" s="120">
        <f t="shared" si="1383"/>
        <v>0</v>
      </c>
      <c r="M3592" s="246">
        <f t="shared" si="1384"/>
        <v>0</v>
      </c>
      <c r="N3592" s="121">
        <f t="shared" si="1385"/>
        <v>1</v>
      </c>
      <c r="O3592" s="246">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87">
        <v>5</v>
      </c>
      <c r="B3593" s="242">
        <f t="shared" si="1393"/>
        <v>45778</v>
      </c>
      <c r="C3593" s="243">
        <f t="shared" si="1374"/>
        <v>45808</v>
      </c>
      <c r="D3593" s="120">
        <f t="shared" si="1375"/>
        <v>31</v>
      </c>
      <c r="E3593" s="120">
        <f t="shared" si="1376"/>
        <v>5</v>
      </c>
      <c r="F3593" s="275">
        <f t="shared" si="1377"/>
        <v>45793.5</v>
      </c>
      <c r="G3593" s="120">
        <f t="shared" si="1378"/>
        <v>24304</v>
      </c>
      <c r="H3593" s="245">
        <f t="shared" si="1379"/>
        <v>1</v>
      </c>
      <c r="I3593" s="121">
        <f t="shared" si="1380"/>
        <v>1</v>
      </c>
      <c r="J3593" s="121">
        <f t="shared" si="1381"/>
        <v>1</v>
      </c>
      <c r="K3593" s="120">
        <f t="shared" si="1382"/>
        <v>0</v>
      </c>
      <c r="L3593" s="120">
        <f t="shared" si="1383"/>
        <v>0</v>
      </c>
      <c r="M3593" s="246">
        <f t="shared" si="1384"/>
        <v>0</v>
      </c>
      <c r="N3593" s="121">
        <f t="shared" si="1385"/>
        <v>1</v>
      </c>
      <c r="O3593" s="246">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87">
        <v>6</v>
      </c>
      <c r="B3594" s="242">
        <f t="shared" si="1393"/>
        <v>45809</v>
      </c>
      <c r="C3594" s="243">
        <f t="shared" si="1374"/>
        <v>45838</v>
      </c>
      <c r="D3594" s="120">
        <f t="shared" si="1375"/>
        <v>30</v>
      </c>
      <c r="E3594" s="120">
        <f t="shared" si="1376"/>
        <v>6</v>
      </c>
      <c r="F3594" s="275">
        <f t="shared" si="1377"/>
        <v>45824</v>
      </c>
      <c r="G3594" s="120">
        <f t="shared" si="1378"/>
        <v>24305</v>
      </c>
      <c r="H3594" s="245">
        <f t="shared" si="1379"/>
        <v>1</v>
      </c>
      <c r="I3594" s="121">
        <f t="shared" si="1380"/>
        <v>1</v>
      </c>
      <c r="J3594" s="121">
        <f t="shared" si="1381"/>
        <v>1</v>
      </c>
      <c r="K3594" s="120">
        <f t="shared" si="1382"/>
        <v>0</v>
      </c>
      <c r="L3594" s="120">
        <f t="shared" si="1383"/>
        <v>0</v>
      </c>
      <c r="M3594" s="246">
        <f t="shared" si="1384"/>
        <v>0</v>
      </c>
      <c r="N3594" s="121">
        <f t="shared" si="1385"/>
        <v>1</v>
      </c>
      <c r="O3594" s="246">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87">
        <v>7</v>
      </c>
      <c r="B3595" s="242">
        <f t="shared" si="1393"/>
        <v>45839</v>
      </c>
      <c r="C3595" s="243">
        <f t="shared" si="1374"/>
        <v>45869</v>
      </c>
      <c r="D3595" s="120">
        <f t="shared" si="1375"/>
        <v>31</v>
      </c>
      <c r="E3595" s="120">
        <f t="shared" si="1376"/>
        <v>7</v>
      </c>
      <c r="F3595" s="275">
        <f t="shared" si="1377"/>
        <v>45854.5</v>
      </c>
      <c r="G3595" s="120">
        <f t="shared" si="1378"/>
        <v>24306</v>
      </c>
      <c r="H3595" s="245">
        <f t="shared" si="1379"/>
        <v>1</v>
      </c>
      <c r="I3595" s="121">
        <f t="shared" si="1380"/>
        <v>1</v>
      </c>
      <c r="J3595" s="121">
        <f t="shared" si="1381"/>
        <v>1</v>
      </c>
      <c r="K3595" s="120">
        <f t="shared" si="1382"/>
        <v>0</v>
      </c>
      <c r="L3595" s="120">
        <f t="shared" si="1383"/>
        <v>0</v>
      </c>
      <c r="M3595" s="246">
        <f t="shared" si="1384"/>
        <v>0</v>
      </c>
      <c r="N3595" s="121">
        <f t="shared" si="1385"/>
        <v>1</v>
      </c>
      <c r="O3595" s="246">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87">
        <v>8</v>
      </c>
      <c r="B3596" s="242">
        <f t="shared" si="1393"/>
        <v>45870</v>
      </c>
      <c r="C3596" s="243">
        <f t="shared" si="1374"/>
        <v>45900</v>
      </c>
      <c r="D3596" s="120">
        <f t="shared" si="1375"/>
        <v>31</v>
      </c>
      <c r="E3596" s="120">
        <f t="shared" si="1376"/>
        <v>8</v>
      </c>
      <c r="F3596" s="275">
        <f t="shared" si="1377"/>
        <v>45885.5</v>
      </c>
      <c r="G3596" s="120">
        <f t="shared" si="1378"/>
        <v>24307</v>
      </c>
      <c r="H3596" s="245">
        <f t="shared" si="1379"/>
        <v>1</v>
      </c>
      <c r="I3596" s="121">
        <f t="shared" si="1380"/>
        <v>1</v>
      </c>
      <c r="J3596" s="121">
        <f t="shared" si="1381"/>
        <v>1</v>
      </c>
      <c r="K3596" s="120">
        <f t="shared" si="1382"/>
        <v>0</v>
      </c>
      <c r="L3596" s="120">
        <f t="shared" si="1383"/>
        <v>0</v>
      </c>
      <c r="M3596" s="246">
        <f t="shared" si="1384"/>
        <v>0</v>
      </c>
      <c r="N3596" s="121">
        <f t="shared" si="1385"/>
        <v>1</v>
      </c>
      <c r="O3596" s="246">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87">
        <v>9</v>
      </c>
      <c r="B3597" s="242">
        <f t="shared" si="1393"/>
        <v>45901</v>
      </c>
      <c r="C3597" s="243">
        <f t="shared" si="1374"/>
        <v>45930</v>
      </c>
      <c r="D3597" s="120">
        <f t="shared" si="1375"/>
        <v>30</v>
      </c>
      <c r="E3597" s="120">
        <f t="shared" si="1376"/>
        <v>9</v>
      </c>
      <c r="F3597" s="275">
        <f t="shared" si="1377"/>
        <v>45916</v>
      </c>
      <c r="G3597" s="120">
        <f t="shared" si="1378"/>
        <v>24308</v>
      </c>
      <c r="H3597" s="245">
        <f t="shared" si="1379"/>
        <v>1</v>
      </c>
      <c r="I3597" s="121">
        <f t="shared" si="1380"/>
        <v>1</v>
      </c>
      <c r="J3597" s="121">
        <f t="shared" si="1381"/>
        <v>1</v>
      </c>
      <c r="K3597" s="120">
        <f t="shared" si="1382"/>
        <v>0</v>
      </c>
      <c r="L3597" s="120">
        <f t="shared" si="1383"/>
        <v>0</v>
      </c>
      <c r="M3597" s="246">
        <f t="shared" si="1384"/>
        <v>0</v>
      </c>
      <c r="N3597" s="121">
        <f t="shared" si="1385"/>
        <v>1</v>
      </c>
      <c r="O3597" s="246">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87">
        <v>10</v>
      </c>
      <c r="B3598" s="242">
        <f t="shared" si="1393"/>
        <v>45931</v>
      </c>
      <c r="C3598" s="243">
        <f t="shared" si="1374"/>
        <v>45961</v>
      </c>
      <c r="D3598" s="120">
        <f t="shared" si="1375"/>
        <v>31</v>
      </c>
      <c r="E3598" s="120">
        <f t="shared" si="1376"/>
        <v>10</v>
      </c>
      <c r="F3598" s="275">
        <f t="shared" si="1377"/>
        <v>45946.5</v>
      </c>
      <c r="G3598" s="120">
        <f t="shared" si="1378"/>
        <v>24309</v>
      </c>
      <c r="H3598" s="245">
        <f t="shared" si="1379"/>
        <v>1</v>
      </c>
      <c r="I3598" s="121">
        <f t="shared" si="1380"/>
        <v>1</v>
      </c>
      <c r="J3598" s="121">
        <f t="shared" si="1381"/>
        <v>1</v>
      </c>
      <c r="K3598" s="120">
        <f t="shared" si="1382"/>
        <v>0</v>
      </c>
      <c r="L3598" s="120">
        <f t="shared" si="1383"/>
        <v>0</v>
      </c>
      <c r="M3598" s="246">
        <f t="shared" si="1384"/>
        <v>0</v>
      </c>
      <c r="N3598" s="121">
        <f t="shared" si="1385"/>
        <v>1</v>
      </c>
      <c r="O3598" s="246">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87">
        <v>11</v>
      </c>
      <c r="B3599" s="242">
        <f t="shared" si="1393"/>
        <v>45962</v>
      </c>
      <c r="C3599" s="243">
        <f t="shared" si="1374"/>
        <v>45991</v>
      </c>
      <c r="D3599" s="120">
        <f t="shared" si="1375"/>
        <v>30</v>
      </c>
      <c r="E3599" s="120">
        <f t="shared" si="1376"/>
        <v>11</v>
      </c>
      <c r="F3599" s="275">
        <f t="shared" si="1377"/>
        <v>45977</v>
      </c>
      <c r="G3599" s="120">
        <f t="shared" si="1378"/>
        <v>24310</v>
      </c>
      <c r="H3599" s="245">
        <f t="shared" si="1379"/>
        <v>1</v>
      </c>
      <c r="I3599" s="121">
        <f t="shared" si="1380"/>
        <v>1</v>
      </c>
      <c r="J3599" s="121">
        <f t="shared" si="1381"/>
        <v>1</v>
      </c>
      <c r="K3599" s="120">
        <f t="shared" si="1382"/>
        <v>0</v>
      </c>
      <c r="L3599" s="120">
        <f t="shared" si="1383"/>
        <v>0</v>
      </c>
      <c r="M3599" s="246">
        <f t="shared" si="1384"/>
        <v>0</v>
      </c>
      <c r="N3599" s="121">
        <f t="shared" si="1385"/>
        <v>1</v>
      </c>
      <c r="O3599" s="246">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87">
        <v>12</v>
      </c>
      <c r="B3600" s="242">
        <f t="shared" si="1393"/>
        <v>45992</v>
      </c>
      <c r="C3600" s="243">
        <f t="shared" si="1374"/>
        <v>46022</v>
      </c>
      <c r="D3600" s="120">
        <f t="shared" si="1375"/>
        <v>31</v>
      </c>
      <c r="E3600" s="120">
        <f t="shared" si="1376"/>
        <v>12</v>
      </c>
      <c r="F3600" s="275">
        <f t="shared" si="1377"/>
        <v>46007.5</v>
      </c>
      <c r="G3600" s="120">
        <f t="shared" si="1378"/>
        <v>24311</v>
      </c>
      <c r="H3600" s="245">
        <f t="shared" si="1379"/>
        <v>1</v>
      </c>
      <c r="I3600" s="121">
        <f t="shared" si="1380"/>
        <v>1</v>
      </c>
      <c r="J3600" s="121">
        <f t="shared" si="1381"/>
        <v>1</v>
      </c>
      <c r="K3600" s="120">
        <f t="shared" si="1382"/>
        <v>0</v>
      </c>
      <c r="L3600" s="120">
        <f t="shared" si="1383"/>
        <v>0</v>
      </c>
      <c r="M3600" s="246">
        <f t="shared" si="1384"/>
        <v>0</v>
      </c>
      <c r="N3600" s="121">
        <f t="shared" si="1385"/>
        <v>1</v>
      </c>
      <c r="O3600" s="246">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87">
        <v>13</v>
      </c>
      <c r="B3601" s="242">
        <f t="shared" si="1393"/>
        <v>46023</v>
      </c>
      <c r="C3601" s="243">
        <f t="shared" si="1374"/>
        <v>46053</v>
      </c>
      <c r="D3601" s="120">
        <f t="shared" si="1375"/>
        <v>31</v>
      </c>
      <c r="E3601" s="120">
        <f t="shared" si="1376"/>
        <v>1</v>
      </c>
      <c r="F3601" s="275">
        <f t="shared" si="1377"/>
        <v>46038.5</v>
      </c>
      <c r="G3601" s="120">
        <f t="shared" si="1378"/>
        <v>24312</v>
      </c>
      <c r="H3601" s="245">
        <f t="shared" si="1379"/>
        <v>1</v>
      </c>
      <c r="I3601" s="121">
        <f t="shared" si="1380"/>
        <v>1</v>
      </c>
      <c r="J3601" s="121">
        <f t="shared" si="1381"/>
        <v>1</v>
      </c>
      <c r="K3601" s="120">
        <f t="shared" si="1382"/>
        <v>0</v>
      </c>
      <c r="L3601" s="120">
        <f t="shared" si="1383"/>
        <v>0</v>
      </c>
      <c r="M3601" s="246">
        <f t="shared" si="1384"/>
        <v>0</v>
      </c>
      <c r="N3601" s="121">
        <f t="shared" si="1385"/>
        <v>1</v>
      </c>
      <c r="O3601" s="246">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87">
        <v>14</v>
      </c>
      <c r="B3602" s="242">
        <f t="shared" si="1393"/>
        <v>46054</v>
      </c>
      <c r="C3602" s="243">
        <f t="shared" si="1374"/>
        <v>46081</v>
      </c>
      <c r="D3602" s="120">
        <f t="shared" si="1375"/>
        <v>28</v>
      </c>
      <c r="E3602" s="120">
        <f t="shared" si="1376"/>
        <v>2</v>
      </c>
      <c r="F3602" s="275">
        <f t="shared" si="1377"/>
        <v>46068</v>
      </c>
      <c r="G3602" s="120">
        <f t="shared" si="1378"/>
        <v>24313</v>
      </c>
      <c r="H3602" s="245">
        <f t="shared" si="1379"/>
        <v>1</v>
      </c>
      <c r="I3602" s="121">
        <f t="shared" si="1380"/>
        <v>1</v>
      </c>
      <c r="J3602" s="121">
        <f t="shared" si="1381"/>
        <v>1</v>
      </c>
      <c r="K3602" s="120">
        <f t="shared" si="1382"/>
        <v>0</v>
      </c>
      <c r="L3602" s="120">
        <f t="shared" si="1383"/>
        <v>0</v>
      </c>
      <c r="M3602" s="246">
        <f t="shared" si="1384"/>
        <v>0</v>
      </c>
      <c r="N3602" s="121">
        <f t="shared" si="1385"/>
        <v>1</v>
      </c>
      <c r="O3602" s="246">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87">
        <v>15</v>
      </c>
      <c r="B3603" s="242">
        <f t="shared" si="1393"/>
        <v>46082</v>
      </c>
      <c r="C3603" s="243">
        <f t="shared" si="1374"/>
        <v>46112</v>
      </c>
      <c r="D3603" s="120">
        <f t="shared" si="1375"/>
        <v>31</v>
      </c>
      <c r="E3603" s="120">
        <f t="shared" si="1376"/>
        <v>3</v>
      </c>
      <c r="F3603" s="275">
        <f t="shared" si="1377"/>
        <v>46097.5</v>
      </c>
      <c r="G3603" s="120">
        <f t="shared" si="1378"/>
        <v>24314</v>
      </c>
      <c r="H3603" s="245">
        <f t="shared" si="1379"/>
        <v>1</v>
      </c>
      <c r="I3603" s="121">
        <f t="shared" si="1380"/>
        <v>1</v>
      </c>
      <c r="J3603" s="121">
        <f t="shared" si="1381"/>
        <v>1</v>
      </c>
      <c r="K3603" s="120">
        <f t="shared" si="1382"/>
        <v>0</v>
      </c>
      <c r="L3603" s="120">
        <f t="shared" si="1383"/>
        <v>0</v>
      </c>
      <c r="M3603" s="246">
        <f t="shared" si="1384"/>
        <v>0</v>
      </c>
      <c r="N3603" s="121">
        <f t="shared" si="1385"/>
        <v>1</v>
      </c>
      <c r="O3603" s="246">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87">
        <v>16</v>
      </c>
      <c r="B3604" s="242">
        <f t="shared" si="1393"/>
        <v>46113</v>
      </c>
      <c r="C3604" s="243">
        <f t="shared" si="1374"/>
        <v>46142</v>
      </c>
      <c r="D3604" s="120">
        <f t="shared" si="1375"/>
        <v>30</v>
      </c>
      <c r="E3604" s="120">
        <f t="shared" si="1376"/>
        <v>4</v>
      </c>
      <c r="F3604" s="275">
        <f t="shared" si="1377"/>
        <v>46128</v>
      </c>
      <c r="G3604" s="120">
        <f t="shared" si="1378"/>
        <v>24315</v>
      </c>
      <c r="H3604" s="245">
        <f t="shared" si="1379"/>
        <v>1</v>
      </c>
      <c r="I3604" s="121">
        <f t="shared" si="1380"/>
        <v>1</v>
      </c>
      <c r="J3604" s="121">
        <f t="shared" si="1381"/>
        <v>1</v>
      </c>
      <c r="K3604" s="120">
        <f t="shared" si="1382"/>
        <v>0</v>
      </c>
      <c r="L3604" s="120">
        <f t="shared" si="1383"/>
        <v>0</v>
      </c>
      <c r="M3604" s="246">
        <f t="shared" si="1384"/>
        <v>0</v>
      </c>
      <c r="N3604" s="121">
        <f t="shared" si="1385"/>
        <v>1</v>
      </c>
      <c r="O3604" s="246">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87">
        <v>17</v>
      </c>
      <c r="B3605" s="242">
        <f t="shared" si="1393"/>
        <v>46143</v>
      </c>
      <c r="C3605" s="243">
        <f t="shared" si="1374"/>
        <v>46173</v>
      </c>
      <c r="D3605" s="120">
        <f t="shared" si="1375"/>
        <v>31</v>
      </c>
      <c r="E3605" s="120">
        <f t="shared" si="1376"/>
        <v>5</v>
      </c>
      <c r="F3605" s="275">
        <f t="shared" si="1377"/>
        <v>46158.5</v>
      </c>
      <c r="G3605" s="120">
        <f t="shared" si="1378"/>
        <v>24316</v>
      </c>
      <c r="H3605" s="245">
        <f t="shared" si="1379"/>
        <v>1</v>
      </c>
      <c r="I3605" s="121">
        <f t="shared" si="1380"/>
        <v>1</v>
      </c>
      <c r="J3605" s="121">
        <f t="shared" si="1381"/>
        <v>1</v>
      </c>
      <c r="K3605" s="120">
        <f t="shared" si="1382"/>
        <v>0</v>
      </c>
      <c r="L3605" s="120">
        <f t="shared" si="1383"/>
        <v>0</v>
      </c>
      <c r="M3605" s="246">
        <f t="shared" si="1384"/>
        <v>0</v>
      </c>
      <c r="N3605" s="121">
        <f t="shared" si="1385"/>
        <v>1</v>
      </c>
      <c r="O3605" s="246">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87">
        <v>18</v>
      </c>
      <c r="B3606" s="242">
        <f t="shared" si="1393"/>
        <v>46174</v>
      </c>
      <c r="C3606" s="243">
        <f t="shared" si="1374"/>
        <v>46203</v>
      </c>
      <c r="D3606" s="120">
        <f t="shared" si="1375"/>
        <v>30</v>
      </c>
      <c r="E3606" s="120">
        <f t="shared" si="1376"/>
        <v>6</v>
      </c>
      <c r="F3606" s="275">
        <f t="shared" si="1377"/>
        <v>46189</v>
      </c>
      <c r="G3606" s="120">
        <f t="shared" si="1378"/>
        <v>24317</v>
      </c>
      <c r="H3606" s="245">
        <f t="shared" si="1379"/>
        <v>1</v>
      </c>
      <c r="I3606" s="121">
        <f t="shared" si="1380"/>
        <v>1</v>
      </c>
      <c r="J3606" s="121">
        <f t="shared" si="1381"/>
        <v>1</v>
      </c>
      <c r="K3606" s="120">
        <f t="shared" si="1382"/>
        <v>0</v>
      </c>
      <c r="L3606" s="120">
        <f t="shared" si="1383"/>
        <v>0</v>
      </c>
      <c r="M3606" s="246">
        <f t="shared" si="1384"/>
        <v>0</v>
      </c>
      <c r="N3606" s="121">
        <f t="shared" si="1385"/>
        <v>1</v>
      </c>
      <c r="O3606" s="246">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87">
        <v>19</v>
      </c>
      <c r="B3607" s="242">
        <f t="shared" si="1393"/>
        <v>46204</v>
      </c>
      <c r="C3607" s="243">
        <f t="shared" si="1374"/>
        <v>46234</v>
      </c>
      <c r="D3607" s="120">
        <f t="shared" si="1375"/>
        <v>31</v>
      </c>
      <c r="E3607" s="120">
        <f t="shared" si="1376"/>
        <v>7</v>
      </c>
      <c r="F3607" s="275">
        <f t="shared" si="1377"/>
        <v>46219.5</v>
      </c>
      <c r="G3607" s="120">
        <f t="shared" si="1378"/>
        <v>24318</v>
      </c>
      <c r="H3607" s="245">
        <f t="shared" si="1379"/>
        <v>1</v>
      </c>
      <c r="I3607" s="121">
        <f t="shared" si="1380"/>
        <v>1</v>
      </c>
      <c r="J3607" s="121">
        <f t="shared" si="1381"/>
        <v>1</v>
      </c>
      <c r="K3607" s="120">
        <f t="shared" si="1382"/>
        <v>0</v>
      </c>
      <c r="L3607" s="120">
        <f t="shared" si="1383"/>
        <v>0</v>
      </c>
      <c r="M3607" s="246">
        <f t="shared" si="1384"/>
        <v>0</v>
      </c>
      <c r="N3607" s="121">
        <f t="shared" si="1385"/>
        <v>1</v>
      </c>
      <c r="O3607" s="246">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87">
        <v>20</v>
      </c>
      <c r="B3608" s="242">
        <f t="shared" si="1393"/>
        <v>46235</v>
      </c>
      <c r="C3608" s="243">
        <f t="shared" si="1374"/>
        <v>46265</v>
      </c>
      <c r="D3608" s="120">
        <f t="shared" si="1375"/>
        <v>31</v>
      </c>
      <c r="E3608" s="120">
        <f t="shared" si="1376"/>
        <v>8</v>
      </c>
      <c r="F3608" s="275">
        <f t="shared" si="1377"/>
        <v>46250.5</v>
      </c>
      <c r="G3608" s="120">
        <f t="shared" si="1378"/>
        <v>24319</v>
      </c>
      <c r="H3608" s="245">
        <f t="shared" si="1379"/>
        <v>1</v>
      </c>
      <c r="I3608" s="121">
        <f t="shared" si="1380"/>
        <v>1</v>
      </c>
      <c r="J3608" s="121">
        <f t="shared" si="1381"/>
        <v>1</v>
      </c>
      <c r="K3608" s="120">
        <f t="shared" si="1382"/>
        <v>0</v>
      </c>
      <c r="L3608" s="120">
        <f t="shared" si="1383"/>
        <v>0</v>
      </c>
      <c r="M3608" s="246">
        <f t="shared" si="1384"/>
        <v>0</v>
      </c>
      <c r="N3608" s="121">
        <f t="shared" si="1385"/>
        <v>1</v>
      </c>
      <c r="O3608" s="246">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87">
        <v>21</v>
      </c>
      <c r="B3609" s="242">
        <f t="shared" si="1393"/>
        <v>46266</v>
      </c>
      <c r="C3609" s="243">
        <f t="shared" si="1374"/>
        <v>46295</v>
      </c>
      <c r="D3609" s="120">
        <f t="shared" si="1375"/>
        <v>30</v>
      </c>
      <c r="E3609" s="120">
        <f t="shared" si="1376"/>
        <v>9</v>
      </c>
      <c r="F3609" s="275">
        <f t="shared" si="1377"/>
        <v>46281</v>
      </c>
      <c r="G3609" s="120">
        <f t="shared" si="1378"/>
        <v>24320</v>
      </c>
      <c r="H3609" s="245">
        <f t="shared" si="1379"/>
        <v>1</v>
      </c>
      <c r="I3609" s="121">
        <f t="shared" si="1380"/>
        <v>1</v>
      </c>
      <c r="J3609" s="121">
        <f t="shared" si="1381"/>
        <v>1</v>
      </c>
      <c r="K3609" s="120">
        <f t="shared" si="1382"/>
        <v>0</v>
      </c>
      <c r="L3609" s="120">
        <f t="shared" si="1383"/>
        <v>0</v>
      </c>
      <c r="M3609" s="246">
        <f t="shared" si="1384"/>
        <v>0</v>
      </c>
      <c r="N3609" s="121">
        <f t="shared" si="1385"/>
        <v>1</v>
      </c>
      <c r="O3609" s="246">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87">
        <v>22</v>
      </c>
      <c r="B3610" s="242">
        <f t="shared" si="1393"/>
        <v>46296</v>
      </c>
      <c r="C3610" s="243">
        <f t="shared" si="1374"/>
        <v>46326</v>
      </c>
      <c r="D3610" s="120">
        <f t="shared" si="1375"/>
        <v>31</v>
      </c>
      <c r="E3610" s="120">
        <f t="shared" si="1376"/>
        <v>10</v>
      </c>
      <c r="F3610" s="275">
        <f t="shared" si="1377"/>
        <v>46311.5</v>
      </c>
      <c r="G3610" s="120">
        <f t="shared" si="1378"/>
        <v>24321</v>
      </c>
      <c r="H3610" s="245">
        <f t="shared" si="1379"/>
        <v>1</v>
      </c>
      <c r="I3610" s="121">
        <f t="shared" si="1380"/>
        <v>1</v>
      </c>
      <c r="J3610" s="121">
        <f t="shared" si="1381"/>
        <v>1</v>
      </c>
      <c r="K3610" s="120">
        <f t="shared" si="1382"/>
        <v>0</v>
      </c>
      <c r="L3610" s="120">
        <f t="shared" si="1383"/>
        <v>0</v>
      </c>
      <c r="M3610" s="246">
        <f t="shared" si="1384"/>
        <v>0</v>
      </c>
      <c r="N3610" s="121">
        <f t="shared" si="1385"/>
        <v>1</v>
      </c>
      <c r="O3610" s="246">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87">
        <v>23</v>
      </c>
      <c r="B3611" s="242">
        <f t="shared" si="1393"/>
        <v>46327</v>
      </c>
      <c r="C3611" s="243">
        <f t="shared" si="1374"/>
        <v>46356</v>
      </c>
      <c r="D3611" s="120">
        <f t="shared" si="1375"/>
        <v>30</v>
      </c>
      <c r="E3611" s="120">
        <f t="shared" si="1376"/>
        <v>11</v>
      </c>
      <c r="F3611" s="275">
        <f t="shared" si="1377"/>
        <v>46342</v>
      </c>
      <c r="G3611" s="120">
        <f t="shared" si="1378"/>
        <v>24322</v>
      </c>
      <c r="H3611" s="245">
        <f t="shared" si="1379"/>
        <v>1</v>
      </c>
      <c r="I3611" s="121">
        <f t="shared" si="1380"/>
        <v>1</v>
      </c>
      <c r="J3611" s="121">
        <f t="shared" si="1381"/>
        <v>1</v>
      </c>
      <c r="K3611" s="120">
        <f t="shared" si="1382"/>
        <v>0</v>
      </c>
      <c r="L3611" s="120">
        <f t="shared" si="1383"/>
        <v>0</v>
      </c>
      <c r="M3611" s="246">
        <f t="shared" si="1384"/>
        <v>0</v>
      </c>
      <c r="N3611" s="121">
        <f t="shared" si="1385"/>
        <v>1</v>
      </c>
      <c r="O3611" s="246">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87">
        <v>24</v>
      </c>
      <c r="B3612" s="242">
        <f t="shared" si="1393"/>
        <v>46357</v>
      </c>
      <c r="C3612" s="243">
        <f t="shared" si="1374"/>
        <v>46387</v>
      </c>
      <c r="D3612" s="120">
        <f t="shared" si="1375"/>
        <v>31</v>
      </c>
      <c r="E3612" s="120">
        <f t="shared" si="1376"/>
        <v>12</v>
      </c>
      <c r="F3612" s="275">
        <f t="shared" si="1377"/>
        <v>46372.5</v>
      </c>
      <c r="G3612" s="120">
        <f t="shared" si="1378"/>
        <v>24323</v>
      </c>
      <c r="H3612" s="245">
        <f t="shared" si="1379"/>
        <v>1</v>
      </c>
      <c r="I3612" s="121">
        <f t="shared" si="1380"/>
        <v>1</v>
      </c>
      <c r="J3612" s="121">
        <f t="shared" si="1381"/>
        <v>1</v>
      </c>
      <c r="K3612" s="120">
        <f t="shared" si="1382"/>
        <v>0</v>
      </c>
      <c r="L3612" s="120">
        <f t="shared" si="1383"/>
        <v>0</v>
      </c>
      <c r="M3612" s="246">
        <f t="shared" si="1384"/>
        <v>0</v>
      </c>
      <c r="N3612" s="121">
        <f t="shared" si="1385"/>
        <v>1</v>
      </c>
      <c r="O3612" s="246">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87">
        <v>25</v>
      </c>
      <c r="B3613" s="242">
        <f t="shared" si="1393"/>
        <v>46388</v>
      </c>
      <c r="C3613" s="243">
        <f t="shared" si="1374"/>
        <v>46418</v>
      </c>
      <c r="D3613" s="120">
        <f t="shared" si="1375"/>
        <v>31</v>
      </c>
      <c r="E3613" s="120">
        <f t="shared" si="1376"/>
        <v>1</v>
      </c>
      <c r="F3613" s="275">
        <f t="shared" si="1377"/>
        <v>46403.5</v>
      </c>
      <c r="G3613" s="120">
        <f t="shared" si="1378"/>
        <v>24324</v>
      </c>
      <c r="H3613" s="245">
        <f t="shared" si="1379"/>
        <v>1</v>
      </c>
      <c r="I3613" s="121">
        <f t="shared" si="1380"/>
        <v>1</v>
      </c>
      <c r="J3613" s="121">
        <f t="shared" si="1381"/>
        <v>1</v>
      </c>
      <c r="K3613" s="120">
        <f t="shared" si="1382"/>
        <v>0</v>
      </c>
      <c r="L3613" s="120">
        <f t="shared" si="1383"/>
        <v>0</v>
      </c>
      <c r="M3613" s="246">
        <f t="shared" si="1384"/>
        <v>0</v>
      </c>
      <c r="N3613" s="121">
        <f t="shared" si="1385"/>
        <v>1</v>
      </c>
      <c r="O3613" s="246">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87">
        <v>26</v>
      </c>
      <c r="B3614" s="242">
        <f t="shared" si="1393"/>
        <v>46419</v>
      </c>
      <c r="C3614" s="243">
        <f t="shared" si="1374"/>
        <v>46446</v>
      </c>
      <c r="D3614" s="120">
        <f t="shared" si="1375"/>
        <v>28</v>
      </c>
      <c r="E3614" s="120">
        <f t="shared" si="1376"/>
        <v>2</v>
      </c>
      <c r="F3614" s="275">
        <f t="shared" si="1377"/>
        <v>46433</v>
      </c>
      <c r="G3614" s="120">
        <f t="shared" si="1378"/>
        <v>24325</v>
      </c>
      <c r="H3614" s="245">
        <f t="shared" si="1379"/>
        <v>1</v>
      </c>
      <c r="I3614" s="121">
        <f t="shared" si="1380"/>
        <v>1</v>
      </c>
      <c r="J3614" s="121">
        <f t="shared" si="1381"/>
        <v>1</v>
      </c>
      <c r="K3614" s="120">
        <f t="shared" si="1382"/>
        <v>0</v>
      </c>
      <c r="L3614" s="120">
        <f t="shared" si="1383"/>
        <v>0</v>
      </c>
      <c r="M3614" s="246">
        <f t="shared" si="1384"/>
        <v>0</v>
      </c>
      <c r="N3614" s="121">
        <f t="shared" si="1385"/>
        <v>1</v>
      </c>
      <c r="O3614" s="246">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87">
        <v>27</v>
      </c>
      <c r="B3615" s="242">
        <f t="shared" si="1393"/>
        <v>46447</v>
      </c>
      <c r="C3615" s="243">
        <f t="shared" si="1374"/>
        <v>46477</v>
      </c>
      <c r="D3615" s="120">
        <f t="shared" si="1375"/>
        <v>31</v>
      </c>
      <c r="E3615" s="120">
        <f t="shared" si="1376"/>
        <v>3</v>
      </c>
      <c r="F3615" s="275">
        <f t="shared" si="1377"/>
        <v>46462.5</v>
      </c>
      <c r="G3615" s="120">
        <f t="shared" si="1378"/>
        <v>24326</v>
      </c>
      <c r="H3615" s="245">
        <f t="shared" si="1379"/>
        <v>1</v>
      </c>
      <c r="I3615" s="121">
        <f t="shared" si="1380"/>
        <v>1</v>
      </c>
      <c r="J3615" s="121">
        <f t="shared" si="1381"/>
        <v>1</v>
      </c>
      <c r="K3615" s="120">
        <f t="shared" si="1382"/>
        <v>0</v>
      </c>
      <c r="L3615" s="120">
        <f t="shared" si="1383"/>
        <v>0</v>
      </c>
      <c r="M3615" s="246">
        <f t="shared" si="1384"/>
        <v>0</v>
      </c>
      <c r="N3615" s="121">
        <f t="shared" si="1385"/>
        <v>1</v>
      </c>
      <c r="O3615" s="246">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87">
        <v>28</v>
      </c>
      <c r="B3616" s="242">
        <f t="shared" si="1393"/>
        <v>46478</v>
      </c>
      <c r="C3616" s="243">
        <f t="shared" si="1374"/>
        <v>46507</v>
      </c>
      <c r="D3616" s="120">
        <f t="shared" si="1375"/>
        <v>30</v>
      </c>
      <c r="E3616" s="120">
        <f t="shared" si="1376"/>
        <v>4</v>
      </c>
      <c r="F3616" s="275">
        <f t="shared" si="1377"/>
        <v>46493</v>
      </c>
      <c r="G3616" s="120">
        <f t="shared" si="1378"/>
        <v>24327</v>
      </c>
      <c r="H3616" s="245">
        <f t="shared" si="1379"/>
        <v>1</v>
      </c>
      <c r="I3616" s="121">
        <f t="shared" si="1380"/>
        <v>1</v>
      </c>
      <c r="J3616" s="121">
        <f t="shared" si="1381"/>
        <v>1</v>
      </c>
      <c r="K3616" s="120">
        <f t="shared" si="1382"/>
        <v>0</v>
      </c>
      <c r="L3616" s="120">
        <f t="shared" si="1383"/>
        <v>0</v>
      </c>
      <c r="M3616" s="246">
        <f t="shared" si="1384"/>
        <v>0</v>
      </c>
      <c r="N3616" s="121">
        <f t="shared" si="1385"/>
        <v>1</v>
      </c>
      <c r="O3616" s="246">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87">
        <v>29</v>
      </c>
      <c r="B3617" s="242">
        <f t="shared" si="1393"/>
        <v>46508</v>
      </c>
      <c r="C3617" s="243">
        <f t="shared" si="1374"/>
        <v>46538</v>
      </c>
      <c r="D3617" s="120">
        <f t="shared" si="1375"/>
        <v>31</v>
      </c>
      <c r="E3617" s="120">
        <f t="shared" si="1376"/>
        <v>5</v>
      </c>
      <c r="F3617" s="275">
        <f t="shared" si="1377"/>
        <v>46523.5</v>
      </c>
      <c r="G3617" s="120">
        <f t="shared" si="1378"/>
        <v>24328</v>
      </c>
      <c r="H3617" s="245">
        <f t="shared" si="1379"/>
        <v>1</v>
      </c>
      <c r="I3617" s="121">
        <f t="shared" si="1380"/>
        <v>1</v>
      </c>
      <c r="J3617" s="121">
        <f t="shared" si="1381"/>
        <v>1</v>
      </c>
      <c r="K3617" s="120">
        <f t="shared" si="1382"/>
        <v>0</v>
      </c>
      <c r="L3617" s="120">
        <f t="shared" si="1383"/>
        <v>0</v>
      </c>
      <c r="M3617" s="246">
        <f t="shared" si="1384"/>
        <v>0</v>
      </c>
      <c r="N3617" s="121">
        <f t="shared" si="1385"/>
        <v>1</v>
      </c>
      <c r="O3617" s="246">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87">
        <v>30</v>
      </c>
      <c r="B3618" s="242">
        <f t="shared" si="1393"/>
        <v>46539</v>
      </c>
      <c r="C3618" s="243">
        <f t="shared" si="1374"/>
        <v>46568</v>
      </c>
      <c r="D3618" s="120">
        <f t="shared" si="1375"/>
        <v>30</v>
      </c>
      <c r="E3618" s="120">
        <f t="shared" si="1376"/>
        <v>6</v>
      </c>
      <c r="F3618" s="275">
        <f t="shared" si="1377"/>
        <v>46554</v>
      </c>
      <c r="G3618" s="120">
        <f t="shared" si="1378"/>
        <v>24329</v>
      </c>
      <c r="H3618" s="245">
        <f t="shared" si="1379"/>
        <v>1</v>
      </c>
      <c r="I3618" s="121">
        <f t="shared" si="1380"/>
        <v>1</v>
      </c>
      <c r="J3618" s="121">
        <f t="shared" si="1381"/>
        <v>1</v>
      </c>
      <c r="K3618" s="120">
        <f t="shared" si="1382"/>
        <v>0</v>
      </c>
      <c r="L3618" s="120">
        <f t="shared" si="1383"/>
        <v>0</v>
      </c>
      <c r="M3618" s="246">
        <f t="shared" si="1384"/>
        <v>0</v>
      </c>
      <c r="N3618" s="121">
        <f t="shared" si="1385"/>
        <v>1</v>
      </c>
      <c r="O3618" s="246">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87">
        <v>31</v>
      </c>
      <c r="B3619" s="242">
        <f t="shared" si="1393"/>
        <v>46569</v>
      </c>
      <c r="C3619" s="243">
        <f t="shared" si="1374"/>
        <v>46599</v>
      </c>
      <c r="D3619" s="120">
        <f t="shared" si="1375"/>
        <v>31</v>
      </c>
      <c r="E3619" s="120">
        <f t="shared" si="1376"/>
        <v>7</v>
      </c>
      <c r="F3619" s="275">
        <f t="shared" si="1377"/>
        <v>46584.5</v>
      </c>
      <c r="G3619" s="120">
        <f t="shared" si="1378"/>
        <v>24330</v>
      </c>
      <c r="H3619" s="245">
        <f t="shared" si="1379"/>
        <v>1</v>
      </c>
      <c r="I3619" s="121">
        <f t="shared" si="1380"/>
        <v>1</v>
      </c>
      <c r="J3619" s="121">
        <f t="shared" si="1381"/>
        <v>1</v>
      </c>
      <c r="K3619" s="120">
        <f t="shared" si="1382"/>
        <v>0</v>
      </c>
      <c r="L3619" s="120">
        <f t="shared" si="1383"/>
        <v>0</v>
      </c>
      <c r="M3619" s="246">
        <f t="shared" si="1384"/>
        <v>0</v>
      </c>
      <c r="N3619" s="121">
        <f t="shared" si="1385"/>
        <v>1</v>
      </c>
      <c r="O3619" s="246">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87">
        <v>32</v>
      </c>
      <c r="B3620" s="242">
        <f t="shared" si="1393"/>
        <v>46600</v>
      </c>
      <c r="C3620" s="243">
        <f t="shared" si="1374"/>
        <v>46630</v>
      </c>
      <c r="D3620" s="120">
        <f t="shared" si="1375"/>
        <v>31</v>
      </c>
      <c r="E3620" s="120">
        <f t="shared" si="1376"/>
        <v>8</v>
      </c>
      <c r="F3620" s="275">
        <f t="shared" si="1377"/>
        <v>46615.5</v>
      </c>
      <c r="G3620" s="120">
        <f t="shared" si="1378"/>
        <v>24331</v>
      </c>
      <c r="H3620" s="245">
        <f t="shared" si="1379"/>
        <v>1</v>
      </c>
      <c r="I3620" s="121">
        <f t="shared" si="1380"/>
        <v>1</v>
      </c>
      <c r="J3620" s="121">
        <f t="shared" si="1381"/>
        <v>1</v>
      </c>
      <c r="K3620" s="120">
        <f t="shared" si="1382"/>
        <v>0</v>
      </c>
      <c r="L3620" s="120">
        <f t="shared" si="1383"/>
        <v>0</v>
      </c>
      <c r="M3620" s="246">
        <f t="shared" si="1384"/>
        <v>0</v>
      </c>
      <c r="N3620" s="121">
        <f t="shared" si="1385"/>
        <v>1</v>
      </c>
      <c r="O3620" s="246">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87">
        <v>33</v>
      </c>
      <c r="B3621" s="242">
        <f t="shared" si="1393"/>
        <v>46631</v>
      </c>
      <c r="C3621" s="243">
        <f t="shared" si="1374"/>
        <v>46660</v>
      </c>
      <c r="D3621" s="120">
        <f t="shared" si="1375"/>
        <v>30</v>
      </c>
      <c r="E3621" s="120">
        <f t="shared" si="1376"/>
        <v>9</v>
      </c>
      <c r="F3621" s="275">
        <f t="shared" si="1377"/>
        <v>46646</v>
      </c>
      <c r="G3621" s="120">
        <f t="shared" si="1378"/>
        <v>24332</v>
      </c>
      <c r="H3621" s="245">
        <f t="shared" si="1379"/>
        <v>1</v>
      </c>
      <c r="I3621" s="121">
        <f t="shared" si="1380"/>
        <v>1</v>
      </c>
      <c r="J3621" s="121">
        <f t="shared" si="1381"/>
        <v>1</v>
      </c>
      <c r="K3621" s="120">
        <f t="shared" si="1382"/>
        <v>0</v>
      </c>
      <c r="L3621" s="120">
        <f t="shared" si="1383"/>
        <v>0</v>
      </c>
      <c r="M3621" s="246">
        <f t="shared" si="1384"/>
        <v>0</v>
      </c>
      <c r="N3621" s="121">
        <f t="shared" si="1385"/>
        <v>1</v>
      </c>
      <c r="O3621" s="246">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87">
        <v>34</v>
      </c>
      <c r="B3622" s="242">
        <f t="shared" si="1393"/>
        <v>46661</v>
      </c>
      <c r="C3622" s="243">
        <f t="shared" si="1374"/>
        <v>46691</v>
      </c>
      <c r="D3622" s="120">
        <f t="shared" si="1375"/>
        <v>31</v>
      </c>
      <c r="E3622" s="120">
        <f t="shared" si="1376"/>
        <v>10</v>
      </c>
      <c r="F3622" s="275">
        <f t="shared" si="1377"/>
        <v>46676.5</v>
      </c>
      <c r="G3622" s="120">
        <f t="shared" si="1378"/>
        <v>24333</v>
      </c>
      <c r="H3622" s="245">
        <f t="shared" si="1379"/>
        <v>1</v>
      </c>
      <c r="I3622" s="121">
        <f t="shared" si="1380"/>
        <v>1</v>
      </c>
      <c r="J3622" s="121">
        <f t="shared" si="1381"/>
        <v>1</v>
      </c>
      <c r="K3622" s="120">
        <f t="shared" si="1382"/>
        <v>0</v>
      </c>
      <c r="L3622" s="120">
        <f t="shared" si="1383"/>
        <v>0</v>
      </c>
      <c r="M3622" s="246">
        <f t="shared" si="1384"/>
        <v>0</v>
      </c>
      <c r="N3622" s="121">
        <f t="shared" si="1385"/>
        <v>1</v>
      </c>
      <c r="O3622" s="246">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87">
        <v>35</v>
      </c>
      <c r="B3623" s="242">
        <f t="shared" si="1393"/>
        <v>46692</v>
      </c>
      <c r="C3623" s="243">
        <f t="shared" si="1374"/>
        <v>46721</v>
      </c>
      <c r="D3623" s="120">
        <f t="shared" si="1375"/>
        <v>30</v>
      </c>
      <c r="E3623" s="120">
        <f t="shared" si="1376"/>
        <v>11</v>
      </c>
      <c r="F3623" s="275">
        <f t="shared" si="1377"/>
        <v>46707</v>
      </c>
      <c r="G3623" s="120">
        <f t="shared" si="1378"/>
        <v>24334</v>
      </c>
      <c r="H3623" s="245">
        <f t="shared" si="1379"/>
        <v>1</v>
      </c>
      <c r="I3623" s="121">
        <f t="shared" si="1380"/>
        <v>1</v>
      </c>
      <c r="J3623" s="121">
        <f t="shared" si="1381"/>
        <v>1</v>
      </c>
      <c r="K3623" s="120">
        <f t="shared" si="1382"/>
        <v>0</v>
      </c>
      <c r="L3623" s="120">
        <f t="shared" si="1383"/>
        <v>0</v>
      </c>
      <c r="M3623" s="246">
        <f t="shared" si="1384"/>
        <v>0</v>
      </c>
      <c r="N3623" s="121">
        <f t="shared" si="1385"/>
        <v>1</v>
      </c>
      <c r="O3623" s="246">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87">
        <v>36</v>
      </c>
      <c r="B3624" s="242">
        <f t="shared" si="1393"/>
        <v>46722</v>
      </c>
      <c r="C3624" s="243">
        <f t="shared" si="1374"/>
        <v>46752</v>
      </c>
      <c r="D3624" s="120">
        <f t="shared" si="1375"/>
        <v>31</v>
      </c>
      <c r="E3624" s="120">
        <f t="shared" si="1376"/>
        <v>12</v>
      </c>
      <c r="F3624" s="275">
        <f t="shared" si="1377"/>
        <v>46737.5</v>
      </c>
      <c r="G3624" s="120">
        <f t="shared" si="1378"/>
        <v>24335</v>
      </c>
      <c r="H3624" s="245">
        <f t="shared" si="1379"/>
        <v>1</v>
      </c>
      <c r="I3624" s="121">
        <f t="shared" si="1380"/>
        <v>1</v>
      </c>
      <c r="J3624" s="121">
        <f t="shared" si="1381"/>
        <v>1</v>
      </c>
      <c r="K3624" s="120">
        <f t="shared" si="1382"/>
        <v>0</v>
      </c>
      <c r="L3624" s="120">
        <f t="shared" si="1383"/>
        <v>0</v>
      </c>
      <c r="M3624" s="246">
        <f t="shared" si="1384"/>
        <v>0</v>
      </c>
      <c r="N3624" s="121">
        <f t="shared" si="1385"/>
        <v>1</v>
      </c>
      <c r="O3624" s="246">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87">
        <v>37</v>
      </c>
      <c r="B3625" s="242">
        <f t="shared" si="1393"/>
        <v>46753</v>
      </c>
      <c r="C3625" s="243">
        <f t="shared" si="1374"/>
        <v>46783</v>
      </c>
      <c r="D3625" s="120">
        <f t="shared" si="1375"/>
        <v>31</v>
      </c>
      <c r="E3625" s="120">
        <f t="shared" si="1376"/>
        <v>1</v>
      </c>
      <c r="F3625" s="275">
        <f t="shared" si="1377"/>
        <v>46768.5</v>
      </c>
      <c r="G3625" s="120">
        <f t="shared" si="1378"/>
        <v>24336</v>
      </c>
      <c r="H3625" s="245">
        <f t="shared" si="1379"/>
        <v>1</v>
      </c>
      <c r="I3625" s="121">
        <f t="shared" si="1380"/>
        <v>1</v>
      </c>
      <c r="J3625" s="121">
        <f t="shared" si="1381"/>
        <v>1</v>
      </c>
      <c r="K3625" s="120">
        <f t="shared" si="1382"/>
        <v>0</v>
      </c>
      <c r="L3625" s="120">
        <f t="shared" si="1383"/>
        <v>0</v>
      </c>
      <c r="M3625" s="246">
        <f t="shared" si="1384"/>
        <v>0</v>
      </c>
      <c r="N3625" s="121">
        <f t="shared" si="1385"/>
        <v>1</v>
      </c>
      <c r="O3625" s="246">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87">
        <v>38</v>
      </c>
      <c r="B3626" s="242">
        <f t="shared" si="1393"/>
        <v>46784</v>
      </c>
      <c r="C3626" s="243">
        <f t="shared" si="1374"/>
        <v>46812</v>
      </c>
      <c r="D3626" s="120">
        <f t="shared" si="1375"/>
        <v>29</v>
      </c>
      <c r="E3626" s="120">
        <f t="shared" si="1376"/>
        <v>2</v>
      </c>
      <c r="F3626" s="275">
        <f t="shared" si="1377"/>
        <v>46798.5</v>
      </c>
      <c r="G3626" s="120">
        <f t="shared" si="1378"/>
        <v>24337</v>
      </c>
      <c r="H3626" s="245">
        <f t="shared" si="1379"/>
        <v>1</v>
      </c>
      <c r="I3626" s="121">
        <f t="shared" si="1380"/>
        <v>1</v>
      </c>
      <c r="J3626" s="121">
        <f t="shared" si="1381"/>
        <v>1</v>
      </c>
      <c r="K3626" s="120">
        <f t="shared" si="1382"/>
        <v>0</v>
      </c>
      <c r="L3626" s="120">
        <f t="shared" si="1383"/>
        <v>0</v>
      </c>
      <c r="M3626" s="246">
        <f t="shared" si="1384"/>
        <v>0</v>
      </c>
      <c r="N3626" s="121">
        <f t="shared" si="1385"/>
        <v>1</v>
      </c>
      <c r="O3626" s="246">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87">
        <v>39</v>
      </c>
      <c r="B3627" s="242">
        <f t="shared" si="1393"/>
        <v>46813</v>
      </c>
      <c r="C3627" s="243">
        <f t="shared" si="1374"/>
        <v>46843</v>
      </c>
      <c r="D3627" s="120">
        <f t="shared" si="1375"/>
        <v>31</v>
      </c>
      <c r="E3627" s="120">
        <f t="shared" si="1376"/>
        <v>3</v>
      </c>
      <c r="F3627" s="275">
        <f t="shared" si="1377"/>
        <v>46828.5</v>
      </c>
      <c r="G3627" s="120">
        <f t="shared" si="1378"/>
        <v>24338</v>
      </c>
      <c r="H3627" s="245">
        <f t="shared" si="1379"/>
        <v>1</v>
      </c>
      <c r="I3627" s="121">
        <f t="shared" si="1380"/>
        <v>1</v>
      </c>
      <c r="J3627" s="121">
        <f t="shared" si="1381"/>
        <v>1</v>
      </c>
      <c r="K3627" s="120">
        <f t="shared" si="1382"/>
        <v>0</v>
      </c>
      <c r="L3627" s="120">
        <f t="shared" si="1383"/>
        <v>0</v>
      </c>
      <c r="M3627" s="246">
        <f t="shared" si="1384"/>
        <v>0</v>
      </c>
      <c r="N3627" s="121">
        <f t="shared" si="1385"/>
        <v>1</v>
      </c>
      <c r="O3627" s="246">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87">
        <v>40</v>
      </c>
      <c r="B3628" s="242">
        <f t="shared" si="1393"/>
        <v>46844</v>
      </c>
      <c r="C3628" s="243">
        <f t="shared" si="1374"/>
        <v>46873</v>
      </c>
      <c r="D3628" s="120">
        <f t="shared" si="1375"/>
        <v>30</v>
      </c>
      <c r="E3628" s="120">
        <f t="shared" si="1376"/>
        <v>4</v>
      </c>
      <c r="F3628" s="275">
        <f t="shared" si="1377"/>
        <v>46859</v>
      </c>
      <c r="G3628" s="120">
        <f t="shared" si="1378"/>
        <v>24339</v>
      </c>
      <c r="H3628" s="245">
        <f t="shared" si="1379"/>
        <v>1</v>
      </c>
      <c r="I3628" s="121">
        <f t="shared" si="1380"/>
        <v>1</v>
      </c>
      <c r="J3628" s="121">
        <f t="shared" si="1381"/>
        <v>1</v>
      </c>
      <c r="K3628" s="120">
        <f t="shared" si="1382"/>
        <v>0</v>
      </c>
      <c r="L3628" s="120">
        <f t="shared" si="1383"/>
        <v>0</v>
      </c>
      <c r="M3628" s="246">
        <f t="shared" si="1384"/>
        <v>0</v>
      </c>
      <c r="N3628" s="121">
        <f t="shared" si="1385"/>
        <v>1</v>
      </c>
      <c r="O3628" s="246">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87">
        <v>41</v>
      </c>
      <c r="B3629" s="242">
        <f t="shared" si="1393"/>
        <v>46874</v>
      </c>
      <c r="C3629" s="243">
        <f t="shared" si="1374"/>
        <v>46904</v>
      </c>
      <c r="D3629" s="120">
        <f t="shared" si="1375"/>
        <v>31</v>
      </c>
      <c r="E3629" s="120">
        <f t="shared" si="1376"/>
        <v>5</v>
      </c>
      <c r="F3629" s="275">
        <f t="shared" si="1377"/>
        <v>46889.5</v>
      </c>
      <c r="G3629" s="120">
        <f t="shared" si="1378"/>
        <v>24340</v>
      </c>
      <c r="H3629" s="245">
        <f t="shared" si="1379"/>
        <v>1</v>
      </c>
      <c r="I3629" s="121">
        <f t="shared" si="1380"/>
        <v>1</v>
      </c>
      <c r="J3629" s="121">
        <f t="shared" si="1381"/>
        <v>1</v>
      </c>
      <c r="K3629" s="120">
        <f t="shared" si="1382"/>
        <v>0</v>
      </c>
      <c r="L3629" s="120">
        <f t="shared" si="1383"/>
        <v>0</v>
      </c>
      <c r="M3629" s="246">
        <f t="shared" si="1384"/>
        <v>0</v>
      </c>
      <c r="N3629" s="121">
        <f t="shared" si="1385"/>
        <v>1</v>
      </c>
      <c r="O3629" s="246">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87">
        <v>42</v>
      </c>
      <c r="B3630" s="242">
        <f t="shared" si="1393"/>
        <v>46905</v>
      </c>
      <c r="C3630" s="243">
        <f t="shared" si="1374"/>
        <v>46934</v>
      </c>
      <c r="D3630" s="120">
        <f t="shared" si="1375"/>
        <v>30</v>
      </c>
      <c r="E3630" s="120">
        <f t="shared" si="1376"/>
        <v>6</v>
      </c>
      <c r="F3630" s="275">
        <f t="shared" si="1377"/>
        <v>46920</v>
      </c>
      <c r="G3630" s="120">
        <f t="shared" si="1378"/>
        <v>24341</v>
      </c>
      <c r="H3630" s="245">
        <f t="shared" si="1379"/>
        <v>1</v>
      </c>
      <c r="I3630" s="121">
        <f t="shared" si="1380"/>
        <v>1</v>
      </c>
      <c r="J3630" s="121">
        <f t="shared" si="1381"/>
        <v>1</v>
      </c>
      <c r="K3630" s="120">
        <f t="shared" si="1382"/>
        <v>0</v>
      </c>
      <c r="L3630" s="120">
        <f t="shared" si="1383"/>
        <v>0</v>
      </c>
      <c r="M3630" s="246">
        <f t="shared" si="1384"/>
        <v>0</v>
      </c>
      <c r="N3630" s="121">
        <f t="shared" si="1385"/>
        <v>1</v>
      </c>
      <c r="O3630" s="246">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87">
        <v>43</v>
      </c>
      <c r="B3631" s="242">
        <f t="shared" si="1393"/>
        <v>46935</v>
      </c>
      <c r="C3631" s="243">
        <f t="shared" si="1374"/>
        <v>46965</v>
      </c>
      <c r="D3631" s="120">
        <f t="shared" si="1375"/>
        <v>31</v>
      </c>
      <c r="E3631" s="120">
        <f t="shared" si="1376"/>
        <v>7</v>
      </c>
      <c r="F3631" s="275">
        <f t="shared" si="1377"/>
        <v>46950.5</v>
      </c>
      <c r="G3631" s="120">
        <f t="shared" si="1378"/>
        <v>24342</v>
      </c>
      <c r="H3631" s="245">
        <f t="shared" si="1379"/>
        <v>1</v>
      </c>
      <c r="I3631" s="121">
        <f t="shared" si="1380"/>
        <v>1</v>
      </c>
      <c r="J3631" s="121">
        <f t="shared" si="1381"/>
        <v>1</v>
      </c>
      <c r="K3631" s="120">
        <f t="shared" si="1382"/>
        <v>0</v>
      </c>
      <c r="L3631" s="120">
        <f t="shared" si="1383"/>
        <v>0</v>
      </c>
      <c r="M3631" s="246">
        <f t="shared" si="1384"/>
        <v>0</v>
      </c>
      <c r="N3631" s="121">
        <f t="shared" si="1385"/>
        <v>1</v>
      </c>
      <c r="O3631" s="246">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87">
        <v>44</v>
      </c>
      <c r="B3632" s="242">
        <f t="shared" si="1393"/>
        <v>46966</v>
      </c>
      <c r="C3632" s="243">
        <f t="shared" si="1374"/>
        <v>46996</v>
      </c>
      <c r="D3632" s="120">
        <f t="shared" si="1375"/>
        <v>31</v>
      </c>
      <c r="E3632" s="120">
        <f t="shared" si="1376"/>
        <v>8</v>
      </c>
      <c r="F3632" s="275">
        <f t="shared" si="1377"/>
        <v>46981.5</v>
      </c>
      <c r="G3632" s="120">
        <f t="shared" si="1378"/>
        <v>24343</v>
      </c>
      <c r="H3632" s="245">
        <f t="shared" si="1379"/>
        <v>1</v>
      </c>
      <c r="I3632" s="121">
        <f t="shared" si="1380"/>
        <v>1</v>
      </c>
      <c r="J3632" s="121">
        <f t="shared" si="1381"/>
        <v>1</v>
      </c>
      <c r="K3632" s="120">
        <f t="shared" si="1382"/>
        <v>0</v>
      </c>
      <c r="L3632" s="120">
        <f t="shared" si="1383"/>
        <v>0</v>
      </c>
      <c r="M3632" s="246">
        <f t="shared" si="1384"/>
        <v>0</v>
      </c>
      <c r="N3632" s="121">
        <f t="shared" si="1385"/>
        <v>1</v>
      </c>
      <c r="O3632" s="246">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87">
        <v>45</v>
      </c>
      <c r="B3633" s="242">
        <f t="shared" si="1393"/>
        <v>46997</v>
      </c>
      <c r="C3633" s="243">
        <f t="shared" si="1374"/>
        <v>47026</v>
      </c>
      <c r="D3633" s="120">
        <f t="shared" si="1375"/>
        <v>30</v>
      </c>
      <c r="E3633" s="120">
        <f t="shared" si="1376"/>
        <v>9</v>
      </c>
      <c r="F3633" s="275">
        <f t="shared" si="1377"/>
        <v>47012</v>
      </c>
      <c r="G3633" s="120">
        <f t="shared" si="1378"/>
        <v>24344</v>
      </c>
      <c r="H3633" s="245">
        <f t="shared" si="1379"/>
        <v>1</v>
      </c>
      <c r="I3633" s="121">
        <f t="shared" si="1380"/>
        <v>1</v>
      </c>
      <c r="J3633" s="121">
        <f t="shared" si="1381"/>
        <v>1</v>
      </c>
      <c r="K3633" s="120">
        <f t="shared" si="1382"/>
        <v>0</v>
      </c>
      <c r="L3633" s="120">
        <f t="shared" si="1383"/>
        <v>0</v>
      </c>
      <c r="M3633" s="246">
        <f t="shared" si="1384"/>
        <v>0</v>
      </c>
      <c r="N3633" s="121">
        <f t="shared" si="1385"/>
        <v>1</v>
      </c>
      <c r="O3633" s="246">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87">
        <v>46</v>
      </c>
      <c r="B3634" s="242">
        <f t="shared" si="1393"/>
        <v>47027</v>
      </c>
      <c r="C3634" s="243">
        <f t="shared" si="1374"/>
        <v>47057</v>
      </c>
      <c r="D3634" s="120">
        <f t="shared" si="1375"/>
        <v>31</v>
      </c>
      <c r="E3634" s="120">
        <f t="shared" si="1376"/>
        <v>10</v>
      </c>
      <c r="F3634" s="275">
        <f t="shared" si="1377"/>
        <v>47042.5</v>
      </c>
      <c r="G3634" s="120">
        <f t="shared" si="1378"/>
        <v>24345</v>
      </c>
      <c r="H3634" s="245">
        <f t="shared" si="1379"/>
        <v>1</v>
      </c>
      <c r="I3634" s="121">
        <f t="shared" si="1380"/>
        <v>1</v>
      </c>
      <c r="J3634" s="121">
        <f t="shared" si="1381"/>
        <v>1</v>
      </c>
      <c r="K3634" s="120">
        <f t="shared" si="1382"/>
        <v>0</v>
      </c>
      <c r="L3634" s="120">
        <f t="shared" si="1383"/>
        <v>0</v>
      </c>
      <c r="M3634" s="246">
        <f t="shared" si="1384"/>
        <v>0</v>
      </c>
      <c r="N3634" s="121">
        <f t="shared" si="1385"/>
        <v>1</v>
      </c>
      <c r="O3634" s="246">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87">
        <v>47</v>
      </c>
      <c r="B3635" s="242">
        <f t="shared" si="1393"/>
        <v>47058</v>
      </c>
      <c r="C3635" s="243">
        <f t="shared" si="1374"/>
        <v>47087</v>
      </c>
      <c r="D3635" s="120">
        <f t="shared" si="1375"/>
        <v>30</v>
      </c>
      <c r="E3635" s="120">
        <f t="shared" si="1376"/>
        <v>11</v>
      </c>
      <c r="F3635" s="275">
        <f t="shared" si="1377"/>
        <v>47073</v>
      </c>
      <c r="G3635" s="120">
        <f t="shared" si="1378"/>
        <v>24346</v>
      </c>
      <c r="H3635" s="245">
        <f t="shared" si="1379"/>
        <v>1</v>
      </c>
      <c r="I3635" s="121">
        <f t="shared" si="1380"/>
        <v>1</v>
      </c>
      <c r="J3635" s="121">
        <f t="shared" si="1381"/>
        <v>1</v>
      </c>
      <c r="K3635" s="120">
        <f t="shared" si="1382"/>
        <v>0</v>
      </c>
      <c r="L3635" s="120">
        <f t="shared" si="1383"/>
        <v>0</v>
      </c>
      <c r="M3635" s="246">
        <f t="shared" si="1384"/>
        <v>0</v>
      </c>
      <c r="N3635" s="121">
        <f t="shared" si="1385"/>
        <v>1</v>
      </c>
      <c r="O3635" s="246">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87">
        <v>48</v>
      </c>
      <c r="B3636" s="242">
        <f t="shared" si="1393"/>
        <v>47088</v>
      </c>
      <c r="C3636" s="243">
        <f t="shared" si="1374"/>
        <v>47118</v>
      </c>
      <c r="D3636" s="120">
        <f t="shared" si="1375"/>
        <v>31</v>
      </c>
      <c r="E3636" s="120">
        <f t="shared" si="1376"/>
        <v>12</v>
      </c>
      <c r="F3636" s="275">
        <f t="shared" si="1377"/>
        <v>47103.5</v>
      </c>
      <c r="G3636" s="120">
        <f t="shared" si="1378"/>
        <v>24347</v>
      </c>
      <c r="H3636" s="245">
        <f t="shared" si="1379"/>
        <v>1</v>
      </c>
      <c r="I3636" s="121">
        <f t="shared" si="1380"/>
        <v>1</v>
      </c>
      <c r="J3636" s="121">
        <f t="shared" si="1381"/>
        <v>1</v>
      </c>
      <c r="K3636" s="120">
        <f t="shared" si="1382"/>
        <v>0</v>
      </c>
      <c r="L3636" s="120">
        <f t="shared" si="1383"/>
        <v>0</v>
      </c>
      <c r="M3636" s="246">
        <f t="shared" si="1384"/>
        <v>0</v>
      </c>
      <c r="N3636" s="121">
        <f t="shared" si="1385"/>
        <v>1</v>
      </c>
      <c r="O3636" s="246">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1651</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94">EOMONTH($B3643,0)</f>
        <v>45688</v>
      </c>
      <c r="D3643" s="120">
        <f t="shared" ref="D3643:D3690" si="1395">$C3643-$B3643+1</f>
        <v>31</v>
      </c>
      <c r="E3643" s="120">
        <f t="shared" ref="E3643:E3690" si="1396">MONTH($B3643)</f>
        <v>1</v>
      </c>
      <c r="F3643" s="275">
        <f t="shared" ref="F3643:F3690" si="1397">($B3643+$C3643+1)/2</f>
        <v>45673.5</v>
      </c>
      <c r="G3643" s="120">
        <f t="shared" ref="G3643:G3690" si="1398">YEAR($B3643)*12+MONTH($B3643)-1</f>
        <v>24300</v>
      </c>
      <c r="H3643" s="245">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46">
        <f t="shared" ref="M3643:M3690" si="1404">IF($K3643=0,0,MIN(1,$L3643/$D3643))</f>
        <v>0</v>
      </c>
      <c r="N3643" s="121">
        <f t="shared" ref="N3643:N3690" si="1405">IF($K3643=0,$J3643,(1-$M3643)*$I3643+$M3643*$J3643)</f>
        <v>1</v>
      </c>
      <c r="O3643" s="246">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87">
        <v>2</v>
      </c>
      <c r="B3644" s="242">
        <f t="shared" ref="B3644:B3690" si="1413">EDATE($B3643,1)</f>
        <v>45689</v>
      </c>
      <c r="C3644" s="243">
        <f t="shared" si="1394"/>
        <v>45716</v>
      </c>
      <c r="D3644" s="120">
        <f t="shared" si="1395"/>
        <v>28</v>
      </c>
      <c r="E3644" s="120">
        <f t="shared" si="1396"/>
        <v>2</v>
      </c>
      <c r="F3644" s="275">
        <f t="shared" si="1397"/>
        <v>45703</v>
      </c>
      <c r="G3644" s="120">
        <f t="shared" si="1398"/>
        <v>24301</v>
      </c>
      <c r="H3644" s="245">
        <f t="shared" si="1399"/>
        <v>1</v>
      </c>
      <c r="I3644" s="121">
        <f t="shared" si="1400"/>
        <v>1</v>
      </c>
      <c r="J3644" s="121">
        <f t="shared" si="1401"/>
        <v>1</v>
      </c>
      <c r="K3644" s="120">
        <f t="shared" si="1402"/>
        <v>0</v>
      </c>
      <c r="L3644" s="120">
        <f t="shared" si="1403"/>
        <v>0</v>
      </c>
      <c r="M3644" s="246">
        <f t="shared" si="1404"/>
        <v>0</v>
      </c>
      <c r="N3644" s="121">
        <f t="shared" si="1405"/>
        <v>1</v>
      </c>
      <c r="O3644" s="246">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87">
        <v>3</v>
      </c>
      <c r="B3645" s="242">
        <f t="shared" si="1413"/>
        <v>45717</v>
      </c>
      <c r="C3645" s="243">
        <f t="shared" si="1394"/>
        <v>45747</v>
      </c>
      <c r="D3645" s="120">
        <f t="shared" si="1395"/>
        <v>31</v>
      </c>
      <c r="E3645" s="120">
        <f t="shared" si="1396"/>
        <v>3</v>
      </c>
      <c r="F3645" s="275">
        <f t="shared" si="1397"/>
        <v>45732.5</v>
      </c>
      <c r="G3645" s="120">
        <f t="shared" si="1398"/>
        <v>24302</v>
      </c>
      <c r="H3645" s="245">
        <f t="shared" si="1399"/>
        <v>1</v>
      </c>
      <c r="I3645" s="121">
        <f t="shared" si="1400"/>
        <v>1</v>
      </c>
      <c r="J3645" s="121">
        <f t="shared" si="1401"/>
        <v>1</v>
      </c>
      <c r="K3645" s="120">
        <f t="shared" si="1402"/>
        <v>0</v>
      </c>
      <c r="L3645" s="120">
        <f t="shared" si="1403"/>
        <v>0</v>
      </c>
      <c r="M3645" s="246">
        <f t="shared" si="1404"/>
        <v>0</v>
      </c>
      <c r="N3645" s="121">
        <f t="shared" si="1405"/>
        <v>1</v>
      </c>
      <c r="O3645" s="246">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87">
        <v>4</v>
      </c>
      <c r="B3646" s="242">
        <f t="shared" si="1413"/>
        <v>45748</v>
      </c>
      <c r="C3646" s="243">
        <f t="shared" si="1394"/>
        <v>45777</v>
      </c>
      <c r="D3646" s="120">
        <f t="shared" si="1395"/>
        <v>30</v>
      </c>
      <c r="E3646" s="120">
        <f t="shared" si="1396"/>
        <v>4</v>
      </c>
      <c r="F3646" s="275">
        <f t="shared" si="1397"/>
        <v>45763</v>
      </c>
      <c r="G3646" s="120">
        <f t="shared" si="1398"/>
        <v>24303</v>
      </c>
      <c r="H3646" s="245">
        <f t="shared" si="1399"/>
        <v>1</v>
      </c>
      <c r="I3646" s="121">
        <f t="shared" si="1400"/>
        <v>1</v>
      </c>
      <c r="J3646" s="121">
        <f t="shared" si="1401"/>
        <v>1</v>
      </c>
      <c r="K3646" s="120">
        <f t="shared" si="1402"/>
        <v>0</v>
      </c>
      <c r="L3646" s="120">
        <f t="shared" si="1403"/>
        <v>0</v>
      </c>
      <c r="M3646" s="246">
        <f t="shared" si="1404"/>
        <v>0</v>
      </c>
      <c r="N3646" s="121">
        <f t="shared" si="1405"/>
        <v>1</v>
      </c>
      <c r="O3646" s="246">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87">
        <v>5</v>
      </c>
      <c r="B3647" s="242">
        <f t="shared" si="1413"/>
        <v>45778</v>
      </c>
      <c r="C3647" s="243">
        <f t="shared" si="1394"/>
        <v>45808</v>
      </c>
      <c r="D3647" s="120">
        <f t="shared" si="1395"/>
        <v>31</v>
      </c>
      <c r="E3647" s="120">
        <f t="shared" si="1396"/>
        <v>5</v>
      </c>
      <c r="F3647" s="275">
        <f t="shared" si="1397"/>
        <v>45793.5</v>
      </c>
      <c r="G3647" s="120">
        <f t="shared" si="1398"/>
        <v>24304</v>
      </c>
      <c r="H3647" s="245">
        <f t="shared" si="1399"/>
        <v>1</v>
      </c>
      <c r="I3647" s="121">
        <f t="shared" si="1400"/>
        <v>1</v>
      </c>
      <c r="J3647" s="121">
        <f t="shared" si="1401"/>
        <v>1</v>
      </c>
      <c r="K3647" s="120">
        <f t="shared" si="1402"/>
        <v>0</v>
      </c>
      <c r="L3647" s="120">
        <f t="shared" si="1403"/>
        <v>0</v>
      </c>
      <c r="M3647" s="246">
        <f t="shared" si="1404"/>
        <v>0</v>
      </c>
      <c r="N3647" s="121">
        <f t="shared" si="1405"/>
        <v>1</v>
      </c>
      <c r="O3647" s="246">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87">
        <v>6</v>
      </c>
      <c r="B3648" s="242">
        <f t="shared" si="1413"/>
        <v>45809</v>
      </c>
      <c r="C3648" s="243">
        <f t="shared" si="1394"/>
        <v>45838</v>
      </c>
      <c r="D3648" s="120">
        <f t="shared" si="1395"/>
        <v>30</v>
      </c>
      <c r="E3648" s="120">
        <f t="shared" si="1396"/>
        <v>6</v>
      </c>
      <c r="F3648" s="275">
        <f t="shared" si="1397"/>
        <v>45824</v>
      </c>
      <c r="G3648" s="120">
        <f t="shared" si="1398"/>
        <v>24305</v>
      </c>
      <c r="H3648" s="245">
        <f t="shared" si="1399"/>
        <v>1</v>
      </c>
      <c r="I3648" s="121">
        <f t="shared" si="1400"/>
        <v>1</v>
      </c>
      <c r="J3648" s="121">
        <f t="shared" si="1401"/>
        <v>1</v>
      </c>
      <c r="K3648" s="120">
        <f t="shared" si="1402"/>
        <v>0</v>
      </c>
      <c r="L3648" s="120">
        <f t="shared" si="1403"/>
        <v>0</v>
      </c>
      <c r="M3648" s="246">
        <f t="shared" si="1404"/>
        <v>0</v>
      </c>
      <c r="N3648" s="121">
        <f t="shared" si="1405"/>
        <v>1</v>
      </c>
      <c r="O3648" s="246">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87">
        <v>7</v>
      </c>
      <c r="B3649" s="242">
        <f t="shared" si="1413"/>
        <v>45839</v>
      </c>
      <c r="C3649" s="243">
        <f t="shared" si="1394"/>
        <v>45869</v>
      </c>
      <c r="D3649" s="120">
        <f t="shared" si="1395"/>
        <v>31</v>
      </c>
      <c r="E3649" s="120">
        <f t="shared" si="1396"/>
        <v>7</v>
      </c>
      <c r="F3649" s="275">
        <f t="shared" si="1397"/>
        <v>45854.5</v>
      </c>
      <c r="G3649" s="120">
        <f t="shared" si="1398"/>
        <v>24306</v>
      </c>
      <c r="H3649" s="245">
        <f t="shared" si="1399"/>
        <v>1</v>
      </c>
      <c r="I3649" s="121">
        <f t="shared" si="1400"/>
        <v>1</v>
      </c>
      <c r="J3649" s="121">
        <f t="shared" si="1401"/>
        <v>1</v>
      </c>
      <c r="K3649" s="120">
        <f t="shared" si="1402"/>
        <v>0</v>
      </c>
      <c r="L3649" s="120">
        <f t="shared" si="1403"/>
        <v>0</v>
      </c>
      <c r="M3649" s="246">
        <f t="shared" si="1404"/>
        <v>0</v>
      </c>
      <c r="N3649" s="121">
        <f t="shared" si="1405"/>
        <v>1</v>
      </c>
      <c r="O3649" s="246">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87">
        <v>8</v>
      </c>
      <c r="B3650" s="242">
        <f t="shared" si="1413"/>
        <v>45870</v>
      </c>
      <c r="C3650" s="243">
        <f t="shared" si="1394"/>
        <v>45900</v>
      </c>
      <c r="D3650" s="120">
        <f t="shared" si="1395"/>
        <v>31</v>
      </c>
      <c r="E3650" s="120">
        <f t="shared" si="1396"/>
        <v>8</v>
      </c>
      <c r="F3650" s="275">
        <f t="shared" si="1397"/>
        <v>45885.5</v>
      </c>
      <c r="G3650" s="120">
        <f t="shared" si="1398"/>
        <v>24307</v>
      </c>
      <c r="H3650" s="245">
        <f t="shared" si="1399"/>
        <v>1</v>
      </c>
      <c r="I3650" s="121">
        <f t="shared" si="1400"/>
        <v>1</v>
      </c>
      <c r="J3650" s="121">
        <f t="shared" si="1401"/>
        <v>1</v>
      </c>
      <c r="K3650" s="120">
        <f t="shared" si="1402"/>
        <v>0</v>
      </c>
      <c r="L3650" s="120">
        <f t="shared" si="1403"/>
        <v>0</v>
      </c>
      <c r="M3650" s="246">
        <f t="shared" si="1404"/>
        <v>0</v>
      </c>
      <c r="N3650" s="121">
        <f t="shared" si="1405"/>
        <v>1</v>
      </c>
      <c r="O3650" s="246">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87">
        <v>9</v>
      </c>
      <c r="B3651" s="242">
        <f t="shared" si="1413"/>
        <v>45901</v>
      </c>
      <c r="C3651" s="243">
        <f t="shared" si="1394"/>
        <v>45930</v>
      </c>
      <c r="D3651" s="120">
        <f t="shared" si="1395"/>
        <v>30</v>
      </c>
      <c r="E3651" s="120">
        <f t="shared" si="1396"/>
        <v>9</v>
      </c>
      <c r="F3651" s="275">
        <f t="shared" si="1397"/>
        <v>45916</v>
      </c>
      <c r="G3651" s="120">
        <f t="shared" si="1398"/>
        <v>24308</v>
      </c>
      <c r="H3651" s="245">
        <f t="shared" si="1399"/>
        <v>1</v>
      </c>
      <c r="I3651" s="121">
        <f t="shared" si="1400"/>
        <v>1</v>
      </c>
      <c r="J3651" s="121">
        <f t="shared" si="1401"/>
        <v>1</v>
      </c>
      <c r="K3651" s="120">
        <f t="shared" si="1402"/>
        <v>0</v>
      </c>
      <c r="L3651" s="120">
        <f t="shared" si="1403"/>
        <v>0</v>
      </c>
      <c r="M3651" s="246">
        <f t="shared" si="1404"/>
        <v>0</v>
      </c>
      <c r="N3651" s="121">
        <f t="shared" si="1405"/>
        <v>1</v>
      </c>
      <c r="O3651" s="246">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87">
        <v>10</v>
      </c>
      <c r="B3652" s="242">
        <f t="shared" si="1413"/>
        <v>45931</v>
      </c>
      <c r="C3652" s="243">
        <f t="shared" si="1394"/>
        <v>45961</v>
      </c>
      <c r="D3652" s="120">
        <f t="shared" si="1395"/>
        <v>31</v>
      </c>
      <c r="E3652" s="120">
        <f t="shared" si="1396"/>
        <v>10</v>
      </c>
      <c r="F3652" s="275">
        <f t="shared" si="1397"/>
        <v>45946.5</v>
      </c>
      <c r="G3652" s="120">
        <f t="shared" si="1398"/>
        <v>24309</v>
      </c>
      <c r="H3652" s="245">
        <f t="shared" si="1399"/>
        <v>1</v>
      </c>
      <c r="I3652" s="121">
        <f t="shared" si="1400"/>
        <v>1</v>
      </c>
      <c r="J3652" s="121">
        <f t="shared" si="1401"/>
        <v>1</v>
      </c>
      <c r="K3652" s="120">
        <f t="shared" si="1402"/>
        <v>0</v>
      </c>
      <c r="L3652" s="120">
        <f t="shared" si="1403"/>
        <v>0</v>
      </c>
      <c r="M3652" s="246">
        <f t="shared" si="1404"/>
        <v>0</v>
      </c>
      <c r="N3652" s="121">
        <f t="shared" si="1405"/>
        <v>1</v>
      </c>
      <c r="O3652" s="246">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87">
        <v>11</v>
      </c>
      <c r="B3653" s="242">
        <f t="shared" si="1413"/>
        <v>45962</v>
      </c>
      <c r="C3653" s="243">
        <f t="shared" si="1394"/>
        <v>45991</v>
      </c>
      <c r="D3653" s="120">
        <f t="shared" si="1395"/>
        <v>30</v>
      </c>
      <c r="E3653" s="120">
        <f t="shared" si="1396"/>
        <v>11</v>
      </c>
      <c r="F3653" s="275">
        <f t="shared" si="1397"/>
        <v>45977</v>
      </c>
      <c r="G3653" s="120">
        <f t="shared" si="1398"/>
        <v>24310</v>
      </c>
      <c r="H3653" s="245">
        <f t="shared" si="1399"/>
        <v>1</v>
      </c>
      <c r="I3653" s="121">
        <f t="shared" si="1400"/>
        <v>1</v>
      </c>
      <c r="J3653" s="121">
        <f t="shared" si="1401"/>
        <v>1</v>
      </c>
      <c r="K3653" s="120">
        <f t="shared" si="1402"/>
        <v>0</v>
      </c>
      <c r="L3653" s="120">
        <f t="shared" si="1403"/>
        <v>0</v>
      </c>
      <c r="M3653" s="246">
        <f t="shared" si="1404"/>
        <v>0</v>
      </c>
      <c r="N3653" s="121">
        <f t="shared" si="1405"/>
        <v>1</v>
      </c>
      <c r="O3653" s="246">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87">
        <v>12</v>
      </c>
      <c r="B3654" s="242">
        <f t="shared" si="1413"/>
        <v>45992</v>
      </c>
      <c r="C3654" s="243">
        <f t="shared" si="1394"/>
        <v>46022</v>
      </c>
      <c r="D3654" s="120">
        <f t="shared" si="1395"/>
        <v>31</v>
      </c>
      <c r="E3654" s="120">
        <f t="shared" si="1396"/>
        <v>12</v>
      </c>
      <c r="F3654" s="275">
        <f t="shared" si="1397"/>
        <v>46007.5</v>
      </c>
      <c r="G3654" s="120">
        <f t="shared" si="1398"/>
        <v>24311</v>
      </c>
      <c r="H3654" s="245">
        <f t="shared" si="1399"/>
        <v>1</v>
      </c>
      <c r="I3654" s="121">
        <f t="shared" si="1400"/>
        <v>1</v>
      </c>
      <c r="J3654" s="121">
        <f t="shared" si="1401"/>
        <v>1</v>
      </c>
      <c r="K3654" s="120">
        <f t="shared" si="1402"/>
        <v>0</v>
      </c>
      <c r="L3654" s="120">
        <f t="shared" si="1403"/>
        <v>0</v>
      </c>
      <c r="M3654" s="246">
        <f t="shared" si="1404"/>
        <v>0</v>
      </c>
      <c r="N3654" s="121">
        <f t="shared" si="1405"/>
        <v>1</v>
      </c>
      <c r="O3654" s="246">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87">
        <v>13</v>
      </c>
      <c r="B3655" s="242">
        <f t="shared" si="1413"/>
        <v>46023</v>
      </c>
      <c r="C3655" s="243">
        <f t="shared" si="1394"/>
        <v>46053</v>
      </c>
      <c r="D3655" s="120">
        <f t="shared" si="1395"/>
        <v>31</v>
      </c>
      <c r="E3655" s="120">
        <f t="shared" si="1396"/>
        <v>1</v>
      </c>
      <c r="F3655" s="275">
        <f t="shared" si="1397"/>
        <v>46038.5</v>
      </c>
      <c r="G3655" s="120">
        <f t="shared" si="1398"/>
        <v>24312</v>
      </c>
      <c r="H3655" s="245">
        <f t="shared" si="1399"/>
        <v>1</v>
      </c>
      <c r="I3655" s="121">
        <f t="shared" si="1400"/>
        <v>1</v>
      </c>
      <c r="J3655" s="121">
        <f t="shared" si="1401"/>
        <v>1</v>
      </c>
      <c r="K3655" s="120">
        <f t="shared" si="1402"/>
        <v>0</v>
      </c>
      <c r="L3655" s="120">
        <f t="shared" si="1403"/>
        <v>0</v>
      </c>
      <c r="M3655" s="246">
        <f t="shared" si="1404"/>
        <v>0</v>
      </c>
      <c r="N3655" s="121">
        <f t="shared" si="1405"/>
        <v>1</v>
      </c>
      <c r="O3655" s="246">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87">
        <v>14</v>
      </c>
      <c r="B3656" s="242">
        <f t="shared" si="1413"/>
        <v>46054</v>
      </c>
      <c r="C3656" s="243">
        <f t="shared" si="1394"/>
        <v>46081</v>
      </c>
      <c r="D3656" s="120">
        <f t="shared" si="1395"/>
        <v>28</v>
      </c>
      <c r="E3656" s="120">
        <f t="shared" si="1396"/>
        <v>2</v>
      </c>
      <c r="F3656" s="275">
        <f t="shared" si="1397"/>
        <v>46068</v>
      </c>
      <c r="G3656" s="120">
        <f t="shared" si="1398"/>
        <v>24313</v>
      </c>
      <c r="H3656" s="245">
        <f t="shared" si="1399"/>
        <v>1</v>
      </c>
      <c r="I3656" s="121">
        <f t="shared" si="1400"/>
        <v>1</v>
      </c>
      <c r="J3656" s="121">
        <f t="shared" si="1401"/>
        <v>1</v>
      </c>
      <c r="K3656" s="120">
        <f t="shared" si="1402"/>
        <v>0</v>
      </c>
      <c r="L3656" s="120">
        <f t="shared" si="1403"/>
        <v>0</v>
      </c>
      <c r="M3656" s="246">
        <f t="shared" si="1404"/>
        <v>0</v>
      </c>
      <c r="N3656" s="121">
        <f t="shared" si="1405"/>
        <v>1</v>
      </c>
      <c r="O3656" s="246">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87">
        <v>15</v>
      </c>
      <c r="B3657" s="242">
        <f t="shared" si="1413"/>
        <v>46082</v>
      </c>
      <c r="C3657" s="243">
        <f t="shared" si="1394"/>
        <v>46112</v>
      </c>
      <c r="D3657" s="120">
        <f t="shared" si="1395"/>
        <v>31</v>
      </c>
      <c r="E3657" s="120">
        <f t="shared" si="1396"/>
        <v>3</v>
      </c>
      <c r="F3657" s="275">
        <f t="shared" si="1397"/>
        <v>46097.5</v>
      </c>
      <c r="G3657" s="120">
        <f t="shared" si="1398"/>
        <v>24314</v>
      </c>
      <c r="H3657" s="245">
        <f t="shared" si="1399"/>
        <v>1</v>
      </c>
      <c r="I3657" s="121">
        <f t="shared" si="1400"/>
        <v>1</v>
      </c>
      <c r="J3657" s="121">
        <f t="shared" si="1401"/>
        <v>1</v>
      </c>
      <c r="K3657" s="120">
        <f t="shared" si="1402"/>
        <v>0</v>
      </c>
      <c r="L3657" s="120">
        <f t="shared" si="1403"/>
        <v>0</v>
      </c>
      <c r="M3657" s="246">
        <f t="shared" si="1404"/>
        <v>0</v>
      </c>
      <c r="N3657" s="121">
        <f t="shared" si="1405"/>
        <v>1</v>
      </c>
      <c r="O3657" s="246">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87">
        <v>16</v>
      </c>
      <c r="B3658" s="242">
        <f t="shared" si="1413"/>
        <v>46113</v>
      </c>
      <c r="C3658" s="243">
        <f t="shared" si="1394"/>
        <v>46142</v>
      </c>
      <c r="D3658" s="120">
        <f t="shared" si="1395"/>
        <v>30</v>
      </c>
      <c r="E3658" s="120">
        <f t="shared" si="1396"/>
        <v>4</v>
      </c>
      <c r="F3658" s="275">
        <f t="shared" si="1397"/>
        <v>46128</v>
      </c>
      <c r="G3658" s="120">
        <f t="shared" si="1398"/>
        <v>24315</v>
      </c>
      <c r="H3658" s="245">
        <f t="shared" si="1399"/>
        <v>1</v>
      </c>
      <c r="I3658" s="121">
        <f t="shared" si="1400"/>
        <v>1</v>
      </c>
      <c r="J3658" s="121">
        <f t="shared" si="1401"/>
        <v>1</v>
      </c>
      <c r="K3658" s="120">
        <f t="shared" si="1402"/>
        <v>0</v>
      </c>
      <c r="L3658" s="120">
        <f t="shared" si="1403"/>
        <v>0</v>
      </c>
      <c r="M3658" s="246">
        <f t="shared" si="1404"/>
        <v>0</v>
      </c>
      <c r="N3658" s="121">
        <f t="shared" si="1405"/>
        <v>1</v>
      </c>
      <c r="O3658" s="246">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87">
        <v>17</v>
      </c>
      <c r="B3659" s="242">
        <f t="shared" si="1413"/>
        <v>46143</v>
      </c>
      <c r="C3659" s="243">
        <f t="shared" si="1394"/>
        <v>46173</v>
      </c>
      <c r="D3659" s="120">
        <f t="shared" si="1395"/>
        <v>31</v>
      </c>
      <c r="E3659" s="120">
        <f t="shared" si="1396"/>
        <v>5</v>
      </c>
      <c r="F3659" s="275">
        <f t="shared" si="1397"/>
        <v>46158.5</v>
      </c>
      <c r="G3659" s="120">
        <f t="shared" si="1398"/>
        <v>24316</v>
      </c>
      <c r="H3659" s="245">
        <f t="shared" si="1399"/>
        <v>1</v>
      </c>
      <c r="I3659" s="121">
        <f t="shared" si="1400"/>
        <v>1</v>
      </c>
      <c r="J3659" s="121">
        <f t="shared" si="1401"/>
        <v>1</v>
      </c>
      <c r="K3659" s="120">
        <f t="shared" si="1402"/>
        <v>0</v>
      </c>
      <c r="L3659" s="120">
        <f t="shared" si="1403"/>
        <v>0</v>
      </c>
      <c r="M3659" s="246">
        <f t="shared" si="1404"/>
        <v>0</v>
      </c>
      <c r="N3659" s="121">
        <f t="shared" si="1405"/>
        <v>1</v>
      </c>
      <c r="O3659" s="246">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87">
        <v>18</v>
      </c>
      <c r="B3660" s="242">
        <f t="shared" si="1413"/>
        <v>46174</v>
      </c>
      <c r="C3660" s="243">
        <f t="shared" si="1394"/>
        <v>46203</v>
      </c>
      <c r="D3660" s="120">
        <f t="shared" si="1395"/>
        <v>30</v>
      </c>
      <c r="E3660" s="120">
        <f t="shared" si="1396"/>
        <v>6</v>
      </c>
      <c r="F3660" s="275">
        <f t="shared" si="1397"/>
        <v>46189</v>
      </c>
      <c r="G3660" s="120">
        <f t="shared" si="1398"/>
        <v>24317</v>
      </c>
      <c r="H3660" s="245">
        <f t="shared" si="1399"/>
        <v>1</v>
      </c>
      <c r="I3660" s="121">
        <f t="shared" si="1400"/>
        <v>1</v>
      </c>
      <c r="J3660" s="121">
        <f t="shared" si="1401"/>
        <v>1</v>
      </c>
      <c r="K3660" s="120">
        <f t="shared" si="1402"/>
        <v>0</v>
      </c>
      <c r="L3660" s="120">
        <f t="shared" si="1403"/>
        <v>0</v>
      </c>
      <c r="M3660" s="246">
        <f t="shared" si="1404"/>
        <v>0</v>
      </c>
      <c r="N3660" s="121">
        <f t="shared" si="1405"/>
        <v>1</v>
      </c>
      <c r="O3660" s="246">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87">
        <v>19</v>
      </c>
      <c r="B3661" s="242">
        <f t="shared" si="1413"/>
        <v>46204</v>
      </c>
      <c r="C3661" s="243">
        <f t="shared" si="1394"/>
        <v>46234</v>
      </c>
      <c r="D3661" s="120">
        <f t="shared" si="1395"/>
        <v>31</v>
      </c>
      <c r="E3661" s="120">
        <f t="shared" si="1396"/>
        <v>7</v>
      </c>
      <c r="F3661" s="275">
        <f t="shared" si="1397"/>
        <v>46219.5</v>
      </c>
      <c r="G3661" s="120">
        <f t="shared" si="1398"/>
        <v>24318</v>
      </c>
      <c r="H3661" s="245">
        <f t="shared" si="1399"/>
        <v>1</v>
      </c>
      <c r="I3661" s="121">
        <f t="shared" si="1400"/>
        <v>1</v>
      </c>
      <c r="J3661" s="121">
        <f t="shared" si="1401"/>
        <v>1</v>
      </c>
      <c r="K3661" s="120">
        <f t="shared" si="1402"/>
        <v>0</v>
      </c>
      <c r="L3661" s="120">
        <f t="shared" si="1403"/>
        <v>0</v>
      </c>
      <c r="M3661" s="246">
        <f t="shared" si="1404"/>
        <v>0</v>
      </c>
      <c r="N3661" s="121">
        <f t="shared" si="1405"/>
        <v>1</v>
      </c>
      <c r="O3661" s="246">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87">
        <v>20</v>
      </c>
      <c r="B3662" s="242">
        <f t="shared" si="1413"/>
        <v>46235</v>
      </c>
      <c r="C3662" s="243">
        <f t="shared" si="1394"/>
        <v>46265</v>
      </c>
      <c r="D3662" s="120">
        <f t="shared" si="1395"/>
        <v>31</v>
      </c>
      <c r="E3662" s="120">
        <f t="shared" si="1396"/>
        <v>8</v>
      </c>
      <c r="F3662" s="275">
        <f t="shared" si="1397"/>
        <v>46250.5</v>
      </c>
      <c r="G3662" s="120">
        <f t="shared" si="1398"/>
        <v>24319</v>
      </c>
      <c r="H3662" s="245">
        <f t="shared" si="1399"/>
        <v>1</v>
      </c>
      <c r="I3662" s="121">
        <f t="shared" si="1400"/>
        <v>1</v>
      </c>
      <c r="J3662" s="121">
        <f t="shared" si="1401"/>
        <v>1</v>
      </c>
      <c r="K3662" s="120">
        <f t="shared" si="1402"/>
        <v>0</v>
      </c>
      <c r="L3662" s="120">
        <f t="shared" si="1403"/>
        <v>0</v>
      </c>
      <c r="M3662" s="246">
        <f t="shared" si="1404"/>
        <v>0</v>
      </c>
      <c r="N3662" s="121">
        <f t="shared" si="1405"/>
        <v>1</v>
      </c>
      <c r="O3662" s="246">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87">
        <v>21</v>
      </c>
      <c r="B3663" s="242">
        <f t="shared" si="1413"/>
        <v>46266</v>
      </c>
      <c r="C3663" s="243">
        <f t="shared" si="1394"/>
        <v>46295</v>
      </c>
      <c r="D3663" s="120">
        <f t="shared" si="1395"/>
        <v>30</v>
      </c>
      <c r="E3663" s="120">
        <f t="shared" si="1396"/>
        <v>9</v>
      </c>
      <c r="F3663" s="275">
        <f t="shared" si="1397"/>
        <v>46281</v>
      </c>
      <c r="G3663" s="120">
        <f t="shared" si="1398"/>
        <v>24320</v>
      </c>
      <c r="H3663" s="245">
        <f t="shared" si="1399"/>
        <v>1</v>
      </c>
      <c r="I3663" s="121">
        <f t="shared" si="1400"/>
        <v>1</v>
      </c>
      <c r="J3663" s="121">
        <f t="shared" si="1401"/>
        <v>1</v>
      </c>
      <c r="K3663" s="120">
        <f t="shared" si="1402"/>
        <v>0</v>
      </c>
      <c r="L3663" s="120">
        <f t="shared" si="1403"/>
        <v>0</v>
      </c>
      <c r="M3663" s="246">
        <f t="shared" si="1404"/>
        <v>0</v>
      </c>
      <c r="N3663" s="121">
        <f t="shared" si="1405"/>
        <v>1</v>
      </c>
      <c r="O3663" s="246">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87">
        <v>22</v>
      </c>
      <c r="B3664" s="242">
        <f t="shared" si="1413"/>
        <v>46296</v>
      </c>
      <c r="C3664" s="243">
        <f t="shared" si="1394"/>
        <v>46326</v>
      </c>
      <c r="D3664" s="120">
        <f t="shared" si="1395"/>
        <v>31</v>
      </c>
      <c r="E3664" s="120">
        <f t="shared" si="1396"/>
        <v>10</v>
      </c>
      <c r="F3664" s="275">
        <f t="shared" si="1397"/>
        <v>46311.5</v>
      </c>
      <c r="G3664" s="120">
        <f t="shared" si="1398"/>
        <v>24321</v>
      </c>
      <c r="H3664" s="245">
        <f t="shared" si="1399"/>
        <v>1</v>
      </c>
      <c r="I3664" s="121">
        <f t="shared" si="1400"/>
        <v>1</v>
      </c>
      <c r="J3664" s="121">
        <f t="shared" si="1401"/>
        <v>1</v>
      </c>
      <c r="K3664" s="120">
        <f t="shared" si="1402"/>
        <v>0</v>
      </c>
      <c r="L3664" s="120">
        <f t="shared" si="1403"/>
        <v>0</v>
      </c>
      <c r="M3664" s="246">
        <f t="shared" si="1404"/>
        <v>0</v>
      </c>
      <c r="N3664" s="121">
        <f t="shared" si="1405"/>
        <v>1</v>
      </c>
      <c r="O3664" s="246">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87">
        <v>23</v>
      </c>
      <c r="B3665" s="242">
        <f t="shared" si="1413"/>
        <v>46327</v>
      </c>
      <c r="C3665" s="243">
        <f t="shared" si="1394"/>
        <v>46356</v>
      </c>
      <c r="D3665" s="120">
        <f t="shared" si="1395"/>
        <v>30</v>
      </c>
      <c r="E3665" s="120">
        <f t="shared" si="1396"/>
        <v>11</v>
      </c>
      <c r="F3665" s="275">
        <f t="shared" si="1397"/>
        <v>46342</v>
      </c>
      <c r="G3665" s="120">
        <f t="shared" si="1398"/>
        <v>24322</v>
      </c>
      <c r="H3665" s="245">
        <f t="shared" si="1399"/>
        <v>1</v>
      </c>
      <c r="I3665" s="121">
        <f t="shared" si="1400"/>
        <v>1</v>
      </c>
      <c r="J3665" s="121">
        <f t="shared" si="1401"/>
        <v>1</v>
      </c>
      <c r="K3665" s="120">
        <f t="shared" si="1402"/>
        <v>0</v>
      </c>
      <c r="L3665" s="120">
        <f t="shared" si="1403"/>
        <v>0</v>
      </c>
      <c r="M3665" s="246">
        <f t="shared" si="1404"/>
        <v>0</v>
      </c>
      <c r="N3665" s="121">
        <f t="shared" si="1405"/>
        <v>1</v>
      </c>
      <c r="O3665" s="246">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87">
        <v>24</v>
      </c>
      <c r="B3666" s="242">
        <f t="shared" si="1413"/>
        <v>46357</v>
      </c>
      <c r="C3666" s="243">
        <f t="shared" si="1394"/>
        <v>46387</v>
      </c>
      <c r="D3666" s="120">
        <f t="shared" si="1395"/>
        <v>31</v>
      </c>
      <c r="E3666" s="120">
        <f t="shared" si="1396"/>
        <v>12</v>
      </c>
      <c r="F3666" s="275">
        <f t="shared" si="1397"/>
        <v>46372.5</v>
      </c>
      <c r="G3666" s="120">
        <f t="shared" si="1398"/>
        <v>24323</v>
      </c>
      <c r="H3666" s="245">
        <f t="shared" si="1399"/>
        <v>1</v>
      </c>
      <c r="I3666" s="121">
        <f t="shared" si="1400"/>
        <v>1</v>
      </c>
      <c r="J3666" s="121">
        <f t="shared" si="1401"/>
        <v>1</v>
      </c>
      <c r="K3666" s="120">
        <f t="shared" si="1402"/>
        <v>0</v>
      </c>
      <c r="L3666" s="120">
        <f t="shared" si="1403"/>
        <v>0</v>
      </c>
      <c r="M3666" s="246">
        <f t="shared" si="1404"/>
        <v>0</v>
      </c>
      <c r="N3666" s="121">
        <f t="shared" si="1405"/>
        <v>1</v>
      </c>
      <c r="O3666" s="246">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87">
        <v>25</v>
      </c>
      <c r="B3667" s="242">
        <f t="shared" si="1413"/>
        <v>46388</v>
      </c>
      <c r="C3667" s="243">
        <f t="shared" si="1394"/>
        <v>46418</v>
      </c>
      <c r="D3667" s="120">
        <f t="shared" si="1395"/>
        <v>31</v>
      </c>
      <c r="E3667" s="120">
        <f t="shared" si="1396"/>
        <v>1</v>
      </c>
      <c r="F3667" s="275">
        <f t="shared" si="1397"/>
        <v>46403.5</v>
      </c>
      <c r="G3667" s="120">
        <f t="shared" si="1398"/>
        <v>24324</v>
      </c>
      <c r="H3667" s="245">
        <f t="shared" si="1399"/>
        <v>1</v>
      </c>
      <c r="I3667" s="121">
        <f t="shared" si="1400"/>
        <v>1</v>
      </c>
      <c r="J3667" s="121">
        <f t="shared" si="1401"/>
        <v>1</v>
      </c>
      <c r="K3667" s="120">
        <f t="shared" si="1402"/>
        <v>0</v>
      </c>
      <c r="L3667" s="120">
        <f t="shared" si="1403"/>
        <v>0</v>
      </c>
      <c r="M3667" s="246">
        <f t="shared" si="1404"/>
        <v>0</v>
      </c>
      <c r="N3667" s="121">
        <f t="shared" si="1405"/>
        <v>1</v>
      </c>
      <c r="O3667" s="246">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87">
        <v>26</v>
      </c>
      <c r="B3668" s="242">
        <f t="shared" si="1413"/>
        <v>46419</v>
      </c>
      <c r="C3668" s="243">
        <f t="shared" si="1394"/>
        <v>46446</v>
      </c>
      <c r="D3668" s="120">
        <f t="shared" si="1395"/>
        <v>28</v>
      </c>
      <c r="E3668" s="120">
        <f t="shared" si="1396"/>
        <v>2</v>
      </c>
      <c r="F3668" s="275">
        <f t="shared" si="1397"/>
        <v>46433</v>
      </c>
      <c r="G3668" s="120">
        <f t="shared" si="1398"/>
        <v>24325</v>
      </c>
      <c r="H3668" s="245">
        <f t="shared" si="1399"/>
        <v>1</v>
      </c>
      <c r="I3668" s="121">
        <f t="shared" si="1400"/>
        <v>1</v>
      </c>
      <c r="J3668" s="121">
        <f t="shared" si="1401"/>
        <v>1</v>
      </c>
      <c r="K3668" s="120">
        <f t="shared" si="1402"/>
        <v>0</v>
      </c>
      <c r="L3668" s="120">
        <f t="shared" si="1403"/>
        <v>0</v>
      </c>
      <c r="M3668" s="246">
        <f t="shared" si="1404"/>
        <v>0</v>
      </c>
      <c r="N3668" s="121">
        <f t="shared" si="1405"/>
        <v>1</v>
      </c>
      <c r="O3668" s="246">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87">
        <v>27</v>
      </c>
      <c r="B3669" s="242">
        <f t="shared" si="1413"/>
        <v>46447</v>
      </c>
      <c r="C3669" s="243">
        <f t="shared" si="1394"/>
        <v>46477</v>
      </c>
      <c r="D3669" s="120">
        <f t="shared" si="1395"/>
        <v>31</v>
      </c>
      <c r="E3669" s="120">
        <f t="shared" si="1396"/>
        <v>3</v>
      </c>
      <c r="F3669" s="275">
        <f t="shared" si="1397"/>
        <v>46462.5</v>
      </c>
      <c r="G3669" s="120">
        <f t="shared" si="1398"/>
        <v>24326</v>
      </c>
      <c r="H3669" s="245">
        <f t="shared" si="1399"/>
        <v>1</v>
      </c>
      <c r="I3669" s="121">
        <f t="shared" si="1400"/>
        <v>1</v>
      </c>
      <c r="J3669" s="121">
        <f t="shared" si="1401"/>
        <v>1</v>
      </c>
      <c r="K3669" s="120">
        <f t="shared" si="1402"/>
        <v>0</v>
      </c>
      <c r="L3669" s="120">
        <f t="shared" si="1403"/>
        <v>0</v>
      </c>
      <c r="M3669" s="246">
        <f t="shared" si="1404"/>
        <v>0</v>
      </c>
      <c r="N3669" s="121">
        <f t="shared" si="1405"/>
        <v>1</v>
      </c>
      <c r="O3669" s="246">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87">
        <v>28</v>
      </c>
      <c r="B3670" s="242">
        <f t="shared" si="1413"/>
        <v>46478</v>
      </c>
      <c r="C3670" s="243">
        <f t="shared" si="1394"/>
        <v>46507</v>
      </c>
      <c r="D3670" s="120">
        <f t="shared" si="1395"/>
        <v>30</v>
      </c>
      <c r="E3670" s="120">
        <f t="shared" si="1396"/>
        <v>4</v>
      </c>
      <c r="F3670" s="275">
        <f t="shared" si="1397"/>
        <v>46493</v>
      </c>
      <c r="G3670" s="120">
        <f t="shared" si="1398"/>
        <v>24327</v>
      </c>
      <c r="H3670" s="245">
        <f t="shared" si="1399"/>
        <v>1</v>
      </c>
      <c r="I3670" s="121">
        <f t="shared" si="1400"/>
        <v>1</v>
      </c>
      <c r="J3670" s="121">
        <f t="shared" si="1401"/>
        <v>1</v>
      </c>
      <c r="K3670" s="120">
        <f t="shared" si="1402"/>
        <v>0</v>
      </c>
      <c r="L3670" s="120">
        <f t="shared" si="1403"/>
        <v>0</v>
      </c>
      <c r="M3670" s="246">
        <f t="shared" si="1404"/>
        <v>0</v>
      </c>
      <c r="N3670" s="121">
        <f t="shared" si="1405"/>
        <v>1</v>
      </c>
      <c r="O3670" s="246">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87">
        <v>29</v>
      </c>
      <c r="B3671" s="242">
        <f t="shared" si="1413"/>
        <v>46508</v>
      </c>
      <c r="C3671" s="243">
        <f t="shared" si="1394"/>
        <v>46538</v>
      </c>
      <c r="D3671" s="120">
        <f t="shared" si="1395"/>
        <v>31</v>
      </c>
      <c r="E3671" s="120">
        <f t="shared" si="1396"/>
        <v>5</v>
      </c>
      <c r="F3671" s="275">
        <f t="shared" si="1397"/>
        <v>46523.5</v>
      </c>
      <c r="G3671" s="120">
        <f t="shared" si="1398"/>
        <v>24328</v>
      </c>
      <c r="H3671" s="245">
        <f t="shared" si="1399"/>
        <v>1</v>
      </c>
      <c r="I3671" s="121">
        <f t="shared" si="1400"/>
        <v>1</v>
      </c>
      <c r="J3671" s="121">
        <f t="shared" si="1401"/>
        <v>1</v>
      </c>
      <c r="K3671" s="120">
        <f t="shared" si="1402"/>
        <v>0</v>
      </c>
      <c r="L3671" s="120">
        <f t="shared" si="1403"/>
        <v>0</v>
      </c>
      <c r="M3671" s="246">
        <f t="shared" si="1404"/>
        <v>0</v>
      </c>
      <c r="N3671" s="121">
        <f t="shared" si="1405"/>
        <v>1</v>
      </c>
      <c r="O3671" s="246">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87">
        <v>30</v>
      </c>
      <c r="B3672" s="242">
        <f t="shared" si="1413"/>
        <v>46539</v>
      </c>
      <c r="C3672" s="243">
        <f t="shared" si="1394"/>
        <v>46568</v>
      </c>
      <c r="D3672" s="120">
        <f t="shared" si="1395"/>
        <v>30</v>
      </c>
      <c r="E3672" s="120">
        <f t="shared" si="1396"/>
        <v>6</v>
      </c>
      <c r="F3672" s="275">
        <f t="shared" si="1397"/>
        <v>46554</v>
      </c>
      <c r="G3672" s="120">
        <f t="shared" si="1398"/>
        <v>24329</v>
      </c>
      <c r="H3672" s="245">
        <f t="shared" si="1399"/>
        <v>1</v>
      </c>
      <c r="I3672" s="121">
        <f t="shared" si="1400"/>
        <v>1</v>
      </c>
      <c r="J3672" s="121">
        <f t="shared" si="1401"/>
        <v>1</v>
      </c>
      <c r="K3672" s="120">
        <f t="shared" si="1402"/>
        <v>0</v>
      </c>
      <c r="L3672" s="120">
        <f t="shared" si="1403"/>
        <v>0</v>
      </c>
      <c r="M3672" s="246">
        <f t="shared" si="1404"/>
        <v>0</v>
      </c>
      <c r="N3672" s="121">
        <f t="shared" si="1405"/>
        <v>1</v>
      </c>
      <c r="O3672" s="246">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87">
        <v>31</v>
      </c>
      <c r="B3673" s="242">
        <f t="shared" si="1413"/>
        <v>46569</v>
      </c>
      <c r="C3673" s="243">
        <f t="shared" si="1394"/>
        <v>46599</v>
      </c>
      <c r="D3673" s="120">
        <f t="shared" si="1395"/>
        <v>31</v>
      </c>
      <c r="E3673" s="120">
        <f t="shared" si="1396"/>
        <v>7</v>
      </c>
      <c r="F3673" s="275">
        <f t="shared" si="1397"/>
        <v>46584.5</v>
      </c>
      <c r="G3673" s="120">
        <f t="shared" si="1398"/>
        <v>24330</v>
      </c>
      <c r="H3673" s="245">
        <f t="shared" si="1399"/>
        <v>1</v>
      </c>
      <c r="I3673" s="121">
        <f t="shared" si="1400"/>
        <v>1</v>
      </c>
      <c r="J3673" s="121">
        <f t="shared" si="1401"/>
        <v>1</v>
      </c>
      <c r="K3673" s="120">
        <f t="shared" si="1402"/>
        <v>0</v>
      </c>
      <c r="L3673" s="120">
        <f t="shared" si="1403"/>
        <v>0</v>
      </c>
      <c r="M3673" s="246">
        <f t="shared" si="1404"/>
        <v>0</v>
      </c>
      <c r="N3673" s="121">
        <f t="shared" si="1405"/>
        <v>1</v>
      </c>
      <c r="O3673" s="246">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87">
        <v>32</v>
      </c>
      <c r="B3674" s="242">
        <f t="shared" si="1413"/>
        <v>46600</v>
      </c>
      <c r="C3674" s="243">
        <f t="shared" si="1394"/>
        <v>46630</v>
      </c>
      <c r="D3674" s="120">
        <f t="shared" si="1395"/>
        <v>31</v>
      </c>
      <c r="E3674" s="120">
        <f t="shared" si="1396"/>
        <v>8</v>
      </c>
      <c r="F3674" s="275">
        <f t="shared" si="1397"/>
        <v>46615.5</v>
      </c>
      <c r="G3674" s="120">
        <f t="shared" si="1398"/>
        <v>24331</v>
      </c>
      <c r="H3674" s="245">
        <f t="shared" si="1399"/>
        <v>1</v>
      </c>
      <c r="I3674" s="121">
        <f t="shared" si="1400"/>
        <v>1</v>
      </c>
      <c r="J3674" s="121">
        <f t="shared" si="1401"/>
        <v>1</v>
      </c>
      <c r="K3674" s="120">
        <f t="shared" si="1402"/>
        <v>0</v>
      </c>
      <c r="L3674" s="120">
        <f t="shared" si="1403"/>
        <v>0</v>
      </c>
      <c r="M3674" s="246">
        <f t="shared" si="1404"/>
        <v>0</v>
      </c>
      <c r="N3674" s="121">
        <f t="shared" si="1405"/>
        <v>1</v>
      </c>
      <c r="O3674" s="246">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87">
        <v>33</v>
      </c>
      <c r="B3675" s="242">
        <f t="shared" si="1413"/>
        <v>46631</v>
      </c>
      <c r="C3675" s="243">
        <f t="shared" si="1394"/>
        <v>46660</v>
      </c>
      <c r="D3675" s="120">
        <f t="shared" si="1395"/>
        <v>30</v>
      </c>
      <c r="E3675" s="120">
        <f t="shared" si="1396"/>
        <v>9</v>
      </c>
      <c r="F3675" s="275">
        <f t="shared" si="1397"/>
        <v>46646</v>
      </c>
      <c r="G3675" s="120">
        <f t="shared" si="1398"/>
        <v>24332</v>
      </c>
      <c r="H3675" s="245">
        <f t="shared" si="1399"/>
        <v>1</v>
      </c>
      <c r="I3675" s="121">
        <f t="shared" si="1400"/>
        <v>1</v>
      </c>
      <c r="J3675" s="121">
        <f t="shared" si="1401"/>
        <v>1</v>
      </c>
      <c r="K3675" s="120">
        <f t="shared" si="1402"/>
        <v>0</v>
      </c>
      <c r="L3675" s="120">
        <f t="shared" si="1403"/>
        <v>0</v>
      </c>
      <c r="M3675" s="246">
        <f t="shared" si="1404"/>
        <v>0</v>
      </c>
      <c r="N3675" s="121">
        <f t="shared" si="1405"/>
        <v>1</v>
      </c>
      <c r="O3675" s="246">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87">
        <v>34</v>
      </c>
      <c r="B3676" s="242">
        <f t="shared" si="1413"/>
        <v>46661</v>
      </c>
      <c r="C3676" s="243">
        <f t="shared" si="1394"/>
        <v>46691</v>
      </c>
      <c r="D3676" s="120">
        <f t="shared" si="1395"/>
        <v>31</v>
      </c>
      <c r="E3676" s="120">
        <f t="shared" si="1396"/>
        <v>10</v>
      </c>
      <c r="F3676" s="275">
        <f t="shared" si="1397"/>
        <v>46676.5</v>
      </c>
      <c r="G3676" s="120">
        <f t="shared" si="1398"/>
        <v>24333</v>
      </c>
      <c r="H3676" s="245">
        <f t="shared" si="1399"/>
        <v>1</v>
      </c>
      <c r="I3676" s="121">
        <f t="shared" si="1400"/>
        <v>1</v>
      </c>
      <c r="J3676" s="121">
        <f t="shared" si="1401"/>
        <v>1</v>
      </c>
      <c r="K3676" s="120">
        <f t="shared" si="1402"/>
        <v>0</v>
      </c>
      <c r="L3676" s="120">
        <f t="shared" si="1403"/>
        <v>0</v>
      </c>
      <c r="M3676" s="246">
        <f t="shared" si="1404"/>
        <v>0</v>
      </c>
      <c r="N3676" s="121">
        <f t="shared" si="1405"/>
        <v>1</v>
      </c>
      <c r="O3676" s="246">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87">
        <v>35</v>
      </c>
      <c r="B3677" s="242">
        <f t="shared" si="1413"/>
        <v>46692</v>
      </c>
      <c r="C3677" s="243">
        <f t="shared" si="1394"/>
        <v>46721</v>
      </c>
      <c r="D3677" s="120">
        <f t="shared" si="1395"/>
        <v>30</v>
      </c>
      <c r="E3677" s="120">
        <f t="shared" si="1396"/>
        <v>11</v>
      </c>
      <c r="F3677" s="275">
        <f t="shared" si="1397"/>
        <v>46707</v>
      </c>
      <c r="G3677" s="120">
        <f t="shared" si="1398"/>
        <v>24334</v>
      </c>
      <c r="H3677" s="245">
        <f t="shared" si="1399"/>
        <v>1</v>
      </c>
      <c r="I3677" s="121">
        <f t="shared" si="1400"/>
        <v>1</v>
      </c>
      <c r="J3677" s="121">
        <f t="shared" si="1401"/>
        <v>1</v>
      </c>
      <c r="K3677" s="120">
        <f t="shared" si="1402"/>
        <v>0</v>
      </c>
      <c r="L3677" s="120">
        <f t="shared" si="1403"/>
        <v>0</v>
      </c>
      <c r="M3677" s="246">
        <f t="shared" si="1404"/>
        <v>0</v>
      </c>
      <c r="N3677" s="121">
        <f t="shared" si="1405"/>
        <v>1</v>
      </c>
      <c r="O3677" s="246">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87">
        <v>36</v>
      </c>
      <c r="B3678" s="242">
        <f t="shared" si="1413"/>
        <v>46722</v>
      </c>
      <c r="C3678" s="243">
        <f t="shared" si="1394"/>
        <v>46752</v>
      </c>
      <c r="D3678" s="120">
        <f t="shared" si="1395"/>
        <v>31</v>
      </c>
      <c r="E3678" s="120">
        <f t="shared" si="1396"/>
        <v>12</v>
      </c>
      <c r="F3678" s="275">
        <f t="shared" si="1397"/>
        <v>46737.5</v>
      </c>
      <c r="G3678" s="120">
        <f t="shared" si="1398"/>
        <v>24335</v>
      </c>
      <c r="H3678" s="245">
        <f t="shared" si="1399"/>
        <v>1</v>
      </c>
      <c r="I3678" s="121">
        <f t="shared" si="1400"/>
        <v>1</v>
      </c>
      <c r="J3678" s="121">
        <f t="shared" si="1401"/>
        <v>1</v>
      </c>
      <c r="K3678" s="120">
        <f t="shared" si="1402"/>
        <v>0</v>
      </c>
      <c r="L3678" s="120">
        <f t="shared" si="1403"/>
        <v>0</v>
      </c>
      <c r="M3678" s="246">
        <f t="shared" si="1404"/>
        <v>0</v>
      </c>
      <c r="N3678" s="121">
        <f t="shared" si="1405"/>
        <v>1</v>
      </c>
      <c r="O3678" s="246">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87">
        <v>37</v>
      </c>
      <c r="B3679" s="242">
        <f t="shared" si="1413"/>
        <v>46753</v>
      </c>
      <c r="C3679" s="243">
        <f t="shared" si="1394"/>
        <v>46783</v>
      </c>
      <c r="D3679" s="120">
        <f t="shared" si="1395"/>
        <v>31</v>
      </c>
      <c r="E3679" s="120">
        <f t="shared" si="1396"/>
        <v>1</v>
      </c>
      <c r="F3679" s="275">
        <f t="shared" si="1397"/>
        <v>46768.5</v>
      </c>
      <c r="G3679" s="120">
        <f t="shared" si="1398"/>
        <v>24336</v>
      </c>
      <c r="H3679" s="245">
        <f t="shared" si="1399"/>
        <v>1</v>
      </c>
      <c r="I3679" s="121">
        <f t="shared" si="1400"/>
        <v>1</v>
      </c>
      <c r="J3679" s="121">
        <f t="shared" si="1401"/>
        <v>1</v>
      </c>
      <c r="K3679" s="120">
        <f t="shared" si="1402"/>
        <v>0</v>
      </c>
      <c r="L3679" s="120">
        <f t="shared" si="1403"/>
        <v>0</v>
      </c>
      <c r="M3679" s="246">
        <f t="shared" si="1404"/>
        <v>0</v>
      </c>
      <c r="N3679" s="121">
        <f t="shared" si="1405"/>
        <v>1</v>
      </c>
      <c r="O3679" s="246">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87">
        <v>38</v>
      </c>
      <c r="B3680" s="242">
        <f t="shared" si="1413"/>
        <v>46784</v>
      </c>
      <c r="C3680" s="243">
        <f t="shared" si="1394"/>
        <v>46812</v>
      </c>
      <c r="D3680" s="120">
        <f t="shared" si="1395"/>
        <v>29</v>
      </c>
      <c r="E3680" s="120">
        <f t="shared" si="1396"/>
        <v>2</v>
      </c>
      <c r="F3680" s="275">
        <f t="shared" si="1397"/>
        <v>46798.5</v>
      </c>
      <c r="G3680" s="120">
        <f t="shared" si="1398"/>
        <v>24337</v>
      </c>
      <c r="H3680" s="245">
        <f t="shared" si="1399"/>
        <v>1</v>
      </c>
      <c r="I3680" s="121">
        <f t="shared" si="1400"/>
        <v>1</v>
      </c>
      <c r="J3680" s="121">
        <f t="shared" si="1401"/>
        <v>1</v>
      </c>
      <c r="K3680" s="120">
        <f t="shared" si="1402"/>
        <v>0</v>
      </c>
      <c r="L3680" s="120">
        <f t="shared" si="1403"/>
        <v>0</v>
      </c>
      <c r="M3680" s="246">
        <f t="shared" si="1404"/>
        <v>0</v>
      </c>
      <c r="N3680" s="121">
        <f t="shared" si="1405"/>
        <v>1</v>
      </c>
      <c r="O3680" s="246">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87">
        <v>39</v>
      </c>
      <c r="B3681" s="242">
        <f t="shared" si="1413"/>
        <v>46813</v>
      </c>
      <c r="C3681" s="243">
        <f t="shared" si="1394"/>
        <v>46843</v>
      </c>
      <c r="D3681" s="120">
        <f t="shared" si="1395"/>
        <v>31</v>
      </c>
      <c r="E3681" s="120">
        <f t="shared" si="1396"/>
        <v>3</v>
      </c>
      <c r="F3681" s="275">
        <f t="shared" si="1397"/>
        <v>46828.5</v>
      </c>
      <c r="G3681" s="120">
        <f t="shared" si="1398"/>
        <v>24338</v>
      </c>
      <c r="H3681" s="245">
        <f t="shared" si="1399"/>
        <v>1</v>
      </c>
      <c r="I3681" s="121">
        <f t="shared" si="1400"/>
        <v>1</v>
      </c>
      <c r="J3681" s="121">
        <f t="shared" si="1401"/>
        <v>1</v>
      </c>
      <c r="K3681" s="120">
        <f t="shared" si="1402"/>
        <v>0</v>
      </c>
      <c r="L3681" s="120">
        <f t="shared" si="1403"/>
        <v>0</v>
      </c>
      <c r="M3681" s="246">
        <f t="shared" si="1404"/>
        <v>0</v>
      </c>
      <c r="N3681" s="121">
        <f t="shared" si="1405"/>
        <v>1</v>
      </c>
      <c r="O3681" s="246">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87">
        <v>40</v>
      </c>
      <c r="B3682" s="242">
        <f t="shared" si="1413"/>
        <v>46844</v>
      </c>
      <c r="C3682" s="243">
        <f t="shared" si="1394"/>
        <v>46873</v>
      </c>
      <c r="D3682" s="120">
        <f t="shared" si="1395"/>
        <v>30</v>
      </c>
      <c r="E3682" s="120">
        <f t="shared" si="1396"/>
        <v>4</v>
      </c>
      <c r="F3682" s="275">
        <f t="shared" si="1397"/>
        <v>46859</v>
      </c>
      <c r="G3682" s="120">
        <f t="shared" si="1398"/>
        <v>24339</v>
      </c>
      <c r="H3682" s="245">
        <f t="shared" si="1399"/>
        <v>1</v>
      </c>
      <c r="I3682" s="121">
        <f t="shared" si="1400"/>
        <v>1</v>
      </c>
      <c r="J3682" s="121">
        <f t="shared" si="1401"/>
        <v>1</v>
      </c>
      <c r="K3682" s="120">
        <f t="shared" si="1402"/>
        <v>0</v>
      </c>
      <c r="L3682" s="120">
        <f t="shared" si="1403"/>
        <v>0</v>
      </c>
      <c r="M3682" s="246">
        <f t="shared" si="1404"/>
        <v>0</v>
      </c>
      <c r="N3682" s="121">
        <f t="shared" si="1405"/>
        <v>1</v>
      </c>
      <c r="O3682" s="246">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87">
        <v>41</v>
      </c>
      <c r="B3683" s="242">
        <f t="shared" si="1413"/>
        <v>46874</v>
      </c>
      <c r="C3683" s="243">
        <f t="shared" si="1394"/>
        <v>46904</v>
      </c>
      <c r="D3683" s="120">
        <f t="shared" si="1395"/>
        <v>31</v>
      </c>
      <c r="E3683" s="120">
        <f t="shared" si="1396"/>
        <v>5</v>
      </c>
      <c r="F3683" s="275">
        <f t="shared" si="1397"/>
        <v>46889.5</v>
      </c>
      <c r="G3683" s="120">
        <f t="shared" si="1398"/>
        <v>24340</v>
      </c>
      <c r="H3683" s="245">
        <f t="shared" si="1399"/>
        <v>1</v>
      </c>
      <c r="I3683" s="121">
        <f t="shared" si="1400"/>
        <v>1</v>
      </c>
      <c r="J3683" s="121">
        <f t="shared" si="1401"/>
        <v>1</v>
      </c>
      <c r="K3683" s="120">
        <f t="shared" si="1402"/>
        <v>0</v>
      </c>
      <c r="L3683" s="120">
        <f t="shared" si="1403"/>
        <v>0</v>
      </c>
      <c r="M3683" s="246">
        <f t="shared" si="1404"/>
        <v>0</v>
      </c>
      <c r="N3683" s="121">
        <f t="shared" si="1405"/>
        <v>1</v>
      </c>
      <c r="O3683" s="246">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87">
        <v>42</v>
      </c>
      <c r="B3684" s="242">
        <f t="shared" si="1413"/>
        <v>46905</v>
      </c>
      <c r="C3684" s="243">
        <f t="shared" si="1394"/>
        <v>46934</v>
      </c>
      <c r="D3684" s="120">
        <f t="shared" si="1395"/>
        <v>30</v>
      </c>
      <c r="E3684" s="120">
        <f t="shared" si="1396"/>
        <v>6</v>
      </c>
      <c r="F3684" s="275">
        <f t="shared" si="1397"/>
        <v>46920</v>
      </c>
      <c r="G3684" s="120">
        <f t="shared" si="1398"/>
        <v>24341</v>
      </c>
      <c r="H3684" s="245">
        <f t="shared" si="1399"/>
        <v>1</v>
      </c>
      <c r="I3684" s="121">
        <f t="shared" si="1400"/>
        <v>1</v>
      </c>
      <c r="J3684" s="121">
        <f t="shared" si="1401"/>
        <v>1</v>
      </c>
      <c r="K3684" s="120">
        <f t="shared" si="1402"/>
        <v>0</v>
      </c>
      <c r="L3684" s="120">
        <f t="shared" si="1403"/>
        <v>0</v>
      </c>
      <c r="M3684" s="246">
        <f t="shared" si="1404"/>
        <v>0</v>
      </c>
      <c r="N3684" s="121">
        <f t="shared" si="1405"/>
        <v>1</v>
      </c>
      <c r="O3684" s="246">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87">
        <v>43</v>
      </c>
      <c r="B3685" s="242">
        <f t="shared" si="1413"/>
        <v>46935</v>
      </c>
      <c r="C3685" s="243">
        <f t="shared" si="1394"/>
        <v>46965</v>
      </c>
      <c r="D3685" s="120">
        <f t="shared" si="1395"/>
        <v>31</v>
      </c>
      <c r="E3685" s="120">
        <f t="shared" si="1396"/>
        <v>7</v>
      </c>
      <c r="F3685" s="275">
        <f t="shared" si="1397"/>
        <v>46950.5</v>
      </c>
      <c r="G3685" s="120">
        <f t="shared" si="1398"/>
        <v>24342</v>
      </c>
      <c r="H3685" s="245">
        <f t="shared" si="1399"/>
        <v>1</v>
      </c>
      <c r="I3685" s="121">
        <f t="shared" si="1400"/>
        <v>1</v>
      </c>
      <c r="J3685" s="121">
        <f t="shared" si="1401"/>
        <v>1</v>
      </c>
      <c r="K3685" s="120">
        <f t="shared" si="1402"/>
        <v>0</v>
      </c>
      <c r="L3685" s="120">
        <f t="shared" si="1403"/>
        <v>0</v>
      </c>
      <c r="M3685" s="246">
        <f t="shared" si="1404"/>
        <v>0</v>
      </c>
      <c r="N3685" s="121">
        <f t="shared" si="1405"/>
        <v>1</v>
      </c>
      <c r="O3685" s="246">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87">
        <v>44</v>
      </c>
      <c r="B3686" s="242">
        <f t="shared" si="1413"/>
        <v>46966</v>
      </c>
      <c r="C3686" s="243">
        <f t="shared" si="1394"/>
        <v>46996</v>
      </c>
      <c r="D3686" s="120">
        <f t="shared" si="1395"/>
        <v>31</v>
      </c>
      <c r="E3686" s="120">
        <f t="shared" si="1396"/>
        <v>8</v>
      </c>
      <c r="F3686" s="275">
        <f t="shared" si="1397"/>
        <v>46981.5</v>
      </c>
      <c r="G3686" s="120">
        <f t="shared" si="1398"/>
        <v>24343</v>
      </c>
      <c r="H3686" s="245">
        <f t="shared" si="1399"/>
        <v>1</v>
      </c>
      <c r="I3686" s="121">
        <f t="shared" si="1400"/>
        <v>1</v>
      </c>
      <c r="J3686" s="121">
        <f t="shared" si="1401"/>
        <v>1</v>
      </c>
      <c r="K3686" s="120">
        <f t="shared" si="1402"/>
        <v>0</v>
      </c>
      <c r="L3686" s="120">
        <f t="shared" si="1403"/>
        <v>0</v>
      </c>
      <c r="M3686" s="246">
        <f t="shared" si="1404"/>
        <v>0</v>
      </c>
      <c r="N3686" s="121">
        <f t="shared" si="1405"/>
        <v>1</v>
      </c>
      <c r="O3686" s="246">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87">
        <v>45</v>
      </c>
      <c r="B3687" s="242">
        <f t="shared" si="1413"/>
        <v>46997</v>
      </c>
      <c r="C3687" s="243">
        <f t="shared" si="1394"/>
        <v>47026</v>
      </c>
      <c r="D3687" s="120">
        <f t="shared" si="1395"/>
        <v>30</v>
      </c>
      <c r="E3687" s="120">
        <f t="shared" si="1396"/>
        <v>9</v>
      </c>
      <c r="F3687" s="275">
        <f t="shared" si="1397"/>
        <v>47012</v>
      </c>
      <c r="G3687" s="120">
        <f t="shared" si="1398"/>
        <v>24344</v>
      </c>
      <c r="H3687" s="245">
        <f t="shared" si="1399"/>
        <v>1</v>
      </c>
      <c r="I3687" s="121">
        <f t="shared" si="1400"/>
        <v>1</v>
      </c>
      <c r="J3687" s="121">
        <f t="shared" si="1401"/>
        <v>1</v>
      </c>
      <c r="K3687" s="120">
        <f t="shared" si="1402"/>
        <v>0</v>
      </c>
      <c r="L3687" s="120">
        <f t="shared" si="1403"/>
        <v>0</v>
      </c>
      <c r="M3687" s="246">
        <f t="shared" si="1404"/>
        <v>0</v>
      </c>
      <c r="N3687" s="121">
        <f t="shared" si="1405"/>
        <v>1</v>
      </c>
      <c r="O3687" s="246">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87">
        <v>46</v>
      </c>
      <c r="B3688" s="242">
        <f t="shared" si="1413"/>
        <v>47027</v>
      </c>
      <c r="C3688" s="243">
        <f t="shared" si="1394"/>
        <v>47057</v>
      </c>
      <c r="D3688" s="120">
        <f t="shared" si="1395"/>
        <v>31</v>
      </c>
      <c r="E3688" s="120">
        <f t="shared" si="1396"/>
        <v>10</v>
      </c>
      <c r="F3688" s="275">
        <f t="shared" si="1397"/>
        <v>47042.5</v>
      </c>
      <c r="G3688" s="120">
        <f t="shared" si="1398"/>
        <v>24345</v>
      </c>
      <c r="H3688" s="245">
        <f t="shared" si="1399"/>
        <v>1</v>
      </c>
      <c r="I3688" s="121">
        <f t="shared" si="1400"/>
        <v>1</v>
      </c>
      <c r="J3688" s="121">
        <f t="shared" si="1401"/>
        <v>1</v>
      </c>
      <c r="K3688" s="120">
        <f t="shared" si="1402"/>
        <v>0</v>
      </c>
      <c r="L3688" s="120">
        <f t="shared" si="1403"/>
        <v>0</v>
      </c>
      <c r="M3688" s="246">
        <f t="shared" si="1404"/>
        <v>0</v>
      </c>
      <c r="N3688" s="121">
        <f t="shared" si="1405"/>
        <v>1</v>
      </c>
      <c r="O3688" s="246">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87">
        <v>47</v>
      </c>
      <c r="B3689" s="242">
        <f t="shared" si="1413"/>
        <v>47058</v>
      </c>
      <c r="C3689" s="243">
        <f t="shared" si="1394"/>
        <v>47087</v>
      </c>
      <c r="D3689" s="120">
        <f t="shared" si="1395"/>
        <v>30</v>
      </c>
      <c r="E3689" s="120">
        <f t="shared" si="1396"/>
        <v>11</v>
      </c>
      <c r="F3689" s="275">
        <f t="shared" si="1397"/>
        <v>47073</v>
      </c>
      <c r="G3689" s="120">
        <f t="shared" si="1398"/>
        <v>24346</v>
      </c>
      <c r="H3689" s="245">
        <f t="shared" si="1399"/>
        <v>1</v>
      </c>
      <c r="I3689" s="121">
        <f t="shared" si="1400"/>
        <v>1</v>
      </c>
      <c r="J3689" s="121">
        <f t="shared" si="1401"/>
        <v>1</v>
      </c>
      <c r="K3689" s="120">
        <f t="shared" si="1402"/>
        <v>0</v>
      </c>
      <c r="L3689" s="120">
        <f t="shared" si="1403"/>
        <v>0</v>
      </c>
      <c r="M3689" s="246">
        <f t="shared" si="1404"/>
        <v>0</v>
      </c>
      <c r="N3689" s="121">
        <f t="shared" si="1405"/>
        <v>1</v>
      </c>
      <c r="O3689" s="246">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87">
        <v>48</v>
      </c>
      <c r="B3690" s="242">
        <f t="shared" si="1413"/>
        <v>47088</v>
      </c>
      <c r="C3690" s="243">
        <f t="shared" si="1394"/>
        <v>47118</v>
      </c>
      <c r="D3690" s="120">
        <f t="shared" si="1395"/>
        <v>31</v>
      </c>
      <c r="E3690" s="120">
        <f t="shared" si="1396"/>
        <v>12</v>
      </c>
      <c r="F3690" s="275">
        <f t="shared" si="1397"/>
        <v>47103.5</v>
      </c>
      <c r="G3690" s="120">
        <f t="shared" si="1398"/>
        <v>24347</v>
      </c>
      <c r="H3690" s="245">
        <f t="shared" si="1399"/>
        <v>1</v>
      </c>
      <c r="I3690" s="121">
        <f t="shared" si="1400"/>
        <v>1</v>
      </c>
      <c r="J3690" s="121">
        <f t="shared" si="1401"/>
        <v>1</v>
      </c>
      <c r="K3690" s="120">
        <f t="shared" si="1402"/>
        <v>0</v>
      </c>
      <c r="L3690" s="120">
        <f t="shared" si="1403"/>
        <v>0</v>
      </c>
      <c r="M3690" s="246">
        <f t="shared" si="1404"/>
        <v>0</v>
      </c>
      <c r="N3690" s="121">
        <f t="shared" si="1405"/>
        <v>1</v>
      </c>
      <c r="O3690" s="246">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1651</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414">EOMONTH($B3697,0)</f>
        <v>45688</v>
      </c>
      <c r="D3697" s="120">
        <f t="shared" ref="D3697:D3744" si="1415">$C3697-$B3697+1</f>
        <v>31</v>
      </c>
      <c r="E3697" s="120">
        <f t="shared" ref="E3697:E3744" si="1416">MONTH($B3697)</f>
        <v>1</v>
      </c>
      <c r="F3697" s="275">
        <f t="shared" ref="F3697:F3744" si="1417">($B3697+$C3697+1)/2</f>
        <v>45673.5</v>
      </c>
      <c r="G3697" s="120">
        <f t="shared" ref="G3697:G3744" si="1418">YEAR($B3697)*12+MONTH($B3697)-1</f>
        <v>24300</v>
      </c>
      <c r="H3697" s="245">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46">
        <f t="shared" ref="M3697:M3744" si="1424">IF($K3697=0,0,MIN(1,$L3697/$D3697))</f>
        <v>0</v>
      </c>
      <c r="N3697" s="121">
        <f t="shared" ref="N3697:N3744" si="1425">IF($K3697=0,$J3697,(1-$M3697)*$I3697+$M3697*$J3697)</f>
        <v>1</v>
      </c>
      <c r="O3697" s="246">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87">
        <v>2</v>
      </c>
      <c r="B3698" s="242">
        <f t="shared" ref="B3698:B3744" si="1433">EDATE($B3697,1)</f>
        <v>45689</v>
      </c>
      <c r="C3698" s="243">
        <f t="shared" si="1414"/>
        <v>45716</v>
      </c>
      <c r="D3698" s="120">
        <f t="shared" si="1415"/>
        <v>28</v>
      </c>
      <c r="E3698" s="120">
        <f t="shared" si="1416"/>
        <v>2</v>
      </c>
      <c r="F3698" s="275">
        <f t="shared" si="1417"/>
        <v>45703</v>
      </c>
      <c r="G3698" s="120">
        <f t="shared" si="1418"/>
        <v>24301</v>
      </c>
      <c r="H3698" s="245">
        <f t="shared" si="1419"/>
        <v>1</v>
      </c>
      <c r="I3698" s="121">
        <f t="shared" si="1420"/>
        <v>1</v>
      </c>
      <c r="J3698" s="121">
        <f t="shared" si="1421"/>
        <v>1</v>
      </c>
      <c r="K3698" s="120">
        <f t="shared" si="1422"/>
        <v>0</v>
      </c>
      <c r="L3698" s="120">
        <f t="shared" si="1423"/>
        <v>0</v>
      </c>
      <c r="M3698" s="246">
        <f t="shared" si="1424"/>
        <v>0</v>
      </c>
      <c r="N3698" s="121">
        <f t="shared" si="1425"/>
        <v>1</v>
      </c>
      <c r="O3698" s="246">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87">
        <v>3</v>
      </c>
      <c r="B3699" s="242">
        <f t="shared" si="1433"/>
        <v>45717</v>
      </c>
      <c r="C3699" s="243">
        <f t="shared" si="1414"/>
        <v>45747</v>
      </c>
      <c r="D3699" s="120">
        <f t="shared" si="1415"/>
        <v>31</v>
      </c>
      <c r="E3699" s="120">
        <f t="shared" si="1416"/>
        <v>3</v>
      </c>
      <c r="F3699" s="275">
        <f t="shared" si="1417"/>
        <v>45732.5</v>
      </c>
      <c r="G3699" s="120">
        <f t="shared" si="1418"/>
        <v>24302</v>
      </c>
      <c r="H3699" s="245">
        <f t="shared" si="1419"/>
        <v>1</v>
      </c>
      <c r="I3699" s="121">
        <f t="shared" si="1420"/>
        <v>1</v>
      </c>
      <c r="J3699" s="121">
        <f t="shared" si="1421"/>
        <v>1</v>
      </c>
      <c r="K3699" s="120">
        <f t="shared" si="1422"/>
        <v>0</v>
      </c>
      <c r="L3699" s="120">
        <f t="shared" si="1423"/>
        <v>0</v>
      </c>
      <c r="M3699" s="246">
        <f t="shared" si="1424"/>
        <v>0</v>
      </c>
      <c r="N3699" s="121">
        <f t="shared" si="1425"/>
        <v>1</v>
      </c>
      <c r="O3699" s="246">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87">
        <v>4</v>
      </c>
      <c r="B3700" s="242">
        <f t="shared" si="1433"/>
        <v>45748</v>
      </c>
      <c r="C3700" s="243">
        <f t="shared" si="1414"/>
        <v>45777</v>
      </c>
      <c r="D3700" s="120">
        <f t="shared" si="1415"/>
        <v>30</v>
      </c>
      <c r="E3700" s="120">
        <f t="shared" si="1416"/>
        <v>4</v>
      </c>
      <c r="F3700" s="275">
        <f t="shared" si="1417"/>
        <v>45763</v>
      </c>
      <c r="G3700" s="120">
        <f t="shared" si="1418"/>
        <v>24303</v>
      </c>
      <c r="H3700" s="245">
        <f t="shared" si="1419"/>
        <v>1</v>
      </c>
      <c r="I3700" s="121">
        <f t="shared" si="1420"/>
        <v>1</v>
      </c>
      <c r="J3700" s="121">
        <f t="shared" si="1421"/>
        <v>1</v>
      </c>
      <c r="K3700" s="120">
        <f t="shared" si="1422"/>
        <v>0</v>
      </c>
      <c r="L3700" s="120">
        <f t="shared" si="1423"/>
        <v>0</v>
      </c>
      <c r="M3700" s="246">
        <f t="shared" si="1424"/>
        <v>0</v>
      </c>
      <c r="N3700" s="121">
        <f t="shared" si="1425"/>
        <v>1</v>
      </c>
      <c r="O3700" s="246">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87">
        <v>5</v>
      </c>
      <c r="B3701" s="242">
        <f t="shared" si="1433"/>
        <v>45778</v>
      </c>
      <c r="C3701" s="243">
        <f t="shared" si="1414"/>
        <v>45808</v>
      </c>
      <c r="D3701" s="120">
        <f t="shared" si="1415"/>
        <v>31</v>
      </c>
      <c r="E3701" s="120">
        <f t="shared" si="1416"/>
        <v>5</v>
      </c>
      <c r="F3701" s="275">
        <f t="shared" si="1417"/>
        <v>45793.5</v>
      </c>
      <c r="G3701" s="120">
        <f t="shared" si="1418"/>
        <v>24304</v>
      </c>
      <c r="H3701" s="245">
        <f t="shared" si="1419"/>
        <v>1</v>
      </c>
      <c r="I3701" s="121">
        <f t="shared" si="1420"/>
        <v>1</v>
      </c>
      <c r="J3701" s="121">
        <f t="shared" si="1421"/>
        <v>1</v>
      </c>
      <c r="K3701" s="120">
        <f t="shared" si="1422"/>
        <v>0</v>
      </c>
      <c r="L3701" s="120">
        <f t="shared" si="1423"/>
        <v>0</v>
      </c>
      <c r="M3701" s="246">
        <f t="shared" si="1424"/>
        <v>0</v>
      </c>
      <c r="N3701" s="121">
        <f t="shared" si="1425"/>
        <v>1</v>
      </c>
      <c r="O3701" s="246">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87">
        <v>6</v>
      </c>
      <c r="B3702" s="242">
        <f t="shared" si="1433"/>
        <v>45809</v>
      </c>
      <c r="C3702" s="243">
        <f t="shared" si="1414"/>
        <v>45838</v>
      </c>
      <c r="D3702" s="120">
        <f t="shared" si="1415"/>
        <v>30</v>
      </c>
      <c r="E3702" s="120">
        <f t="shared" si="1416"/>
        <v>6</v>
      </c>
      <c r="F3702" s="275">
        <f t="shared" si="1417"/>
        <v>45824</v>
      </c>
      <c r="G3702" s="120">
        <f t="shared" si="1418"/>
        <v>24305</v>
      </c>
      <c r="H3702" s="245">
        <f t="shared" si="1419"/>
        <v>1</v>
      </c>
      <c r="I3702" s="121">
        <f t="shared" si="1420"/>
        <v>1</v>
      </c>
      <c r="J3702" s="121">
        <f t="shared" si="1421"/>
        <v>1</v>
      </c>
      <c r="K3702" s="120">
        <f t="shared" si="1422"/>
        <v>0</v>
      </c>
      <c r="L3702" s="120">
        <f t="shared" si="1423"/>
        <v>0</v>
      </c>
      <c r="M3702" s="246">
        <f t="shared" si="1424"/>
        <v>0</v>
      </c>
      <c r="N3702" s="121">
        <f t="shared" si="1425"/>
        <v>1</v>
      </c>
      <c r="O3702" s="246">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87">
        <v>7</v>
      </c>
      <c r="B3703" s="242">
        <f t="shared" si="1433"/>
        <v>45839</v>
      </c>
      <c r="C3703" s="243">
        <f t="shared" si="1414"/>
        <v>45869</v>
      </c>
      <c r="D3703" s="120">
        <f t="shared" si="1415"/>
        <v>31</v>
      </c>
      <c r="E3703" s="120">
        <f t="shared" si="1416"/>
        <v>7</v>
      </c>
      <c r="F3703" s="275">
        <f t="shared" si="1417"/>
        <v>45854.5</v>
      </c>
      <c r="G3703" s="120">
        <f t="shared" si="1418"/>
        <v>24306</v>
      </c>
      <c r="H3703" s="245">
        <f t="shared" si="1419"/>
        <v>1</v>
      </c>
      <c r="I3703" s="121">
        <f t="shared" si="1420"/>
        <v>1</v>
      </c>
      <c r="J3703" s="121">
        <f t="shared" si="1421"/>
        <v>1</v>
      </c>
      <c r="K3703" s="120">
        <f t="shared" si="1422"/>
        <v>0</v>
      </c>
      <c r="L3703" s="120">
        <f t="shared" si="1423"/>
        <v>0</v>
      </c>
      <c r="M3703" s="246">
        <f t="shared" si="1424"/>
        <v>0</v>
      </c>
      <c r="N3703" s="121">
        <f t="shared" si="1425"/>
        <v>1</v>
      </c>
      <c r="O3703" s="246">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87">
        <v>8</v>
      </c>
      <c r="B3704" s="242">
        <f t="shared" si="1433"/>
        <v>45870</v>
      </c>
      <c r="C3704" s="243">
        <f t="shared" si="1414"/>
        <v>45900</v>
      </c>
      <c r="D3704" s="120">
        <f t="shared" si="1415"/>
        <v>31</v>
      </c>
      <c r="E3704" s="120">
        <f t="shared" si="1416"/>
        <v>8</v>
      </c>
      <c r="F3704" s="275">
        <f t="shared" si="1417"/>
        <v>45885.5</v>
      </c>
      <c r="G3704" s="120">
        <f t="shared" si="1418"/>
        <v>24307</v>
      </c>
      <c r="H3704" s="245">
        <f t="shared" si="1419"/>
        <v>1</v>
      </c>
      <c r="I3704" s="121">
        <f t="shared" si="1420"/>
        <v>1</v>
      </c>
      <c r="J3704" s="121">
        <f t="shared" si="1421"/>
        <v>1</v>
      </c>
      <c r="K3704" s="120">
        <f t="shared" si="1422"/>
        <v>0</v>
      </c>
      <c r="L3704" s="120">
        <f t="shared" si="1423"/>
        <v>0</v>
      </c>
      <c r="M3704" s="246">
        <f t="shared" si="1424"/>
        <v>0</v>
      </c>
      <c r="N3704" s="121">
        <f t="shared" si="1425"/>
        <v>1</v>
      </c>
      <c r="O3704" s="246">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87">
        <v>9</v>
      </c>
      <c r="B3705" s="242">
        <f t="shared" si="1433"/>
        <v>45901</v>
      </c>
      <c r="C3705" s="243">
        <f t="shared" si="1414"/>
        <v>45930</v>
      </c>
      <c r="D3705" s="120">
        <f t="shared" si="1415"/>
        <v>30</v>
      </c>
      <c r="E3705" s="120">
        <f t="shared" si="1416"/>
        <v>9</v>
      </c>
      <c r="F3705" s="275">
        <f t="shared" si="1417"/>
        <v>45916</v>
      </c>
      <c r="G3705" s="120">
        <f t="shared" si="1418"/>
        <v>24308</v>
      </c>
      <c r="H3705" s="245">
        <f t="shared" si="1419"/>
        <v>1</v>
      </c>
      <c r="I3705" s="121">
        <f t="shared" si="1420"/>
        <v>1</v>
      </c>
      <c r="J3705" s="121">
        <f t="shared" si="1421"/>
        <v>1</v>
      </c>
      <c r="K3705" s="120">
        <f t="shared" si="1422"/>
        <v>0</v>
      </c>
      <c r="L3705" s="120">
        <f t="shared" si="1423"/>
        <v>0</v>
      </c>
      <c r="M3705" s="246">
        <f t="shared" si="1424"/>
        <v>0</v>
      </c>
      <c r="N3705" s="121">
        <f t="shared" si="1425"/>
        <v>1</v>
      </c>
      <c r="O3705" s="246">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87">
        <v>10</v>
      </c>
      <c r="B3706" s="242">
        <f t="shared" si="1433"/>
        <v>45931</v>
      </c>
      <c r="C3706" s="243">
        <f t="shared" si="1414"/>
        <v>45961</v>
      </c>
      <c r="D3706" s="120">
        <f t="shared" si="1415"/>
        <v>31</v>
      </c>
      <c r="E3706" s="120">
        <f t="shared" si="1416"/>
        <v>10</v>
      </c>
      <c r="F3706" s="275">
        <f t="shared" si="1417"/>
        <v>45946.5</v>
      </c>
      <c r="G3706" s="120">
        <f t="shared" si="1418"/>
        <v>24309</v>
      </c>
      <c r="H3706" s="245">
        <f t="shared" si="1419"/>
        <v>1</v>
      </c>
      <c r="I3706" s="121">
        <f t="shared" si="1420"/>
        <v>1</v>
      </c>
      <c r="J3706" s="121">
        <f t="shared" si="1421"/>
        <v>1</v>
      </c>
      <c r="K3706" s="120">
        <f t="shared" si="1422"/>
        <v>0</v>
      </c>
      <c r="L3706" s="120">
        <f t="shared" si="1423"/>
        <v>0</v>
      </c>
      <c r="M3706" s="246">
        <f t="shared" si="1424"/>
        <v>0</v>
      </c>
      <c r="N3706" s="121">
        <f t="shared" si="1425"/>
        <v>1</v>
      </c>
      <c r="O3706" s="246">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87">
        <v>11</v>
      </c>
      <c r="B3707" s="242">
        <f t="shared" si="1433"/>
        <v>45962</v>
      </c>
      <c r="C3707" s="243">
        <f t="shared" si="1414"/>
        <v>45991</v>
      </c>
      <c r="D3707" s="120">
        <f t="shared" si="1415"/>
        <v>30</v>
      </c>
      <c r="E3707" s="120">
        <f t="shared" si="1416"/>
        <v>11</v>
      </c>
      <c r="F3707" s="275">
        <f t="shared" si="1417"/>
        <v>45977</v>
      </c>
      <c r="G3707" s="120">
        <f t="shared" si="1418"/>
        <v>24310</v>
      </c>
      <c r="H3707" s="245">
        <f t="shared" si="1419"/>
        <v>1</v>
      </c>
      <c r="I3707" s="121">
        <f t="shared" si="1420"/>
        <v>1</v>
      </c>
      <c r="J3707" s="121">
        <f t="shared" si="1421"/>
        <v>1</v>
      </c>
      <c r="K3707" s="120">
        <f t="shared" si="1422"/>
        <v>0</v>
      </c>
      <c r="L3707" s="120">
        <f t="shared" si="1423"/>
        <v>0</v>
      </c>
      <c r="M3707" s="246">
        <f t="shared" si="1424"/>
        <v>0</v>
      </c>
      <c r="N3707" s="121">
        <f t="shared" si="1425"/>
        <v>1</v>
      </c>
      <c r="O3707" s="246">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87">
        <v>12</v>
      </c>
      <c r="B3708" s="242">
        <f t="shared" si="1433"/>
        <v>45992</v>
      </c>
      <c r="C3708" s="243">
        <f t="shared" si="1414"/>
        <v>46022</v>
      </c>
      <c r="D3708" s="120">
        <f t="shared" si="1415"/>
        <v>31</v>
      </c>
      <c r="E3708" s="120">
        <f t="shared" si="1416"/>
        <v>12</v>
      </c>
      <c r="F3708" s="275">
        <f t="shared" si="1417"/>
        <v>46007.5</v>
      </c>
      <c r="G3708" s="120">
        <f t="shared" si="1418"/>
        <v>24311</v>
      </c>
      <c r="H3708" s="245">
        <f t="shared" si="1419"/>
        <v>1</v>
      </c>
      <c r="I3708" s="121">
        <f t="shared" si="1420"/>
        <v>1</v>
      </c>
      <c r="J3708" s="121">
        <f t="shared" si="1421"/>
        <v>1</v>
      </c>
      <c r="K3708" s="120">
        <f t="shared" si="1422"/>
        <v>0</v>
      </c>
      <c r="L3708" s="120">
        <f t="shared" si="1423"/>
        <v>0</v>
      </c>
      <c r="M3708" s="246">
        <f t="shared" si="1424"/>
        <v>0</v>
      </c>
      <c r="N3708" s="121">
        <f t="shared" si="1425"/>
        <v>1</v>
      </c>
      <c r="O3708" s="246">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87">
        <v>13</v>
      </c>
      <c r="B3709" s="242">
        <f t="shared" si="1433"/>
        <v>46023</v>
      </c>
      <c r="C3709" s="243">
        <f t="shared" si="1414"/>
        <v>46053</v>
      </c>
      <c r="D3709" s="120">
        <f t="shared" si="1415"/>
        <v>31</v>
      </c>
      <c r="E3709" s="120">
        <f t="shared" si="1416"/>
        <v>1</v>
      </c>
      <c r="F3709" s="275">
        <f t="shared" si="1417"/>
        <v>46038.5</v>
      </c>
      <c r="G3709" s="120">
        <f t="shared" si="1418"/>
        <v>24312</v>
      </c>
      <c r="H3709" s="245">
        <f t="shared" si="1419"/>
        <v>1</v>
      </c>
      <c r="I3709" s="121">
        <f t="shared" si="1420"/>
        <v>1</v>
      </c>
      <c r="J3709" s="121">
        <f t="shared" si="1421"/>
        <v>1</v>
      </c>
      <c r="K3709" s="120">
        <f t="shared" si="1422"/>
        <v>0</v>
      </c>
      <c r="L3709" s="120">
        <f t="shared" si="1423"/>
        <v>0</v>
      </c>
      <c r="M3709" s="246">
        <f t="shared" si="1424"/>
        <v>0</v>
      </c>
      <c r="N3709" s="121">
        <f t="shared" si="1425"/>
        <v>1</v>
      </c>
      <c r="O3709" s="246">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87">
        <v>14</v>
      </c>
      <c r="B3710" s="242">
        <f t="shared" si="1433"/>
        <v>46054</v>
      </c>
      <c r="C3710" s="243">
        <f t="shared" si="1414"/>
        <v>46081</v>
      </c>
      <c r="D3710" s="120">
        <f t="shared" si="1415"/>
        <v>28</v>
      </c>
      <c r="E3710" s="120">
        <f t="shared" si="1416"/>
        <v>2</v>
      </c>
      <c r="F3710" s="275">
        <f t="shared" si="1417"/>
        <v>46068</v>
      </c>
      <c r="G3710" s="120">
        <f t="shared" si="1418"/>
        <v>24313</v>
      </c>
      <c r="H3710" s="245">
        <f t="shared" si="1419"/>
        <v>1</v>
      </c>
      <c r="I3710" s="121">
        <f t="shared" si="1420"/>
        <v>1</v>
      </c>
      <c r="J3710" s="121">
        <f t="shared" si="1421"/>
        <v>1</v>
      </c>
      <c r="K3710" s="120">
        <f t="shared" si="1422"/>
        <v>0</v>
      </c>
      <c r="L3710" s="120">
        <f t="shared" si="1423"/>
        <v>0</v>
      </c>
      <c r="M3710" s="246">
        <f t="shared" si="1424"/>
        <v>0</v>
      </c>
      <c r="N3710" s="121">
        <f t="shared" si="1425"/>
        <v>1</v>
      </c>
      <c r="O3710" s="246">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87">
        <v>15</v>
      </c>
      <c r="B3711" s="242">
        <f t="shared" si="1433"/>
        <v>46082</v>
      </c>
      <c r="C3711" s="243">
        <f t="shared" si="1414"/>
        <v>46112</v>
      </c>
      <c r="D3711" s="120">
        <f t="shared" si="1415"/>
        <v>31</v>
      </c>
      <c r="E3711" s="120">
        <f t="shared" si="1416"/>
        <v>3</v>
      </c>
      <c r="F3711" s="275">
        <f t="shared" si="1417"/>
        <v>46097.5</v>
      </c>
      <c r="G3711" s="120">
        <f t="shared" si="1418"/>
        <v>24314</v>
      </c>
      <c r="H3711" s="245">
        <f t="shared" si="1419"/>
        <v>1</v>
      </c>
      <c r="I3711" s="121">
        <f t="shared" si="1420"/>
        <v>1</v>
      </c>
      <c r="J3711" s="121">
        <f t="shared" si="1421"/>
        <v>1</v>
      </c>
      <c r="K3711" s="120">
        <f t="shared" si="1422"/>
        <v>0</v>
      </c>
      <c r="L3711" s="120">
        <f t="shared" si="1423"/>
        <v>0</v>
      </c>
      <c r="M3711" s="246">
        <f t="shared" si="1424"/>
        <v>0</v>
      </c>
      <c r="N3711" s="121">
        <f t="shared" si="1425"/>
        <v>1</v>
      </c>
      <c r="O3711" s="246">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87">
        <v>16</v>
      </c>
      <c r="B3712" s="242">
        <f t="shared" si="1433"/>
        <v>46113</v>
      </c>
      <c r="C3712" s="243">
        <f t="shared" si="1414"/>
        <v>46142</v>
      </c>
      <c r="D3712" s="120">
        <f t="shared" si="1415"/>
        <v>30</v>
      </c>
      <c r="E3712" s="120">
        <f t="shared" si="1416"/>
        <v>4</v>
      </c>
      <c r="F3712" s="275">
        <f t="shared" si="1417"/>
        <v>46128</v>
      </c>
      <c r="G3712" s="120">
        <f t="shared" si="1418"/>
        <v>24315</v>
      </c>
      <c r="H3712" s="245">
        <f t="shared" si="1419"/>
        <v>1</v>
      </c>
      <c r="I3712" s="121">
        <f t="shared" si="1420"/>
        <v>1</v>
      </c>
      <c r="J3712" s="121">
        <f t="shared" si="1421"/>
        <v>1</v>
      </c>
      <c r="K3712" s="120">
        <f t="shared" si="1422"/>
        <v>0</v>
      </c>
      <c r="L3712" s="120">
        <f t="shared" si="1423"/>
        <v>0</v>
      </c>
      <c r="M3712" s="246">
        <f t="shared" si="1424"/>
        <v>0</v>
      </c>
      <c r="N3712" s="121">
        <f t="shared" si="1425"/>
        <v>1</v>
      </c>
      <c r="O3712" s="246">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87">
        <v>17</v>
      </c>
      <c r="B3713" s="242">
        <f t="shared" si="1433"/>
        <v>46143</v>
      </c>
      <c r="C3713" s="243">
        <f t="shared" si="1414"/>
        <v>46173</v>
      </c>
      <c r="D3713" s="120">
        <f t="shared" si="1415"/>
        <v>31</v>
      </c>
      <c r="E3713" s="120">
        <f t="shared" si="1416"/>
        <v>5</v>
      </c>
      <c r="F3713" s="275">
        <f t="shared" si="1417"/>
        <v>46158.5</v>
      </c>
      <c r="G3713" s="120">
        <f t="shared" si="1418"/>
        <v>24316</v>
      </c>
      <c r="H3713" s="245">
        <f t="shared" si="1419"/>
        <v>1</v>
      </c>
      <c r="I3713" s="121">
        <f t="shared" si="1420"/>
        <v>1</v>
      </c>
      <c r="J3713" s="121">
        <f t="shared" si="1421"/>
        <v>1</v>
      </c>
      <c r="K3713" s="120">
        <f t="shared" si="1422"/>
        <v>0</v>
      </c>
      <c r="L3713" s="120">
        <f t="shared" si="1423"/>
        <v>0</v>
      </c>
      <c r="M3713" s="246">
        <f t="shared" si="1424"/>
        <v>0</v>
      </c>
      <c r="N3713" s="121">
        <f t="shared" si="1425"/>
        <v>1</v>
      </c>
      <c r="O3713" s="246">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87">
        <v>18</v>
      </c>
      <c r="B3714" s="242">
        <f t="shared" si="1433"/>
        <v>46174</v>
      </c>
      <c r="C3714" s="243">
        <f t="shared" si="1414"/>
        <v>46203</v>
      </c>
      <c r="D3714" s="120">
        <f t="shared" si="1415"/>
        <v>30</v>
      </c>
      <c r="E3714" s="120">
        <f t="shared" si="1416"/>
        <v>6</v>
      </c>
      <c r="F3714" s="275">
        <f t="shared" si="1417"/>
        <v>46189</v>
      </c>
      <c r="G3714" s="120">
        <f t="shared" si="1418"/>
        <v>24317</v>
      </c>
      <c r="H3714" s="245">
        <f t="shared" si="1419"/>
        <v>1</v>
      </c>
      <c r="I3714" s="121">
        <f t="shared" si="1420"/>
        <v>1</v>
      </c>
      <c r="J3714" s="121">
        <f t="shared" si="1421"/>
        <v>1</v>
      </c>
      <c r="K3714" s="120">
        <f t="shared" si="1422"/>
        <v>0</v>
      </c>
      <c r="L3714" s="120">
        <f t="shared" si="1423"/>
        <v>0</v>
      </c>
      <c r="M3714" s="246">
        <f t="shared" si="1424"/>
        <v>0</v>
      </c>
      <c r="N3714" s="121">
        <f t="shared" si="1425"/>
        <v>1</v>
      </c>
      <c r="O3714" s="246">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87">
        <v>19</v>
      </c>
      <c r="B3715" s="242">
        <f t="shared" si="1433"/>
        <v>46204</v>
      </c>
      <c r="C3715" s="243">
        <f t="shared" si="1414"/>
        <v>46234</v>
      </c>
      <c r="D3715" s="120">
        <f t="shared" si="1415"/>
        <v>31</v>
      </c>
      <c r="E3715" s="120">
        <f t="shared" si="1416"/>
        <v>7</v>
      </c>
      <c r="F3715" s="275">
        <f t="shared" si="1417"/>
        <v>46219.5</v>
      </c>
      <c r="G3715" s="120">
        <f t="shared" si="1418"/>
        <v>24318</v>
      </c>
      <c r="H3715" s="245">
        <f t="shared" si="1419"/>
        <v>1</v>
      </c>
      <c r="I3715" s="121">
        <f t="shared" si="1420"/>
        <v>1</v>
      </c>
      <c r="J3715" s="121">
        <f t="shared" si="1421"/>
        <v>1</v>
      </c>
      <c r="K3715" s="120">
        <f t="shared" si="1422"/>
        <v>0</v>
      </c>
      <c r="L3715" s="120">
        <f t="shared" si="1423"/>
        <v>0</v>
      </c>
      <c r="M3715" s="246">
        <f t="shared" si="1424"/>
        <v>0</v>
      </c>
      <c r="N3715" s="121">
        <f t="shared" si="1425"/>
        <v>1</v>
      </c>
      <c r="O3715" s="246">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87">
        <v>20</v>
      </c>
      <c r="B3716" s="242">
        <f t="shared" si="1433"/>
        <v>46235</v>
      </c>
      <c r="C3716" s="243">
        <f t="shared" si="1414"/>
        <v>46265</v>
      </c>
      <c r="D3716" s="120">
        <f t="shared" si="1415"/>
        <v>31</v>
      </c>
      <c r="E3716" s="120">
        <f t="shared" si="1416"/>
        <v>8</v>
      </c>
      <c r="F3716" s="275">
        <f t="shared" si="1417"/>
        <v>46250.5</v>
      </c>
      <c r="G3716" s="120">
        <f t="shared" si="1418"/>
        <v>24319</v>
      </c>
      <c r="H3716" s="245">
        <f t="shared" si="1419"/>
        <v>1</v>
      </c>
      <c r="I3716" s="121">
        <f t="shared" si="1420"/>
        <v>1</v>
      </c>
      <c r="J3716" s="121">
        <f t="shared" si="1421"/>
        <v>1</v>
      </c>
      <c r="K3716" s="120">
        <f t="shared" si="1422"/>
        <v>0</v>
      </c>
      <c r="L3716" s="120">
        <f t="shared" si="1423"/>
        <v>0</v>
      </c>
      <c r="M3716" s="246">
        <f t="shared" si="1424"/>
        <v>0</v>
      </c>
      <c r="N3716" s="121">
        <f t="shared" si="1425"/>
        <v>1</v>
      </c>
      <c r="O3716" s="246">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87">
        <v>21</v>
      </c>
      <c r="B3717" s="242">
        <f t="shared" si="1433"/>
        <v>46266</v>
      </c>
      <c r="C3717" s="243">
        <f t="shared" si="1414"/>
        <v>46295</v>
      </c>
      <c r="D3717" s="120">
        <f t="shared" si="1415"/>
        <v>30</v>
      </c>
      <c r="E3717" s="120">
        <f t="shared" si="1416"/>
        <v>9</v>
      </c>
      <c r="F3717" s="275">
        <f t="shared" si="1417"/>
        <v>46281</v>
      </c>
      <c r="G3717" s="120">
        <f t="shared" si="1418"/>
        <v>24320</v>
      </c>
      <c r="H3717" s="245">
        <f t="shared" si="1419"/>
        <v>1</v>
      </c>
      <c r="I3717" s="121">
        <f t="shared" si="1420"/>
        <v>1</v>
      </c>
      <c r="J3717" s="121">
        <f t="shared" si="1421"/>
        <v>1</v>
      </c>
      <c r="K3717" s="120">
        <f t="shared" si="1422"/>
        <v>0</v>
      </c>
      <c r="L3717" s="120">
        <f t="shared" si="1423"/>
        <v>0</v>
      </c>
      <c r="M3717" s="246">
        <f t="shared" si="1424"/>
        <v>0</v>
      </c>
      <c r="N3717" s="121">
        <f t="shared" si="1425"/>
        <v>1</v>
      </c>
      <c r="O3717" s="246">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87">
        <v>22</v>
      </c>
      <c r="B3718" s="242">
        <f t="shared" si="1433"/>
        <v>46296</v>
      </c>
      <c r="C3718" s="243">
        <f t="shared" si="1414"/>
        <v>46326</v>
      </c>
      <c r="D3718" s="120">
        <f t="shared" si="1415"/>
        <v>31</v>
      </c>
      <c r="E3718" s="120">
        <f t="shared" si="1416"/>
        <v>10</v>
      </c>
      <c r="F3718" s="275">
        <f t="shared" si="1417"/>
        <v>46311.5</v>
      </c>
      <c r="G3718" s="120">
        <f t="shared" si="1418"/>
        <v>24321</v>
      </c>
      <c r="H3718" s="245">
        <f t="shared" si="1419"/>
        <v>1</v>
      </c>
      <c r="I3718" s="121">
        <f t="shared" si="1420"/>
        <v>1</v>
      </c>
      <c r="J3718" s="121">
        <f t="shared" si="1421"/>
        <v>1</v>
      </c>
      <c r="K3718" s="120">
        <f t="shared" si="1422"/>
        <v>0</v>
      </c>
      <c r="L3718" s="120">
        <f t="shared" si="1423"/>
        <v>0</v>
      </c>
      <c r="M3718" s="246">
        <f t="shared" si="1424"/>
        <v>0</v>
      </c>
      <c r="N3718" s="121">
        <f t="shared" si="1425"/>
        <v>1</v>
      </c>
      <c r="O3718" s="246">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87">
        <v>23</v>
      </c>
      <c r="B3719" s="242">
        <f t="shared" si="1433"/>
        <v>46327</v>
      </c>
      <c r="C3719" s="243">
        <f t="shared" si="1414"/>
        <v>46356</v>
      </c>
      <c r="D3719" s="120">
        <f t="shared" si="1415"/>
        <v>30</v>
      </c>
      <c r="E3719" s="120">
        <f t="shared" si="1416"/>
        <v>11</v>
      </c>
      <c r="F3719" s="275">
        <f t="shared" si="1417"/>
        <v>46342</v>
      </c>
      <c r="G3719" s="120">
        <f t="shared" si="1418"/>
        <v>24322</v>
      </c>
      <c r="H3719" s="245">
        <f t="shared" si="1419"/>
        <v>1</v>
      </c>
      <c r="I3719" s="121">
        <f t="shared" si="1420"/>
        <v>1</v>
      </c>
      <c r="J3719" s="121">
        <f t="shared" si="1421"/>
        <v>1</v>
      </c>
      <c r="K3719" s="120">
        <f t="shared" si="1422"/>
        <v>0</v>
      </c>
      <c r="L3719" s="120">
        <f t="shared" si="1423"/>
        <v>0</v>
      </c>
      <c r="M3719" s="246">
        <f t="shared" si="1424"/>
        <v>0</v>
      </c>
      <c r="N3719" s="121">
        <f t="shared" si="1425"/>
        <v>1</v>
      </c>
      <c r="O3719" s="246">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87">
        <v>24</v>
      </c>
      <c r="B3720" s="242">
        <f t="shared" si="1433"/>
        <v>46357</v>
      </c>
      <c r="C3720" s="243">
        <f t="shared" si="1414"/>
        <v>46387</v>
      </c>
      <c r="D3720" s="120">
        <f t="shared" si="1415"/>
        <v>31</v>
      </c>
      <c r="E3720" s="120">
        <f t="shared" si="1416"/>
        <v>12</v>
      </c>
      <c r="F3720" s="275">
        <f t="shared" si="1417"/>
        <v>46372.5</v>
      </c>
      <c r="G3720" s="120">
        <f t="shared" si="1418"/>
        <v>24323</v>
      </c>
      <c r="H3720" s="245">
        <f t="shared" si="1419"/>
        <v>1</v>
      </c>
      <c r="I3720" s="121">
        <f t="shared" si="1420"/>
        <v>1</v>
      </c>
      <c r="J3720" s="121">
        <f t="shared" si="1421"/>
        <v>1</v>
      </c>
      <c r="K3720" s="120">
        <f t="shared" si="1422"/>
        <v>0</v>
      </c>
      <c r="L3720" s="120">
        <f t="shared" si="1423"/>
        <v>0</v>
      </c>
      <c r="M3720" s="246">
        <f t="shared" si="1424"/>
        <v>0</v>
      </c>
      <c r="N3720" s="121">
        <f t="shared" si="1425"/>
        <v>1</v>
      </c>
      <c r="O3720" s="246">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87">
        <v>25</v>
      </c>
      <c r="B3721" s="242">
        <f t="shared" si="1433"/>
        <v>46388</v>
      </c>
      <c r="C3721" s="243">
        <f t="shared" si="1414"/>
        <v>46418</v>
      </c>
      <c r="D3721" s="120">
        <f t="shared" si="1415"/>
        <v>31</v>
      </c>
      <c r="E3721" s="120">
        <f t="shared" si="1416"/>
        <v>1</v>
      </c>
      <c r="F3721" s="275">
        <f t="shared" si="1417"/>
        <v>46403.5</v>
      </c>
      <c r="G3721" s="120">
        <f t="shared" si="1418"/>
        <v>24324</v>
      </c>
      <c r="H3721" s="245">
        <f t="shared" si="1419"/>
        <v>1</v>
      </c>
      <c r="I3721" s="121">
        <f t="shared" si="1420"/>
        <v>1</v>
      </c>
      <c r="J3721" s="121">
        <f t="shared" si="1421"/>
        <v>1</v>
      </c>
      <c r="K3721" s="120">
        <f t="shared" si="1422"/>
        <v>0</v>
      </c>
      <c r="L3721" s="120">
        <f t="shared" si="1423"/>
        <v>0</v>
      </c>
      <c r="M3721" s="246">
        <f t="shared" si="1424"/>
        <v>0</v>
      </c>
      <c r="N3721" s="121">
        <f t="shared" si="1425"/>
        <v>1</v>
      </c>
      <c r="O3721" s="246">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87">
        <v>26</v>
      </c>
      <c r="B3722" s="242">
        <f t="shared" si="1433"/>
        <v>46419</v>
      </c>
      <c r="C3722" s="243">
        <f t="shared" si="1414"/>
        <v>46446</v>
      </c>
      <c r="D3722" s="120">
        <f t="shared" si="1415"/>
        <v>28</v>
      </c>
      <c r="E3722" s="120">
        <f t="shared" si="1416"/>
        <v>2</v>
      </c>
      <c r="F3722" s="275">
        <f t="shared" si="1417"/>
        <v>46433</v>
      </c>
      <c r="G3722" s="120">
        <f t="shared" si="1418"/>
        <v>24325</v>
      </c>
      <c r="H3722" s="245">
        <f t="shared" si="1419"/>
        <v>1</v>
      </c>
      <c r="I3722" s="121">
        <f t="shared" si="1420"/>
        <v>1</v>
      </c>
      <c r="J3722" s="121">
        <f t="shared" si="1421"/>
        <v>1</v>
      </c>
      <c r="K3722" s="120">
        <f t="shared" si="1422"/>
        <v>0</v>
      </c>
      <c r="L3722" s="120">
        <f t="shared" si="1423"/>
        <v>0</v>
      </c>
      <c r="M3722" s="246">
        <f t="shared" si="1424"/>
        <v>0</v>
      </c>
      <c r="N3722" s="121">
        <f t="shared" si="1425"/>
        <v>1</v>
      </c>
      <c r="O3722" s="246">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87">
        <v>27</v>
      </c>
      <c r="B3723" s="242">
        <f t="shared" si="1433"/>
        <v>46447</v>
      </c>
      <c r="C3723" s="243">
        <f t="shared" si="1414"/>
        <v>46477</v>
      </c>
      <c r="D3723" s="120">
        <f t="shared" si="1415"/>
        <v>31</v>
      </c>
      <c r="E3723" s="120">
        <f t="shared" si="1416"/>
        <v>3</v>
      </c>
      <c r="F3723" s="275">
        <f t="shared" si="1417"/>
        <v>46462.5</v>
      </c>
      <c r="G3723" s="120">
        <f t="shared" si="1418"/>
        <v>24326</v>
      </c>
      <c r="H3723" s="245">
        <f t="shared" si="1419"/>
        <v>1</v>
      </c>
      <c r="I3723" s="121">
        <f t="shared" si="1420"/>
        <v>1</v>
      </c>
      <c r="J3723" s="121">
        <f t="shared" si="1421"/>
        <v>1</v>
      </c>
      <c r="K3723" s="120">
        <f t="shared" si="1422"/>
        <v>0</v>
      </c>
      <c r="L3723" s="120">
        <f t="shared" si="1423"/>
        <v>0</v>
      </c>
      <c r="M3723" s="246">
        <f t="shared" si="1424"/>
        <v>0</v>
      </c>
      <c r="N3723" s="121">
        <f t="shared" si="1425"/>
        <v>1</v>
      </c>
      <c r="O3723" s="246">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87">
        <v>28</v>
      </c>
      <c r="B3724" s="242">
        <f t="shared" si="1433"/>
        <v>46478</v>
      </c>
      <c r="C3724" s="243">
        <f t="shared" si="1414"/>
        <v>46507</v>
      </c>
      <c r="D3724" s="120">
        <f t="shared" si="1415"/>
        <v>30</v>
      </c>
      <c r="E3724" s="120">
        <f t="shared" si="1416"/>
        <v>4</v>
      </c>
      <c r="F3724" s="275">
        <f t="shared" si="1417"/>
        <v>46493</v>
      </c>
      <c r="G3724" s="120">
        <f t="shared" si="1418"/>
        <v>24327</v>
      </c>
      <c r="H3724" s="245">
        <f t="shared" si="1419"/>
        <v>1</v>
      </c>
      <c r="I3724" s="121">
        <f t="shared" si="1420"/>
        <v>1</v>
      </c>
      <c r="J3724" s="121">
        <f t="shared" si="1421"/>
        <v>1</v>
      </c>
      <c r="K3724" s="120">
        <f t="shared" si="1422"/>
        <v>0</v>
      </c>
      <c r="L3724" s="120">
        <f t="shared" si="1423"/>
        <v>0</v>
      </c>
      <c r="M3724" s="246">
        <f t="shared" si="1424"/>
        <v>0</v>
      </c>
      <c r="N3724" s="121">
        <f t="shared" si="1425"/>
        <v>1</v>
      </c>
      <c r="O3724" s="246">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87">
        <v>29</v>
      </c>
      <c r="B3725" s="242">
        <f t="shared" si="1433"/>
        <v>46508</v>
      </c>
      <c r="C3725" s="243">
        <f t="shared" si="1414"/>
        <v>46538</v>
      </c>
      <c r="D3725" s="120">
        <f t="shared" si="1415"/>
        <v>31</v>
      </c>
      <c r="E3725" s="120">
        <f t="shared" si="1416"/>
        <v>5</v>
      </c>
      <c r="F3725" s="275">
        <f t="shared" si="1417"/>
        <v>46523.5</v>
      </c>
      <c r="G3725" s="120">
        <f t="shared" si="1418"/>
        <v>24328</v>
      </c>
      <c r="H3725" s="245">
        <f t="shared" si="1419"/>
        <v>1</v>
      </c>
      <c r="I3725" s="121">
        <f t="shared" si="1420"/>
        <v>1</v>
      </c>
      <c r="J3725" s="121">
        <f t="shared" si="1421"/>
        <v>1</v>
      </c>
      <c r="K3725" s="120">
        <f t="shared" si="1422"/>
        <v>0</v>
      </c>
      <c r="L3725" s="120">
        <f t="shared" si="1423"/>
        <v>0</v>
      </c>
      <c r="M3725" s="246">
        <f t="shared" si="1424"/>
        <v>0</v>
      </c>
      <c r="N3725" s="121">
        <f t="shared" si="1425"/>
        <v>1</v>
      </c>
      <c r="O3725" s="246">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87">
        <v>30</v>
      </c>
      <c r="B3726" s="242">
        <f t="shared" si="1433"/>
        <v>46539</v>
      </c>
      <c r="C3726" s="243">
        <f t="shared" si="1414"/>
        <v>46568</v>
      </c>
      <c r="D3726" s="120">
        <f t="shared" si="1415"/>
        <v>30</v>
      </c>
      <c r="E3726" s="120">
        <f t="shared" si="1416"/>
        <v>6</v>
      </c>
      <c r="F3726" s="275">
        <f t="shared" si="1417"/>
        <v>46554</v>
      </c>
      <c r="G3726" s="120">
        <f t="shared" si="1418"/>
        <v>24329</v>
      </c>
      <c r="H3726" s="245">
        <f t="shared" si="1419"/>
        <v>1</v>
      </c>
      <c r="I3726" s="121">
        <f t="shared" si="1420"/>
        <v>1</v>
      </c>
      <c r="J3726" s="121">
        <f t="shared" si="1421"/>
        <v>1</v>
      </c>
      <c r="K3726" s="120">
        <f t="shared" si="1422"/>
        <v>0</v>
      </c>
      <c r="L3726" s="120">
        <f t="shared" si="1423"/>
        <v>0</v>
      </c>
      <c r="M3726" s="246">
        <f t="shared" si="1424"/>
        <v>0</v>
      </c>
      <c r="N3726" s="121">
        <f t="shared" si="1425"/>
        <v>1</v>
      </c>
      <c r="O3726" s="246">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87">
        <v>31</v>
      </c>
      <c r="B3727" s="242">
        <f t="shared" si="1433"/>
        <v>46569</v>
      </c>
      <c r="C3727" s="243">
        <f t="shared" si="1414"/>
        <v>46599</v>
      </c>
      <c r="D3727" s="120">
        <f t="shared" si="1415"/>
        <v>31</v>
      </c>
      <c r="E3727" s="120">
        <f t="shared" si="1416"/>
        <v>7</v>
      </c>
      <c r="F3727" s="275">
        <f t="shared" si="1417"/>
        <v>46584.5</v>
      </c>
      <c r="G3727" s="120">
        <f t="shared" si="1418"/>
        <v>24330</v>
      </c>
      <c r="H3727" s="245">
        <f t="shared" si="1419"/>
        <v>1</v>
      </c>
      <c r="I3727" s="121">
        <f t="shared" si="1420"/>
        <v>1</v>
      </c>
      <c r="J3727" s="121">
        <f t="shared" si="1421"/>
        <v>1</v>
      </c>
      <c r="K3727" s="120">
        <f t="shared" si="1422"/>
        <v>0</v>
      </c>
      <c r="L3727" s="120">
        <f t="shared" si="1423"/>
        <v>0</v>
      </c>
      <c r="M3727" s="246">
        <f t="shared" si="1424"/>
        <v>0</v>
      </c>
      <c r="N3727" s="121">
        <f t="shared" si="1425"/>
        <v>1</v>
      </c>
      <c r="O3727" s="246">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87">
        <v>32</v>
      </c>
      <c r="B3728" s="242">
        <f t="shared" si="1433"/>
        <v>46600</v>
      </c>
      <c r="C3728" s="243">
        <f t="shared" si="1414"/>
        <v>46630</v>
      </c>
      <c r="D3728" s="120">
        <f t="shared" si="1415"/>
        <v>31</v>
      </c>
      <c r="E3728" s="120">
        <f t="shared" si="1416"/>
        <v>8</v>
      </c>
      <c r="F3728" s="275">
        <f t="shared" si="1417"/>
        <v>46615.5</v>
      </c>
      <c r="G3728" s="120">
        <f t="shared" si="1418"/>
        <v>24331</v>
      </c>
      <c r="H3728" s="245">
        <f t="shared" si="1419"/>
        <v>1</v>
      </c>
      <c r="I3728" s="121">
        <f t="shared" si="1420"/>
        <v>1</v>
      </c>
      <c r="J3728" s="121">
        <f t="shared" si="1421"/>
        <v>1</v>
      </c>
      <c r="K3728" s="120">
        <f t="shared" si="1422"/>
        <v>0</v>
      </c>
      <c r="L3728" s="120">
        <f t="shared" si="1423"/>
        <v>0</v>
      </c>
      <c r="M3728" s="246">
        <f t="shared" si="1424"/>
        <v>0</v>
      </c>
      <c r="N3728" s="121">
        <f t="shared" si="1425"/>
        <v>1</v>
      </c>
      <c r="O3728" s="246">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87">
        <v>33</v>
      </c>
      <c r="B3729" s="242">
        <f t="shared" si="1433"/>
        <v>46631</v>
      </c>
      <c r="C3729" s="243">
        <f t="shared" si="1414"/>
        <v>46660</v>
      </c>
      <c r="D3729" s="120">
        <f t="shared" si="1415"/>
        <v>30</v>
      </c>
      <c r="E3729" s="120">
        <f t="shared" si="1416"/>
        <v>9</v>
      </c>
      <c r="F3729" s="275">
        <f t="shared" si="1417"/>
        <v>46646</v>
      </c>
      <c r="G3729" s="120">
        <f t="shared" si="1418"/>
        <v>24332</v>
      </c>
      <c r="H3729" s="245">
        <f t="shared" si="1419"/>
        <v>1</v>
      </c>
      <c r="I3729" s="121">
        <f t="shared" si="1420"/>
        <v>1</v>
      </c>
      <c r="J3729" s="121">
        <f t="shared" si="1421"/>
        <v>1</v>
      </c>
      <c r="K3729" s="120">
        <f t="shared" si="1422"/>
        <v>0</v>
      </c>
      <c r="L3729" s="120">
        <f t="shared" si="1423"/>
        <v>0</v>
      </c>
      <c r="M3729" s="246">
        <f t="shared" si="1424"/>
        <v>0</v>
      </c>
      <c r="N3729" s="121">
        <f t="shared" si="1425"/>
        <v>1</v>
      </c>
      <c r="O3729" s="246">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87">
        <v>34</v>
      </c>
      <c r="B3730" s="242">
        <f t="shared" si="1433"/>
        <v>46661</v>
      </c>
      <c r="C3730" s="243">
        <f t="shared" si="1414"/>
        <v>46691</v>
      </c>
      <c r="D3730" s="120">
        <f t="shared" si="1415"/>
        <v>31</v>
      </c>
      <c r="E3730" s="120">
        <f t="shared" si="1416"/>
        <v>10</v>
      </c>
      <c r="F3730" s="275">
        <f t="shared" si="1417"/>
        <v>46676.5</v>
      </c>
      <c r="G3730" s="120">
        <f t="shared" si="1418"/>
        <v>24333</v>
      </c>
      <c r="H3730" s="245">
        <f t="shared" si="1419"/>
        <v>1</v>
      </c>
      <c r="I3730" s="121">
        <f t="shared" si="1420"/>
        <v>1</v>
      </c>
      <c r="J3730" s="121">
        <f t="shared" si="1421"/>
        <v>1</v>
      </c>
      <c r="K3730" s="120">
        <f t="shared" si="1422"/>
        <v>0</v>
      </c>
      <c r="L3730" s="120">
        <f t="shared" si="1423"/>
        <v>0</v>
      </c>
      <c r="M3730" s="246">
        <f t="shared" si="1424"/>
        <v>0</v>
      </c>
      <c r="N3730" s="121">
        <f t="shared" si="1425"/>
        <v>1</v>
      </c>
      <c r="O3730" s="246">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87">
        <v>35</v>
      </c>
      <c r="B3731" s="242">
        <f t="shared" si="1433"/>
        <v>46692</v>
      </c>
      <c r="C3731" s="243">
        <f t="shared" si="1414"/>
        <v>46721</v>
      </c>
      <c r="D3731" s="120">
        <f t="shared" si="1415"/>
        <v>30</v>
      </c>
      <c r="E3731" s="120">
        <f t="shared" si="1416"/>
        <v>11</v>
      </c>
      <c r="F3731" s="275">
        <f t="shared" si="1417"/>
        <v>46707</v>
      </c>
      <c r="G3731" s="120">
        <f t="shared" si="1418"/>
        <v>24334</v>
      </c>
      <c r="H3731" s="245">
        <f t="shared" si="1419"/>
        <v>1</v>
      </c>
      <c r="I3731" s="121">
        <f t="shared" si="1420"/>
        <v>1</v>
      </c>
      <c r="J3731" s="121">
        <f t="shared" si="1421"/>
        <v>1</v>
      </c>
      <c r="K3731" s="120">
        <f t="shared" si="1422"/>
        <v>0</v>
      </c>
      <c r="L3731" s="120">
        <f t="shared" si="1423"/>
        <v>0</v>
      </c>
      <c r="M3731" s="246">
        <f t="shared" si="1424"/>
        <v>0</v>
      </c>
      <c r="N3731" s="121">
        <f t="shared" si="1425"/>
        <v>1</v>
      </c>
      <c r="O3731" s="246">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87">
        <v>36</v>
      </c>
      <c r="B3732" s="242">
        <f t="shared" si="1433"/>
        <v>46722</v>
      </c>
      <c r="C3732" s="243">
        <f t="shared" si="1414"/>
        <v>46752</v>
      </c>
      <c r="D3732" s="120">
        <f t="shared" si="1415"/>
        <v>31</v>
      </c>
      <c r="E3732" s="120">
        <f t="shared" si="1416"/>
        <v>12</v>
      </c>
      <c r="F3732" s="275">
        <f t="shared" si="1417"/>
        <v>46737.5</v>
      </c>
      <c r="G3732" s="120">
        <f t="shared" si="1418"/>
        <v>24335</v>
      </c>
      <c r="H3732" s="245">
        <f t="shared" si="1419"/>
        <v>1</v>
      </c>
      <c r="I3732" s="121">
        <f t="shared" si="1420"/>
        <v>1</v>
      </c>
      <c r="J3732" s="121">
        <f t="shared" si="1421"/>
        <v>1</v>
      </c>
      <c r="K3732" s="120">
        <f t="shared" si="1422"/>
        <v>0</v>
      </c>
      <c r="L3732" s="120">
        <f t="shared" si="1423"/>
        <v>0</v>
      </c>
      <c r="M3732" s="246">
        <f t="shared" si="1424"/>
        <v>0</v>
      </c>
      <c r="N3732" s="121">
        <f t="shared" si="1425"/>
        <v>1</v>
      </c>
      <c r="O3732" s="246">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87">
        <v>37</v>
      </c>
      <c r="B3733" s="242">
        <f t="shared" si="1433"/>
        <v>46753</v>
      </c>
      <c r="C3733" s="243">
        <f t="shared" si="1414"/>
        <v>46783</v>
      </c>
      <c r="D3733" s="120">
        <f t="shared" si="1415"/>
        <v>31</v>
      </c>
      <c r="E3733" s="120">
        <f t="shared" si="1416"/>
        <v>1</v>
      </c>
      <c r="F3733" s="275">
        <f t="shared" si="1417"/>
        <v>46768.5</v>
      </c>
      <c r="G3733" s="120">
        <f t="shared" si="1418"/>
        <v>24336</v>
      </c>
      <c r="H3733" s="245">
        <f t="shared" si="1419"/>
        <v>1</v>
      </c>
      <c r="I3733" s="121">
        <f t="shared" si="1420"/>
        <v>1</v>
      </c>
      <c r="J3733" s="121">
        <f t="shared" si="1421"/>
        <v>1</v>
      </c>
      <c r="K3733" s="120">
        <f t="shared" si="1422"/>
        <v>0</v>
      </c>
      <c r="L3733" s="120">
        <f t="shared" si="1423"/>
        <v>0</v>
      </c>
      <c r="M3733" s="246">
        <f t="shared" si="1424"/>
        <v>0</v>
      </c>
      <c r="N3733" s="121">
        <f t="shared" si="1425"/>
        <v>1</v>
      </c>
      <c r="O3733" s="246">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87">
        <v>38</v>
      </c>
      <c r="B3734" s="242">
        <f t="shared" si="1433"/>
        <v>46784</v>
      </c>
      <c r="C3734" s="243">
        <f t="shared" si="1414"/>
        <v>46812</v>
      </c>
      <c r="D3734" s="120">
        <f t="shared" si="1415"/>
        <v>29</v>
      </c>
      <c r="E3734" s="120">
        <f t="shared" si="1416"/>
        <v>2</v>
      </c>
      <c r="F3734" s="275">
        <f t="shared" si="1417"/>
        <v>46798.5</v>
      </c>
      <c r="G3734" s="120">
        <f t="shared" si="1418"/>
        <v>24337</v>
      </c>
      <c r="H3734" s="245">
        <f t="shared" si="1419"/>
        <v>1</v>
      </c>
      <c r="I3734" s="121">
        <f t="shared" si="1420"/>
        <v>1</v>
      </c>
      <c r="J3734" s="121">
        <f t="shared" si="1421"/>
        <v>1</v>
      </c>
      <c r="K3734" s="120">
        <f t="shared" si="1422"/>
        <v>0</v>
      </c>
      <c r="L3734" s="120">
        <f t="shared" si="1423"/>
        <v>0</v>
      </c>
      <c r="M3734" s="246">
        <f t="shared" si="1424"/>
        <v>0</v>
      </c>
      <c r="N3734" s="121">
        <f t="shared" si="1425"/>
        <v>1</v>
      </c>
      <c r="O3734" s="246">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87">
        <v>39</v>
      </c>
      <c r="B3735" s="242">
        <f t="shared" si="1433"/>
        <v>46813</v>
      </c>
      <c r="C3735" s="243">
        <f t="shared" si="1414"/>
        <v>46843</v>
      </c>
      <c r="D3735" s="120">
        <f t="shared" si="1415"/>
        <v>31</v>
      </c>
      <c r="E3735" s="120">
        <f t="shared" si="1416"/>
        <v>3</v>
      </c>
      <c r="F3735" s="275">
        <f t="shared" si="1417"/>
        <v>46828.5</v>
      </c>
      <c r="G3735" s="120">
        <f t="shared" si="1418"/>
        <v>24338</v>
      </c>
      <c r="H3735" s="245">
        <f t="shared" si="1419"/>
        <v>1</v>
      </c>
      <c r="I3735" s="121">
        <f t="shared" si="1420"/>
        <v>1</v>
      </c>
      <c r="J3735" s="121">
        <f t="shared" si="1421"/>
        <v>1</v>
      </c>
      <c r="K3735" s="120">
        <f t="shared" si="1422"/>
        <v>0</v>
      </c>
      <c r="L3735" s="120">
        <f t="shared" si="1423"/>
        <v>0</v>
      </c>
      <c r="M3735" s="246">
        <f t="shared" si="1424"/>
        <v>0</v>
      </c>
      <c r="N3735" s="121">
        <f t="shared" si="1425"/>
        <v>1</v>
      </c>
      <c r="O3735" s="246">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87">
        <v>40</v>
      </c>
      <c r="B3736" s="242">
        <f t="shared" si="1433"/>
        <v>46844</v>
      </c>
      <c r="C3736" s="243">
        <f t="shared" si="1414"/>
        <v>46873</v>
      </c>
      <c r="D3736" s="120">
        <f t="shared" si="1415"/>
        <v>30</v>
      </c>
      <c r="E3736" s="120">
        <f t="shared" si="1416"/>
        <v>4</v>
      </c>
      <c r="F3736" s="275">
        <f t="shared" si="1417"/>
        <v>46859</v>
      </c>
      <c r="G3736" s="120">
        <f t="shared" si="1418"/>
        <v>24339</v>
      </c>
      <c r="H3736" s="245">
        <f t="shared" si="1419"/>
        <v>1</v>
      </c>
      <c r="I3736" s="121">
        <f t="shared" si="1420"/>
        <v>1</v>
      </c>
      <c r="J3736" s="121">
        <f t="shared" si="1421"/>
        <v>1</v>
      </c>
      <c r="K3736" s="120">
        <f t="shared" si="1422"/>
        <v>0</v>
      </c>
      <c r="L3736" s="120">
        <f t="shared" si="1423"/>
        <v>0</v>
      </c>
      <c r="M3736" s="246">
        <f t="shared" si="1424"/>
        <v>0</v>
      </c>
      <c r="N3736" s="121">
        <f t="shared" si="1425"/>
        <v>1</v>
      </c>
      <c r="O3736" s="246">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87">
        <v>41</v>
      </c>
      <c r="B3737" s="242">
        <f t="shared" si="1433"/>
        <v>46874</v>
      </c>
      <c r="C3737" s="243">
        <f t="shared" si="1414"/>
        <v>46904</v>
      </c>
      <c r="D3737" s="120">
        <f t="shared" si="1415"/>
        <v>31</v>
      </c>
      <c r="E3737" s="120">
        <f t="shared" si="1416"/>
        <v>5</v>
      </c>
      <c r="F3737" s="275">
        <f t="shared" si="1417"/>
        <v>46889.5</v>
      </c>
      <c r="G3737" s="120">
        <f t="shared" si="1418"/>
        <v>24340</v>
      </c>
      <c r="H3737" s="245">
        <f t="shared" si="1419"/>
        <v>1</v>
      </c>
      <c r="I3737" s="121">
        <f t="shared" si="1420"/>
        <v>1</v>
      </c>
      <c r="J3737" s="121">
        <f t="shared" si="1421"/>
        <v>1</v>
      </c>
      <c r="K3737" s="120">
        <f t="shared" si="1422"/>
        <v>0</v>
      </c>
      <c r="L3737" s="120">
        <f t="shared" si="1423"/>
        <v>0</v>
      </c>
      <c r="M3737" s="246">
        <f t="shared" si="1424"/>
        <v>0</v>
      </c>
      <c r="N3737" s="121">
        <f t="shared" si="1425"/>
        <v>1</v>
      </c>
      <c r="O3737" s="246">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87">
        <v>42</v>
      </c>
      <c r="B3738" s="242">
        <f t="shared" si="1433"/>
        <v>46905</v>
      </c>
      <c r="C3738" s="243">
        <f t="shared" si="1414"/>
        <v>46934</v>
      </c>
      <c r="D3738" s="120">
        <f t="shared" si="1415"/>
        <v>30</v>
      </c>
      <c r="E3738" s="120">
        <f t="shared" si="1416"/>
        <v>6</v>
      </c>
      <c r="F3738" s="275">
        <f t="shared" si="1417"/>
        <v>46920</v>
      </c>
      <c r="G3738" s="120">
        <f t="shared" si="1418"/>
        <v>24341</v>
      </c>
      <c r="H3738" s="245">
        <f t="shared" si="1419"/>
        <v>1</v>
      </c>
      <c r="I3738" s="121">
        <f t="shared" si="1420"/>
        <v>1</v>
      </c>
      <c r="J3738" s="121">
        <f t="shared" si="1421"/>
        <v>1</v>
      </c>
      <c r="K3738" s="120">
        <f t="shared" si="1422"/>
        <v>0</v>
      </c>
      <c r="L3738" s="120">
        <f t="shared" si="1423"/>
        <v>0</v>
      </c>
      <c r="M3738" s="246">
        <f t="shared" si="1424"/>
        <v>0</v>
      </c>
      <c r="N3738" s="121">
        <f t="shared" si="1425"/>
        <v>1</v>
      </c>
      <c r="O3738" s="246">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87">
        <v>43</v>
      </c>
      <c r="B3739" s="242">
        <f t="shared" si="1433"/>
        <v>46935</v>
      </c>
      <c r="C3739" s="243">
        <f t="shared" si="1414"/>
        <v>46965</v>
      </c>
      <c r="D3739" s="120">
        <f t="shared" si="1415"/>
        <v>31</v>
      </c>
      <c r="E3739" s="120">
        <f t="shared" si="1416"/>
        <v>7</v>
      </c>
      <c r="F3739" s="275">
        <f t="shared" si="1417"/>
        <v>46950.5</v>
      </c>
      <c r="G3739" s="120">
        <f t="shared" si="1418"/>
        <v>24342</v>
      </c>
      <c r="H3739" s="245">
        <f t="shared" si="1419"/>
        <v>1</v>
      </c>
      <c r="I3739" s="121">
        <f t="shared" si="1420"/>
        <v>1</v>
      </c>
      <c r="J3739" s="121">
        <f t="shared" si="1421"/>
        <v>1</v>
      </c>
      <c r="K3739" s="120">
        <f t="shared" si="1422"/>
        <v>0</v>
      </c>
      <c r="L3739" s="120">
        <f t="shared" si="1423"/>
        <v>0</v>
      </c>
      <c r="M3739" s="246">
        <f t="shared" si="1424"/>
        <v>0</v>
      </c>
      <c r="N3739" s="121">
        <f t="shared" si="1425"/>
        <v>1</v>
      </c>
      <c r="O3739" s="246">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87">
        <v>44</v>
      </c>
      <c r="B3740" s="242">
        <f t="shared" si="1433"/>
        <v>46966</v>
      </c>
      <c r="C3740" s="243">
        <f t="shared" si="1414"/>
        <v>46996</v>
      </c>
      <c r="D3740" s="120">
        <f t="shared" si="1415"/>
        <v>31</v>
      </c>
      <c r="E3740" s="120">
        <f t="shared" si="1416"/>
        <v>8</v>
      </c>
      <c r="F3740" s="275">
        <f t="shared" si="1417"/>
        <v>46981.5</v>
      </c>
      <c r="G3740" s="120">
        <f t="shared" si="1418"/>
        <v>24343</v>
      </c>
      <c r="H3740" s="245">
        <f t="shared" si="1419"/>
        <v>1</v>
      </c>
      <c r="I3740" s="121">
        <f t="shared" si="1420"/>
        <v>1</v>
      </c>
      <c r="J3740" s="121">
        <f t="shared" si="1421"/>
        <v>1</v>
      </c>
      <c r="K3740" s="120">
        <f t="shared" si="1422"/>
        <v>0</v>
      </c>
      <c r="L3740" s="120">
        <f t="shared" si="1423"/>
        <v>0</v>
      </c>
      <c r="M3740" s="246">
        <f t="shared" si="1424"/>
        <v>0</v>
      </c>
      <c r="N3740" s="121">
        <f t="shared" si="1425"/>
        <v>1</v>
      </c>
      <c r="O3740" s="246">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87">
        <v>45</v>
      </c>
      <c r="B3741" s="242">
        <f t="shared" si="1433"/>
        <v>46997</v>
      </c>
      <c r="C3741" s="243">
        <f t="shared" si="1414"/>
        <v>47026</v>
      </c>
      <c r="D3741" s="120">
        <f t="shared" si="1415"/>
        <v>30</v>
      </c>
      <c r="E3741" s="120">
        <f t="shared" si="1416"/>
        <v>9</v>
      </c>
      <c r="F3741" s="275">
        <f t="shared" si="1417"/>
        <v>47012</v>
      </c>
      <c r="G3741" s="120">
        <f t="shared" si="1418"/>
        <v>24344</v>
      </c>
      <c r="H3741" s="245">
        <f t="shared" si="1419"/>
        <v>1</v>
      </c>
      <c r="I3741" s="121">
        <f t="shared" si="1420"/>
        <v>1</v>
      </c>
      <c r="J3741" s="121">
        <f t="shared" si="1421"/>
        <v>1</v>
      </c>
      <c r="K3741" s="120">
        <f t="shared" si="1422"/>
        <v>0</v>
      </c>
      <c r="L3741" s="120">
        <f t="shared" si="1423"/>
        <v>0</v>
      </c>
      <c r="M3741" s="246">
        <f t="shared" si="1424"/>
        <v>0</v>
      </c>
      <c r="N3741" s="121">
        <f t="shared" si="1425"/>
        <v>1</v>
      </c>
      <c r="O3741" s="246">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87">
        <v>46</v>
      </c>
      <c r="B3742" s="242">
        <f t="shared" si="1433"/>
        <v>47027</v>
      </c>
      <c r="C3742" s="243">
        <f t="shared" si="1414"/>
        <v>47057</v>
      </c>
      <c r="D3742" s="120">
        <f t="shared" si="1415"/>
        <v>31</v>
      </c>
      <c r="E3742" s="120">
        <f t="shared" si="1416"/>
        <v>10</v>
      </c>
      <c r="F3742" s="275">
        <f t="shared" si="1417"/>
        <v>47042.5</v>
      </c>
      <c r="G3742" s="120">
        <f t="shared" si="1418"/>
        <v>24345</v>
      </c>
      <c r="H3742" s="245">
        <f t="shared" si="1419"/>
        <v>1</v>
      </c>
      <c r="I3742" s="121">
        <f t="shared" si="1420"/>
        <v>1</v>
      </c>
      <c r="J3742" s="121">
        <f t="shared" si="1421"/>
        <v>1</v>
      </c>
      <c r="K3742" s="120">
        <f t="shared" si="1422"/>
        <v>0</v>
      </c>
      <c r="L3742" s="120">
        <f t="shared" si="1423"/>
        <v>0</v>
      </c>
      <c r="M3742" s="246">
        <f t="shared" si="1424"/>
        <v>0</v>
      </c>
      <c r="N3742" s="121">
        <f t="shared" si="1425"/>
        <v>1</v>
      </c>
      <c r="O3742" s="246">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87">
        <v>47</v>
      </c>
      <c r="B3743" s="242">
        <f t="shared" si="1433"/>
        <v>47058</v>
      </c>
      <c r="C3743" s="243">
        <f t="shared" si="1414"/>
        <v>47087</v>
      </c>
      <c r="D3743" s="120">
        <f t="shared" si="1415"/>
        <v>30</v>
      </c>
      <c r="E3743" s="120">
        <f t="shared" si="1416"/>
        <v>11</v>
      </c>
      <c r="F3743" s="275">
        <f t="shared" si="1417"/>
        <v>47073</v>
      </c>
      <c r="G3743" s="120">
        <f t="shared" si="1418"/>
        <v>24346</v>
      </c>
      <c r="H3743" s="245">
        <f t="shared" si="1419"/>
        <v>1</v>
      </c>
      <c r="I3743" s="121">
        <f t="shared" si="1420"/>
        <v>1</v>
      </c>
      <c r="J3743" s="121">
        <f t="shared" si="1421"/>
        <v>1</v>
      </c>
      <c r="K3743" s="120">
        <f t="shared" si="1422"/>
        <v>0</v>
      </c>
      <c r="L3743" s="120">
        <f t="shared" si="1423"/>
        <v>0</v>
      </c>
      <c r="M3743" s="246">
        <f t="shared" si="1424"/>
        <v>0</v>
      </c>
      <c r="N3743" s="121">
        <f t="shared" si="1425"/>
        <v>1</v>
      </c>
      <c r="O3743" s="246">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87">
        <v>48</v>
      </c>
      <c r="B3744" s="242">
        <f t="shared" si="1433"/>
        <v>47088</v>
      </c>
      <c r="C3744" s="243">
        <f t="shared" si="1414"/>
        <v>47118</v>
      </c>
      <c r="D3744" s="120">
        <f t="shared" si="1415"/>
        <v>31</v>
      </c>
      <c r="E3744" s="120">
        <f t="shared" si="1416"/>
        <v>12</v>
      </c>
      <c r="F3744" s="275">
        <f t="shared" si="1417"/>
        <v>47103.5</v>
      </c>
      <c r="G3744" s="120">
        <f t="shared" si="1418"/>
        <v>24347</v>
      </c>
      <c r="H3744" s="245">
        <f t="shared" si="1419"/>
        <v>1</v>
      </c>
      <c r="I3744" s="121">
        <f t="shared" si="1420"/>
        <v>1</v>
      </c>
      <c r="J3744" s="121">
        <f t="shared" si="1421"/>
        <v>1</v>
      </c>
      <c r="K3744" s="120">
        <f t="shared" si="1422"/>
        <v>0</v>
      </c>
      <c r="L3744" s="120">
        <f t="shared" si="1423"/>
        <v>0</v>
      </c>
      <c r="M3744" s="246">
        <f t="shared" si="1424"/>
        <v>0</v>
      </c>
      <c r="N3744" s="121">
        <f t="shared" si="1425"/>
        <v>1</v>
      </c>
      <c r="O3744" s="246">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1651</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34">EOMONTH($B3751,0)</f>
        <v>45688</v>
      </c>
      <c r="D3751" s="120">
        <f t="shared" ref="D3751:D3798" si="1435">$C3751-$B3751+1</f>
        <v>31</v>
      </c>
      <c r="E3751" s="120">
        <f t="shared" ref="E3751:E3798" si="1436">MONTH($B3751)</f>
        <v>1</v>
      </c>
      <c r="F3751" s="275">
        <f t="shared" ref="F3751:F3798" si="1437">($B3751+$C3751+1)/2</f>
        <v>45673.5</v>
      </c>
      <c r="G3751" s="120">
        <f t="shared" ref="G3751:G3798" si="1438">YEAR($B3751)*12+MONTH($B3751)-1</f>
        <v>24300</v>
      </c>
      <c r="H3751" s="245">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46">
        <f t="shared" ref="M3751:M3798" si="1444">IF($K3751=0,0,MIN(1,$L3751/$D3751))</f>
        <v>0</v>
      </c>
      <c r="N3751" s="121">
        <f t="shared" ref="N3751:N3798" si="1445">IF($K3751=0,$J3751,(1-$M3751)*$I3751+$M3751*$J3751)</f>
        <v>1</v>
      </c>
      <c r="O3751" s="246">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87">
        <v>2</v>
      </c>
      <c r="B3752" s="242">
        <f t="shared" ref="B3752:B3798" si="1453">EDATE($B3751,1)</f>
        <v>45689</v>
      </c>
      <c r="C3752" s="243">
        <f t="shared" si="1434"/>
        <v>45716</v>
      </c>
      <c r="D3752" s="120">
        <f t="shared" si="1435"/>
        <v>28</v>
      </c>
      <c r="E3752" s="120">
        <f t="shared" si="1436"/>
        <v>2</v>
      </c>
      <c r="F3752" s="275">
        <f t="shared" si="1437"/>
        <v>45703</v>
      </c>
      <c r="G3752" s="120">
        <f t="shared" si="1438"/>
        <v>24301</v>
      </c>
      <c r="H3752" s="245">
        <f t="shared" si="1439"/>
        <v>1</v>
      </c>
      <c r="I3752" s="121">
        <f t="shared" si="1440"/>
        <v>1</v>
      </c>
      <c r="J3752" s="121">
        <f t="shared" si="1441"/>
        <v>1</v>
      </c>
      <c r="K3752" s="120">
        <f t="shared" si="1442"/>
        <v>0</v>
      </c>
      <c r="L3752" s="120">
        <f t="shared" si="1443"/>
        <v>0</v>
      </c>
      <c r="M3752" s="246">
        <f t="shared" si="1444"/>
        <v>0</v>
      </c>
      <c r="N3752" s="121">
        <f t="shared" si="1445"/>
        <v>1</v>
      </c>
      <c r="O3752" s="246">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87">
        <v>3</v>
      </c>
      <c r="B3753" s="242">
        <f t="shared" si="1453"/>
        <v>45717</v>
      </c>
      <c r="C3753" s="243">
        <f t="shared" si="1434"/>
        <v>45747</v>
      </c>
      <c r="D3753" s="120">
        <f t="shared" si="1435"/>
        <v>31</v>
      </c>
      <c r="E3753" s="120">
        <f t="shared" si="1436"/>
        <v>3</v>
      </c>
      <c r="F3753" s="275">
        <f t="shared" si="1437"/>
        <v>45732.5</v>
      </c>
      <c r="G3753" s="120">
        <f t="shared" si="1438"/>
        <v>24302</v>
      </c>
      <c r="H3753" s="245">
        <f t="shared" si="1439"/>
        <v>1</v>
      </c>
      <c r="I3753" s="121">
        <f t="shared" si="1440"/>
        <v>1</v>
      </c>
      <c r="J3753" s="121">
        <f t="shared" si="1441"/>
        <v>1</v>
      </c>
      <c r="K3753" s="120">
        <f t="shared" si="1442"/>
        <v>0</v>
      </c>
      <c r="L3753" s="120">
        <f t="shared" si="1443"/>
        <v>0</v>
      </c>
      <c r="M3753" s="246">
        <f t="shared" si="1444"/>
        <v>0</v>
      </c>
      <c r="N3753" s="121">
        <f t="shared" si="1445"/>
        <v>1</v>
      </c>
      <c r="O3753" s="246">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87">
        <v>4</v>
      </c>
      <c r="B3754" s="242">
        <f t="shared" si="1453"/>
        <v>45748</v>
      </c>
      <c r="C3754" s="243">
        <f t="shared" si="1434"/>
        <v>45777</v>
      </c>
      <c r="D3754" s="120">
        <f t="shared" si="1435"/>
        <v>30</v>
      </c>
      <c r="E3754" s="120">
        <f t="shared" si="1436"/>
        <v>4</v>
      </c>
      <c r="F3754" s="275">
        <f t="shared" si="1437"/>
        <v>45763</v>
      </c>
      <c r="G3754" s="120">
        <f t="shared" si="1438"/>
        <v>24303</v>
      </c>
      <c r="H3754" s="245">
        <f t="shared" si="1439"/>
        <v>1</v>
      </c>
      <c r="I3754" s="121">
        <f t="shared" si="1440"/>
        <v>1</v>
      </c>
      <c r="J3754" s="121">
        <f t="shared" si="1441"/>
        <v>1</v>
      </c>
      <c r="K3754" s="120">
        <f t="shared" si="1442"/>
        <v>0</v>
      </c>
      <c r="L3754" s="120">
        <f t="shared" si="1443"/>
        <v>0</v>
      </c>
      <c r="M3754" s="246">
        <f t="shared" si="1444"/>
        <v>0</v>
      </c>
      <c r="N3754" s="121">
        <f t="shared" si="1445"/>
        <v>1</v>
      </c>
      <c r="O3754" s="246">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87">
        <v>5</v>
      </c>
      <c r="B3755" s="242">
        <f t="shared" si="1453"/>
        <v>45778</v>
      </c>
      <c r="C3755" s="243">
        <f t="shared" si="1434"/>
        <v>45808</v>
      </c>
      <c r="D3755" s="120">
        <f t="shared" si="1435"/>
        <v>31</v>
      </c>
      <c r="E3755" s="120">
        <f t="shared" si="1436"/>
        <v>5</v>
      </c>
      <c r="F3755" s="275">
        <f t="shared" si="1437"/>
        <v>45793.5</v>
      </c>
      <c r="G3755" s="120">
        <f t="shared" si="1438"/>
        <v>24304</v>
      </c>
      <c r="H3755" s="245">
        <f t="shared" si="1439"/>
        <v>1</v>
      </c>
      <c r="I3755" s="121">
        <f t="shared" si="1440"/>
        <v>1</v>
      </c>
      <c r="J3755" s="121">
        <f t="shared" si="1441"/>
        <v>1</v>
      </c>
      <c r="K3755" s="120">
        <f t="shared" si="1442"/>
        <v>0</v>
      </c>
      <c r="L3755" s="120">
        <f t="shared" si="1443"/>
        <v>0</v>
      </c>
      <c r="M3755" s="246">
        <f t="shared" si="1444"/>
        <v>0</v>
      </c>
      <c r="N3755" s="121">
        <f t="shared" si="1445"/>
        <v>1</v>
      </c>
      <c r="O3755" s="246">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87">
        <v>6</v>
      </c>
      <c r="B3756" s="242">
        <f t="shared" si="1453"/>
        <v>45809</v>
      </c>
      <c r="C3756" s="243">
        <f t="shared" si="1434"/>
        <v>45838</v>
      </c>
      <c r="D3756" s="120">
        <f t="shared" si="1435"/>
        <v>30</v>
      </c>
      <c r="E3756" s="120">
        <f t="shared" si="1436"/>
        <v>6</v>
      </c>
      <c r="F3756" s="275">
        <f t="shared" si="1437"/>
        <v>45824</v>
      </c>
      <c r="G3756" s="120">
        <f t="shared" si="1438"/>
        <v>24305</v>
      </c>
      <c r="H3756" s="245">
        <f t="shared" si="1439"/>
        <v>1</v>
      </c>
      <c r="I3756" s="121">
        <f t="shared" si="1440"/>
        <v>1</v>
      </c>
      <c r="J3756" s="121">
        <f t="shared" si="1441"/>
        <v>1</v>
      </c>
      <c r="K3756" s="120">
        <f t="shared" si="1442"/>
        <v>0</v>
      </c>
      <c r="L3756" s="120">
        <f t="shared" si="1443"/>
        <v>0</v>
      </c>
      <c r="M3756" s="246">
        <f t="shared" si="1444"/>
        <v>0</v>
      </c>
      <c r="N3756" s="121">
        <f t="shared" si="1445"/>
        <v>1</v>
      </c>
      <c r="O3756" s="246">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87">
        <v>7</v>
      </c>
      <c r="B3757" s="242">
        <f t="shared" si="1453"/>
        <v>45839</v>
      </c>
      <c r="C3757" s="243">
        <f t="shared" si="1434"/>
        <v>45869</v>
      </c>
      <c r="D3757" s="120">
        <f t="shared" si="1435"/>
        <v>31</v>
      </c>
      <c r="E3757" s="120">
        <f t="shared" si="1436"/>
        <v>7</v>
      </c>
      <c r="F3757" s="275">
        <f t="shared" si="1437"/>
        <v>45854.5</v>
      </c>
      <c r="G3757" s="120">
        <f t="shared" si="1438"/>
        <v>24306</v>
      </c>
      <c r="H3757" s="245">
        <f t="shared" si="1439"/>
        <v>1</v>
      </c>
      <c r="I3757" s="121">
        <f t="shared" si="1440"/>
        <v>1</v>
      </c>
      <c r="J3757" s="121">
        <f t="shared" si="1441"/>
        <v>1</v>
      </c>
      <c r="K3757" s="120">
        <f t="shared" si="1442"/>
        <v>0</v>
      </c>
      <c r="L3757" s="120">
        <f t="shared" si="1443"/>
        <v>0</v>
      </c>
      <c r="M3757" s="246">
        <f t="shared" si="1444"/>
        <v>0</v>
      </c>
      <c r="N3757" s="121">
        <f t="shared" si="1445"/>
        <v>1</v>
      </c>
      <c r="O3757" s="246">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87">
        <v>8</v>
      </c>
      <c r="B3758" s="242">
        <f t="shared" si="1453"/>
        <v>45870</v>
      </c>
      <c r="C3758" s="243">
        <f t="shared" si="1434"/>
        <v>45900</v>
      </c>
      <c r="D3758" s="120">
        <f t="shared" si="1435"/>
        <v>31</v>
      </c>
      <c r="E3758" s="120">
        <f t="shared" si="1436"/>
        <v>8</v>
      </c>
      <c r="F3758" s="275">
        <f t="shared" si="1437"/>
        <v>45885.5</v>
      </c>
      <c r="G3758" s="120">
        <f t="shared" si="1438"/>
        <v>24307</v>
      </c>
      <c r="H3758" s="245">
        <f t="shared" si="1439"/>
        <v>1</v>
      </c>
      <c r="I3758" s="121">
        <f t="shared" si="1440"/>
        <v>1</v>
      </c>
      <c r="J3758" s="121">
        <f t="shared" si="1441"/>
        <v>1</v>
      </c>
      <c r="K3758" s="120">
        <f t="shared" si="1442"/>
        <v>0</v>
      </c>
      <c r="L3758" s="120">
        <f t="shared" si="1443"/>
        <v>0</v>
      </c>
      <c r="M3758" s="246">
        <f t="shared" si="1444"/>
        <v>0</v>
      </c>
      <c r="N3758" s="121">
        <f t="shared" si="1445"/>
        <v>1</v>
      </c>
      <c r="O3758" s="246">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87">
        <v>9</v>
      </c>
      <c r="B3759" s="242">
        <f t="shared" si="1453"/>
        <v>45901</v>
      </c>
      <c r="C3759" s="243">
        <f t="shared" si="1434"/>
        <v>45930</v>
      </c>
      <c r="D3759" s="120">
        <f t="shared" si="1435"/>
        <v>30</v>
      </c>
      <c r="E3759" s="120">
        <f t="shared" si="1436"/>
        <v>9</v>
      </c>
      <c r="F3759" s="275">
        <f t="shared" si="1437"/>
        <v>45916</v>
      </c>
      <c r="G3759" s="120">
        <f t="shared" si="1438"/>
        <v>24308</v>
      </c>
      <c r="H3759" s="245">
        <f t="shared" si="1439"/>
        <v>1</v>
      </c>
      <c r="I3759" s="121">
        <f t="shared" si="1440"/>
        <v>1</v>
      </c>
      <c r="J3759" s="121">
        <f t="shared" si="1441"/>
        <v>1</v>
      </c>
      <c r="K3759" s="120">
        <f t="shared" si="1442"/>
        <v>0</v>
      </c>
      <c r="L3759" s="120">
        <f t="shared" si="1443"/>
        <v>0</v>
      </c>
      <c r="M3759" s="246">
        <f t="shared" si="1444"/>
        <v>0</v>
      </c>
      <c r="N3759" s="121">
        <f t="shared" si="1445"/>
        <v>1</v>
      </c>
      <c r="O3759" s="246">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87">
        <v>10</v>
      </c>
      <c r="B3760" s="242">
        <f t="shared" si="1453"/>
        <v>45931</v>
      </c>
      <c r="C3760" s="243">
        <f t="shared" si="1434"/>
        <v>45961</v>
      </c>
      <c r="D3760" s="120">
        <f t="shared" si="1435"/>
        <v>31</v>
      </c>
      <c r="E3760" s="120">
        <f t="shared" si="1436"/>
        <v>10</v>
      </c>
      <c r="F3760" s="275">
        <f t="shared" si="1437"/>
        <v>45946.5</v>
      </c>
      <c r="G3760" s="120">
        <f t="shared" si="1438"/>
        <v>24309</v>
      </c>
      <c r="H3760" s="245">
        <f t="shared" si="1439"/>
        <v>1</v>
      </c>
      <c r="I3760" s="121">
        <f t="shared" si="1440"/>
        <v>1</v>
      </c>
      <c r="J3760" s="121">
        <f t="shared" si="1441"/>
        <v>1</v>
      </c>
      <c r="K3760" s="120">
        <f t="shared" si="1442"/>
        <v>0</v>
      </c>
      <c r="L3760" s="120">
        <f t="shared" si="1443"/>
        <v>0</v>
      </c>
      <c r="M3760" s="246">
        <f t="shared" si="1444"/>
        <v>0</v>
      </c>
      <c r="N3760" s="121">
        <f t="shared" si="1445"/>
        <v>1</v>
      </c>
      <c r="O3760" s="246">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87">
        <v>11</v>
      </c>
      <c r="B3761" s="242">
        <f t="shared" si="1453"/>
        <v>45962</v>
      </c>
      <c r="C3761" s="243">
        <f t="shared" si="1434"/>
        <v>45991</v>
      </c>
      <c r="D3761" s="120">
        <f t="shared" si="1435"/>
        <v>30</v>
      </c>
      <c r="E3761" s="120">
        <f t="shared" si="1436"/>
        <v>11</v>
      </c>
      <c r="F3761" s="275">
        <f t="shared" si="1437"/>
        <v>45977</v>
      </c>
      <c r="G3761" s="120">
        <f t="shared" si="1438"/>
        <v>24310</v>
      </c>
      <c r="H3761" s="245">
        <f t="shared" si="1439"/>
        <v>1</v>
      </c>
      <c r="I3761" s="121">
        <f t="shared" si="1440"/>
        <v>1</v>
      </c>
      <c r="J3761" s="121">
        <f t="shared" si="1441"/>
        <v>1</v>
      </c>
      <c r="K3761" s="120">
        <f t="shared" si="1442"/>
        <v>0</v>
      </c>
      <c r="L3761" s="120">
        <f t="shared" si="1443"/>
        <v>0</v>
      </c>
      <c r="M3761" s="246">
        <f t="shared" si="1444"/>
        <v>0</v>
      </c>
      <c r="N3761" s="121">
        <f t="shared" si="1445"/>
        <v>1</v>
      </c>
      <c r="O3761" s="246">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87">
        <v>12</v>
      </c>
      <c r="B3762" s="242">
        <f t="shared" si="1453"/>
        <v>45992</v>
      </c>
      <c r="C3762" s="243">
        <f t="shared" si="1434"/>
        <v>46022</v>
      </c>
      <c r="D3762" s="120">
        <f t="shared" si="1435"/>
        <v>31</v>
      </c>
      <c r="E3762" s="120">
        <f t="shared" si="1436"/>
        <v>12</v>
      </c>
      <c r="F3762" s="275">
        <f t="shared" si="1437"/>
        <v>46007.5</v>
      </c>
      <c r="G3762" s="120">
        <f t="shared" si="1438"/>
        <v>24311</v>
      </c>
      <c r="H3762" s="245">
        <f t="shared" si="1439"/>
        <v>1</v>
      </c>
      <c r="I3762" s="121">
        <f t="shared" si="1440"/>
        <v>1</v>
      </c>
      <c r="J3762" s="121">
        <f t="shared" si="1441"/>
        <v>1</v>
      </c>
      <c r="K3762" s="120">
        <f t="shared" si="1442"/>
        <v>0</v>
      </c>
      <c r="L3762" s="120">
        <f t="shared" si="1443"/>
        <v>0</v>
      </c>
      <c r="M3762" s="246">
        <f t="shared" si="1444"/>
        <v>0</v>
      </c>
      <c r="N3762" s="121">
        <f t="shared" si="1445"/>
        <v>1</v>
      </c>
      <c r="O3762" s="246">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87">
        <v>13</v>
      </c>
      <c r="B3763" s="242">
        <f t="shared" si="1453"/>
        <v>46023</v>
      </c>
      <c r="C3763" s="243">
        <f t="shared" si="1434"/>
        <v>46053</v>
      </c>
      <c r="D3763" s="120">
        <f t="shared" si="1435"/>
        <v>31</v>
      </c>
      <c r="E3763" s="120">
        <f t="shared" si="1436"/>
        <v>1</v>
      </c>
      <c r="F3763" s="275">
        <f t="shared" si="1437"/>
        <v>46038.5</v>
      </c>
      <c r="G3763" s="120">
        <f t="shared" si="1438"/>
        <v>24312</v>
      </c>
      <c r="H3763" s="245">
        <f t="shared" si="1439"/>
        <v>1</v>
      </c>
      <c r="I3763" s="121">
        <f t="shared" si="1440"/>
        <v>1</v>
      </c>
      <c r="J3763" s="121">
        <f t="shared" si="1441"/>
        <v>1</v>
      </c>
      <c r="K3763" s="120">
        <f t="shared" si="1442"/>
        <v>0</v>
      </c>
      <c r="L3763" s="120">
        <f t="shared" si="1443"/>
        <v>0</v>
      </c>
      <c r="M3763" s="246">
        <f t="shared" si="1444"/>
        <v>0</v>
      </c>
      <c r="N3763" s="121">
        <f t="shared" si="1445"/>
        <v>1</v>
      </c>
      <c r="O3763" s="246">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87">
        <v>14</v>
      </c>
      <c r="B3764" s="242">
        <f t="shared" si="1453"/>
        <v>46054</v>
      </c>
      <c r="C3764" s="243">
        <f t="shared" si="1434"/>
        <v>46081</v>
      </c>
      <c r="D3764" s="120">
        <f t="shared" si="1435"/>
        <v>28</v>
      </c>
      <c r="E3764" s="120">
        <f t="shared" si="1436"/>
        <v>2</v>
      </c>
      <c r="F3764" s="275">
        <f t="shared" si="1437"/>
        <v>46068</v>
      </c>
      <c r="G3764" s="120">
        <f t="shared" si="1438"/>
        <v>24313</v>
      </c>
      <c r="H3764" s="245">
        <f t="shared" si="1439"/>
        <v>1</v>
      </c>
      <c r="I3764" s="121">
        <f t="shared" si="1440"/>
        <v>1</v>
      </c>
      <c r="J3764" s="121">
        <f t="shared" si="1441"/>
        <v>1</v>
      </c>
      <c r="K3764" s="120">
        <f t="shared" si="1442"/>
        <v>0</v>
      </c>
      <c r="L3764" s="120">
        <f t="shared" si="1443"/>
        <v>0</v>
      </c>
      <c r="M3764" s="246">
        <f t="shared" si="1444"/>
        <v>0</v>
      </c>
      <c r="N3764" s="121">
        <f t="shared" si="1445"/>
        <v>1</v>
      </c>
      <c r="O3764" s="246">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87">
        <v>15</v>
      </c>
      <c r="B3765" s="242">
        <f t="shared" si="1453"/>
        <v>46082</v>
      </c>
      <c r="C3765" s="243">
        <f t="shared" si="1434"/>
        <v>46112</v>
      </c>
      <c r="D3765" s="120">
        <f t="shared" si="1435"/>
        <v>31</v>
      </c>
      <c r="E3765" s="120">
        <f t="shared" si="1436"/>
        <v>3</v>
      </c>
      <c r="F3765" s="275">
        <f t="shared" si="1437"/>
        <v>46097.5</v>
      </c>
      <c r="G3765" s="120">
        <f t="shared" si="1438"/>
        <v>24314</v>
      </c>
      <c r="H3765" s="245">
        <f t="shared" si="1439"/>
        <v>1</v>
      </c>
      <c r="I3765" s="121">
        <f t="shared" si="1440"/>
        <v>1</v>
      </c>
      <c r="J3765" s="121">
        <f t="shared" si="1441"/>
        <v>1</v>
      </c>
      <c r="K3765" s="120">
        <f t="shared" si="1442"/>
        <v>0</v>
      </c>
      <c r="L3765" s="120">
        <f t="shared" si="1443"/>
        <v>0</v>
      </c>
      <c r="M3765" s="246">
        <f t="shared" si="1444"/>
        <v>0</v>
      </c>
      <c r="N3765" s="121">
        <f t="shared" si="1445"/>
        <v>1</v>
      </c>
      <c r="O3765" s="246">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87">
        <v>16</v>
      </c>
      <c r="B3766" s="242">
        <f t="shared" si="1453"/>
        <v>46113</v>
      </c>
      <c r="C3766" s="243">
        <f t="shared" si="1434"/>
        <v>46142</v>
      </c>
      <c r="D3766" s="120">
        <f t="shared" si="1435"/>
        <v>30</v>
      </c>
      <c r="E3766" s="120">
        <f t="shared" si="1436"/>
        <v>4</v>
      </c>
      <c r="F3766" s="275">
        <f t="shared" si="1437"/>
        <v>46128</v>
      </c>
      <c r="G3766" s="120">
        <f t="shared" si="1438"/>
        <v>24315</v>
      </c>
      <c r="H3766" s="245">
        <f t="shared" si="1439"/>
        <v>1</v>
      </c>
      <c r="I3766" s="121">
        <f t="shared" si="1440"/>
        <v>1</v>
      </c>
      <c r="J3766" s="121">
        <f t="shared" si="1441"/>
        <v>1</v>
      </c>
      <c r="K3766" s="120">
        <f t="shared" si="1442"/>
        <v>0</v>
      </c>
      <c r="L3766" s="120">
        <f t="shared" si="1443"/>
        <v>0</v>
      </c>
      <c r="M3766" s="246">
        <f t="shared" si="1444"/>
        <v>0</v>
      </c>
      <c r="N3766" s="121">
        <f t="shared" si="1445"/>
        <v>1</v>
      </c>
      <c r="O3766" s="246">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87">
        <v>17</v>
      </c>
      <c r="B3767" s="242">
        <f t="shared" si="1453"/>
        <v>46143</v>
      </c>
      <c r="C3767" s="243">
        <f t="shared" si="1434"/>
        <v>46173</v>
      </c>
      <c r="D3767" s="120">
        <f t="shared" si="1435"/>
        <v>31</v>
      </c>
      <c r="E3767" s="120">
        <f t="shared" si="1436"/>
        <v>5</v>
      </c>
      <c r="F3767" s="275">
        <f t="shared" si="1437"/>
        <v>46158.5</v>
      </c>
      <c r="G3767" s="120">
        <f t="shared" si="1438"/>
        <v>24316</v>
      </c>
      <c r="H3767" s="245">
        <f t="shared" si="1439"/>
        <v>1</v>
      </c>
      <c r="I3767" s="121">
        <f t="shared" si="1440"/>
        <v>1</v>
      </c>
      <c r="J3767" s="121">
        <f t="shared" si="1441"/>
        <v>1</v>
      </c>
      <c r="K3767" s="120">
        <f t="shared" si="1442"/>
        <v>0</v>
      </c>
      <c r="L3767" s="120">
        <f t="shared" si="1443"/>
        <v>0</v>
      </c>
      <c r="M3767" s="246">
        <f t="shared" si="1444"/>
        <v>0</v>
      </c>
      <c r="N3767" s="121">
        <f t="shared" si="1445"/>
        <v>1</v>
      </c>
      <c r="O3767" s="246">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87">
        <v>18</v>
      </c>
      <c r="B3768" s="242">
        <f t="shared" si="1453"/>
        <v>46174</v>
      </c>
      <c r="C3768" s="243">
        <f t="shared" si="1434"/>
        <v>46203</v>
      </c>
      <c r="D3768" s="120">
        <f t="shared" si="1435"/>
        <v>30</v>
      </c>
      <c r="E3768" s="120">
        <f t="shared" si="1436"/>
        <v>6</v>
      </c>
      <c r="F3768" s="275">
        <f t="shared" si="1437"/>
        <v>46189</v>
      </c>
      <c r="G3768" s="120">
        <f t="shared" si="1438"/>
        <v>24317</v>
      </c>
      <c r="H3768" s="245">
        <f t="shared" si="1439"/>
        <v>1</v>
      </c>
      <c r="I3768" s="121">
        <f t="shared" si="1440"/>
        <v>1</v>
      </c>
      <c r="J3768" s="121">
        <f t="shared" si="1441"/>
        <v>1</v>
      </c>
      <c r="K3768" s="120">
        <f t="shared" si="1442"/>
        <v>0</v>
      </c>
      <c r="L3768" s="120">
        <f t="shared" si="1443"/>
        <v>0</v>
      </c>
      <c r="M3768" s="246">
        <f t="shared" si="1444"/>
        <v>0</v>
      </c>
      <c r="N3768" s="121">
        <f t="shared" si="1445"/>
        <v>1</v>
      </c>
      <c r="O3768" s="246">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87">
        <v>19</v>
      </c>
      <c r="B3769" s="242">
        <f t="shared" si="1453"/>
        <v>46204</v>
      </c>
      <c r="C3769" s="243">
        <f t="shared" si="1434"/>
        <v>46234</v>
      </c>
      <c r="D3769" s="120">
        <f t="shared" si="1435"/>
        <v>31</v>
      </c>
      <c r="E3769" s="120">
        <f t="shared" si="1436"/>
        <v>7</v>
      </c>
      <c r="F3769" s="275">
        <f t="shared" si="1437"/>
        <v>46219.5</v>
      </c>
      <c r="G3769" s="120">
        <f t="shared" si="1438"/>
        <v>24318</v>
      </c>
      <c r="H3769" s="245">
        <f t="shared" si="1439"/>
        <v>1</v>
      </c>
      <c r="I3769" s="121">
        <f t="shared" si="1440"/>
        <v>1</v>
      </c>
      <c r="J3769" s="121">
        <f t="shared" si="1441"/>
        <v>1</v>
      </c>
      <c r="K3769" s="120">
        <f t="shared" si="1442"/>
        <v>0</v>
      </c>
      <c r="L3769" s="120">
        <f t="shared" si="1443"/>
        <v>0</v>
      </c>
      <c r="M3769" s="246">
        <f t="shared" si="1444"/>
        <v>0</v>
      </c>
      <c r="N3769" s="121">
        <f t="shared" si="1445"/>
        <v>1</v>
      </c>
      <c r="O3769" s="246">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87">
        <v>20</v>
      </c>
      <c r="B3770" s="242">
        <f t="shared" si="1453"/>
        <v>46235</v>
      </c>
      <c r="C3770" s="243">
        <f t="shared" si="1434"/>
        <v>46265</v>
      </c>
      <c r="D3770" s="120">
        <f t="shared" si="1435"/>
        <v>31</v>
      </c>
      <c r="E3770" s="120">
        <f t="shared" si="1436"/>
        <v>8</v>
      </c>
      <c r="F3770" s="275">
        <f t="shared" si="1437"/>
        <v>46250.5</v>
      </c>
      <c r="G3770" s="120">
        <f t="shared" si="1438"/>
        <v>24319</v>
      </c>
      <c r="H3770" s="245">
        <f t="shared" si="1439"/>
        <v>1</v>
      </c>
      <c r="I3770" s="121">
        <f t="shared" si="1440"/>
        <v>1</v>
      </c>
      <c r="J3770" s="121">
        <f t="shared" si="1441"/>
        <v>1</v>
      </c>
      <c r="K3770" s="120">
        <f t="shared" si="1442"/>
        <v>0</v>
      </c>
      <c r="L3770" s="120">
        <f t="shared" si="1443"/>
        <v>0</v>
      </c>
      <c r="M3770" s="246">
        <f t="shared" si="1444"/>
        <v>0</v>
      </c>
      <c r="N3770" s="121">
        <f t="shared" si="1445"/>
        <v>1</v>
      </c>
      <c r="O3770" s="246">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87">
        <v>21</v>
      </c>
      <c r="B3771" s="242">
        <f t="shared" si="1453"/>
        <v>46266</v>
      </c>
      <c r="C3771" s="243">
        <f t="shared" si="1434"/>
        <v>46295</v>
      </c>
      <c r="D3771" s="120">
        <f t="shared" si="1435"/>
        <v>30</v>
      </c>
      <c r="E3771" s="120">
        <f t="shared" si="1436"/>
        <v>9</v>
      </c>
      <c r="F3771" s="275">
        <f t="shared" si="1437"/>
        <v>46281</v>
      </c>
      <c r="G3771" s="120">
        <f t="shared" si="1438"/>
        <v>24320</v>
      </c>
      <c r="H3771" s="245">
        <f t="shared" si="1439"/>
        <v>1</v>
      </c>
      <c r="I3771" s="121">
        <f t="shared" si="1440"/>
        <v>1</v>
      </c>
      <c r="J3771" s="121">
        <f t="shared" si="1441"/>
        <v>1</v>
      </c>
      <c r="K3771" s="120">
        <f t="shared" si="1442"/>
        <v>0</v>
      </c>
      <c r="L3771" s="120">
        <f t="shared" si="1443"/>
        <v>0</v>
      </c>
      <c r="M3771" s="246">
        <f t="shared" si="1444"/>
        <v>0</v>
      </c>
      <c r="N3771" s="121">
        <f t="shared" si="1445"/>
        <v>1</v>
      </c>
      <c r="O3771" s="246">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87">
        <v>22</v>
      </c>
      <c r="B3772" s="242">
        <f t="shared" si="1453"/>
        <v>46296</v>
      </c>
      <c r="C3772" s="243">
        <f t="shared" si="1434"/>
        <v>46326</v>
      </c>
      <c r="D3772" s="120">
        <f t="shared" si="1435"/>
        <v>31</v>
      </c>
      <c r="E3772" s="120">
        <f t="shared" si="1436"/>
        <v>10</v>
      </c>
      <c r="F3772" s="275">
        <f t="shared" si="1437"/>
        <v>46311.5</v>
      </c>
      <c r="G3772" s="120">
        <f t="shared" si="1438"/>
        <v>24321</v>
      </c>
      <c r="H3772" s="245">
        <f t="shared" si="1439"/>
        <v>1</v>
      </c>
      <c r="I3772" s="121">
        <f t="shared" si="1440"/>
        <v>1</v>
      </c>
      <c r="J3772" s="121">
        <f t="shared" si="1441"/>
        <v>1</v>
      </c>
      <c r="K3772" s="120">
        <f t="shared" si="1442"/>
        <v>0</v>
      </c>
      <c r="L3772" s="120">
        <f t="shared" si="1443"/>
        <v>0</v>
      </c>
      <c r="M3772" s="246">
        <f t="shared" si="1444"/>
        <v>0</v>
      </c>
      <c r="N3772" s="121">
        <f t="shared" si="1445"/>
        <v>1</v>
      </c>
      <c r="O3772" s="246">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87">
        <v>23</v>
      </c>
      <c r="B3773" s="242">
        <f t="shared" si="1453"/>
        <v>46327</v>
      </c>
      <c r="C3773" s="243">
        <f t="shared" si="1434"/>
        <v>46356</v>
      </c>
      <c r="D3773" s="120">
        <f t="shared" si="1435"/>
        <v>30</v>
      </c>
      <c r="E3773" s="120">
        <f t="shared" si="1436"/>
        <v>11</v>
      </c>
      <c r="F3773" s="275">
        <f t="shared" si="1437"/>
        <v>46342</v>
      </c>
      <c r="G3773" s="120">
        <f t="shared" si="1438"/>
        <v>24322</v>
      </c>
      <c r="H3773" s="245">
        <f t="shared" si="1439"/>
        <v>1</v>
      </c>
      <c r="I3773" s="121">
        <f t="shared" si="1440"/>
        <v>1</v>
      </c>
      <c r="J3773" s="121">
        <f t="shared" si="1441"/>
        <v>1</v>
      </c>
      <c r="K3773" s="120">
        <f t="shared" si="1442"/>
        <v>0</v>
      </c>
      <c r="L3773" s="120">
        <f t="shared" si="1443"/>
        <v>0</v>
      </c>
      <c r="M3773" s="246">
        <f t="shared" si="1444"/>
        <v>0</v>
      </c>
      <c r="N3773" s="121">
        <f t="shared" si="1445"/>
        <v>1</v>
      </c>
      <c r="O3773" s="246">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87">
        <v>24</v>
      </c>
      <c r="B3774" s="242">
        <f t="shared" si="1453"/>
        <v>46357</v>
      </c>
      <c r="C3774" s="243">
        <f t="shared" si="1434"/>
        <v>46387</v>
      </c>
      <c r="D3774" s="120">
        <f t="shared" si="1435"/>
        <v>31</v>
      </c>
      <c r="E3774" s="120">
        <f t="shared" si="1436"/>
        <v>12</v>
      </c>
      <c r="F3774" s="275">
        <f t="shared" si="1437"/>
        <v>46372.5</v>
      </c>
      <c r="G3774" s="120">
        <f t="shared" si="1438"/>
        <v>24323</v>
      </c>
      <c r="H3774" s="245">
        <f t="shared" si="1439"/>
        <v>1</v>
      </c>
      <c r="I3774" s="121">
        <f t="shared" si="1440"/>
        <v>1</v>
      </c>
      <c r="J3774" s="121">
        <f t="shared" si="1441"/>
        <v>1</v>
      </c>
      <c r="K3774" s="120">
        <f t="shared" si="1442"/>
        <v>0</v>
      </c>
      <c r="L3774" s="120">
        <f t="shared" si="1443"/>
        <v>0</v>
      </c>
      <c r="M3774" s="246">
        <f t="shared" si="1444"/>
        <v>0</v>
      </c>
      <c r="N3774" s="121">
        <f t="shared" si="1445"/>
        <v>1</v>
      </c>
      <c r="O3774" s="246">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87">
        <v>25</v>
      </c>
      <c r="B3775" s="242">
        <f t="shared" si="1453"/>
        <v>46388</v>
      </c>
      <c r="C3775" s="243">
        <f t="shared" si="1434"/>
        <v>46418</v>
      </c>
      <c r="D3775" s="120">
        <f t="shared" si="1435"/>
        <v>31</v>
      </c>
      <c r="E3775" s="120">
        <f t="shared" si="1436"/>
        <v>1</v>
      </c>
      <c r="F3775" s="275">
        <f t="shared" si="1437"/>
        <v>46403.5</v>
      </c>
      <c r="G3775" s="120">
        <f t="shared" si="1438"/>
        <v>24324</v>
      </c>
      <c r="H3775" s="245">
        <f t="shared" si="1439"/>
        <v>1</v>
      </c>
      <c r="I3775" s="121">
        <f t="shared" si="1440"/>
        <v>1</v>
      </c>
      <c r="J3775" s="121">
        <f t="shared" si="1441"/>
        <v>1</v>
      </c>
      <c r="K3775" s="120">
        <f t="shared" si="1442"/>
        <v>0</v>
      </c>
      <c r="L3775" s="120">
        <f t="shared" si="1443"/>
        <v>0</v>
      </c>
      <c r="M3775" s="246">
        <f t="shared" si="1444"/>
        <v>0</v>
      </c>
      <c r="N3775" s="121">
        <f t="shared" si="1445"/>
        <v>1</v>
      </c>
      <c r="O3775" s="246">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87">
        <v>26</v>
      </c>
      <c r="B3776" s="242">
        <f t="shared" si="1453"/>
        <v>46419</v>
      </c>
      <c r="C3776" s="243">
        <f t="shared" si="1434"/>
        <v>46446</v>
      </c>
      <c r="D3776" s="120">
        <f t="shared" si="1435"/>
        <v>28</v>
      </c>
      <c r="E3776" s="120">
        <f t="shared" si="1436"/>
        <v>2</v>
      </c>
      <c r="F3776" s="275">
        <f t="shared" si="1437"/>
        <v>46433</v>
      </c>
      <c r="G3776" s="120">
        <f t="shared" si="1438"/>
        <v>24325</v>
      </c>
      <c r="H3776" s="245">
        <f t="shared" si="1439"/>
        <v>1</v>
      </c>
      <c r="I3776" s="121">
        <f t="shared" si="1440"/>
        <v>1</v>
      </c>
      <c r="J3776" s="121">
        <f t="shared" si="1441"/>
        <v>1</v>
      </c>
      <c r="K3776" s="120">
        <f t="shared" si="1442"/>
        <v>0</v>
      </c>
      <c r="L3776" s="120">
        <f t="shared" si="1443"/>
        <v>0</v>
      </c>
      <c r="M3776" s="246">
        <f t="shared" si="1444"/>
        <v>0</v>
      </c>
      <c r="N3776" s="121">
        <f t="shared" si="1445"/>
        <v>1</v>
      </c>
      <c r="O3776" s="246">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87">
        <v>27</v>
      </c>
      <c r="B3777" s="242">
        <f t="shared" si="1453"/>
        <v>46447</v>
      </c>
      <c r="C3777" s="243">
        <f t="shared" si="1434"/>
        <v>46477</v>
      </c>
      <c r="D3777" s="120">
        <f t="shared" si="1435"/>
        <v>31</v>
      </c>
      <c r="E3777" s="120">
        <f t="shared" si="1436"/>
        <v>3</v>
      </c>
      <c r="F3777" s="275">
        <f t="shared" si="1437"/>
        <v>46462.5</v>
      </c>
      <c r="G3777" s="120">
        <f t="shared" si="1438"/>
        <v>24326</v>
      </c>
      <c r="H3777" s="245">
        <f t="shared" si="1439"/>
        <v>1</v>
      </c>
      <c r="I3777" s="121">
        <f t="shared" si="1440"/>
        <v>1</v>
      </c>
      <c r="J3777" s="121">
        <f t="shared" si="1441"/>
        <v>1</v>
      </c>
      <c r="K3777" s="120">
        <f t="shared" si="1442"/>
        <v>0</v>
      </c>
      <c r="L3777" s="120">
        <f t="shared" si="1443"/>
        <v>0</v>
      </c>
      <c r="M3777" s="246">
        <f t="shared" si="1444"/>
        <v>0</v>
      </c>
      <c r="N3777" s="121">
        <f t="shared" si="1445"/>
        <v>1</v>
      </c>
      <c r="O3777" s="246">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87">
        <v>28</v>
      </c>
      <c r="B3778" s="242">
        <f t="shared" si="1453"/>
        <v>46478</v>
      </c>
      <c r="C3778" s="243">
        <f t="shared" si="1434"/>
        <v>46507</v>
      </c>
      <c r="D3778" s="120">
        <f t="shared" si="1435"/>
        <v>30</v>
      </c>
      <c r="E3778" s="120">
        <f t="shared" si="1436"/>
        <v>4</v>
      </c>
      <c r="F3778" s="275">
        <f t="shared" si="1437"/>
        <v>46493</v>
      </c>
      <c r="G3778" s="120">
        <f t="shared" si="1438"/>
        <v>24327</v>
      </c>
      <c r="H3778" s="245">
        <f t="shared" si="1439"/>
        <v>1</v>
      </c>
      <c r="I3778" s="121">
        <f t="shared" si="1440"/>
        <v>1</v>
      </c>
      <c r="J3778" s="121">
        <f t="shared" si="1441"/>
        <v>1</v>
      </c>
      <c r="K3778" s="120">
        <f t="shared" si="1442"/>
        <v>0</v>
      </c>
      <c r="L3778" s="120">
        <f t="shared" si="1443"/>
        <v>0</v>
      </c>
      <c r="M3778" s="246">
        <f t="shared" si="1444"/>
        <v>0</v>
      </c>
      <c r="N3778" s="121">
        <f t="shared" si="1445"/>
        <v>1</v>
      </c>
      <c r="O3778" s="246">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87">
        <v>29</v>
      </c>
      <c r="B3779" s="242">
        <f t="shared" si="1453"/>
        <v>46508</v>
      </c>
      <c r="C3779" s="243">
        <f t="shared" si="1434"/>
        <v>46538</v>
      </c>
      <c r="D3779" s="120">
        <f t="shared" si="1435"/>
        <v>31</v>
      </c>
      <c r="E3779" s="120">
        <f t="shared" si="1436"/>
        <v>5</v>
      </c>
      <c r="F3779" s="275">
        <f t="shared" si="1437"/>
        <v>46523.5</v>
      </c>
      <c r="G3779" s="120">
        <f t="shared" si="1438"/>
        <v>24328</v>
      </c>
      <c r="H3779" s="245">
        <f t="shared" si="1439"/>
        <v>1</v>
      </c>
      <c r="I3779" s="121">
        <f t="shared" si="1440"/>
        <v>1</v>
      </c>
      <c r="J3779" s="121">
        <f t="shared" si="1441"/>
        <v>1</v>
      </c>
      <c r="K3779" s="120">
        <f t="shared" si="1442"/>
        <v>0</v>
      </c>
      <c r="L3779" s="120">
        <f t="shared" si="1443"/>
        <v>0</v>
      </c>
      <c r="M3779" s="246">
        <f t="shared" si="1444"/>
        <v>0</v>
      </c>
      <c r="N3779" s="121">
        <f t="shared" si="1445"/>
        <v>1</v>
      </c>
      <c r="O3779" s="246">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87">
        <v>30</v>
      </c>
      <c r="B3780" s="242">
        <f t="shared" si="1453"/>
        <v>46539</v>
      </c>
      <c r="C3780" s="243">
        <f t="shared" si="1434"/>
        <v>46568</v>
      </c>
      <c r="D3780" s="120">
        <f t="shared" si="1435"/>
        <v>30</v>
      </c>
      <c r="E3780" s="120">
        <f t="shared" si="1436"/>
        <v>6</v>
      </c>
      <c r="F3780" s="275">
        <f t="shared" si="1437"/>
        <v>46554</v>
      </c>
      <c r="G3780" s="120">
        <f t="shared" si="1438"/>
        <v>24329</v>
      </c>
      <c r="H3780" s="245">
        <f t="shared" si="1439"/>
        <v>1</v>
      </c>
      <c r="I3780" s="121">
        <f t="shared" si="1440"/>
        <v>1</v>
      </c>
      <c r="J3780" s="121">
        <f t="shared" si="1441"/>
        <v>1</v>
      </c>
      <c r="K3780" s="120">
        <f t="shared" si="1442"/>
        <v>0</v>
      </c>
      <c r="L3780" s="120">
        <f t="shared" si="1443"/>
        <v>0</v>
      </c>
      <c r="M3780" s="246">
        <f t="shared" si="1444"/>
        <v>0</v>
      </c>
      <c r="N3780" s="121">
        <f t="shared" si="1445"/>
        <v>1</v>
      </c>
      <c r="O3780" s="246">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87">
        <v>31</v>
      </c>
      <c r="B3781" s="242">
        <f t="shared" si="1453"/>
        <v>46569</v>
      </c>
      <c r="C3781" s="243">
        <f t="shared" si="1434"/>
        <v>46599</v>
      </c>
      <c r="D3781" s="120">
        <f t="shared" si="1435"/>
        <v>31</v>
      </c>
      <c r="E3781" s="120">
        <f t="shared" si="1436"/>
        <v>7</v>
      </c>
      <c r="F3781" s="275">
        <f t="shared" si="1437"/>
        <v>46584.5</v>
      </c>
      <c r="G3781" s="120">
        <f t="shared" si="1438"/>
        <v>24330</v>
      </c>
      <c r="H3781" s="245">
        <f t="shared" si="1439"/>
        <v>1</v>
      </c>
      <c r="I3781" s="121">
        <f t="shared" si="1440"/>
        <v>1</v>
      </c>
      <c r="J3781" s="121">
        <f t="shared" si="1441"/>
        <v>1</v>
      </c>
      <c r="K3781" s="120">
        <f t="shared" si="1442"/>
        <v>0</v>
      </c>
      <c r="L3781" s="120">
        <f t="shared" si="1443"/>
        <v>0</v>
      </c>
      <c r="M3781" s="246">
        <f t="shared" si="1444"/>
        <v>0</v>
      </c>
      <c r="N3781" s="121">
        <f t="shared" si="1445"/>
        <v>1</v>
      </c>
      <c r="O3781" s="246">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87">
        <v>32</v>
      </c>
      <c r="B3782" s="242">
        <f t="shared" si="1453"/>
        <v>46600</v>
      </c>
      <c r="C3782" s="243">
        <f t="shared" si="1434"/>
        <v>46630</v>
      </c>
      <c r="D3782" s="120">
        <f t="shared" si="1435"/>
        <v>31</v>
      </c>
      <c r="E3782" s="120">
        <f t="shared" si="1436"/>
        <v>8</v>
      </c>
      <c r="F3782" s="275">
        <f t="shared" si="1437"/>
        <v>46615.5</v>
      </c>
      <c r="G3782" s="120">
        <f t="shared" si="1438"/>
        <v>24331</v>
      </c>
      <c r="H3782" s="245">
        <f t="shared" si="1439"/>
        <v>1</v>
      </c>
      <c r="I3782" s="121">
        <f t="shared" si="1440"/>
        <v>1</v>
      </c>
      <c r="J3782" s="121">
        <f t="shared" si="1441"/>
        <v>1</v>
      </c>
      <c r="K3782" s="120">
        <f t="shared" si="1442"/>
        <v>0</v>
      </c>
      <c r="L3782" s="120">
        <f t="shared" si="1443"/>
        <v>0</v>
      </c>
      <c r="M3782" s="246">
        <f t="shared" si="1444"/>
        <v>0</v>
      </c>
      <c r="N3782" s="121">
        <f t="shared" si="1445"/>
        <v>1</v>
      </c>
      <c r="O3782" s="246">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87">
        <v>33</v>
      </c>
      <c r="B3783" s="242">
        <f t="shared" si="1453"/>
        <v>46631</v>
      </c>
      <c r="C3783" s="243">
        <f t="shared" si="1434"/>
        <v>46660</v>
      </c>
      <c r="D3783" s="120">
        <f t="shared" si="1435"/>
        <v>30</v>
      </c>
      <c r="E3783" s="120">
        <f t="shared" si="1436"/>
        <v>9</v>
      </c>
      <c r="F3783" s="275">
        <f t="shared" si="1437"/>
        <v>46646</v>
      </c>
      <c r="G3783" s="120">
        <f t="shared" si="1438"/>
        <v>24332</v>
      </c>
      <c r="H3783" s="245">
        <f t="shared" si="1439"/>
        <v>1</v>
      </c>
      <c r="I3783" s="121">
        <f t="shared" si="1440"/>
        <v>1</v>
      </c>
      <c r="J3783" s="121">
        <f t="shared" si="1441"/>
        <v>1</v>
      </c>
      <c r="K3783" s="120">
        <f t="shared" si="1442"/>
        <v>0</v>
      </c>
      <c r="L3783" s="120">
        <f t="shared" si="1443"/>
        <v>0</v>
      </c>
      <c r="M3783" s="246">
        <f t="shared" si="1444"/>
        <v>0</v>
      </c>
      <c r="N3783" s="121">
        <f t="shared" si="1445"/>
        <v>1</v>
      </c>
      <c r="O3783" s="246">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87">
        <v>34</v>
      </c>
      <c r="B3784" s="242">
        <f t="shared" si="1453"/>
        <v>46661</v>
      </c>
      <c r="C3784" s="243">
        <f t="shared" si="1434"/>
        <v>46691</v>
      </c>
      <c r="D3784" s="120">
        <f t="shared" si="1435"/>
        <v>31</v>
      </c>
      <c r="E3784" s="120">
        <f t="shared" si="1436"/>
        <v>10</v>
      </c>
      <c r="F3784" s="275">
        <f t="shared" si="1437"/>
        <v>46676.5</v>
      </c>
      <c r="G3784" s="120">
        <f t="shared" si="1438"/>
        <v>24333</v>
      </c>
      <c r="H3784" s="245">
        <f t="shared" si="1439"/>
        <v>1</v>
      </c>
      <c r="I3784" s="121">
        <f t="shared" si="1440"/>
        <v>1</v>
      </c>
      <c r="J3784" s="121">
        <f t="shared" si="1441"/>
        <v>1</v>
      </c>
      <c r="K3784" s="120">
        <f t="shared" si="1442"/>
        <v>0</v>
      </c>
      <c r="L3784" s="120">
        <f t="shared" si="1443"/>
        <v>0</v>
      </c>
      <c r="M3784" s="246">
        <f t="shared" si="1444"/>
        <v>0</v>
      </c>
      <c r="N3784" s="121">
        <f t="shared" si="1445"/>
        <v>1</v>
      </c>
      <c r="O3784" s="246">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87">
        <v>35</v>
      </c>
      <c r="B3785" s="242">
        <f t="shared" si="1453"/>
        <v>46692</v>
      </c>
      <c r="C3785" s="243">
        <f t="shared" si="1434"/>
        <v>46721</v>
      </c>
      <c r="D3785" s="120">
        <f t="shared" si="1435"/>
        <v>30</v>
      </c>
      <c r="E3785" s="120">
        <f t="shared" si="1436"/>
        <v>11</v>
      </c>
      <c r="F3785" s="275">
        <f t="shared" si="1437"/>
        <v>46707</v>
      </c>
      <c r="G3785" s="120">
        <f t="shared" si="1438"/>
        <v>24334</v>
      </c>
      <c r="H3785" s="245">
        <f t="shared" si="1439"/>
        <v>1</v>
      </c>
      <c r="I3785" s="121">
        <f t="shared" si="1440"/>
        <v>1</v>
      </c>
      <c r="J3785" s="121">
        <f t="shared" si="1441"/>
        <v>1</v>
      </c>
      <c r="K3785" s="120">
        <f t="shared" si="1442"/>
        <v>0</v>
      </c>
      <c r="L3785" s="120">
        <f t="shared" si="1443"/>
        <v>0</v>
      </c>
      <c r="M3785" s="246">
        <f t="shared" si="1444"/>
        <v>0</v>
      </c>
      <c r="N3785" s="121">
        <f t="shared" si="1445"/>
        <v>1</v>
      </c>
      <c r="O3785" s="246">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87">
        <v>36</v>
      </c>
      <c r="B3786" s="242">
        <f t="shared" si="1453"/>
        <v>46722</v>
      </c>
      <c r="C3786" s="243">
        <f t="shared" si="1434"/>
        <v>46752</v>
      </c>
      <c r="D3786" s="120">
        <f t="shared" si="1435"/>
        <v>31</v>
      </c>
      <c r="E3786" s="120">
        <f t="shared" si="1436"/>
        <v>12</v>
      </c>
      <c r="F3786" s="275">
        <f t="shared" si="1437"/>
        <v>46737.5</v>
      </c>
      <c r="G3786" s="120">
        <f t="shared" si="1438"/>
        <v>24335</v>
      </c>
      <c r="H3786" s="245">
        <f t="shared" si="1439"/>
        <v>1</v>
      </c>
      <c r="I3786" s="121">
        <f t="shared" si="1440"/>
        <v>1</v>
      </c>
      <c r="J3786" s="121">
        <f t="shared" si="1441"/>
        <v>1</v>
      </c>
      <c r="K3786" s="120">
        <f t="shared" si="1442"/>
        <v>0</v>
      </c>
      <c r="L3786" s="120">
        <f t="shared" si="1443"/>
        <v>0</v>
      </c>
      <c r="M3786" s="246">
        <f t="shared" si="1444"/>
        <v>0</v>
      </c>
      <c r="N3786" s="121">
        <f t="shared" si="1445"/>
        <v>1</v>
      </c>
      <c r="O3786" s="246">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87">
        <v>37</v>
      </c>
      <c r="B3787" s="242">
        <f t="shared" si="1453"/>
        <v>46753</v>
      </c>
      <c r="C3787" s="243">
        <f t="shared" si="1434"/>
        <v>46783</v>
      </c>
      <c r="D3787" s="120">
        <f t="shared" si="1435"/>
        <v>31</v>
      </c>
      <c r="E3787" s="120">
        <f t="shared" si="1436"/>
        <v>1</v>
      </c>
      <c r="F3787" s="275">
        <f t="shared" si="1437"/>
        <v>46768.5</v>
      </c>
      <c r="G3787" s="120">
        <f t="shared" si="1438"/>
        <v>24336</v>
      </c>
      <c r="H3787" s="245">
        <f t="shared" si="1439"/>
        <v>1</v>
      </c>
      <c r="I3787" s="121">
        <f t="shared" si="1440"/>
        <v>1</v>
      </c>
      <c r="J3787" s="121">
        <f t="shared" si="1441"/>
        <v>1</v>
      </c>
      <c r="K3787" s="120">
        <f t="shared" si="1442"/>
        <v>0</v>
      </c>
      <c r="L3787" s="120">
        <f t="shared" si="1443"/>
        <v>0</v>
      </c>
      <c r="M3787" s="246">
        <f t="shared" si="1444"/>
        <v>0</v>
      </c>
      <c r="N3787" s="121">
        <f t="shared" si="1445"/>
        <v>1</v>
      </c>
      <c r="O3787" s="246">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87">
        <v>38</v>
      </c>
      <c r="B3788" s="242">
        <f t="shared" si="1453"/>
        <v>46784</v>
      </c>
      <c r="C3788" s="243">
        <f t="shared" si="1434"/>
        <v>46812</v>
      </c>
      <c r="D3788" s="120">
        <f t="shared" si="1435"/>
        <v>29</v>
      </c>
      <c r="E3788" s="120">
        <f t="shared" si="1436"/>
        <v>2</v>
      </c>
      <c r="F3788" s="275">
        <f t="shared" si="1437"/>
        <v>46798.5</v>
      </c>
      <c r="G3788" s="120">
        <f t="shared" si="1438"/>
        <v>24337</v>
      </c>
      <c r="H3788" s="245">
        <f t="shared" si="1439"/>
        <v>1</v>
      </c>
      <c r="I3788" s="121">
        <f t="shared" si="1440"/>
        <v>1</v>
      </c>
      <c r="J3788" s="121">
        <f t="shared" si="1441"/>
        <v>1</v>
      </c>
      <c r="K3788" s="120">
        <f t="shared" si="1442"/>
        <v>0</v>
      </c>
      <c r="L3788" s="120">
        <f t="shared" si="1443"/>
        <v>0</v>
      </c>
      <c r="M3788" s="246">
        <f t="shared" si="1444"/>
        <v>0</v>
      </c>
      <c r="N3788" s="121">
        <f t="shared" si="1445"/>
        <v>1</v>
      </c>
      <c r="O3788" s="246">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87">
        <v>39</v>
      </c>
      <c r="B3789" s="242">
        <f t="shared" si="1453"/>
        <v>46813</v>
      </c>
      <c r="C3789" s="243">
        <f t="shared" si="1434"/>
        <v>46843</v>
      </c>
      <c r="D3789" s="120">
        <f t="shared" si="1435"/>
        <v>31</v>
      </c>
      <c r="E3789" s="120">
        <f t="shared" si="1436"/>
        <v>3</v>
      </c>
      <c r="F3789" s="275">
        <f t="shared" si="1437"/>
        <v>46828.5</v>
      </c>
      <c r="G3789" s="120">
        <f t="shared" si="1438"/>
        <v>24338</v>
      </c>
      <c r="H3789" s="245">
        <f t="shared" si="1439"/>
        <v>1</v>
      </c>
      <c r="I3789" s="121">
        <f t="shared" si="1440"/>
        <v>1</v>
      </c>
      <c r="J3789" s="121">
        <f t="shared" si="1441"/>
        <v>1</v>
      </c>
      <c r="K3789" s="120">
        <f t="shared" si="1442"/>
        <v>0</v>
      </c>
      <c r="L3789" s="120">
        <f t="shared" si="1443"/>
        <v>0</v>
      </c>
      <c r="M3789" s="246">
        <f t="shared" si="1444"/>
        <v>0</v>
      </c>
      <c r="N3789" s="121">
        <f t="shared" si="1445"/>
        <v>1</v>
      </c>
      <c r="O3789" s="246">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87">
        <v>40</v>
      </c>
      <c r="B3790" s="242">
        <f t="shared" si="1453"/>
        <v>46844</v>
      </c>
      <c r="C3790" s="243">
        <f t="shared" si="1434"/>
        <v>46873</v>
      </c>
      <c r="D3790" s="120">
        <f t="shared" si="1435"/>
        <v>30</v>
      </c>
      <c r="E3790" s="120">
        <f t="shared" si="1436"/>
        <v>4</v>
      </c>
      <c r="F3790" s="275">
        <f t="shared" si="1437"/>
        <v>46859</v>
      </c>
      <c r="G3790" s="120">
        <f t="shared" si="1438"/>
        <v>24339</v>
      </c>
      <c r="H3790" s="245">
        <f t="shared" si="1439"/>
        <v>1</v>
      </c>
      <c r="I3790" s="121">
        <f t="shared" si="1440"/>
        <v>1</v>
      </c>
      <c r="J3790" s="121">
        <f t="shared" si="1441"/>
        <v>1</v>
      </c>
      <c r="K3790" s="120">
        <f t="shared" si="1442"/>
        <v>0</v>
      </c>
      <c r="L3790" s="120">
        <f t="shared" si="1443"/>
        <v>0</v>
      </c>
      <c r="M3790" s="246">
        <f t="shared" si="1444"/>
        <v>0</v>
      </c>
      <c r="N3790" s="121">
        <f t="shared" si="1445"/>
        <v>1</v>
      </c>
      <c r="O3790" s="246">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87">
        <v>41</v>
      </c>
      <c r="B3791" s="242">
        <f t="shared" si="1453"/>
        <v>46874</v>
      </c>
      <c r="C3791" s="243">
        <f t="shared" si="1434"/>
        <v>46904</v>
      </c>
      <c r="D3791" s="120">
        <f t="shared" si="1435"/>
        <v>31</v>
      </c>
      <c r="E3791" s="120">
        <f t="shared" si="1436"/>
        <v>5</v>
      </c>
      <c r="F3791" s="275">
        <f t="shared" si="1437"/>
        <v>46889.5</v>
      </c>
      <c r="G3791" s="120">
        <f t="shared" si="1438"/>
        <v>24340</v>
      </c>
      <c r="H3791" s="245">
        <f t="shared" si="1439"/>
        <v>1</v>
      </c>
      <c r="I3791" s="121">
        <f t="shared" si="1440"/>
        <v>1</v>
      </c>
      <c r="J3791" s="121">
        <f t="shared" si="1441"/>
        <v>1</v>
      </c>
      <c r="K3791" s="120">
        <f t="shared" si="1442"/>
        <v>0</v>
      </c>
      <c r="L3791" s="120">
        <f t="shared" si="1443"/>
        <v>0</v>
      </c>
      <c r="M3791" s="246">
        <f t="shared" si="1444"/>
        <v>0</v>
      </c>
      <c r="N3791" s="121">
        <f t="shared" si="1445"/>
        <v>1</v>
      </c>
      <c r="O3791" s="246">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87">
        <v>42</v>
      </c>
      <c r="B3792" s="242">
        <f t="shared" si="1453"/>
        <v>46905</v>
      </c>
      <c r="C3792" s="243">
        <f t="shared" si="1434"/>
        <v>46934</v>
      </c>
      <c r="D3792" s="120">
        <f t="shared" si="1435"/>
        <v>30</v>
      </c>
      <c r="E3792" s="120">
        <f t="shared" si="1436"/>
        <v>6</v>
      </c>
      <c r="F3792" s="275">
        <f t="shared" si="1437"/>
        <v>46920</v>
      </c>
      <c r="G3792" s="120">
        <f t="shared" si="1438"/>
        <v>24341</v>
      </c>
      <c r="H3792" s="245">
        <f t="shared" si="1439"/>
        <v>1</v>
      </c>
      <c r="I3792" s="121">
        <f t="shared" si="1440"/>
        <v>1</v>
      </c>
      <c r="J3792" s="121">
        <f t="shared" si="1441"/>
        <v>1</v>
      </c>
      <c r="K3792" s="120">
        <f t="shared" si="1442"/>
        <v>0</v>
      </c>
      <c r="L3792" s="120">
        <f t="shared" si="1443"/>
        <v>0</v>
      </c>
      <c r="M3792" s="246">
        <f t="shared" si="1444"/>
        <v>0</v>
      </c>
      <c r="N3792" s="121">
        <f t="shared" si="1445"/>
        <v>1</v>
      </c>
      <c r="O3792" s="246">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87">
        <v>43</v>
      </c>
      <c r="B3793" s="242">
        <f t="shared" si="1453"/>
        <v>46935</v>
      </c>
      <c r="C3793" s="243">
        <f t="shared" si="1434"/>
        <v>46965</v>
      </c>
      <c r="D3793" s="120">
        <f t="shared" si="1435"/>
        <v>31</v>
      </c>
      <c r="E3793" s="120">
        <f t="shared" si="1436"/>
        <v>7</v>
      </c>
      <c r="F3793" s="275">
        <f t="shared" si="1437"/>
        <v>46950.5</v>
      </c>
      <c r="G3793" s="120">
        <f t="shared" si="1438"/>
        <v>24342</v>
      </c>
      <c r="H3793" s="245">
        <f t="shared" si="1439"/>
        <v>1</v>
      </c>
      <c r="I3793" s="121">
        <f t="shared" si="1440"/>
        <v>1</v>
      </c>
      <c r="J3793" s="121">
        <f t="shared" si="1441"/>
        <v>1</v>
      </c>
      <c r="K3793" s="120">
        <f t="shared" si="1442"/>
        <v>0</v>
      </c>
      <c r="L3793" s="120">
        <f t="shared" si="1443"/>
        <v>0</v>
      </c>
      <c r="M3793" s="246">
        <f t="shared" si="1444"/>
        <v>0</v>
      </c>
      <c r="N3793" s="121">
        <f t="shared" si="1445"/>
        <v>1</v>
      </c>
      <c r="O3793" s="246">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87">
        <v>44</v>
      </c>
      <c r="B3794" s="242">
        <f t="shared" si="1453"/>
        <v>46966</v>
      </c>
      <c r="C3794" s="243">
        <f t="shared" si="1434"/>
        <v>46996</v>
      </c>
      <c r="D3794" s="120">
        <f t="shared" si="1435"/>
        <v>31</v>
      </c>
      <c r="E3794" s="120">
        <f t="shared" si="1436"/>
        <v>8</v>
      </c>
      <c r="F3794" s="275">
        <f t="shared" si="1437"/>
        <v>46981.5</v>
      </c>
      <c r="G3794" s="120">
        <f t="shared" si="1438"/>
        <v>24343</v>
      </c>
      <c r="H3794" s="245">
        <f t="shared" si="1439"/>
        <v>1</v>
      </c>
      <c r="I3794" s="121">
        <f t="shared" si="1440"/>
        <v>1</v>
      </c>
      <c r="J3794" s="121">
        <f t="shared" si="1441"/>
        <v>1</v>
      </c>
      <c r="K3794" s="120">
        <f t="shared" si="1442"/>
        <v>0</v>
      </c>
      <c r="L3794" s="120">
        <f t="shared" si="1443"/>
        <v>0</v>
      </c>
      <c r="M3794" s="246">
        <f t="shared" si="1444"/>
        <v>0</v>
      </c>
      <c r="N3794" s="121">
        <f t="shared" si="1445"/>
        <v>1</v>
      </c>
      <c r="O3794" s="246">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87">
        <v>45</v>
      </c>
      <c r="B3795" s="242">
        <f t="shared" si="1453"/>
        <v>46997</v>
      </c>
      <c r="C3795" s="243">
        <f t="shared" si="1434"/>
        <v>47026</v>
      </c>
      <c r="D3795" s="120">
        <f t="shared" si="1435"/>
        <v>30</v>
      </c>
      <c r="E3795" s="120">
        <f t="shared" si="1436"/>
        <v>9</v>
      </c>
      <c r="F3795" s="275">
        <f t="shared" si="1437"/>
        <v>47012</v>
      </c>
      <c r="G3795" s="120">
        <f t="shared" si="1438"/>
        <v>24344</v>
      </c>
      <c r="H3795" s="245">
        <f t="shared" si="1439"/>
        <v>1</v>
      </c>
      <c r="I3795" s="121">
        <f t="shared" si="1440"/>
        <v>1</v>
      </c>
      <c r="J3795" s="121">
        <f t="shared" si="1441"/>
        <v>1</v>
      </c>
      <c r="K3795" s="120">
        <f t="shared" si="1442"/>
        <v>0</v>
      </c>
      <c r="L3795" s="120">
        <f t="shared" si="1443"/>
        <v>0</v>
      </c>
      <c r="M3795" s="246">
        <f t="shared" si="1444"/>
        <v>0</v>
      </c>
      <c r="N3795" s="121">
        <f t="shared" si="1445"/>
        <v>1</v>
      </c>
      <c r="O3795" s="246">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87">
        <v>46</v>
      </c>
      <c r="B3796" s="242">
        <f t="shared" si="1453"/>
        <v>47027</v>
      </c>
      <c r="C3796" s="243">
        <f t="shared" si="1434"/>
        <v>47057</v>
      </c>
      <c r="D3796" s="120">
        <f t="shared" si="1435"/>
        <v>31</v>
      </c>
      <c r="E3796" s="120">
        <f t="shared" si="1436"/>
        <v>10</v>
      </c>
      <c r="F3796" s="275">
        <f t="shared" si="1437"/>
        <v>47042.5</v>
      </c>
      <c r="G3796" s="120">
        <f t="shared" si="1438"/>
        <v>24345</v>
      </c>
      <c r="H3796" s="245">
        <f t="shared" si="1439"/>
        <v>1</v>
      </c>
      <c r="I3796" s="121">
        <f t="shared" si="1440"/>
        <v>1</v>
      </c>
      <c r="J3796" s="121">
        <f t="shared" si="1441"/>
        <v>1</v>
      </c>
      <c r="K3796" s="120">
        <f t="shared" si="1442"/>
        <v>0</v>
      </c>
      <c r="L3796" s="120">
        <f t="shared" si="1443"/>
        <v>0</v>
      </c>
      <c r="M3796" s="246">
        <f t="shared" si="1444"/>
        <v>0</v>
      </c>
      <c r="N3796" s="121">
        <f t="shared" si="1445"/>
        <v>1</v>
      </c>
      <c r="O3796" s="246">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87">
        <v>47</v>
      </c>
      <c r="B3797" s="242">
        <f t="shared" si="1453"/>
        <v>47058</v>
      </c>
      <c r="C3797" s="243">
        <f t="shared" si="1434"/>
        <v>47087</v>
      </c>
      <c r="D3797" s="120">
        <f t="shared" si="1435"/>
        <v>30</v>
      </c>
      <c r="E3797" s="120">
        <f t="shared" si="1436"/>
        <v>11</v>
      </c>
      <c r="F3797" s="275">
        <f t="shared" si="1437"/>
        <v>47073</v>
      </c>
      <c r="G3797" s="120">
        <f t="shared" si="1438"/>
        <v>24346</v>
      </c>
      <c r="H3797" s="245">
        <f t="shared" si="1439"/>
        <v>1</v>
      </c>
      <c r="I3797" s="121">
        <f t="shared" si="1440"/>
        <v>1</v>
      </c>
      <c r="J3797" s="121">
        <f t="shared" si="1441"/>
        <v>1</v>
      </c>
      <c r="K3797" s="120">
        <f t="shared" si="1442"/>
        <v>0</v>
      </c>
      <c r="L3797" s="120">
        <f t="shared" si="1443"/>
        <v>0</v>
      </c>
      <c r="M3797" s="246">
        <f t="shared" si="1444"/>
        <v>0</v>
      </c>
      <c r="N3797" s="121">
        <f t="shared" si="1445"/>
        <v>1</v>
      </c>
      <c r="O3797" s="246">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87">
        <v>48</v>
      </c>
      <c r="B3798" s="242">
        <f t="shared" si="1453"/>
        <v>47088</v>
      </c>
      <c r="C3798" s="243">
        <f t="shared" si="1434"/>
        <v>47118</v>
      </c>
      <c r="D3798" s="120">
        <f t="shared" si="1435"/>
        <v>31</v>
      </c>
      <c r="E3798" s="120">
        <f t="shared" si="1436"/>
        <v>12</v>
      </c>
      <c r="F3798" s="275">
        <f t="shared" si="1437"/>
        <v>47103.5</v>
      </c>
      <c r="G3798" s="120">
        <f t="shared" si="1438"/>
        <v>24347</v>
      </c>
      <c r="H3798" s="245">
        <f t="shared" si="1439"/>
        <v>1</v>
      </c>
      <c r="I3798" s="121">
        <f t="shared" si="1440"/>
        <v>1</v>
      </c>
      <c r="J3798" s="121">
        <f t="shared" si="1441"/>
        <v>1</v>
      </c>
      <c r="K3798" s="120">
        <f t="shared" si="1442"/>
        <v>0</v>
      </c>
      <c r="L3798" s="120">
        <f t="shared" si="1443"/>
        <v>0</v>
      </c>
      <c r="M3798" s="246">
        <f t="shared" si="1444"/>
        <v>0</v>
      </c>
      <c r="N3798" s="121">
        <f t="shared" si="1445"/>
        <v>1</v>
      </c>
      <c r="O3798" s="246">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1651</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1652</v>
      </c>
    </row>
    <row r="3805" spans="1:39" x14ac:dyDescent="0.3">
      <c r="A3805" s="23" t="s">
        <v>1653</v>
      </c>
      <c r="B3805" s="23" t="s">
        <v>1654</v>
      </c>
      <c r="C3805" s="23" t="s">
        <v>1655</v>
      </c>
      <c r="D3805" s="23" t="s">
        <v>1656</v>
      </c>
      <c r="E3805" s="23" t="s">
        <v>1657</v>
      </c>
      <c r="F3805" s="23" t="s">
        <v>1658</v>
      </c>
      <c r="G3805" s="23" t="s">
        <v>1659</v>
      </c>
      <c r="H3805" s="23" t="s">
        <v>1660</v>
      </c>
      <c r="I3805" s="23" t="s">
        <v>1661</v>
      </c>
      <c r="K3805" s="23" t="s">
        <v>1662</v>
      </c>
      <c r="L3805" s="23" t="s">
        <v>1663</v>
      </c>
      <c r="M3805" s="23" t="s">
        <v>1664</v>
      </c>
      <c r="N3805" s="23" t="s">
        <v>1665</v>
      </c>
      <c r="O3805" s="23" t="s">
        <v>1666</v>
      </c>
      <c r="P3805" s="23" t="s">
        <v>1667</v>
      </c>
      <c r="Q3805" s="23" t="s">
        <v>1668</v>
      </c>
      <c r="R3805" s="23" t="s">
        <v>1669</v>
      </c>
      <c r="S3805" s="23" t="s">
        <v>1670</v>
      </c>
      <c r="U3805" s="23" t="s">
        <v>1671</v>
      </c>
      <c r="V3805" s="23" t="s">
        <v>1672</v>
      </c>
      <c r="W3805" s="23" t="s">
        <v>1673</v>
      </c>
      <c r="X3805" s="23" t="s">
        <v>1674</v>
      </c>
      <c r="Y3805" s="23" t="s">
        <v>1675</v>
      </c>
      <c r="Z3805" s="23" t="s">
        <v>1676</v>
      </c>
      <c r="AA3805" s="23" t="s">
        <v>1677</v>
      </c>
      <c r="AB3805" s="23" t="s">
        <v>1678</v>
      </c>
      <c r="AC3805" s="23" t="s">
        <v>1679</v>
      </c>
      <c r="AE3805" s="23" t="s">
        <v>1680</v>
      </c>
      <c r="AF3805" s="23" t="s">
        <v>1681</v>
      </c>
      <c r="AG3805" s="23" t="s">
        <v>1682</v>
      </c>
      <c r="AH3805" s="23" t="s">
        <v>1683</v>
      </c>
      <c r="AI3805" s="23" t="s">
        <v>1684</v>
      </c>
      <c r="AJ3805" s="23" t="s">
        <v>1685</v>
      </c>
      <c r="AK3805" s="23" t="s">
        <v>1686</v>
      </c>
      <c r="AL3805" s="23" t="s">
        <v>1687</v>
      </c>
      <c r="AM3805" s="23" t="s">
        <v>1688</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0" t="s">
        <v>1689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502">EOMONTH($B4051,0)</f>
        <v>45688</v>
      </c>
      <c r="D4051" s="120">
        <f t="shared" ref="D4051:D4098" si="1503">$C4051-$B4051+1</f>
        <v>31</v>
      </c>
      <c r="E4051" s="120">
        <f t="shared" ref="E4051:E4098" si="1504">MONTH($B4051)</f>
        <v>1</v>
      </c>
      <c r="F4051" s="275">
        <f t="shared" ref="F4051:F4098" si="1505">($B4051+$C4051+1)/2</f>
        <v>45673.5</v>
      </c>
      <c r="G4051" s="120">
        <f t="shared" ref="G4051:G4098" si="1506">YEAR($B4051)*12+MONTH($B4051)-1</f>
        <v>24300</v>
      </c>
      <c r="H4051" s="245">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46">
        <f t="shared" ref="M4051:M4098" si="1512">IF($K4051=0,0,MIN(1,$L4051/$D4051))</f>
        <v>0</v>
      </c>
      <c r="N4051" s="121">
        <f t="shared" ref="N4051:N4098" si="1513">IF($K4051=0,$J4051,(1-$M4051)*$I4051+$M4051*$J4051)</f>
        <v>1</v>
      </c>
      <c r="O4051" s="246">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87">
        <v>2</v>
      </c>
      <c r="B4052" s="242">
        <f t="shared" ref="B4052:B4098" si="1521">EDATE($B4051,1)</f>
        <v>45689</v>
      </c>
      <c r="C4052" s="243">
        <f t="shared" si="1502"/>
        <v>45716</v>
      </c>
      <c r="D4052" s="120">
        <f t="shared" si="1503"/>
        <v>28</v>
      </c>
      <c r="E4052" s="120">
        <f t="shared" si="1504"/>
        <v>2</v>
      </c>
      <c r="F4052" s="275">
        <f t="shared" si="1505"/>
        <v>45703</v>
      </c>
      <c r="G4052" s="120">
        <f t="shared" si="1506"/>
        <v>24301</v>
      </c>
      <c r="H4052" s="245">
        <f t="shared" si="1507"/>
        <v>1</v>
      </c>
      <c r="I4052" s="121">
        <f t="shared" si="1508"/>
        <v>1</v>
      </c>
      <c r="J4052" s="121">
        <f t="shared" si="1509"/>
        <v>1</v>
      </c>
      <c r="K4052" s="120">
        <f t="shared" si="1510"/>
        <v>0</v>
      </c>
      <c r="L4052" s="120">
        <f t="shared" si="1511"/>
        <v>0</v>
      </c>
      <c r="M4052" s="246">
        <f t="shared" si="1512"/>
        <v>0</v>
      </c>
      <c r="N4052" s="121">
        <f t="shared" si="1513"/>
        <v>1</v>
      </c>
      <c r="O4052" s="246">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87">
        <v>3</v>
      </c>
      <c r="B4053" s="242">
        <f t="shared" si="1521"/>
        <v>45717</v>
      </c>
      <c r="C4053" s="243">
        <f t="shared" si="1502"/>
        <v>45747</v>
      </c>
      <c r="D4053" s="120">
        <f t="shared" si="1503"/>
        <v>31</v>
      </c>
      <c r="E4053" s="120">
        <f t="shared" si="1504"/>
        <v>3</v>
      </c>
      <c r="F4053" s="275">
        <f t="shared" si="1505"/>
        <v>45732.5</v>
      </c>
      <c r="G4053" s="120">
        <f t="shared" si="1506"/>
        <v>24302</v>
      </c>
      <c r="H4053" s="245">
        <f t="shared" si="1507"/>
        <v>1</v>
      </c>
      <c r="I4053" s="121">
        <f t="shared" si="1508"/>
        <v>1</v>
      </c>
      <c r="J4053" s="121">
        <f t="shared" si="1509"/>
        <v>1</v>
      </c>
      <c r="K4053" s="120">
        <f t="shared" si="1510"/>
        <v>0</v>
      </c>
      <c r="L4053" s="120">
        <f t="shared" si="1511"/>
        <v>0</v>
      </c>
      <c r="M4053" s="246">
        <f t="shared" si="1512"/>
        <v>0</v>
      </c>
      <c r="N4053" s="121">
        <f t="shared" si="1513"/>
        <v>1</v>
      </c>
      <c r="O4053" s="246">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87">
        <v>4</v>
      </c>
      <c r="B4054" s="242">
        <f t="shared" si="1521"/>
        <v>45748</v>
      </c>
      <c r="C4054" s="243">
        <f t="shared" si="1502"/>
        <v>45777</v>
      </c>
      <c r="D4054" s="120">
        <f t="shared" si="1503"/>
        <v>30</v>
      </c>
      <c r="E4054" s="120">
        <f t="shared" si="1504"/>
        <v>4</v>
      </c>
      <c r="F4054" s="275">
        <f t="shared" si="1505"/>
        <v>45763</v>
      </c>
      <c r="G4054" s="120">
        <f t="shared" si="1506"/>
        <v>24303</v>
      </c>
      <c r="H4054" s="245">
        <f t="shared" si="1507"/>
        <v>1</v>
      </c>
      <c r="I4054" s="121">
        <f t="shared" si="1508"/>
        <v>1</v>
      </c>
      <c r="J4054" s="121">
        <f t="shared" si="1509"/>
        <v>1</v>
      </c>
      <c r="K4054" s="120">
        <f t="shared" si="1510"/>
        <v>0</v>
      </c>
      <c r="L4054" s="120">
        <f t="shared" si="1511"/>
        <v>0</v>
      </c>
      <c r="M4054" s="246">
        <f t="shared" si="1512"/>
        <v>0</v>
      </c>
      <c r="N4054" s="121">
        <f t="shared" si="1513"/>
        <v>1</v>
      </c>
      <c r="O4054" s="246">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87">
        <v>5</v>
      </c>
      <c r="B4055" s="242">
        <f t="shared" si="1521"/>
        <v>45778</v>
      </c>
      <c r="C4055" s="243">
        <f t="shared" si="1502"/>
        <v>45808</v>
      </c>
      <c r="D4055" s="120">
        <f t="shared" si="1503"/>
        <v>31</v>
      </c>
      <c r="E4055" s="120">
        <f t="shared" si="1504"/>
        <v>5</v>
      </c>
      <c r="F4055" s="275">
        <f t="shared" si="1505"/>
        <v>45793.5</v>
      </c>
      <c r="G4055" s="120">
        <f t="shared" si="1506"/>
        <v>24304</v>
      </c>
      <c r="H4055" s="245">
        <f t="shared" si="1507"/>
        <v>1</v>
      </c>
      <c r="I4055" s="121">
        <f t="shared" si="1508"/>
        <v>1</v>
      </c>
      <c r="J4055" s="121">
        <f t="shared" si="1509"/>
        <v>1</v>
      </c>
      <c r="K4055" s="120">
        <f t="shared" si="1510"/>
        <v>0</v>
      </c>
      <c r="L4055" s="120">
        <f t="shared" si="1511"/>
        <v>0</v>
      </c>
      <c r="M4055" s="246">
        <f t="shared" si="1512"/>
        <v>0</v>
      </c>
      <c r="N4055" s="121">
        <f t="shared" si="1513"/>
        <v>1</v>
      </c>
      <c r="O4055" s="246">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87">
        <v>6</v>
      </c>
      <c r="B4056" s="242">
        <f t="shared" si="1521"/>
        <v>45809</v>
      </c>
      <c r="C4056" s="243">
        <f t="shared" si="1502"/>
        <v>45838</v>
      </c>
      <c r="D4056" s="120">
        <f t="shared" si="1503"/>
        <v>30</v>
      </c>
      <c r="E4056" s="120">
        <f t="shared" si="1504"/>
        <v>6</v>
      </c>
      <c r="F4056" s="275">
        <f t="shared" si="1505"/>
        <v>45824</v>
      </c>
      <c r="G4056" s="120">
        <f t="shared" si="1506"/>
        <v>24305</v>
      </c>
      <c r="H4056" s="245">
        <f t="shared" si="1507"/>
        <v>1</v>
      </c>
      <c r="I4056" s="121">
        <f t="shared" si="1508"/>
        <v>1</v>
      </c>
      <c r="J4056" s="121">
        <f t="shared" si="1509"/>
        <v>1</v>
      </c>
      <c r="K4056" s="120">
        <f t="shared" si="1510"/>
        <v>0</v>
      </c>
      <c r="L4056" s="120">
        <f t="shared" si="1511"/>
        <v>0</v>
      </c>
      <c r="M4056" s="246">
        <f t="shared" si="1512"/>
        <v>0</v>
      </c>
      <c r="N4056" s="121">
        <f t="shared" si="1513"/>
        <v>1</v>
      </c>
      <c r="O4056" s="246">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87">
        <v>7</v>
      </c>
      <c r="B4057" s="242">
        <f t="shared" si="1521"/>
        <v>45839</v>
      </c>
      <c r="C4057" s="243">
        <f t="shared" si="1502"/>
        <v>45869</v>
      </c>
      <c r="D4057" s="120">
        <f t="shared" si="1503"/>
        <v>31</v>
      </c>
      <c r="E4057" s="120">
        <f t="shared" si="1504"/>
        <v>7</v>
      </c>
      <c r="F4057" s="275">
        <f t="shared" si="1505"/>
        <v>45854.5</v>
      </c>
      <c r="G4057" s="120">
        <f t="shared" si="1506"/>
        <v>24306</v>
      </c>
      <c r="H4057" s="245">
        <f t="shared" si="1507"/>
        <v>1</v>
      </c>
      <c r="I4057" s="121">
        <f t="shared" si="1508"/>
        <v>1</v>
      </c>
      <c r="J4057" s="121">
        <f t="shared" si="1509"/>
        <v>1.04</v>
      </c>
      <c r="K4057" s="120">
        <f t="shared" si="1510"/>
        <v>1</v>
      </c>
      <c r="L4057" s="120">
        <f t="shared" si="1511"/>
        <v>31</v>
      </c>
      <c r="M4057" s="246">
        <f t="shared" si="1512"/>
        <v>1</v>
      </c>
      <c r="N4057" s="121">
        <f t="shared" si="1513"/>
        <v>1.04</v>
      </c>
      <c r="O4057" s="246">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87">
        <v>8</v>
      </c>
      <c r="B4058" s="242">
        <f t="shared" si="1521"/>
        <v>45870</v>
      </c>
      <c r="C4058" s="243">
        <f t="shared" si="1502"/>
        <v>45900</v>
      </c>
      <c r="D4058" s="120">
        <f t="shared" si="1503"/>
        <v>31</v>
      </c>
      <c r="E4058" s="120">
        <f t="shared" si="1504"/>
        <v>8</v>
      </c>
      <c r="F4058" s="275">
        <f t="shared" si="1505"/>
        <v>45885.5</v>
      </c>
      <c r="G4058" s="120">
        <f t="shared" si="1506"/>
        <v>24307</v>
      </c>
      <c r="H4058" s="245">
        <f t="shared" si="1507"/>
        <v>1</v>
      </c>
      <c r="I4058" s="121">
        <f t="shared" si="1508"/>
        <v>1.04</v>
      </c>
      <c r="J4058" s="121">
        <f t="shared" si="1509"/>
        <v>1.04</v>
      </c>
      <c r="K4058" s="120">
        <f t="shared" si="1510"/>
        <v>0</v>
      </c>
      <c r="L4058" s="120">
        <f t="shared" si="1511"/>
        <v>0</v>
      </c>
      <c r="M4058" s="246">
        <f t="shared" si="1512"/>
        <v>0</v>
      </c>
      <c r="N4058" s="121">
        <f t="shared" si="1513"/>
        <v>1.04</v>
      </c>
      <c r="O4058" s="246">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87">
        <v>9</v>
      </c>
      <c r="B4059" s="242">
        <f t="shared" si="1521"/>
        <v>45901</v>
      </c>
      <c r="C4059" s="243">
        <f t="shared" si="1502"/>
        <v>45930</v>
      </c>
      <c r="D4059" s="120">
        <f t="shared" si="1503"/>
        <v>30</v>
      </c>
      <c r="E4059" s="120">
        <f t="shared" si="1504"/>
        <v>9</v>
      </c>
      <c r="F4059" s="275">
        <f t="shared" si="1505"/>
        <v>45916</v>
      </c>
      <c r="G4059" s="120">
        <f t="shared" si="1506"/>
        <v>24308</v>
      </c>
      <c r="H4059" s="245">
        <f t="shared" si="1507"/>
        <v>1</v>
      </c>
      <c r="I4059" s="121">
        <f t="shared" si="1508"/>
        <v>1.04</v>
      </c>
      <c r="J4059" s="121">
        <f t="shared" si="1509"/>
        <v>1.04</v>
      </c>
      <c r="K4059" s="120">
        <f t="shared" si="1510"/>
        <v>0</v>
      </c>
      <c r="L4059" s="120">
        <f t="shared" si="1511"/>
        <v>0</v>
      </c>
      <c r="M4059" s="246">
        <f t="shared" si="1512"/>
        <v>0</v>
      </c>
      <c r="N4059" s="121">
        <f t="shared" si="1513"/>
        <v>1.04</v>
      </c>
      <c r="O4059" s="246">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87">
        <v>10</v>
      </c>
      <c r="B4060" s="242">
        <f t="shared" si="1521"/>
        <v>45931</v>
      </c>
      <c r="C4060" s="243">
        <f t="shared" si="1502"/>
        <v>45961</v>
      </c>
      <c r="D4060" s="120">
        <f t="shared" si="1503"/>
        <v>31</v>
      </c>
      <c r="E4060" s="120">
        <f t="shared" si="1504"/>
        <v>10</v>
      </c>
      <c r="F4060" s="275">
        <f t="shared" si="1505"/>
        <v>45946.5</v>
      </c>
      <c r="G4060" s="120">
        <f t="shared" si="1506"/>
        <v>24309</v>
      </c>
      <c r="H4060" s="245">
        <f t="shared" si="1507"/>
        <v>1</v>
      </c>
      <c r="I4060" s="121">
        <f t="shared" si="1508"/>
        <v>1.04</v>
      </c>
      <c r="J4060" s="121">
        <f t="shared" si="1509"/>
        <v>1.04</v>
      </c>
      <c r="K4060" s="120">
        <f t="shared" si="1510"/>
        <v>0</v>
      </c>
      <c r="L4060" s="120">
        <f t="shared" si="1511"/>
        <v>0</v>
      </c>
      <c r="M4060" s="246">
        <f t="shared" si="1512"/>
        <v>0</v>
      </c>
      <c r="N4060" s="121">
        <f t="shared" si="1513"/>
        <v>1.04</v>
      </c>
      <c r="O4060" s="246">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87">
        <v>11</v>
      </c>
      <c r="B4061" s="242">
        <f t="shared" si="1521"/>
        <v>45962</v>
      </c>
      <c r="C4061" s="243">
        <f t="shared" si="1502"/>
        <v>45991</v>
      </c>
      <c r="D4061" s="120">
        <f t="shared" si="1503"/>
        <v>30</v>
      </c>
      <c r="E4061" s="120">
        <f t="shared" si="1504"/>
        <v>11</v>
      </c>
      <c r="F4061" s="275">
        <f t="shared" si="1505"/>
        <v>45977</v>
      </c>
      <c r="G4061" s="120">
        <f t="shared" si="1506"/>
        <v>24310</v>
      </c>
      <c r="H4061" s="245">
        <f t="shared" si="1507"/>
        <v>1</v>
      </c>
      <c r="I4061" s="121">
        <f t="shared" si="1508"/>
        <v>1.04</v>
      </c>
      <c r="J4061" s="121">
        <f t="shared" si="1509"/>
        <v>1.04</v>
      </c>
      <c r="K4061" s="120">
        <f t="shared" si="1510"/>
        <v>0</v>
      </c>
      <c r="L4061" s="120">
        <f t="shared" si="1511"/>
        <v>0</v>
      </c>
      <c r="M4061" s="246">
        <f t="shared" si="1512"/>
        <v>0</v>
      </c>
      <c r="N4061" s="121">
        <f t="shared" si="1513"/>
        <v>1.04</v>
      </c>
      <c r="O4061" s="246">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87">
        <v>12</v>
      </c>
      <c r="B4062" s="242">
        <f t="shared" si="1521"/>
        <v>45992</v>
      </c>
      <c r="C4062" s="243">
        <f t="shared" si="1502"/>
        <v>46022</v>
      </c>
      <c r="D4062" s="120">
        <f t="shared" si="1503"/>
        <v>31</v>
      </c>
      <c r="E4062" s="120">
        <f t="shared" si="1504"/>
        <v>12</v>
      </c>
      <c r="F4062" s="275">
        <f t="shared" si="1505"/>
        <v>46007.5</v>
      </c>
      <c r="G4062" s="120">
        <f t="shared" si="1506"/>
        <v>24311</v>
      </c>
      <c r="H4062" s="245">
        <f t="shared" si="1507"/>
        <v>1</v>
      </c>
      <c r="I4062" s="121">
        <f t="shared" si="1508"/>
        <v>1.04</v>
      </c>
      <c r="J4062" s="121">
        <f t="shared" si="1509"/>
        <v>1.04</v>
      </c>
      <c r="K4062" s="120">
        <f t="shared" si="1510"/>
        <v>0</v>
      </c>
      <c r="L4062" s="120">
        <f t="shared" si="1511"/>
        <v>0</v>
      </c>
      <c r="M4062" s="246">
        <f t="shared" si="1512"/>
        <v>0</v>
      </c>
      <c r="N4062" s="121">
        <f t="shared" si="1513"/>
        <v>1.04</v>
      </c>
      <c r="O4062" s="246">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87">
        <v>13</v>
      </c>
      <c r="B4063" s="242">
        <f t="shared" si="1521"/>
        <v>46023</v>
      </c>
      <c r="C4063" s="243">
        <f t="shared" si="1502"/>
        <v>46053</v>
      </c>
      <c r="D4063" s="120">
        <f t="shared" si="1503"/>
        <v>31</v>
      </c>
      <c r="E4063" s="120">
        <f t="shared" si="1504"/>
        <v>1</v>
      </c>
      <c r="F4063" s="275">
        <f t="shared" si="1505"/>
        <v>46038.5</v>
      </c>
      <c r="G4063" s="120">
        <f t="shared" si="1506"/>
        <v>24312</v>
      </c>
      <c r="H4063" s="245">
        <f t="shared" si="1507"/>
        <v>1</v>
      </c>
      <c r="I4063" s="121">
        <f t="shared" si="1508"/>
        <v>1.04</v>
      </c>
      <c r="J4063" s="121">
        <f t="shared" si="1509"/>
        <v>1.04</v>
      </c>
      <c r="K4063" s="120">
        <f t="shared" si="1510"/>
        <v>0</v>
      </c>
      <c r="L4063" s="120">
        <f t="shared" si="1511"/>
        <v>0</v>
      </c>
      <c r="M4063" s="246">
        <f t="shared" si="1512"/>
        <v>0</v>
      </c>
      <c r="N4063" s="121">
        <f t="shared" si="1513"/>
        <v>1.04</v>
      </c>
      <c r="O4063" s="246">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87">
        <v>14</v>
      </c>
      <c r="B4064" s="242">
        <f t="shared" si="1521"/>
        <v>46054</v>
      </c>
      <c r="C4064" s="243">
        <f t="shared" si="1502"/>
        <v>46081</v>
      </c>
      <c r="D4064" s="120">
        <f t="shared" si="1503"/>
        <v>28</v>
      </c>
      <c r="E4064" s="120">
        <f t="shared" si="1504"/>
        <v>2</v>
      </c>
      <c r="F4064" s="275">
        <f t="shared" si="1505"/>
        <v>46068</v>
      </c>
      <c r="G4064" s="120">
        <f t="shared" si="1506"/>
        <v>24313</v>
      </c>
      <c r="H4064" s="245">
        <f t="shared" si="1507"/>
        <v>1</v>
      </c>
      <c r="I4064" s="121">
        <f t="shared" si="1508"/>
        <v>1.04</v>
      </c>
      <c r="J4064" s="121">
        <f t="shared" si="1509"/>
        <v>1.04</v>
      </c>
      <c r="K4064" s="120">
        <f t="shared" si="1510"/>
        <v>0</v>
      </c>
      <c r="L4064" s="120">
        <f t="shared" si="1511"/>
        <v>0</v>
      </c>
      <c r="M4064" s="246">
        <f t="shared" si="1512"/>
        <v>0</v>
      </c>
      <c r="N4064" s="121">
        <f t="shared" si="1513"/>
        <v>1.04</v>
      </c>
      <c r="O4064" s="246">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87">
        <v>15</v>
      </c>
      <c r="B4065" s="242">
        <f t="shared" si="1521"/>
        <v>46082</v>
      </c>
      <c r="C4065" s="243">
        <f t="shared" si="1502"/>
        <v>46112</v>
      </c>
      <c r="D4065" s="120">
        <f t="shared" si="1503"/>
        <v>31</v>
      </c>
      <c r="E4065" s="120">
        <f t="shared" si="1504"/>
        <v>3</v>
      </c>
      <c r="F4065" s="275">
        <f t="shared" si="1505"/>
        <v>46097.5</v>
      </c>
      <c r="G4065" s="120">
        <f t="shared" si="1506"/>
        <v>24314</v>
      </c>
      <c r="H4065" s="245">
        <f t="shared" si="1507"/>
        <v>1</v>
      </c>
      <c r="I4065" s="121">
        <f t="shared" si="1508"/>
        <v>1.04</v>
      </c>
      <c r="J4065" s="121">
        <f t="shared" si="1509"/>
        <v>1.04</v>
      </c>
      <c r="K4065" s="120">
        <f t="shared" si="1510"/>
        <v>0</v>
      </c>
      <c r="L4065" s="120">
        <f t="shared" si="1511"/>
        <v>0</v>
      </c>
      <c r="M4065" s="246">
        <f t="shared" si="1512"/>
        <v>0</v>
      </c>
      <c r="N4065" s="121">
        <f t="shared" si="1513"/>
        <v>1.04</v>
      </c>
      <c r="O4065" s="246">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87">
        <v>16</v>
      </c>
      <c r="B4066" s="242">
        <f t="shared" si="1521"/>
        <v>46113</v>
      </c>
      <c r="C4066" s="243">
        <f t="shared" si="1502"/>
        <v>46142</v>
      </c>
      <c r="D4066" s="120">
        <f t="shared" si="1503"/>
        <v>30</v>
      </c>
      <c r="E4066" s="120">
        <f t="shared" si="1504"/>
        <v>4</v>
      </c>
      <c r="F4066" s="275">
        <f t="shared" si="1505"/>
        <v>46128</v>
      </c>
      <c r="G4066" s="120">
        <f t="shared" si="1506"/>
        <v>24315</v>
      </c>
      <c r="H4066" s="245">
        <f t="shared" si="1507"/>
        <v>1</v>
      </c>
      <c r="I4066" s="121">
        <f t="shared" si="1508"/>
        <v>1.04</v>
      </c>
      <c r="J4066" s="121">
        <f t="shared" si="1509"/>
        <v>1.04</v>
      </c>
      <c r="K4066" s="120">
        <f t="shared" si="1510"/>
        <v>0</v>
      </c>
      <c r="L4066" s="120">
        <f t="shared" si="1511"/>
        <v>0</v>
      </c>
      <c r="M4066" s="246">
        <f t="shared" si="1512"/>
        <v>0</v>
      </c>
      <c r="N4066" s="121">
        <f t="shared" si="1513"/>
        <v>1.04</v>
      </c>
      <c r="O4066" s="246">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87">
        <v>17</v>
      </c>
      <c r="B4067" s="242">
        <f t="shared" si="1521"/>
        <v>46143</v>
      </c>
      <c r="C4067" s="243">
        <f t="shared" si="1502"/>
        <v>46173</v>
      </c>
      <c r="D4067" s="120">
        <f t="shared" si="1503"/>
        <v>31</v>
      </c>
      <c r="E4067" s="120">
        <f t="shared" si="1504"/>
        <v>5</v>
      </c>
      <c r="F4067" s="275">
        <f t="shared" si="1505"/>
        <v>46158.5</v>
      </c>
      <c r="G4067" s="120">
        <f t="shared" si="1506"/>
        <v>24316</v>
      </c>
      <c r="H4067" s="245">
        <f t="shared" si="1507"/>
        <v>1</v>
      </c>
      <c r="I4067" s="121">
        <f t="shared" si="1508"/>
        <v>1.04</v>
      </c>
      <c r="J4067" s="121">
        <f t="shared" si="1509"/>
        <v>1.04</v>
      </c>
      <c r="K4067" s="120">
        <f t="shared" si="1510"/>
        <v>0</v>
      </c>
      <c r="L4067" s="120">
        <f t="shared" si="1511"/>
        <v>0</v>
      </c>
      <c r="M4067" s="246">
        <f t="shared" si="1512"/>
        <v>0</v>
      </c>
      <c r="N4067" s="121">
        <f t="shared" si="1513"/>
        <v>1.04</v>
      </c>
      <c r="O4067" s="246">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87">
        <v>18</v>
      </c>
      <c r="B4068" s="242">
        <f t="shared" si="1521"/>
        <v>46174</v>
      </c>
      <c r="C4068" s="243">
        <f t="shared" si="1502"/>
        <v>46203</v>
      </c>
      <c r="D4068" s="120">
        <f t="shared" si="1503"/>
        <v>30</v>
      </c>
      <c r="E4068" s="120">
        <f t="shared" si="1504"/>
        <v>6</v>
      </c>
      <c r="F4068" s="275">
        <f t="shared" si="1505"/>
        <v>46189</v>
      </c>
      <c r="G4068" s="120">
        <f t="shared" si="1506"/>
        <v>24317</v>
      </c>
      <c r="H4068" s="245">
        <f t="shared" si="1507"/>
        <v>1</v>
      </c>
      <c r="I4068" s="121">
        <f t="shared" si="1508"/>
        <v>1.04</v>
      </c>
      <c r="J4068" s="121">
        <f t="shared" si="1509"/>
        <v>1.04</v>
      </c>
      <c r="K4068" s="120">
        <f t="shared" si="1510"/>
        <v>0</v>
      </c>
      <c r="L4068" s="120">
        <f t="shared" si="1511"/>
        <v>0</v>
      </c>
      <c r="M4068" s="246">
        <f t="shared" si="1512"/>
        <v>0</v>
      </c>
      <c r="N4068" s="121">
        <f t="shared" si="1513"/>
        <v>1.04</v>
      </c>
      <c r="O4068" s="246">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87">
        <v>19</v>
      </c>
      <c r="B4069" s="242">
        <f t="shared" si="1521"/>
        <v>46204</v>
      </c>
      <c r="C4069" s="243">
        <f t="shared" si="1502"/>
        <v>46234</v>
      </c>
      <c r="D4069" s="120">
        <f t="shared" si="1503"/>
        <v>31</v>
      </c>
      <c r="E4069" s="120">
        <f t="shared" si="1504"/>
        <v>7</v>
      </c>
      <c r="F4069" s="275">
        <f t="shared" si="1505"/>
        <v>46219.5</v>
      </c>
      <c r="G4069" s="120">
        <f t="shared" si="1506"/>
        <v>24318</v>
      </c>
      <c r="H4069" s="245">
        <f t="shared" si="1507"/>
        <v>1</v>
      </c>
      <c r="I4069" s="121">
        <f t="shared" si="1508"/>
        <v>1.04</v>
      </c>
      <c r="J4069" s="121">
        <f t="shared" si="1509"/>
        <v>1.1024</v>
      </c>
      <c r="K4069" s="120">
        <f t="shared" si="1510"/>
        <v>1</v>
      </c>
      <c r="L4069" s="120">
        <f t="shared" si="1511"/>
        <v>31</v>
      </c>
      <c r="M4069" s="246">
        <f t="shared" si="1512"/>
        <v>1</v>
      </c>
      <c r="N4069" s="121">
        <f t="shared" si="1513"/>
        <v>1.1024</v>
      </c>
      <c r="O4069" s="246">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87">
        <v>20</v>
      </c>
      <c r="B4070" s="242">
        <f t="shared" si="1521"/>
        <v>46235</v>
      </c>
      <c r="C4070" s="243">
        <f t="shared" si="1502"/>
        <v>46265</v>
      </c>
      <c r="D4070" s="120">
        <f t="shared" si="1503"/>
        <v>31</v>
      </c>
      <c r="E4070" s="120">
        <f t="shared" si="1504"/>
        <v>8</v>
      </c>
      <c r="F4070" s="275">
        <f t="shared" si="1505"/>
        <v>46250.5</v>
      </c>
      <c r="G4070" s="120">
        <f t="shared" si="1506"/>
        <v>24319</v>
      </c>
      <c r="H4070" s="245">
        <f t="shared" si="1507"/>
        <v>1</v>
      </c>
      <c r="I4070" s="121">
        <f t="shared" si="1508"/>
        <v>1.1024</v>
      </c>
      <c r="J4070" s="121">
        <f t="shared" si="1509"/>
        <v>1.1024</v>
      </c>
      <c r="K4070" s="120">
        <f t="shared" si="1510"/>
        <v>0</v>
      </c>
      <c r="L4070" s="120">
        <f t="shared" si="1511"/>
        <v>0</v>
      </c>
      <c r="M4070" s="246">
        <f t="shared" si="1512"/>
        <v>0</v>
      </c>
      <c r="N4070" s="121">
        <f t="shared" si="1513"/>
        <v>1.1024</v>
      </c>
      <c r="O4070" s="246">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87">
        <v>21</v>
      </c>
      <c r="B4071" s="242">
        <f t="shared" si="1521"/>
        <v>46266</v>
      </c>
      <c r="C4071" s="243">
        <f t="shared" si="1502"/>
        <v>46295</v>
      </c>
      <c r="D4071" s="120">
        <f t="shared" si="1503"/>
        <v>30</v>
      </c>
      <c r="E4071" s="120">
        <f t="shared" si="1504"/>
        <v>9</v>
      </c>
      <c r="F4071" s="275">
        <f t="shared" si="1505"/>
        <v>46281</v>
      </c>
      <c r="G4071" s="120">
        <f t="shared" si="1506"/>
        <v>24320</v>
      </c>
      <c r="H4071" s="245">
        <f t="shared" si="1507"/>
        <v>1</v>
      </c>
      <c r="I4071" s="121">
        <f t="shared" si="1508"/>
        <v>1.1024</v>
      </c>
      <c r="J4071" s="121">
        <f t="shared" si="1509"/>
        <v>1.1024</v>
      </c>
      <c r="K4071" s="120">
        <f t="shared" si="1510"/>
        <v>0</v>
      </c>
      <c r="L4071" s="120">
        <f t="shared" si="1511"/>
        <v>0</v>
      </c>
      <c r="M4071" s="246">
        <f t="shared" si="1512"/>
        <v>0</v>
      </c>
      <c r="N4071" s="121">
        <f t="shared" si="1513"/>
        <v>1.1024</v>
      </c>
      <c r="O4071" s="246">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87">
        <v>22</v>
      </c>
      <c r="B4072" s="242">
        <f t="shared" si="1521"/>
        <v>46296</v>
      </c>
      <c r="C4072" s="243">
        <f t="shared" si="1502"/>
        <v>46326</v>
      </c>
      <c r="D4072" s="120">
        <f t="shared" si="1503"/>
        <v>31</v>
      </c>
      <c r="E4072" s="120">
        <f t="shared" si="1504"/>
        <v>10</v>
      </c>
      <c r="F4072" s="275">
        <f t="shared" si="1505"/>
        <v>46311.5</v>
      </c>
      <c r="G4072" s="120">
        <f t="shared" si="1506"/>
        <v>24321</v>
      </c>
      <c r="H4072" s="245">
        <f t="shared" si="1507"/>
        <v>1</v>
      </c>
      <c r="I4072" s="121">
        <f t="shared" si="1508"/>
        <v>1.1024</v>
      </c>
      <c r="J4072" s="121">
        <f t="shared" si="1509"/>
        <v>1.1024</v>
      </c>
      <c r="K4072" s="120">
        <f t="shared" si="1510"/>
        <v>0</v>
      </c>
      <c r="L4072" s="120">
        <f t="shared" si="1511"/>
        <v>0</v>
      </c>
      <c r="M4072" s="246">
        <f t="shared" si="1512"/>
        <v>0</v>
      </c>
      <c r="N4072" s="121">
        <f t="shared" si="1513"/>
        <v>1.1024</v>
      </c>
      <c r="O4072" s="246">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87">
        <v>23</v>
      </c>
      <c r="B4073" s="242">
        <f t="shared" si="1521"/>
        <v>46327</v>
      </c>
      <c r="C4073" s="243">
        <f t="shared" si="1502"/>
        <v>46356</v>
      </c>
      <c r="D4073" s="120">
        <f t="shared" si="1503"/>
        <v>30</v>
      </c>
      <c r="E4073" s="120">
        <f t="shared" si="1504"/>
        <v>11</v>
      </c>
      <c r="F4073" s="275">
        <f t="shared" si="1505"/>
        <v>46342</v>
      </c>
      <c r="G4073" s="120">
        <f t="shared" si="1506"/>
        <v>24322</v>
      </c>
      <c r="H4073" s="245">
        <f t="shared" si="1507"/>
        <v>1</v>
      </c>
      <c r="I4073" s="121">
        <f t="shared" si="1508"/>
        <v>1.1024</v>
      </c>
      <c r="J4073" s="121">
        <f t="shared" si="1509"/>
        <v>1.1024</v>
      </c>
      <c r="K4073" s="120">
        <f t="shared" si="1510"/>
        <v>0</v>
      </c>
      <c r="L4073" s="120">
        <f t="shared" si="1511"/>
        <v>0</v>
      </c>
      <c r="M4073" s="246">
        <f t="shared" si="1512"/>
        <v>0</v>
      </c>
      <c r="N4073" s="121">
        <f t="shared" si="1513"/>
        <v>1.1024</v>
      </c>
      <c r="O4073" s="246">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87">
        <v>24</v>
      </c>
      <c r="B4074" s="242">
        <f t="shared" si="1521"/>
        <v>46357</v>
      </c>
      <c r="C4074" s="243">
        <f t="shared" si="1502"/>
        <v>46387</v>
      </c>
      <c r="D4074" s="120">
        <f t="shared" si="1503"/>
        <v>31</v>
      </c>
      <c r="E4074" s="120">
        <f t="shared" si="1504"/>
        <v>12</v>
      </c>
      <c r="F4074" s="275">
        <f t="shared" si="1505"/>
        <v>46372.5</v>
      </c>
      <c r="G4074" s="120">
        <f t="shared" si="1506"/>
        <v>24323</v>
      </c>
      <c r="H4074" s="245">
        <f t="shared" si="1507"/>
        <v>1</v>
      </c>
      <c r="I4074" s="121">
        <f t="shared" si="1508"/>
        <v>1.1024</v>
      </c>
      <c r="J4074" s="121">
        <f t="shared" si="1509"/>
        <v>1.1024</v>
      </c>
      <c r="K4074" s="120">
        <f t="shared" si="1510"/>
        <v>0</v>
      </c>
      <c r="L4074" s="120">
        <f t="shared" si="1511"/>
        <v>0</v>
      </c>
      <c r="M4074" s="246">
        <f t="shared" si="1512"/>
        <v>0</v>
      </c>
      <c r="N4074" s="121">
        <f t="shared" si="1513"/>
        <v>1.1024</v>
      </c>
      <c r="O4074" s="246">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87">
        <v>25</v>
      </c>
      <c r="B4075" s="242">
        <f t="shared" si="1521"/>
        <v>46388</v>
      </c>
      <c r="C4075" s="243">
        <f t="shared" si="1502"/>
        <v>46418</v>
      </c>
      <c r="D4075" s="120">
        <f t="shared" si="1503"/>
        <v>31</v>
      </c>
      <c r="E4075" s="120">
        <f t="shared" si="1504"/>
        <v>1</v>
      </c>
      <c r="F4075" s="275">
        <f t="shared" si="1505"/>
        <v>46403.5</v>
      </c>
      <c r="G4075" s="120">
        <f t="shared" si="1506"/>
        <v>24324</v>
      </c>
      <c r="H4075" s="245">
        <f t="shared" si="1507"/>
        <v>1</v>
      </c>
      <c r="I4075" s="121">
        <f t="shared" si="1508"/>
        <v>1.1024</v>
      </c>
      <c r="J4075" s="121">
        <f t="shared" si="1509"/>
        <v>1.1024</v>
      </c>
      <c r="K4075" s="120">
        <f t="shared" si="1510"/>
        <v>0</v>
      </c>
      <c r="L4075" s="120">
        <f t="shared" si="1511"/>
        <v>0</v>
      </c>
      <c r="M4075" s="246">
        <f t="shared" si="1512"/>
        <v>0</v>
      </c>
      <c r="N4075" s="121">
        <f t="shared" si="1513"/>
        <v>1.1024</v>
      </c>
      <c r="O4075" s="246">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87">
        <v>26</v>
      </c>
      <c r="B4076" s="242">
        <f t="shared" si="1521"/>
        <v>46419</v>
      </c>
      <c r="C4076" s="243">
        <f t="shared" si="1502"/>
        <v>46446</v>
      </c>
      <c r="D4076" s="120">
        <f t="shared" si="1503"/>
        <v>28</v>
      </c>
      <c r="E4076" s="120">
        <f t="shared" si="1504"/>
        <v>2</v>
      </c>
      <c r="F4076" s="275">
        <f t="shared" si="1505"/>
        <v>46433</v>
      </c>
      <c r="G4076" s="120">
        <f t="shared" si="1506"/>
        <v>24325</v>
      </c>
      <c r="H4076" s="245">
        <f t="shared" si="1507"/>
        <v>1</v>
      </c>
      <c r="I4076" s="121">
        <f t="shared" si="1508"/>
        <v>1.1024</v>
      </c>
      <c r="J4076" s="121">
        <f t="shared" si="1509"/>
        <v>1.1024</v>
      </c>
      <c r="K4076" s="120">
        <f t="shared" si="1510"/>
        <v>0</v>
      </c>
      <c r="L4076" s="120">
        <f t="shared" si="1511"/>
        <v>0</v>
      </c>
      <c r="M4076" s="246">
        <f t="shared" si="1512"/>
        <v>0</v>
      </c>
      <c r="N4076" s="121">
        <f t="shared" si="1513"/>
        <v>1.1024</v>
      </c>
      <c r="O4076" s="246">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87">
        <v>27</v>
      </c>
      <c r="B4077" s="242">
        <f t="shared" si="1521"/>
        <v>46447</v>
      </c>
      <c r="C4077" s="243">
        <f t="shared" si="1502"/>
        <v>46477</v>
      </c>
      <c r="D4077" s="120">
        <f t="shared" si="1503"/>
        <v>31</v>
      </c>
      <c r="E4077" s="120">
        <f t="shared" si="1504"/>
        <v>3</v>
      </c>
      <c r="F4077" s="275">
        <f t="shared" si="1505"/>
        <v>46462.5</v>
      </c>
      <c r="G4077" s="120">
        <f t="shared" si="1506"/>
        <v>24326</v>
      </c>
      <c r="H4077" s="245">
        <f t="shared" si="1507"/>
        <v>1</v>
      </c>
      <c r="I4077" s="121">
        <f t="shared" si="1508"/>
        <v>1.1024</v>
      </c>
      <c r="J4077" s="121">
        <f t="shared" si="1509"/>
        <v>1.1024</v>
      </c>
      <c r="K4077" s="120">
        <f t="shared" si="1510"/>
        <v>0</v>
      </c>
      <c r="L4077" s="120">
        <f t="shared" si="1511"/>
        <v>0</v>
      </c>
      <c r="M4077" s="246">
        <f t="shared" si="1512"/>
        <v>0</v>
      </c>
      <c r="N4077" s="121">
        <f t="shared" si="1513"/>
        <v>1.1024</v>
      </c>
      <c r="O4077" s="246">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87">
        <v>28</v>
      </c>
      <c r="B4078" s="242">
        <f t="shared" si="1521"/>
        <v>46478</v>
      </c>
      <c r="C4078" s="243">
        <f t="shared" si="1502"/>
        <v>46507</v>
      </c>
      <c r="D4078" s="120">
        <f t="shared" si="1503"/>
        <v>30</v>
      </c>
      <c r="E4078" s="120">
        <f t="shared" si="1504"/>
        <v>4</v>
      </c>
      <c r="F4078" s="275">
        <f t="shared" si="1505"/>
        <v>46493</v>
      </c>
      <c r="G4078" s="120">
        <f t="shared" si="1506"/>
        <v>24327</v>
      </c>
      <c r="H4078" s="245">
        <f t="shared" si="1507"/>
        <v>1</v>
      </c>
      <c r="I4078" s="121">
        <f t="shared" si="1508"/>
        <v>1.1024</v>
      </c>
      <c r="J4078" s="121">
        <f t="shared" si="1509"/>
        <v>1.1795680000000002</v>
      </c>
      <c r="K4078" s="120">
        <f t="shared" si="1510"/>
        <v>1</v>
      </c>
      <c r="L4078" s="120">
        <f t="shared" si="1511"/>
        <v>30</v>
      </c>
      <c r="M4078" s="246">
        <f t="shared" si="1512"/>
        <v>1</v>
      </c>
      <c r="N4078" s="121">
        <f t="shared" si="1513"/>
        <v>1.1795680000000002</v>
      </c>
      <c r="O4078" s="246">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87">
        <v>29</v>
      </c>
      <c r="B4079" s="242">
        <f t="shared" si="1521"/>
        <v>46508</v>
      </c>
      <c r="C4079" s="243">
        <f t="shared" si="1502"/>
        <v>46538</v>
      </c>
      <c r="D4079" s="120">
        <f t="shared" si="1503"/>
        <v>31</v>
      </c>
      <c r="E4079" s="120">
        <f t="shared" si="1504"/>
        <v>5</v>
      </c>
      <c r="F4079" s="275">
        <f t="shared" si="1505"/>
        <v>46523.5</v>
      </c>
      <c r="G4079" s="120">
        <f t="shared" si="1506"/>
        <v>24328</v>
      </c>
      <c r="H4079" s="245">
        <f t="shared" si="1507"/>
        <v>1</v>
      </c>
      <c r="I4079" s="121">
        <f t="shared" si="1508"/>
        <v>1.1795680000000002</v>
      </c>
      <c r="J4079" s="121">
        <f t="shared" si="1509"/>
        <v>1.1795680000000002</v>
      </c>
      <c r="K4079" s="120">
        <f t="shared" si="1510"/>
        <v>0</v>
      </c>
      <c r="L4079" s="120">
        <f t="shared" si="1511"/>
        <v>0</v>
      </c>
      <c r="M4079" s="246">
        <f t="shared" si="1512"/>
        <v>0</v>
      </c>
      <c r="N4079" s="121">
        <f t="shared" si="1513"/>
        <v>1.1795680000000002</v>
      </c>
      <c r="O4079" s="246">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87">
        <v>30</v>
      </c>
      <c r="B4080" s="242">
        <f t="shared" si="1521"/>
        <v>46539</v>
      </c>
      <c r="C4080" s="243">
        <f t="shared" si="1502"/>
        <v>46568</v>
      </c>
      <c r="D4080" s="120">
        <f t="shared" si="1503"/>
        <v>30</v>
      </c>
      <c r="E4080" s="120">
        <f t="shared" si="1504"/>
        <v>6</v>
      </c>
      <c r="F4080" s="275">
        <f t="shared" si="1505"/>
        <v>46554</v>
      </c>
      <c r="G4080" s="120">
        <f t="shared" si="1506"/>
        <v>24329</v>
      </c>
      <c r="H4080" s="245">
        <f t="shared" si="1507"/>
        <v>1</v>
      </c>
      <c r="I4080" s="121">
        <f t="shared" si="1508"/>
        <v>1.1795680000000002</v>
      </c>
      <c r="J4080" s="121">
        <f t="shared" si="1509"/>
        <v>1.1795680000000002</v>
      </c>
      <c r="K4080" s="120">
        <f t="shared" si="1510"/>
        <v>0</v>
      </c>
      <c r="L4080" s="120">
        <f t="shared" si="1511"/>
        <v>0</v>
      </c>
      <c r="M4080" s="246">
        <f t="shared" si="1512"/>
        <v>0</v>
      </c>
      <c r="N4080" s="121">
        <f t="shared" si="1513"/>
        <v>1.1795680000000002</v>
      </c>
      <c r="O4080" s="246">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87">
        <v>31</v>
      </c>
      <c r="B4081" s="242">
        <f t="shared" si="1521"/>
        <v>46569</v>
      </c>
      <c r="C4081" s="243">
        <f t="shared" si="1502"/>
        <v>46599</v>
      </c>
      <c r="D4081" s="120">
        <f t="shared" si="1503"/>
        <v>31</v>
      </c>
      <c r="E4081" s="120">
        <f t="shared" si="1504"/>
        <v>7</v>
      </c>
      <c r="F4081" s="275">
        <f t="shared" si="1505"/>
        <v>46584.5</v>
      </c>
      <c r="G4081" s="120">
        <f t="shared" si="1506"/>
        <v>24330</v>
      </c>
      <c r="H4081" s="245">
        <f t="shared" si="1507"/>
        <v>1</v>
      </c>
      <c r="I4081" s="121">
        <f t="shared" si="1508"/>
        <v>1.1795680000000002</v>
      </c>
      <c r="J4081" s="121">
        <f t="shared" si="1509"/>
        <v>1.1795680000000002</v>
      </c>
      <c r="K4081" s="120">
        <f t="shared" si="1510"/>
        <v>0</v>
      </c>
      <c r="L4081" s="120">
        <f t="shared" si="1511"/>
        <v>0</v>
      </c>
      <c r="M4081" s="246">
        <f t="shared" si="1512"/>
        <v>0</v>
      </c>
      <c r="N4081" s="121">
        <f t="shared" si="1513"/>
        <v>1.1795680000000002</v>
      </c>
      <c r="O4081" s="246">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87">
        <v>32</v>
      </c>
      <c r="B4082" s="242">
        <f t="shared" si="1521"/>
        <v>46600</v>
      </c>
      <c r="C4082" s="243">
        <f t="shared" si="1502"/>
        <v>46630</v>
      </c>
      <c r="D4082" s="120">
        <f t="shared" si="1503"/>
        <v>31</v>
      </c>
      <c r="E4082" s="120">
        <f t="shared" si="1504"/>
        <v>8</v>
      </c>
      <c r="F4082" s="275">
        <f t="shared" si="1505"/>
        <v>46615.5</v>
      </c>
      <c r="G4082" s="120">
        <f t="shared" si="1506"/>
        <v>24331</v>
      </c>
      <c r="H4082" s="245">
        <f t="shared" si="1507"/>
        <v>1</v>
      </c>
      <c r="I4082" s="121">
        <f t="shared" si="1508"/>
        <v>1.1795680000000002</v>
      </c>
      <c r="J4082" s="121">
        <f t="shared" si="1509"/>
        <v>1.1795680000000002</v>
      </c>
      <c r="K4082" s="120">
        <f t="shared" si="1510"/>
        <v>0</v>
      </c>
      <c r="L4082" s="120">
        <f t="shared" si="1511"/>
        <v>0</v>
      </c>
      <c r="M4082" s="246">
        <f t="shared" si="1512"/>
        <v>0</v>
      </c>
      <c r="N4082" s="121">
        <f t="shared" si="1513"/>
        <v>1.1795680000000002</v>
      </c>
      <c r="O4082" s="246">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87">
        <v>33</v>
      </c>
      <c r="B4083" s="242">
        <f t="shared" si="1521"/>
        <v>46631</v>
      </c>
      <c r="C4083" s="243">
        <f t="shared" si="1502"/>
        <v>46660</v>
      </c>
      <c r="D4083" s="120">
        <f t="shared" si="1503"/>
        <v>30</v>
      </c>
      <c r="E4083" s="120">
        <f t="shared" si="1504"/>
        <v>9</v>
      </c>
      <c r="F4083" s="275">
        <f t="shared" si="1505"/>
        <v>46646</v>
      </c>
      <c r="G4083" s="120">
        <f t="shared" si="1506"/>
        <v>24332</v>
      </c>
      <c r="H4083" s="245">
        <f t="shared" si="1507"/>
        <v>1</v>
      </c>
      <c r="I4083" s="121">
        <f t="shared" si="1508"/>
        <v>1.1795680000000002</v>
      </c>
      <c r="J4083" s="121">
        <f t="shared" si="1509"/>
        <v>1.1795680000000002</v>
      </c>
      <c r="K4083" s="120">
        <f t="shared" si="1510"/>
        <v>0</v>
      </c>
      <c r="L4083" s="120">
        <f t="shared" si="1511"/>
        <v>0</v>
      </c>
      <c r="M4083" s="246">
        <f t="shared" si="1512"/>
        <v>0</v>
      </c>
      <c r="N4083" s="121">
        <f t="shared" si="1513"/>
        <v>1.1795680000000002</v>
      </c>
      <c r="O4083" s="246">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87">
        <v>34</v>
      </c>
      <c r="B4084" s="242">
        <f t="shared" si="1521"/>
        <v>46661</v>
      </c>
      <c r="C4084" s="243">
        <f t="shared" si="1502"/>
        <v>46691</v>
      </c>
      <c r="D4084" s="120">
        <f t="shared" si="1503"/>
        <v>31</v>
      </c>
      <c r="E4084" s="120">
        <f t="shared" si="1504"/>
        <v>10</v>
      </c>
      <c r="F4084" s="275">
        <f t="shared" si="1505"/>
        <v>46676.5</v>
      </c>
      <c r="G4084" s="120">
        <f t="shared" si="1506"/>
        <v>24333</v>
      </c>
      <c r="H4084" s="245">
        <f t="shared" si="1507"/>
        <v>1</v>
      </c>
      <c r="I4084" s="121">
        <f t="shared" si="1508"/>
        <v>1.1795680000000002</v>
      </c>
      <c r="J4084" s="121">
        <f t="shared" si="1509"/>
        <v>1.1795680000000002</v>
      </c>
      <c r="K4084" s="120">
        <f t="shared" si="1510"/>
        <v>0</v>
      </c>
      <c r="L4084" s="120">
        <f t="shared" si="1511"/>
        <v>0</v>
      </c>
      <c r="M4084" s="246">
        <f t="shared" si="1512"/>
        <v>0</v>
      </c>
      <c r="N4084" s="121">
        <f t="shared" si="1513"/>
        <v>1.1795680000000002</v>
      </c>
      <c r="O4084" s="246">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87">
        <v>35</v>
      </c>
      <c r="B4085" s="242">
        <f t="shared" si="1521"/>
        <v>46692</v>
      </c>
      <c r="C4085" s="243">
        <f t="shared" si="1502"/>
        <v>46721</v>
      </c>
      <c r="D4085" s="120">
        <f t="shared" si="1503"/>
        <v>30</v>
      </c>
      <c r="E4085" s="120">
        <f t="shared" si="1504"/>
        <v>11</v>
      </c>
      <c r="F4085" s="275">
        <f t="shared" si="1505"/>
        <v>46707</v>
      </c>
      <c r="G4085" s="120">
        <f t="shared" si="1506"/>
        <v>24334</v>
      </c>
      <c r="H4085" s="245">
        <f t="shared" si="1507"/>
        <v>1</v>
      </c>
      <c r="I4085" s="121">
        <f t="shared" si="1508"/>
        <v>1.1795680000000002</v>
      </c>
      <c r="J4085" s="121">
        <f t="shared" si="1509"/>
        <v>1.1795680000000002</v>
      </c>
      <c r="K4085" s="120">
        <f t="shared" si="1510"/>
        <v>0</v>
      </c>
      <c r="L4085" s="120">
        <f t="shared" si="1511"/>
        <v>0</v>
      </c>
      <c r="M4085" s="246">
        <f t="shared" si="1512"/>
        <v>0</v>
      </c>
      <c r="N4085" s="121">
        <f t="shared" si="1513"/>
        <v>1.1795680000000002</v>
      </c>
      <c r="O4085" s="246">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87">
        <v>36</v>
      </c>
      <c r="B4086" s="242">
        <f t="shared" si="1521"/>
        <v>46722</v>
      </c>
      <c r="C4086" s="243">
        <f t="shared" si="1502"/>
        <v>46752</v>
      </c>
      <c r="D4086" s="120">
        <f t="shared" si="1503"/>
        <v>31</v>
      </c>
      <c r="E4086" s="120">
        <f t="shared" si="1504"/>
        <v>12</v>
      </c>
      <c r="F4086" s="275">
        <f t="shared" si="1505"/>
        <v>46737.5</v>
      </c>
      <c r="G4086" s="120">
        <f t="shared" si="1506"/>
        <v>24335</v>
      </c>
      <c r="H4086" s="245">
        <f t="shared" si="1507"/>
        <v>1</v>
      </c>
      <c r="I4086" s="121">
        <f t="shared" si="1508"/>
        <v>1.1795680000000002</v>
      </c>
      <c r="J4086" s="121">
        <f t="shared" si="1509"/>
        <v>1.1795680000000002</v>
      </c>
      <c r="K4086" s="120">
        <f t="shared" si="1510"/>
        <v>0</v>
      </c>
      <c r="L4086" s="120">
        <f t="shared" si="1511"/>
        <v>0</v>
      </c>
      <c r="M4086" s="246">
        <f t="shared" si="1512"/>
        <v>0</v>
      </c>
      <c r="N4086" s="121">
        <f t="shared" si="1513"/>
        <v>1.1795680000000002</v>
      </c>
      <c r="O4086" s="246">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87">
        <v>37</v>
      </c>
      <c r="B4087" s="242">
        <f t="shared" si="1521"/>
        <v>46753</v>
      </c>
      <c r="C4087" s="243">
        <f t="shared" si="1502"/>
        <v>46783</v>
      </c>
      <c r="D4087" s="120">
        <f t="shared" si="1503"/>
        <v>31</v>
      </c>
      <c r="E4087" s="120">
        <f t="shared" si="1504"/>
        <v>1</v>
      </c>
      <c r="F4087" s="275">
        <f t="shared" si="1505"/>
        <v>46768.5</v>
      </c>
      <c r="G4087" s="120">
        <f t="shared" si="1506"/>
        <v>24336</v>
      </c>
      <c r="H4087" s="245">
        <f t="shared" si="1507"/>
        <v>1</v>
      </c>
      <c r="I4087" s="121">
        <f t="shared" si="1508"/>
        <v>1.1795680000000002</v>
      </c>
      <c r="J4087" s="121">
        <f t="shared" si="1509"/>
        <v>1.1795680000000002</v>
      </c>
      <c r="K4087" s="120">
        <f t="shared" si="1510"/>
        <v>0</v>
      </c>
      <c r="L4087" s="120">
        <f t="shared" si="1511"/>
        <v>0</v>
      </c>
      <c r="M4087" s="246">
        <f t="shared" si="1512"/>
        <v>0</v>
      </c>
      <c r="N4087" s="121">
        <f t="shared" si="1513"/>
        <v>1.1795680000000002</v>
      </c>
      <c r="O4087" s="246">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87">
        <v>38</v>
      </c>
      <c r="B4088" s="242">
        <f t="shared" si="1521"/>
        <v>46784</v>
      </c>
      <c r="C4088" s="243">
        <f t="shared" si="1502"/>
        <v>46812</v>
      </c>
      <c r="D4088" s="120">
        <f t="shared" si="1503"/>
        <v>29</v>
      </c>
      <c r="E4088" s="120">
        <f t="shared" si="1504"/>
        <v>2</v>
      </c>
      <c r="F4088" s="275">
        <f t="shared" si="1505"/>
        <v>46798.5</v>
      </c>
      <c r="G4088" s="120">
        <f t="shared" si="1506"/>
        <v>24337</v>
      </c>
      <c r="H4088" s="245">
        <f t="shared" si="1507"/>
        <v>1</v>
      </c>
      <c r="I4088" s="121">
        <f t="shared" si="1508"/>
        <v>1.1795680000000002</v>
      </c>
      <c r="J4088" s="121">
        <f t="shared" si="1509"/>
        <v>1.1795680000000002</v>
      </c>
      <c r="K4088" s="120">
        <f t="shared" si="1510"/>
        <v>0</v>
      </c>
      <c r="L4088" s="120">
        <f t="shared" si="1511"/>
        <v>0</v>
      </c>
      <c r="M4088" s="246">
        <f t="shared" si="1512"/>
        <v>0</v>
      </c>
      <c r="N4088" s="121">
        <f t="shared" si="1513"/>
        <v>1.1795680000000002</v>
      </c>
      <c r="O4088" s="246">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87">
        <v>39</v>
      </c>
      <c r="B4089" s="242">
        <f t="shared" si="1521"/>
        <v>46813</v>
      </c>
      <c r="C4089" s="243">
        <f t="shared" si="1502"/>
        <v>46843</v>
      </c>
      <c r="D4089" s="120">
        <f t="shared" si="1503"/>
        <v>31</v>
      </c>
      <c r="E4089" s="120">
        <f t="shared" si="1504"/>
        <v>3</v>
      </c>
      <c r="F4089" s="275">
        <f t="shared" si="1505"/>
        <v>46828.5</v>
      </c>
      <c r="G4089" s="120">
        <f t="shared" si="1506"/>
        <v>24338</v>
      </c>
      <c r="H4089" s="245">
        <f t="shared" si="1507"/>
        <v>1</v>
      </c>
      <c r="I4089" s="121">
        <f t="shared" si="1508"/>
        <v>1.1795680000000002</v>
      </c>
      <c r="J4089" s="121">
        <f t="shared" si="1509"/>
        <v>1.1795680000000002</v>
      </c>
      <c r="K4089" s="120">
        <f t="shared" si="1510"/>
        <v>0</v>
      </c>
      <c r="L4089" s="120">
        <f t="shared" si="1511"/>
        <v>0</v>
      </c>
      <c r="M4089" s="246">
        <f t="shared" si="1512"/>
        <v>0</v>
      </c>
      <c r="N4089" s="121">
        <f t="shared" si="1513"/>
        <v>1.1795680000000002</v>
      </c>
      <c r="O4089" s="246">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87">
        <v>40</v>
      </c>
      <c r="B4090" s="242">
        <f t="shared" si="1521"/>
        <v>46844</v>
      </c>
      <c r="C4090" s="243">
        <f t="shared" si="1502"/>
        <v>46873</v>
      </c>
      <c r="D4090" s="120">
        <f t="shared" si="1503"/>
        <v>30</v>
      </c>
      <c r="E4090" s="120">
        <f t="shared" si="1504"/>
        <v>4</v>
      </c>
      <c r="F4090" s="275">
        <f t="shared" si="1505"/>
        <v>46859</v>
      </c>
      <c r="G4090" s="120">
        <f t="shared" si="1506"/>
        <v>24339</v>
      </c>
      <c r="H4090" s="245">
        <f t="shared" si="1507"/>
        <v>1</v>
      </c>
      <c r="I4090" s="121">
        <f t="shared" si="1508"/>
        <v>1.1795680000000002</v>
      </c>
      <c r="J4090" s="121">
        <f t="shared" si="1509"/>
        <v>1.1795680000000002</v>
      </c>
      <c r="K4090" s="120">
        <f t="shared" si="1510"/>
        <v>0</v>
      </c>
      <c r="L4090" s="120">
        <f t="shared" si="1511"/>
        <v>0</v>
      </c>
      <c r="M4090" s="246">
        <f t="shared" si="1512"/>
        <v>0</v>
      </c>
      <c r="N4090" s="121">
        <f t="shared" si="1513"/>
        <v>1.1795680000000002</v>
      </c>
      <c r="O4090" s="246">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87">
        <v>41</v>
      </c>
      <c r="B4091" s="242">
        <f t="shared" si="1521"/>
        <v>46874</v>
      </c>
      <c r="C4091" s="243">
        <f t="shared" si="1502"/>
        <v>46904</v>
      </c>
      <c r="D4091" s="120">
        <f t="shared" si="1503"/>
        <v>31</v>
      </c>
      <c r="E4091" s="120">
        <f t="shared" si="1504"/>
        <v>5</v>
      </c>
      <c r="F4091" s="275">
        <f t="shared" si="1505"/>
        <v>46889.5</v>
      </c>
      <c r="G4091" s="120">
        <f t="shared" si="1506"/>
        <v>24340</v>
      </c>
      <c r="H4091" s="245">
        <f t="shared" si="1507"/>
        <v>1</v>
      </c>
      <c r="I4091" s="121">
        <f t="shared" si="1508"/>
        <v>1.1795680000000002</v>
      </c>
      <c r="J4091" s="121">
        <f t="shared" si="1509"/>
        <v>1.1795680000000002</v>
      </c>
      <c r="K4091" s="120">
        <f t="shared" si="1510"/>
        <v>0</v>
      </c>
      <c r="L4091" s="120">
        <f t="shared" si="1511"/>
        <v>0</v>
      </c>
      <c r="M4091" s="246">
        <f t="shared" si="1512"/>
        <v>0</v>
      </c>
      <c r="N4091" s="121">
        <f t="shared" si="1513"/>
        <v>1.1795680000000002</v>
      </c>
      <c r="O4091" s="246">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87">
        <v>42</v>
      </c>
      <c r="B4092" s="242">
        <f t="shared" si="1521"/>
        <v>46905</v>
      </c>
      <c r="C4092" s="243">
        <f t="shared" si="1502"/>
        <v>46934</v>
      </c>
      <c r="D4092" s="120">
        <f t="shared" si="1503"/>
        <v>30</v>
      </c>
      <c r="E4092" s="120">
        <f t="shared" si="1504"/>
        <v>6</v>
      </c>
      <c r="F4092" s="275">
        <f t="shared" si="1505"/>
        <v>46920</v>
      </c>
      <c r="G4092" s="120">
        <f t="shared" si="1506"/>
        <v>24341</v>
      </c>
      <c r="H4092" s="245">
        <f t="shared" si="1507"/>
        <v>1</v>
      </c>
      <c r="I4092" s="121">
        <f t="shared" si="1508"/>
        <v>1.1795680000000002</v>
      </c>
      <c r="J4092" s="121">
        <f t="shared" si="1509"/>
        <v>1.1795680000000002</v>
      </c>
      <c r="K4092" s="120">
        <f t="shared" si="1510"/>
        <v>0</v>
      </c>
      <c r="L4092" s="120">
        <f t="shared" si="1511"/>
        <v>0</v>
      </c>
      <c r="M4092" s="246">
        <f t="shared" si="1512"/>
        <v>0</v>
      </c>
      <c r="N4092" s="121">
        <f t="shared" si="1513"/>
        <v>1.1795680000000002</v>
      </c>
      <c r="O4092" s="246">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87">
        <v>43</v>
      </c>
      <c r="B4093" s="242">
        <f t="shared" si="1521"/>
        <v>46935</v>
      </c>
      <c r="C4093" s="243">
        <f t="shared" si="1502"/>
        <v>46965</v>
      </c>
      <c r="D4093" s="120">
        <f t="shared" si="1503"/>
        <v>31</v>
      </c>
      <c r="E4093" s="120">
        <f t="shared" si="1504"/>
        <v>7</v>
      </c>
      <c r="F4093" s="275">
        <f t="shared" si="1505"/>
        <v>46950.5</v>
      </c>
      <c r="G4093" s="120">
        <f t="shared" si="1506"/>
        <v>24342</v>
      </c>
      <c r="H4093" s="245">
        <f t="shared" si="1507"/>
        <v>1</v>
      </c>
      <c r="I4093" s="121">
        <f t="shared" si="1508"/>
        <v>1.1795680000000002</v>
      </c>
      <c r="J4093" s="121">
        <f t="shared" si="1509"/>
        <v>1.1795680000000002</v>
      </c>
      <c r="K4093" s="120">
        <f t="shared" si="1510"/>
        <v>0</v>
      </c>
      <c r="L4093" s="120">
        <f t="shared" si="1511"/>
        <v>0</v>
      </c>
      <c r="M4093" s="246">
        <f t="shared" si="1512"/>
        <v>0</v>
      </c>
      <c r="N4093" s="121">
        <f t="shared" si="1513"/>
        <v>1.1795680000000002</v>
      </c>
      <c r="O4093" s="246">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87">
        <v>44</v>
      </c>
      <c r="B4094" s="242">
        <f t="shared" si="1521"/>
        <v>46966</v>
      </c>
      <c r="C4094" s="243">
        <f t="shared" si="1502"/>
        <v>46996</v>
      </c>
      <c r="D4094" s="120">
        <f t="shared" si="1503"/>
        <v>31</v>
      </c>
      <c r="E4094" s="120">
        <f t="shared" si="1504"/>
        <v>8</v>
      </c>
      <c r="F4094" s="275">
        <f t="shared" si="1505"/>
        <v>46981.5</v>
      </c>
      <c r="G4094" s="120">
        <f t="shared" si="1506"/>
        <v>24343</v>
      </c>
      <c r="H4094" s="245">
        <f t="shared" si="1507"/>
        <v>1</v>
      </c>
      <c r="I4094" s="121">
        <f t="shared" si="1508"/>
        <v>1.1795680000000002</v>
      </c>
      <c r="J4094" s="121">
        <f t="shared" si="1509"/>
        <v>1.1795680000000002</v>
      </c>
      <c r="K4094" s="120">
        <f t="shared" si="1510"/>
        <v>0</v>
      </c>
      <c r="L4094" s="120">
        <f t="shared" si="1511"/>
        <v>0</v>
      </c>
      <c r="M4094" s="246">
        <f t="shared" si="1512"/>
        <v>0</v>
      </c>
      <c r="N4094" s="121">
        <f t="shared" si="1513"/>
        <v>1.1795680000000002</v>
      </c>
      <c r="O4094" s="246">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87">
        <v>45</v>
      </c>
      <c r="B4095" s="242">
        <f t="shared" si="1521"/>
        <v>46997</v>
      </c>
      <c r="C4095" s="243">
        <f t="shared" si="1502"/>
        <v>47026</v>
      </c>
      <c r="D4095" s="120">
        <f t="shared" si="1503"/>
        <v>30</v>
      </c>
      <c r="E4095" s="120">
        <f t="shared" si="1504"/>
        <v>9</v>
      </c>
      <c r="F4095" s="275">
        <f t="shared" si="1505"/>
        <v>47012</v>
      </c>
      <c r="G4095" s="120">
        <f t="shared" si="1506"/>
        <v>24344</v>
      </c>
      <c r="H4095" s="245">
        <f t="shared" si="1507"/>
        <v>1</v>
      </c>
      <c r="I4095" s="121">
        <f t="shared" si="1508"/>
        <v>1.1795680000000002</v>
      </c>
      <c r="J4095" s="121">
        <f t="shared" si="1509"/>
        <v>1.1795680000000002</v>
      </c>
      <c r="K4095" s="120">
        <f t="shared" si="1510"/>
        <v>0</v>
      </c>
      <c r="L4095" s="120">
        <f t="shared" si="1511"/>
        <v>0</v>
      </c>
      <c r="M4095" s="246">
        <f t="shared" si="1512"/>
        <v>0</v>
      </c>
      <c r="N4095" s="121">
        <f t="shared" si="1513"/>
        <v>1.1795680000000002</v>
      </c>
      <c r="O4095" s="246">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87">
        <v>46</v>
      </c>
      <c r="B4096" s="242">
        <f t="shared" si="1521"/>
        <v>47027</v>
      </c>
      <c r="C4096" s="243">
        <f t="shared" si="1502"/>
        <v>47057</v>
      </c>
      <c r="D4096" s="120">
        <f t="shared" si="1503"/>
        <v>31</v>
      </c>
      <c r="E4096" s="120">
        <f t="shared" si="1504"/>
        <v>10</v>
      </c>
      <c r="F4096" s="275">
        <f t="shared" si="1505"/>
        <v>47042.5</v>
      </c>
      <c r="G4096" s="120">
        <f t="shared" si="1506"/>
        <v>24345</v>
      </c>
      <c r="H4096" s="245">
        <f t="shared" si="1507"/>
        <v>1</v>
      </c>
      <c r="I4096" s="121">
        <f t="shared" si="1508"/>
        <v>1.1795680000000002</v>
      </c>
      <c r="J4096" s="121">
        <f t="shared" si="1509"/>
        <v>1.1795680000000002</v>
      </c>
      <c r="K4096" s="120">
        <f t="shared" si="1510"/>
        <v>0</v>
      </c>
      <c r="L4096" s="120">
        <f t="shared" si="1511"/>
        <v>0</v>
      </c>
      <c r="M4096" s="246">
        <f t="shared" si="1512"/>
        <v>0</v>
      </c>
      <c r="N4096" s="121">
        <f t="shared" si="1513"/>
        <v>1.1795680000000002</v>
      </c>
      <c r="O4096" s="246">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87">
        <v>47</v>
      </c>
      <c r="B4097" s="242">
        <f t="shared" si="1521"/>
        <v>47058</v>
      </c>
      <c r="C4097" s="243">
        <f t="shared" si="1502"/>
        <v>47087</v>
      </c>
      <c r="D4097" s="120">
        <f t="shared" si="1503"/>
        <v>30</v>
      </c>
      <c r="E4097" s="120">
        <f t="shared" si="1504"/>
        <v>11</v>
      </c>
      <c r="F4097" s="275">
        <f t="shared" si="1505"/>
        <v>47073</v>
      </c>
      <c r="G4097" s="120">
        <f t="shared" si="1506"/>
        <v>24346</v>
      </c>
      <c r="H4097" s="245">
        <f t="shared" si="1507"/>
        <v>1</v>
      </c>
      <c r="I4097" s="121">
        <f t="shared" si="1508"/>
        <v>1.1795680000000002</v>
      </c>
      <c r="J4097" s="121">
        <f t="shared" si="1509"/>
        <v>1.1795680000000002</v>
      </c>
      <c r="K4097" s="120">
        <f t="shared" si="1510"/>
        <v>0</v>
      </c>
      <c r="L4097" s="120">
        <f t="shared" si="1511"/>
        <v>0</v>
      </c>
      <c r="M4097" s="246">
        <f t="shared" si="1512"/>
        <v>0</v>
      </c>
      <c r="N4097" s="121">
        <f t="shared" si="1513"/>
        <v>1.1795680000000002</v>
      </c>
      <c r="O4097" s="246">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87">
        <v>48</v>
      </c>
      <c r="B4098" s="242">
        <f t="shared" si="1521"/>
        <v>47088</v>
      </c>
      <c r="C4098" s="243">
        <f t="shared" si="1502"/>
        <v>47118</v>
      </c>
      <c r="D4098" s="120">
        <f t="shared" si="1503"/>
        <v>31</v>
      </c>
      <c r="E4098" s="120">
        <f t="shared" si="1504"/>
        <v>12</v>
      </c>
      <c r="F4098" s="275">
        <f t="shared" si="1505"/>
        <v>47103.5</v>
      </c>
      <c r="G4098" s="120">
        <f t="shared" si="1506"/>
        <v>24347</v>
      </c>
      <c r="H4098" s="245">
        <f t="shared" si="1507"/>
        <v>1</v>
      </c>
      <c r="I4098" s="121">
        <f t="shared" si="1508"/>
        <v>1.1795680000000002</v>
      </c>
      <c r="J4098" s="121">
        <f t="shared" si="1509"/>
        <v>1.1795680000000002</v>
      </c>
      <c r="K4098" s="120">
        <f t="shared" si="1510"/>
        <v>0</v>
      </c>
      <c r="L4098" s="120">
        <f t="shared" si="1511"/>
        <v>0</v>
      </c>
      <c r="M4098" s="246">
        <f t="shared" si="1512"/>
        <v>0</v>
      </c>
      <c r="N4098" s="121">
        <f t="shared" si="1513"/>
        <v>1.1795680000000002</v>
      </c>
      <c r="O4098" s="246">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1690</v>
      </c>
      <c r="B4099" s="73">
        <f>SUMPRODUCT($H$4051:$H$4098,$Q$4051:$Q$4098,$U$4051:$U$4098)/SUMPRODUCT($H$4051:$H$4098,$Q$4051:$Q$4098)</f>
        <v>1.1163035000000001</v>
      </c>
      <c r="C4099" s="73">
        <f>SUMPRODUCT($H$4051:$H$4098,$R$4051:$R$4098,$U$4051:$U$4098)/SUMPRODUCT($H$4051:$H$4098,$R$4051:$R$4098)</f>
        <v>1.1771565000000004</v>
      </c>
      <c r="D4099" s="224">
        <f>SUMPRODUCT($H$4051:$H$4098,$Q$4051:$Q$4098,$O$4051:$O$4098)/SUMPRODUCT($H$4051:$H$4098,$Q$4051:$Q$4098)</f>
        <v>0.8659874179431073</v>
      </c>
    </row>
    <row r="4102" spans="1:21" x14ac:dyDescent="0.3">
      <c r="A4102" s="270" t="s">
        <v>1691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522">EOMONTH($B4105,0)</f>
        <v>45688</v>
      </c>
      <c r="D4105" s="120">
        <f t="shared" ref="D4105:D4152" si="1523">$C4105-$B4105+1</f>
        <v>31</v>
      </c>
      <c r="E4105" s="120">
        <f t="shared" ref="E4105:E4152" si="1524">MONTH($B4105)</f>
        <v>1</v>
      </c>
      <c r="F4105" s="275">
        <f t="shared" ref="F4105:F4152" si="1525">($B4105+$C4105+1)/2</f>
        <v>45673.5</v>
      </c>
      <c r="G4105" s="120">
        <f t="shared" ref="G4105:G4152" si="1526">YEAR($B4105)*12+MONTH($B4105)-1</f>
        <v>24300</v>
      </c>
      <c r="H4105" s="245">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46">
        <f t="shared" ref="M4105:M4152" si="1532">IF($K4105=0,0,MIN(1,$L4105/$D4105))</f>
        <v>0</v>
      </c>
      <c r="N4105" s="121">
        <f t="shared" ref="N4105:N4152" si="1533">IF($K4105=0,$J4105,(1-$M4105)*$I4105+$M4105*$J4105)</f>
        <v>1</v>
      </c>
      <c r="O4105" s="246">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87">
        <v>2</v>
      </c>
      <c r="B4106" s="242">
        <f t="shared" ref="B4106:B4152" si="1541">EDATE($B4105,1)</f>
        <v>45689</v>
      </c>
      <c r="C4106" s="243">
        <f t="shared" si="1522"/>
        <v>45716</v>
      </c>
      <c r="D4106" s="120">
        <f t="shared" si="1523"/>
        <v>28</v>
      </c>
      <c r="E4106" s="120">
        <f t="shared" si="1524"/>
        <v>2</v>
      </c>
      <c r="F4106" s="275">
        <f t="shared" si="1525"/>
        <v>45703</v>
      </c>
      <c r="G4106" s="120">
        <f t="shared" si="1526"/>
        <v>24301</v>
      </c>
      <c r="H4106" s="245">
        <f t="shared" si="1527"/>
        <v>1</v>
      </c>
      <c r="I4106" s="121">
        <f t="shared" si="1528"/>
        <v>1</v>
      </c>
      <c r="J4106" s="121">
        <f t="shared" si="1529"/>
        <v>1</v>
      </c>
      <c r="K4106" s="120">
        <f t="shared" si="1530"/>
        <v>0</v>
      </c>
      <c r="L4106" s="120">
        <f t="shared" si="1531"/>
        <v>0</v>
      </c>
      <c r="M4106" s="246">
        <f t="shared" si="1532"/>
        <v>0</v>
      </c>
      <c r="N4106" s="121">
        <f t="shared" si="1533"/>
        <v>1</v>
      </c>
      <c r="O4106" s="246">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87">
        <v>3</v>
      </c>
      <c r="B4107" s="242">
        <f t="shared" si="1541"/>
        <v>45717</v>
      </c>
      <c r="C4107" s="243">
        <f t="shared" si="1522"/>
        <v>45747</v>
      </c>
      <c r="D4107" s="120">
        <f t="shared" si="1523"/>
        <v>31</v>
      </c>
      <c r="E4107" s="120">
        <f t="shared" si="1524"/>
        <v>3</v>
      </c>
      <c r="F4107" s="275">
        <f t="shared" si="1525"/>
        <v>45732.5</v>
      </c>
      <c r="G4107" s="120">
        <f t="shared" si="1526"/>
        <v>24302</v>
      </c>
      <c r="H4107" s="245">
        <f t="shared" si="1527"/>
        <v>1</v>
      </c>
      <c r="I4107" s="121">
        <f t="shared" si="1528"/>
        <v>1</v>
      </c>
      <c r="J4107" s="121">
        <f t="shared" si="1529"/>
        <v>1</v>
      </c>
      <c r="K4107" s="120">
        <f t="shared" si="1530"/>
        <v>0</v>
      </c>
      <c r="L4107" s="120">
        <f t="shared" si="1531"/>
        <v>0</v>
      </c>
      <c r="M4107" s="246">
        <f t="shared" si="1532"/>
        <v>0</v>
      </c>
      <c r="N4107" s="121">
        <f t="shared" si="1533"/>
        <v>1</v>
      </c>
      <c r="O4107" s="246">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87">
        <v>4</v>
      </c>
      <c r="B4108" s="242">
        <f t="shared" si="1541"/>
        <v>45748</v>
      </c>
      <c r="C4108" s="243">
        <f t="shared" si="1522"/>
        <v>45777</v>
      </c>
      <c r="D4108" s="120">
        <f t="shared" si="1523"/>
        <v>30</v>
      </c>
      <c r="E4108" s="120">
        <f t="shared" si="1524"/>
        <v>4</v>
      </c>
      <c r="F4108" s="275">
        <f t="shared" si="1525"/>
        <v>45763</v>
      </c>
      <c r="G4108" s="120">
        <f t="shared" si="1526"/>
        <v>24303</v>
      </c>
      <c r="H4108" s="245">
        <f t="shared" si="1527"/>
        <v>1</v>
      </c>
      <c r="I4108" s="121">
        <f t="shared" si="1528"/>
        <v>1</v>
      </c>
      <c r="J4108" s="121">
        <f t="shared" si="1529"/>
        <v>1</v>
      </c>
      <c r="K4108" s="120">
        <f t="shared" si="1530"/>
        <v>0</v>
      </c>
      <c r="L4108" s="120">
        <f t="shared" si="1531"/>
        <v>0</v>
      </c>
      <c r="M4108" s="246">
        <f t="shared" si="1532"/>
        <v>0</v>
      </c>
      <c r="N4108" s="121">
        <f t="shared" si="1533"/>
        <v>1</v>
      </c>
      <c r="O4108" s="246">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87">
        <v>5</v>
      </c>
      <c r="B4109" s="242">
        <f t="shared" si="1541"/>
        <v>45778</v>
      </c>
      <c r="C4109" s="243">
        <f t="shared" si="1522"/>
        <v>45808</v>
      </c>
      <c r="D4109" s="120">
        <f t="shared" si="1523"/>
        <v>31</v>
      </c>
      <c r="E4109" s="120">
        <f t="shared" si="1524"/>
        <v>5</v>
      </c>
      <c r="F4109" s="275">
        <f t="shared" si="1525"/>
        <v>45793.5</v>
      </c>
      <c r="G4109" s="120">
        <f t="shared" si="1526"/>
        <v>24304</v>
      </c>
      <c r="H4109" s="245">
        <f t="shared" si="1527"/>
        <v>1</v>
      </c>
      <c r="I4109" s="121">
        <f t="shared" si="1528"/>
        <v>1</v>
      </c>
      <c r="J4109" s="121">
        <f t="shared" si="1529"/>
        <v>1</v>
      </c>
      <c r="K4109" s="120">
        <f t="shared" si="1530"/>
        <v>0</v>
      </c>
      <c r="L4109" s="120">
        <f t="shared" si="1531"/>
        <v>0</v>
      </c>
      <c r="M4109" s="246">
        <f t="shared" si="1532"/>
        <v>0</v>
      </c>
      <c r="N4109" s="121">
        <f t="shared" si="1533"/>
        <v>1</v>
      </c>
      <c r="O4109" s="246">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87">
        <v>6</v>
      </c>
      <c r="B4110" s="242">
        <f t="shared" si="1541"/>
        <v>45809</v>
      </c>
      <c r="C4110" s="243">
        <f t="shared" si="1522"/>
        <v>45838</v>
      </c>
      <c r="D4110" s="120">
        <f t="shared" si="1523"/>
        <v>30</v>
      </c>
      <c r="E4110" s="120">
        <f t="shared" si="1524"/>
        <v>6</v>
      </c>
      <c r="F4110" s="275">
        <f t="shared" si="1525"/>
        <v>45824</v>
      </c>
      <c r="G4110" s="120">
        <f t="shared" si="1526"/>
        <v>24305</v>
      </c>
      <c r="H4110" s="245">
        <f t="shared" si="1527"/>
        <v>1</v>
      </c>
      <c r="I4110" s="121">
        <f t="shared" si="1528"/>
        <v>1</v>
      </c>
      <c r="J4110" s="121">
        <f t="shared" si="1529"/>
        <v>1</v>
      </c>
      <c r="K4110" s="120">
        <f t="shared" si="1530"/>
        <v>0</v>
      </c>
      <c r="L4110" s="120">
        <f t="shared" si="1531"/>
        <v>0</v>
      </c>
      <c r="M4110" s="246">
        <f t="shared" si="1532"/>
        <v>0</v>
      </c>
      <c r="N4110" s="121">
        <f t="shared" si="1533"/>
        <v>1</v>
      </c>
      <c r="O4110" s="246">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87">
        <v>7</v>
      </c>
      <c r="B4111" s="242">
        <f t="shared" si="1541"/>
        <v>45839</v>
      </c>
      <c r="C4111" s="243">
        <f t="shared" si="1522"/>
        <v>45869</v>
      </c>
      <c r="D4111" s="120">
        <f t="shared" si="1523"/>
        <v>31</v>
      </c>
      <c r="E4111" s="120">
        <f t="shared" si="1524"/>
        <v>7</v>
      </c>
      <c r="F4111" s="275">
        <f t="shared" si="1525"/>
        <v>45854.5</v>
      </c>
      <c r="G4111" s="120">
        <f t="shared" si="1526"/>
        <v>24306</v>
      </c>
      <c r="H4111" s="245">
        <f t="shared" si="1527"/>
        <v>1</v>
      </c>
      <c r="I4111" s="121">
        <f t="shared" si="1528"/>
        <v>1</v>
      </c>
      <c r="J4111" s="121">
        <f t="shared" si="1529"/>
        <v>1.04</v>
      </c>
      <c r="K4111" s="120">
        <f t="shared" si="1530"/>
        <v>1</v>
      </c>
      <c r="L4111" s="120">
        <f t="shared" si="1531"/>
        <v>31</v>
      </c>
      <c r="M4111" s="246">
        <f t="shared" si="1532"/>
        <v>1</v>
      </c>
      <c r="N4111" s="121">
        <f t="shared" si="1533"/>
        <v>1.04</v>
      </c>
      <c r="O4111" s="246">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87">
        <v>8</v>
      </c>
      <c r="B4112" s="242">
        <f t="shared" si="1541"/>
        <v>45870</v>
      </c>
      <c r="C4112" s="243">
        <f t="shared" si="1522"/>
        <v>45900</v>
      </c>
      <c r="D4112" s="120">
        <f t="shared" si="1523"/>
        <v>31</v>
      </c>
      <c r="E4112" s="120">
        <f t="shared" si="1524"/>
        <v>8</v>
      </c>
      <c r="F4112" s="275">
        <f t="shared" si="1525"/>
        <v>45885.5</v>
      </c>
      <c r="G4112" s="120">
        <f t="shared" si="1526"/>
        <v>24307</v>
      </c>
      <c r="H4112" s="245">
        <f t="shared" si="1527"/>
        <v>1</v>
      </c>
      <c r="I4112" s="121">
        <f t="shared" si="1528"/>
        <v>1.04</v>
      </c>
      <c r="J4112" s="121">
        <f t="shared" si="1529"/>
        <v>1.04</v>
      </c>
      <c r="K4112" s="120">
        <f t="shared" si="1530"/>
        <v>0</v>
      </c>
      <c r="L4112" s="120">
        <f t="shared" si="1531"/>
        <v>0</v>
      </c>
      <c r="M4112" s="246">
        <f t="shared" si="1532"/>
        <v>0</v>
      </c>
      <c r="N4112" s="121">
        <f t="shared" si="1533"/>
        <v>1.04</v>
      </c>
      <c r="O4112" s="246">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87">
        <v>9</v>
      </c>
      <c r="B4113" s="242">
        <f t="shared" si="1541"/>
        <v>45901</v>
      </c>
      <c r="C4113" s="243">
        <f t="shared" si="1522"/>
        <v>45930</v>
      </c>
      <c r="D4113" s="120">
        <f t="shared" si="1523"/>
        <v>30</v>
      </c>
      <c r="E4113" s="120">
        <f t="shared" si="1524"/>
        <v>9</v>
      </c>
      <c r="F4113" s="275">
        <f t="shared" si="1525"/>
        <v>45916</v>
      </c>
      <c r="G4113" s="120">
        <f t="shared" si="1526"/>
        <v>24308</v>
      </c>
      <c r="H4113" s="245">
        <f t="shared" si="1527"/>
        <v>1</v>
      </c>
      <c r="I4113" s="121">
        <f t="shared" si="1528"/>
        <v>1.04</v>
      </c>
      <c r="J4113" s="121">
        <f t="shared" si="1529"/>
        <v>1.04</v>
      </c>
      <c r="K4113" s="120">
        <f t="shared" si="1530"/>
        <v>0</v>
      </c>
      <c r="L4113" s="120">
        <f t="shared" si="1531"/>
        <v>0</v>
      </c>
      <c r="M4113" s="246">
        <f t="shared" si="1532"/>
        <v>0</v>
      </c>
      <c r="N4113" s="121">
        <f t="shared" si="1533"/>
        <v>1.04</v>
      </c>
      <c r="O4113" s="246">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87">
        <v>10</v>
      </c>
      <c r="B4114" s="242">
        <f t="shared" si="1541"/>
        <v>45931</v>
      </c>
      <c r="C4114" s="243">
        <f t="shared" si="1522"/>
        <v>45961</v>
      </c>
      <c r="D4114" s="120">
        <f t="shared" si="1523"/>
        <v>31</v>
      </c>
      <c r="E4114" s="120">
        <f t="shared" si="1524"/>
        <v>10</v>
      </c>
      <c r="F4114" s="275">
        <f t="shared" si="1525"/>
        <v>45946.5</v>
      </c>
      <c r="G4114" s="120">
        <f t="shared" si="1526"/>
        <v>24309</v>
      </c>
      <c r="H4114" s="245">
        <f t="shared" si="1527"/>
        <v>1</v>
      </c>
      <c r="I4114" s="121">
        <f t="shared" si="1528"/>
        <v>1.04</v>
      </c>
      <c r="J4114" s="121">
        <f t="shared" si="1529"/>
        <v>1.04</v>
      </c>
      <c r="K4114" s="120">
        <f t="shared" si="1530"/>
        <v>0</v>
      </c>
      <c r="L4114" s="120">
        <f t="shared" si="1531"/>
        <v>0</v>
      </c>
      <c r="M4114" s="246">
        <f t="shared" si="1532"/>
        <v>0</v>
      </c>
      <c r="N4114" s="121">
        <f t="shared" si="1533"/>
        <v>1.04</v>
      </c>
      <c r="O4114" s="246">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87">
        <v>11</v>
      </c>
      <c r="B4115" s="242">
        <f t="shared" si="1541"/>
        <v>45962</v>
      </c>
      <c r="C4115" s="243">
        <f t="shared" si="1522"/>
        <v>45991</v>
      </c>
      <c r="D4115" s="120">
        <f t="shared" si="1523"/>
        <v>30</v>
      </c>
      <c r="E4115" s="120">
        <f t="shared" si="1524"/>
        <v>11</v>
      </c>
      <c r="F4115" s="275">
        <f t="shared" si="1525"/>
        <v>45977</v>
      </c>
      <c r="G4115" s="120">
        <f t="shared" si="1526"/>
        <v>24310</v>
      </c>
      <c r="H4115" s="245">
        <f t="shared" si="1527"/>
        <v>1</v>
      </c>
      <c r="I4115" s="121">
        <f t="shared" si="1528"/>
        <v>1.04</v>
      </c>
      <c r="J4115" s="121">
        <f t="shared" si="1529"/>
        <v>1.04</v>
      </c>
      <c r="K4115" s="120">
        <f t="shared" si="1530"/>
        <v>0</v>
      </c>
      <c r="L4115" s="120">
        <f t="shared" si="1531"/>
        <v>0</v>
      </c>
      <c r="M4115" s="246">
        <f t="shared" si="1532"/>
        <v>0</v>
      </c>
      <c r="N4115" s="121">
        <f t="shared" si="1533"/>
        <v>1.04</v>
      </c>
      <c r="O4115" s="246">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87">
        <v>12</v>
      </c>
      <c r="B4116" s="242">
        <f t="shared" si="1541"/>
        <v>45992</v>
      </c>
      <c r="C4116" s="243">
        <f t="shared" si="1522"/>
        <v>46022</v>
      </c>
      <c r="D4116" s="120">
        <f t="shared" si="1523"/>
        <v>31</v>
      </c>
      <c r="E4116" s="120">
        <f t="shared" si="1524"/>
        <v>12</v>
      </c>
      <c r="F4116" s="275">
        <f t="shared" si="1525"/>
        <v>46007.5</v>
      </c>
      <c r="G4116" s="120">
        <f t="shared" si="1526"/>
        <v>24311</v>
      </c>
      <c r="H4116" s="245">
        <f t="shared" si="1527"/>
        <v>1</v>
      </c>
      <c r="I4116" s="121">
        <f t="shared" si="1528"/>
        <v>1.04</v>
      </c>
      <c r="J4116" s="121">
        <f t="shared" si="1529"/>
        <v>1.04</v>
      </c>
      <c r="K4116" s="120">
        <f t="shared" si="1530"/>
        <v>0</v>
      </c>
      <c r="L4116" s="120">
        <f t="shared" si="1531"/>
        <v>0</v>
      </c>
      <c r="M4116" s="246">
        <f t="shared" si="1532"/>
        <v>0</v>
      </c>
      <c r="N4116" s="121">
        <f t="shared" si="1533"/>
        <v>1.04</v>
      </c>
      <c r="O4116" s="246">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87">
        <v>13</v>
      </c>
      <c r="B4117" s="242">
        <f t="shared" si="1541"/>
        <v>46023</v>
      </c>
      <c r="C4117" s="243">
        <f t="shared" si="1522"/>
        <v>46053</v>
      </c>
      <c r="D4117" s="120">
        <f t="shared" si="1523"/>
        <v>31</v>
      </c>
      <c r="E4117" s="120">
        <f t="shared" si="1524"/>
        <v>1</v>
      </c>
      <c r="F4117" s="275">
        <f t="shared" si="1525"/>
        <v>46038.5</v>
      </c>
      <c r="G4117" s="120">
        <f t="shared" si="1526"/>
        <v>24312</v>
      </c>
      <c r="H4117" s="245">
        <f t="shared" si="1527"/>
        <v>1</v>
      </c>
      <c r="I4117" s="121">
        <f t="shared" si="1528"/>
        <v>1.04</v>
      </c>
      <c r="J4117" s="121">
        <f t="shared" si="1529"/>
        <v>1.04</v>
      </c>
      <c r="K4117" s="120">
        <f t="shared" si="1530"/>
        <v>0</v>
      </c>
      <c r="L4117" s="120">
        <f t="shared" si="1531"/>
        <v>0</v>
      </c>
      <c r="M4117" s="246">
        <f t="shared" si="1532"/>
        <v>0</v>
      </c>
      <c r="N4117" s="121">
        <f t="shared" si="1533"/>
        <v>1.04</v>
      </c>
      <c r="O4117" s="246">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87">
        <v>14</v>
      </c>
      <c r="B4118" s="242">
        <f t="shared" si="1541"/>
        <v>46054</v>
      </c>
      <c r="C4118" s="243">
        <f t="shared" si="1522"/>
        <v>46081</v>
      </c>
      <c r="D4118" s="120">
        <f t="shared" si="1523"/>
        <v>28</v>
      </c>
      <c r="E4118" s="120">
        <f t="shared" si="1524"/>
        <v>2</v>
      </c>
      <c r="F4118" s="275">
        <f t="shared" si="1525"/>
        <v>46068</v>
      </c>
      <c r="G4118" s="120">
        <f t="shared" si="1526"/>
        <v>24313</v>
      </c>
      <c r="H4118" s="245">
        <f t="shared" si="1527"/>
        <v>1</v>
      </c>
      <c r="I4118" s="121">
        <f t="shared" si="1528"/>
        <v>1.04</v>
      </c>
      <c r="J4118" s="121">
        <f t="shared" si="1529"/>
        <v>1.04</v>
      </c>
      <c r="K4118" s="120">
        <f t="shared" si="1530"/>
        <v>0</v>
      </c>
      <c r="L4118" s="120">
        <f t="shared" si="1531"/>
        <v>0</v>
      </c>
      <c r="M4118" s="246">
        <f t="shared" si="1532"/>
        <v>0</v>
      </c>
      <c r="N4118" s="121">
        <f t="shared" si="1533"/>
        <v>1.04</v>
      </c>
      <c r="O4118" s="246">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87">
        <v>15</v>
      </c>
      <c r="B4119" s="242">
        <f t="shared" si="1541"/>
        <v>46082</v>
      </c>
      <c r="C4119" s="243">
        <f t="shared" si="1522"/>
        <v>46112</v>
      </c>
      <c r="D4119" s="120">
        <f t="shared" si="1523"/>
        <v>31</v>
      </c>
      <c r="E4119" s="120">
        <f t="shared" si="1524"/>
        <v>3</v>
      </c>
      <c r="F4119" s="275">
        <f t="shared" si="1525"/>
        <v>46097.5</v>
      </c>
      <c r="G4119" s="120">
        <f t="shared" si="1526"/>
        <v>24314</v>
      </c>
      <c r="H4119" s="245">
        <f t="shared" si="1527"/>
        <v>1</v>
      </c>
      <c r="I4119" s="121">
        <f t="shared" si="1528"/>
        <v>1.04</v>
      </c>
      <c r="J4119" s="121">
        <f t="shared" si="1529"/>
        <v>1.04</v>
      </c>
      <c r="K4119" s="120">
        <f t="shared" si="1530"/>
        <v>0</v>
      </c>
      <c r="L4119" s="120">
        <f t="shared" si="1531"/>
        <v>0</v>
      </c>
      <c r="M4119" s="246">
        <f t="shared" si="1532"/>
        <v>0</v>
      </c>
      <c r="N4119" s="121">
        <f t="shared" si="1533"/>
        <v>1.04</v>
      </c>
      <c r="O4119" s="246">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87">
        <v>16</v>
      </c>
      <c r="B4120" s="242">
        <f t="shared" si="1541"/>
        <v>46113</v>
      </c>
      <c r="C4120" s="243">
        <f t="shared" si="1522"/>
        <v>46142</v>
      </c>
      <c r="D4120" s="120">
        <f t="shared" si="1523"/>
        <v>30</v>
      </c>
      <c r="E4120" s="120">
        <f t="shared" si="1524"/>
        <v>4</v>
      </c>
      <c r="F4120" s="275">
        <f t="shared" si="1525"/>
        <v>46128</v>
      </c>
      <c r="G4120" s="120">
        <f t="shared" si="1526"/>
        <v>24315</v>
      </c>
      <c r="H4120" s="245">
        <f t="shared" si="1527"/>
        <v>1</v>
      </c>
      <c r="I4120" s="121">
        <f t="shared" si="1528"/>
        <v>1.04</v>
      </c>
      <c r="J4120" s="121">
        <f t="shared" si="1529"/>
        <v>1.04</v>
      </c>
      <c r="K4120" s="120">
        <f t="shared" si="1530"/>
        <v>0</v>
      </c>
      <c r="L4120" s="120">
        <f t="shared" si="1531"/>
        <v>0</v>
      </c>
      <c r="M4120" s="246">
        <f t="shared" si="1532"/>
        <v>0</v>
      </c>
      <c r="N4120" s="121">
        <f t="shared" si="1533"/>
        <v>1.04</v>
      </c>
      <c r="O4120" s="246">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87">
        <v>17</v>
      </c>
      <c r="B4121" s="242">
        <f t="shared" si="1541"/>
        <v>46143</v>
      </c>
      <c r="C4121" s="243">
        <f t="shared" si="1522"/>
        <v>46173</v>
      </c>
      <c r="D4121" s="120">
        <f t="shared" si="1523"/>
        <v>31</v>
      </c>
      <c r="E4121" s="120">
        <f t="shared" si="1524"/>
        <v>5</v>
      </c>
      <c r="F4121" s="275">
        <f t="shared" si="1525"/>
        <v>46158.5</v>
      </c>
      <c r="G4121" s="120">
        <f t="shared" si="1526"/>
        <v>24316</v>
      </c>
      <c r="H4121" s="245">
        <f t="shared" si="1527"/>
        <v>1</v>
      </c>
      <c r="I4121" s="121">
        <f t="shared" si="1528"/>
        <v>1.04</v>
      </c>
      <c r="J4121" s="121">
        <f t="shared" si="1529"/>
        <v>1.04</v>
      </c>
      <c r="K4121" s="120">
        <f t="shared" si="1530"/>
        <v>0</v>
      </c>
      <c r="L4121" s="120">
        <f t="shared" si="1531"/>
        <v>0</v>
      </c>
      <c r="M4121" s="246">
        <f t="shared" si="1532"/>
        <v>0</v>
      </c>
      <c r="N4121" s="121">
        <f t="shared" si="1533"/>
        <v>1.04</v>
      </c>
      <c r="O4121" s="246">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87">
        <v>18</v>
      </c>
      <c r="B4122" s="242">
        <f t="shared" si="1541"/>
        <v>46174</v>
      </c>
      <c r="C4122" s="243">
        <f t="shared" si="1522"/>
        <v>46203</v>
      </c>
      <c r="D4122" s="120">
        <f t="shared" si="1523"/>
        <v>30</v>
      </c>
      <c r="E4122" s="120">
        <f t="shared" si="1524"/>
        <v>6</v>
      </c>
      <c r="F4122" s="275">
        <f t="shared" si="1525"/>
        <v>46189</v>
      </c>
      <c r="G4122" s="120">
        <f t="shared" si="1526"/>
        <v>24317</v>
      </c>
      <c r="H4122" s="245">
        <f t="shared" si="1527"/>
        <v>1</v>
      </c>
      <c r="I4122" s="121">
        <f t="shared" si="1528"/>
        <v>1.04</v>
      </c>
      <c r="J4122" s="121">
        <f t="shared" si="1529"/>
        <v>1.04</v>
      </c>
      <c r="K4122" s="120">
        <f t="shared" si="1530"/>
        <v>0</v>
      </c>
      <c r="L4122" s="120">
        <f t="shared" si="1531"/>
        <v>0</v>
      </c>
      <c r="M4122" s="246">
        <f t="shared" si="1532"/>
        <v>0</v>
      </c>
      <c r="N4122" s="121">
        <f t="shared" si="1533"/>
        <v>1.04</v>
      </c>
      <c r="O4122" s="246">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87">
        <v>19</v>
      </c>
      <c r="B4123" s="242">
        <f t="shared" si="1541"/>
        <v>46204</v>
      </c>
      <c r="C4123" s="243">
        <f t="shared" si="1522"/>
        <v>46234</v>
      </c>
      <c r="D4123" s="120">
        <f t="shared" si="1523"/>
        <v>31</v>
      </c>
      <c r="E4123" s="120">
        <f t="shared" si="1524"/>
        <v>7</v>
      </c>
      <c r="F4123" s="275">
        <f t="shared" si="1525"/>
        <v>46219.5</v>
      </c>
      <c r="G4123" s="120">
        <f t="shared" si="1526"/>
        <v>24318</v>
      </c>
      <c r="H4123" s="245">
        <f t="shared" si="1527"/>
        <v>1</v>
      </c>
      <c r="I4123" s="121">
        <f t="shared" si="1528"/>
        <v>1.04</v>
      </c>
      <c r="J4123" s="121">
        <f t="shared" si="1529"/>
        <v>1.1024</v>
      </c>
      <c r="K4123" s="120">
        <f t="shared" si="1530"/>
        <v>1</v>
      </c>
      <c r="L4123" s="120">
        <f t="shared" si="1531"/>
        <v>31</v>
      </c>
      <c r="M4123" s="246">
        <f t="shared" si="1532"/>
        <v>1</v>
      </c>
      <c r="N4123" s="121">
        <f t="shared" si="1533"/>
        <v>1.1024</v>
      </c>
      <c r="O4123" s="246">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87">
        <v>20</v>
      </c>
      <c r="B4124" s="242">
        <f t="shared" si="1541"/>
        <v>46235</v>
      </c>
      <c r="C4124" s="243">
        <f t="shared" si="1522"/>
        <v>46265</v>
      </c>
      <c r="D4124" s="120">
        <f t="shared" si="1523"/>
        <v>31</v>
      </c>
      <c r="E4124" s="120">
        <f t="shared" si="1524"/>
        <v>8</v>
      </c>
      <c r="F4124" s="275">
        <f t="shared" si="1525"/>
        <v>46250.5</v>
      </c>
      <c r="G4124" s="120">
        <f t="shared" si="1526"/>
        <v>24319</v>
      </c>
      <c r="H4124" s="245">
        <f t="shared" si="1527"/>
        <v>1</v>
      </c>
      <c r="I4124" s="121">
        <f t="shared" si="1528"/>
        <v>1.1024</v>
      </c>
      <c r="J4124" s="121">
        <f t="shared" si="1529"/>
        <v>1.1024</v>
      </c>
      <c r="K4124" s="120">
        <f t="shared" si="1530"/>
        <v>0</v>
      </c>
      <c r="L4124" s="120">
        <f t="shared" si="1531"/>
        <v>0</v>
      </c>
      <c r="M4124" s="246">
        <f t="shared" si="1532"/>
        <v>0</v>
      </c>
      <c r="N4124" s="121">
        <f t="shared" si="1533"/>
        <v>1.1024</v>
      </c>
      <c r="O4124" s="246">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87">
        <v>21</v>
      </c>
      <c r="B4125" s="242">
        <f t="shared" si="1541"/>
        <v>46266</v>
      </c>
      <c r="C4125" s="243">
        <f t="shared" si="1522"/>
        <v>46295</v>
      </c>
      <c r="D4125" s="120">
        <f t="shared" si="1523"/>
        <v>30</v>
      </c>
      <c r="E4125" s="120">
        <f t="shared" si="1524"/>
        <v>9</v>
      </c>
      <c r="F4125" s="275">
        <f t="shared" si="1525"/>
        <v>46281</v>
      </c>
      <c r="G4125" s="120">
        <f t="shared" si="1526"/>
        <v>24320</v>
      </c>
      <c r="H4125" s="245">
        <f t="shared" si="1527"/>
        <v>1</v>
      </c>
      <c r="I4125" s="121">
        <f t="shared" si="1528"/>
        <v>1.1024</v>
      </c>
      <c r="J4125" s="121">
        <f t="shared" si="1529"/>
        <v>1.1024</v>
      </c>
      <c r="K4125" s="120">
        <f t="shared" si="1530"/>
        <v>0</v>
      </c>
      <c r="L4125" s="120">
        <f t="shared" si="1531"/>
        <v>0</v>
      </c>
      <c r="M4125" s="246">
        <f t="shared" si="1532"/>
        <v>0</v>
      </c>
      <c r="N4125" s="121">
        <f t="shared" si="1533"/>
        <v>1.1024</v>
      </c>
      <c r="O4125" s="246">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87">
        <v>22</v>
      </c>
      <c r="B4126" s="242">
        <f t="shared" si="1541"/>
        <v>46296</v>
      </c>
      <c r="C4126" s="243">
        <f t="shared" si="1522"/>
        <v>46326</v>
      </c>
      <c r="D4126" s="120">
        <f t="shared" si="1523"/>
        <v>31</v>
      </c>
      <c r="E4126" s="120">
        <f t="shared" si="1524"/>
        <v>10</v>
      </c>
      <c r="F4126" s="275">
        <f t="shared" si="1525"/>
        <v>46311.5</v>
      </c>
      <c r="G4126" s="120">
        <f t="shared" si="1526"/>
        <v>24321</v>
      </c>
      <c r="H4126" s="245">
        <f t="shared" si="1527"/>
        <v>1</v>
      </c>
      <c r="I4126" s="121">
        <f t="shared" si="1528"/>
        <v>1.1024</v>
      </c>
      <c r="J4126" s="121">
        <f t="shared" si="1529"/>
        <v>1.1024</v>
      </c>
      <c r="K4126" s="120">
        <f t="shared" si="1530"/>
        <v>0</v>
      </c>
      <c r="L4126" s="120">
        <f t="shared" si="1531"/>
        <v>0</v>
      </c>
      <c r="M4126" s="246">
        <f t="shared" si="1532"/>
        <v>0</v>
      </c>
      <c r="N4126" s="121">
        <f t="shared" si="1533"/>
        <v>1.1024</v>
      </c>
      <c r="O4126" s="246">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87">
        <v>23</v>
      </c>
      <c r="B4127" s="242">
        <f t="shared" si="1541"/>
        <v>46327</v>
      </c>
      <c r="C4127" s="243">
        <f t="shared" si="1522"/>
        <v>46356</v>
      </c>
      <c r="D4127" s="120">
        <f t="shared" si="1523"/>
        <v>30</v>
      </c>
      <c r="E4127" s="120">
        <f t="shared" si="1524"/>
        <v>11</v>
      </c>
      <c r="F4127" s="275">
        <f t="shared" si="1525"/>
        <v>46342</v>
      </c>
      <c r="G4127" s="120">
        <f t="shared" si="1526"/>
        <v>24322</v>
      </c>
      <c r="H4127" s="245">
        <f t="shared" si="1527"/>
        <v>1</v>
      </c>
      <c r="I4127" s="121">
        <f t="shared" si="1528"/>
        <v>1.1024</v>
      </c>
      <c r="J4127" s="121">
        <f t="shared" si="1529"/>
        <v>1.1024</v>
      </c>
      <c r="K4127" s="120">
        <f t="shared" si="1530"/>
        <v>0</v>
      </c>
      <c r="L4127" s="120">
        <f t="shared" si="1531"/>
        <v>0</v>
      </c>
      <c r="M4127" s="246">
        <f t="shared" si="1532"/>
        <v>0</v>
      </c>
      <c r="N4127" s="121">
        <f t="shared" si="1533"/>
        <v>1.1024</v>
      </c>
      <c r="O4127" s="246">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87">
        <v>24</v>
      </c>
      <c r="B4128" s="242">
        <f t="shared" si="1541"/>
        <v>46357</v>
      </c>
      <c r="C4128" s="243">
        <f t="shared" si="1522"/>
        <v>46387</v>
      </c>
      <c r="D4128" s="120">
        <f t="shared" si="1523"/>
        <v>31</v>
      </c>
      <c r="E4128" s="120">
        <f t="shared" si="1524"/>
        <v>12</v>
      </c>
      <c r="F4128" s="275">
        <f t="shared" si="1525"/>
        <v>46372.5</v>
      </c>
      <c r="G4128" s="120">
        <f t="shared" si="1526"/>
        <v>24323</v>
      </c>
      <c r="H4128" s="245">
        <f t="shared" si="1527"/>
        <v>1</v>
      </c>
      <c r="I4128" s="121">
        <f t="shared" si="1528"/>
        <v>1.1024</v>
      </c>
      <c r="J4128" s="121">
        <f t="shared" si="1529"/>
        <v>1.1024</v>
      </c>
      <c r="K4128" s="120">
        <f t="shared" si="1530"/>
        <v>0</v>
      </c>
      <c r="L4128" s="120">
        <f t="shared" si="1531"/>
        <v>0</v>
      </c>
      <c r="M4128" s="246">
        <f t="shared" si="1532"/>
        <v>0</v>
      </c>
      <c r="N4128" s="121">
        <f t="shared" si="1533"/>
        <v>1.1024</v>
      </c>
      <c r="O4128" s="246">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87">
        <v>25</v>
      </c>
      <c r="B4129" s="242">
        <f t="shared" si="1541"/>
        <v>46388</v>
      </c>
      <c r="C4129" s="243">
        <f t="shared" si="1522"/>
        <v>46418</v>
      </c>
      <c r="D4129" s="120">
        <f t="shared" si="1523"/>
        <v>31</v>
      </c>
      <c r="E4129" s="120">
        <f t="shared" si="1524"/>
        <v>1</v>
      </c>
      <c r="F4129" s="275">
        <f t="shared" si="1525"/>
        <v>46403.5</v>
      </c>
      <c r="G4129" s="120">
        <f t="shared" si="1526"/>
        <v>24324</v>
      </c>
      <c r="H4129" s="245">
        <f t="shared" si="1527"/>
        <v>1</v>
      </c>
      <c r="I4129" s="121">
        <f t="shared" si="1528"/>
        <v>1.1024</v>
      </c>
      <c r="J4129" s="121">
        <f t="shared" si="1529"/>
        <v>1.1024</v>
      </c>
      <c r="K4129" s="120">
        <f t="shared" si="1530"/>
        <v>0</v>
      </c>
      <c r="L4129" s="120">
        <f t="shared" si="1531"/>
        <v>0</v>
      </c>
      <c r="M4129" s="246">
        <f t="shared" si="1532"/>
        <v>0</v>
      </c>
      <c r="N4129" s="121">
        <f t="shared" si="1533"/>
        <v>1.1024</v>
      </c>
      <c r="O4129" s="246">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87">
        <v>26</v>
      </c>
      <c r="B4130" s="242">
        <f t="shared" si="1541"/>
        <v>46419</v>
      </c>
      <c r="C4130" s="243">
        <f t="shared" si="1522"/>
        <v>46446</v>
      </c>
      <c r="D4130" s="120">
        <f t="shared" si="1523"/>
        <v>28</v>
      </c>
      <c r="E4130" s="120">
        <f t="shared" si="1524"/>
        <v>2</v>
      </c>
      <c r="F4130" s="275">
        <f t="shared" si="1525"/>
        <v>46433</v>
      </c>
      <c r="G4130" s="120">
        <f t="shared" si="1526"/>
        <v>24325</v>
      </c>
      <c r="H4130" s="245">
        <f t="shared" si="1527"/>
        <v>1</v>
      </c>
      <c r="I4130" s="121">
        <f t="shared" si="1528"/>
        <v>1.1024</v>
      </c>
      <c r="J4130" s="121">
        <f t="shared" si="1529"/>
        <v>1.1024</v>
      </c>
      <c r="K4130" s="120">
        <f t="shared" si="1530"/>
        <v>0</v>
      </c>
      <c r="L4130" s="120">
        <f t="shared" si="1531"/>
        <v>0</v>
      </c>
      <c r="M4130" s="246">
        <f t="shared" si="1532"/>
        <v>0</v>
      </c>
      <c r="N4130" s="121">
        <f t="shared" si="1533"/>
        <v>1.1024</v>
      </c>
      <c r="O4130" s="246">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87">
        <v>27</v>
      </c>
      <c r="B4131" s="242">
        <f t="shared" si="1541"/>
        <v>46447</v>
      </c>
      <c r="C4131" s="243">
        <f t="shared" si="1522"/>
        <v>46477</v>
      </c>
      <c r="D4131" s="120">
        <f t="shared" si="1523"/>
        <v>31</v>
      </c>
      <c r="E4131" s="120">
        <f t="shared" si="1524"/>
        <v>3</v>
      </c>
      <c r="F4131" s="275">
        <f t="shared" si="1525"/>
        <v>46462.5</v>
      </c>
      <c r="G4131" s="120">
        <f t="shared" si="1526"/>
        <v>24326</v>
      </c>
      <c r="H4131" s="245">
        <f t="shared" si="1527"/>
        <v>1</v>
      </c>
      <c r="I4131" s="121">
        <f t="shared" si="1528"/>
        <v>1.1024</v>
      </c>
      <c r="J4131" s="121">
        <f t="shared" si="1529"/>
        <v>1.1024</v>
      </c>
      <c r="K4131" s="120">
        <f t="shared" si="1530"/>
        <v>0</v>
      </c>
      <c r="L4131" s="120">
        <f t="shared" si="1531"/>
        <v>0</v>
      </c>
      <c r="M4131" s="246">
        <f t="shared" si="1532"/>
        <v>0</v>
      </c>
      <c r="N4131" s="121">
        <f t="shared" si="1533"/>
        <v>1.1024</v>
      </c>
      <c r="O4131" s="246">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87">
        <v>28</v>
      </c>
      <c r="B4132" s="242">
        <f t="shared" si="1541"/>
        <v>46478</v>
      </c>
      <c r="C4132" s="243">
        <f t="shared" si="1522"/>
        <v>46507</v>
      </c>
      <c r="D4132" s="120">
        <f t="shared" si="1523"/>
        <v>30</v>
      </c>
      <c r="E4132" s="120">
        <f t="shared" si="1524"/>
        <v>4</v>
      </c>
      <c r="F4132" s="275">
        <f t="shared" si="1525"/>
        <v>46493</v>
      </c>
      <c r="G4132" s="120">
        <f t="shared" si="1526"/>
        <v>24327</v>
      </c>
      <c r="H4132" s="245">
        <f t="shared" si="1527"/>
        <v>1</v>
      </c>
      <c r="I4132" s="121">
        <f t="shared" si="1528"/>
        <v>1.1024</v>
      </c>
      <c r="J4132" s="121">
        <f t="shared" si="1529"/>
        <v>1.1575200000000001</v>
      </c>
      <c r="K4132" s="120">
        <f t="shared" si="1530"/>
        <v>1</v>
      </c>
      <c r="L4132" s="120">
        <f t="shared" si="1531"/>
        <v>30</v>
      </c>
      <c r="M4132" s="246">
        <f t="shared" si="1532"/>
        <v>1</v>
      </c>
      <c r="N4132" s="121">
        <f t="shared" si="1533"/>
        <v>1.1575200000000001</v>
      </c>
      <c r="O4132" s="246">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87">
        <v>29</v>
      </c>
      <c r="B4133" s="242">
        <f t="shared" si="1541"/>
        <v>46508</v>
      </c>
      <c r="C4133" s="243">
        <f t="shared" si="1522"/>
        <v>46538</v>
      </c>
      <c r="D4133" s="120">
        <f t="shared" si="1523"/>
        <v>31</v>
      </c>
      <c r="E4133" s="120">
        <f t="shared" si="1524"/>
        <v>5</v>
      </c>
      <c r="F4133" s="275">
        <f t="shared" si="1525"/>
        <v>46523.5</v>
      </c>
      <c r="G4133" s="120">
        <f t="shared" si="1526"/>
        <v>24328</v>
      </c>
      <c r="H4133" s="245">
        <f t="shared" si="1527"/>
        <v>1</v>
      </c>
      <c r="I4133" s="121">
        <f t="shared" si="1528"/>
        <v>1.1575200000000001</v>
      </c>
      <c r="J4133" s="121">
        <f t="shared" si="1529"/>
        <v>1.1575200000000001</v>
      </c>
      <c r="K4133" s="120">
        <f t="shared" si="1530"/>
        <v>0</v>
      </c>
      <c r="L4133" s="120">
        <f t="shared" si="1531"/>
        <v>0</v>
      </c>
      <c r="M4133" s="246">
        <f t="shared" si="1532"/>
        <v>0</v>
      </c>
      <c r="N4133" s="121">
        <f t="shared" si="1533"/>
        <v>1.1575200000000001</v>
      </c>
      <c r="O4133" s="246">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87">
        <v>30</v>
      </c>
      <c r="B4134" s="242">
        <f t="shared" si="1541"/>
        <v>46539</v>
      </c>
      <c r="C4134" s="243">
        <f t="shared" si="1522"/>
        <v>46568</v>
      </c>
      <c r="D4134" s="120">
        <f t="shared" si="1523"/>
        <v>30</v>
      </c>
      <c r="E4134" s="120">
        <f t="shared" si="1524"/>
        <v>6</v>
      </c>
      <c r="F4134" s="275">
        <f t="shared" si="1525"/>
        <v>46554</v>
      </c>
      <c r="G4134" s="120">
        <f t="shared" si="1526"/>
        <v>24329</v>
      </c>
      <c r="H4134" s="245">
        <f t="shared" si="1527"/>
        <v>1</v>
      </c>
      <c r="I4134" s="121">
        <f t="shared" si="1528"/>
        <v>1.1575200000000001</v>
      </c>
      <c r="J4134" s="121">
        <f t="shared" si="1529"/>
        <v>1.1575200000000001</v>
      </c>
      <c r="K4134" s="120">
        <f t="shared" si="1530"/>
        <v>0</v>
      </c>
      <c r="L4134" s="120">
        <f t="shared" si="1531"/>
        <v>0</v>
      </c>
      <c r="M4134" s="246">
        <f t="shared" si="1532"/>
        <v>0</v>
      </c>
      <c r="N4134" s="121">
        <f t="shared" si="1533"/>
        <v>1.1575200000000001</v>
      </c>
      <c r="O4134" s="246">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87">
        <v>31</v>
      </c>
      <c r="B4135" s="242">
        <f t="shared" si="1541"/>
        <v>46569</v>
      </c>
      <c r="C4135" s="243">
        <f t="shared" si="1522"/>
        <v>46599</v>
      </c>
      <c r="D4135" s="120">
        <f t="shared" si="1523"/>
        <v>31</v>
      </c>
      <c r="E4135" s="120">
        <f t="shared" si="1524"/>
        <v>7</v>
      </c>
      <c r="F4135" s="275">
        <f t="shared" si="1525"/>
        <v>46584.5</v>
      </c>
      <c r="G4135" s="120">
        <f t="shared" si="1526"/>
        <v>24330</v>
      </c>
      <c r="H4135" s="245">
        <f t="shared" si="1527"/>
        <v>1</v>
      </c>
      <c r="I4135" s="121">
        <f t="shared" si="1528"/>
        <v>1.1575200000000001</v>
      </c>
      <c r="J4135" s="121">
        <f t="shared" si="1529"/>
        <v>1.1575200000000001</v>
      </c>
      <c r="K4135" s="120">
        <f t="shared" si="1530"/>
        <v>0</v>
      </c>
      <c r="L4135" s="120">
        <f t="shared" si="1531"/>
        <v>0</v>
      </c>
      <c r="M4135" s="246">
        <f t="shared" si="1532"/>
        <v>0</v>
      </c>
      <c r="N4135" s="121">
        <f t="shared" si="1533"/>
        <v>1.1575200000000001</v>
      </c>
      <c r="O4135" s="246">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87">
        <v>32</v>
      </c>
      <c r="B4136" s="242">
        <f t="shared" si="1541"/>
        <v>46600</v>
      </c>
      <c r="C4136" s="243">
        <f t="shared" si="1522"/>
        <v>46630</v>
      </c>
      <c r="D4136" s="120">
        <f t="shared" si="1523"/>
        <v>31</v>
      </c>
      <c r="E4136" s="120">
        <f t="shared" si="1524"/>
        <v>8</v>
      </c>
      <c r="F4136" s="275">
        <f t="shared" si="1525"/>
        <v>46615.5</v>
      </c>
      <c r="G4136" s="120">
        <f t="shared" si="1526"/>
        <v>24331</v>
      </c>
      <c r="H4136" s="245">
        <f t="shared" si="1527"/>
        <v>1</v>
      </c>
      <c r="I4136" s="121">
        <f t="shared" si="1528"/>
        <v>1.1575200000000001</v>
      </c>
      <c r="J4136" s="121">
        <f t="shared" si="1529"/>
        <v>1.1575200000000001</v>
      </c>
      <c r="K4136" s="120">
        <f t="shared" si="1530"/>
        <v>0</v>
      </c>
      <c r="L4136" s="120">
        <f t="shared" si="1531"/>
        <v>0</v>
      </c>
      <c r="M4136" s="246">
        <f t="shared" si="1532"/>
        <v>0</v>
      </c>
      <c r="N4136" s="121">
        <f t="shared" si="1533"/>
        <v>1.1575200000000001</v>
      </c>
      <c r="O4136" s="246">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87">
        <v>33</v>
      </c>
      <c r="B4137" s="242">
        <f t="shared" si="1541"/>
        <v>46631</v>
      </c>
      <c r="C4137" s="243">
        <f t="shared" si="1522"/>
        <v>46660</v>
      </c>
      <c r="D4137" s="120">
        <f t="shared" si="1523"/>
        <v>30</v>
      </c>
      <c r="E4137" s="120">
        <f t="shared" si="1524"/>
        <v>9</v>
      </c>
      <c r="F4137" s="275">
        <f t="shared" si="1525"/>
        <v>46646</v>
      </c>
      <c r="G4137" s="120">
        <f t="shared" si="1526"/>
        <v>24332</v>
      </c>
      <c r="H4137" s="245">
        <f t="shared" si="1527"/>
        <v>1</v>
      </c>
      <c r="I4137" s="121">
        <f t="shared" si="1528"/>
        <v>1.1575200000000001</v>
      </c>
      <c r="J4137" s="121">
        <f t="shared" si="1529"/>
        <v>1.1575200000000001</v>
      </c>
      <c r="K4137" s="120">
        <f t="shared" si="1530"/>
        <v>0</v>
      </c>
      <c r="L4137" s="120">
        <f t="shared" si="1531"/>
        <v>0</v>
      </c>
      <c r="M4137" s="246">
        <f t="shared" si="1532"/>
        <v>0</v>
      </c>
      <c r="N4137" s="121">
        <f t="shared" si="1533"/>
        <v>1.1575200000000001</v>
      </c>
      <c r="O4137" s="246">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87">
        <v>34</v>
      </c>
      <c r="B4138" s="242">
        <f t="shared" si="1541"/>
        <v>46661</v>
      </c>
      <c r="C4138" s="243">
        <f t="shared" si="1522"/>
        <v>46691</v>
      </c>
      <c r="D4138" s="120">
        <f t="shared" si="1523"/>
        <v>31</v>
      </c>
      <c r="E4138" s="120">
        <f t="shared" si="1524"/>
        <v>10</v>
      </c>
      <c r="F4138" s="275">
        <f t="shared" si="1525"/>
        <v>46676.5</v>
      </c>
      <c r="G4138" s="120">
        <f t="shared" si="1526"/>
        <v>24333</v>
      </c>
      <c r="H4138" s="245">
        <f t="shared" si="1527"/>
        <v>1</v>
      </c>
      <c r="I4138" s="121">
        <f t="shared" si="1528"/>
        <v>1.1575200000000001</v>
      </c>
      <c r="J4138" s="121">
        <f t="shared" si="1529"/>
        <v>1.1575200000000001</v>
      </c>
      <c r="K4138" s="120">
        <f t="shared" si="1530"/>
        <v>0</v>
      </c>
      <c r="L4138" s="120">
        <f t="shared" si="1531"/>
        <v>0</v>
      </c>
      <c r="M4138" s="246">
        <f t="shared" si="1532"/>
        <v>0</v>
      </c>
      <c r="N4138" s="121">
        <f t="shared" si="1533"/>
        <v>1.1575200000000001</v>
      </c>
      <c r="O4138" s="246">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87">
        <v>35</v>
      </c>
      <c r="B4139" s="242">
        <f t="shared" si="1541"/>
        <v>46692</v>
      </c>
      <c r="C4139" s="243">
        <f t="shared" si="1522"/>
        <v>46721</v>
      </c>
      <c r="D4139" s="120">
        <f t="shared" si="1523"/>
        <v>30</v>
      </c>
      <c r="E4139" s="120">
        <f t="shared" si="1524"/>
        <v>11</v>
      </c>
      <c r="F4139" s="275">
        <f t="shared" si="1525"/>
        <v>46707</v>
      </c>
      <c r="G4139" s="120">
        <f t="shared" si="1526"/>
        <v>24334</v>
      </c>
      <c r="H4139" s="245">
        <f t="shared" si="1527"/>
        <v>1</v>
      </c>
      <c r="I4139" s="121">
        <f t="shared" si="1528"/>
        <v>1.1575200000000001</v>
      </c>
      <c r="J4139" s="121">
        <f t="shared" si="1529"/>
        <v>1.1575200000000001</v>
      </c>
      <c r="K4139" s="120">
        <f t="shared" si="1530"/>
        <v>0</v>
      </c>
      <c r="L4139" s="120">
        <f t="shared" si="1531"/>
        <v>0</v>
      </c>
      <c r="M4139" s="246">
        <f t="shared" si="1532"/>
        <v>0</v>
      </c>
      <c r="N4139" s="121">
        <f t="shared" si="1533"/>
        <v>1.1575200000000001</v>
      </c>
      <c r="O4139" s="246">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87">
        <v>36</v>
      </c>
      <c r="B4140" s="242">
        <f t="shared" si="1541"/>
        <v>46722</v>
      </c>
      <c r="C4140" s="243">
        <f t="shared" si="1522"/>
        <v>46752</v>
      </c>
      <c r="D4140" s="120">
        <f t="shared" si="1523"/>
        <v>31</v>
      </c>
      <c r="E4140" s="120">
        <f t="shared" si="1524"/>
        <v>12</v>
      </c>
      <c r="F4140" s="275">
        <f t="shared" si="1525"/>
        <v>46737.5</v>
      </c>
      <c r="G4140" s="120">
        <f t="shared" si="1526"/>
        <v>24335</v>
      </c>
      <c r="H4140" s="245">
        <f t="shared" si="1527"/>
        <v>1</v>
      </c>
      <c r="I4140" s="121">
        <f t="shared" si="1528"/>
        <v>1.1575200000000001</v>
      </c>
      <c r="J4140" s="121">
        <f t="shared" si="1529"/>
        <v>1.1575200000000001</v>
      </c>
      <c r="K4140" s="120">
        <f t="shared" si="1530"/>
        <v>0</v>
      </c>
      <c r="L4140" s="120">
        <f t="shared" si="1531"/>
        <v>0</v>
      </c>
      <c r="M4140" s="246">
        <f t="shared" si="1532"/>
        <v>0</v>
      </c>
      <c r="N4140" s="121">
        <f t="shared" si="1533"/>
        <v>1.1575200000000001</v>
      </c>
      <c r="O4140" s="246">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87">
        <v>37</v>
      </c>
      <c r="B4141" s="242">
        <f t="shared" si="1541"/>
        <v>46753</v>
      </c>
      <c r="C4141" s="243">
        <f t="shared" si="1522"/>
        <v>46783</v>
      </c>
      <c r="D4141" s="120">
        <f t="shared" si="1523"/>
        <v>31</v>
      </c>
      <c r="E4141" s="120">
        <f t="shared" si="1524"/>
        <v>1</v>
      </c>
      <c r="F4141" s="275">
        <f t="shared" si="1525"/>
        <v>46768.5</v>
      </c>
      <c r="G4141" s="120">
        <f t="shared" si="1526"/>
        <v>24336</v>
      </c>
      <c r="H4141" s="245">
        <f t="shared" si="1527"/>
        <v>1</v>
      </c>
      <c r="I4141" s="121">
        <f t="shared" si="1528"/>
        <v>1.1575200000000001</v>
      </c>
      <c r="J4141" s="121">
        <f t="shared" si="1529"/>
        <v>1.1575200000000001</v>
      </c>
      <c r="K4141" s="120">
        <f t="shared" si="1530"/>
        <v>0</v>
      </c>
      <c r="L4141" s="120">
        <f t="shared" si="1531"/>
        <v>0</v>
      </c>
      <c r="M4141" s="246">
        <f t="shared" si="1532"/>
        <v>0</v>
      </c>
      <c r="N4141" s="121">
        <f t="shared" si="1533"/>
        <v>1.1575200000000001</v>
      </c>
      <c r="O4141" s="246">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87">
        <v>38</v>
      </c>
      <c r="B4142" s="242">
        <f t="shared" si="1541"/>
        <v>46784</v>
      </c>
      <c r="C4142" s="243">
        <f t="shared" si="1522"/>
        <v>46812</v>
      </c>
      <c r="D4142" s="120">
        <f t="shared" si="1523"/>
        <v>29</v>
      </c>
      <c r="E4142" s="120">
        <f t="shared" si="1524"/>
        <v>2</v>
      </c>
      <c r="F4142" s="275">
        <f t="shared" si="1525"/>
        <v>46798.5</v>
      </c>
      <c r="G4142" s="120">
        <f t="shared" si="1526"/>
        <v>24337</v>
      </c>
      <c r="H4142" s="245">
        <f t="shared" si="1527"/>
        <v>1</v>
      </c>
      <c r="I4142" s="121">
        <f t="shared" si="1528"/>
        <v>1.1575200000000001</v>
      </c>
      <c r="J4142" s="121">
        <f t="shared" si="1529"/>
        <v>1.1575200000000001</v>
      </c>
      <c r="K4142" s="120">
        <f t="shared" si="1530"/>
        <v>0</v>
      </c>
      <c r="L4142" s="120">
        <f t="shared" si="1531"/>
        <v>0</v>
      </c>
      <c r="M4142" s="246">
        <f t="shared" si="1532"/>
        <v>0</v>
      </c>
      <c r="N4142" s="121">
        <f t="shared" si="1533"/>
        <v>1.1575200000000001</v>
      </c>
      <c r="O4142" s="246">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87">
        <v>39</v>
      </c>
      <c r="B4143" s="242">
        <f t="shared" si="1541"/>
        <v>46813</v>
      </c>
      <c r="C4143" s="243">
        <f t="shared" si="1522"/>
        <v>46843</v>
      </c>
      <c r="D4143" s="120">
        <f t="shared" si="1523"/>
        <v>31</v>
      </c>
      <c r="E4143" s="120">
        <f t="shared" si="1524"/>
        <v>3</v>
      </c>
      <c r="F4143" s="275">
        <f t="shared" si="1525"/>
        <v>46828.5</v>
      </c>
      <c r="G4143" s="120">
        <f t="shared" si="1526"/>
        <v>24338</v>
      </c>
      <c r="H4143" s="245">
        <f t="shared" si="1527"/>
        <v>1</v>
      </c>
      <c r="I4143" s="121">
        <f t="shared" si="1528"/>
        <v>1.1575200000000001</v>
      </c>
      <c r="J4143" s="121">
        <f t="shared" si="1529"/>
        <v>1.1575200000000001</v>
      </c>
      <c r="K4143" s="120">
        <f t="shared" si="1530"/>
        <v>0</v>
      </c>
      <c r="L4143" s="120">
        <f t="shared" si="1531"/>
        <v>0</v>
      </c>
      <c r="M4143" s="246">
        <f t="shared" si="1532"/>
        <v>0</v>
      </c>
      <c r="N4143" s="121">
        <f t="shared" si="1533"/>
        <v>1.1575200000000001</v>
      </c>
      <c r="O4143" s="246">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87">
        <v>40</v>
      </c>
      <c r="B4144" s="242">
        <f t="shared" si="1541"/>
        <v>46844</v>
      </c>
      <c r="C4144" s="243">
        <f t="shared" si="1522"/>
        <v>46873</v>
      </c>
      <c r="D4144" s="120">
        <f t="shared" si="1523"/>
        <v>30</v>
      </c>
      <c r="E4144" s="120">
        <f t="shared" si="1524"/>
        <v>4</v>
      </c>
      <c r="F4144" s="275">
        <f t="shared" si="1525"/>
        <v>46859</v>
      </c>
      <c r="G4144" s="120">
        <f t="shared" si="1526"/>
        <v>24339</v>
      </c>
      <c r="H4144" s="245">
        <f t="shared" si="1527"/>
        <v>1</v>
      </c>
      <c r="I4144" s="121">
        <f t="shared" si="1528"/>
        <v>1.1575200000000001</v>
      </c>
      <c r="J4144" s="121">
        <f t="shared" si="1529"/>
        <v>1.1575200000000001</v>
      </c>
      <c r="K4144" s="120">
        <f t="shared" si="1530"/>
        <v>0</v>
      </c>
      <c r="L4144" s="120">
        <f t="shared" si="1531"/>
        <v>0</v>
      </c>
      <c r="M4144" s="246">
        <f t="shared" si="1532"/>
        <v>0</v>
      </c>
      <c r="N4144" s="121">
        <f t="shared" si="1533"/>
        <v>1.1575200000000001</v>
      </c>
      <c r="O4144" s="246">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87">
        <v>41</v>
      </c>
      <c r="B4145" s="242">
        <f t="shared" si="1541"/>
        <v>46874</v>
      </c>
      <c r="C4145" s="243">
        <f t="shared" si="1522"/>
        <v>46904</v>
      </c>
      <c r="D4145" s="120">
        <f t="shared" si="1523"/>
        <v>31</v>
      </c>
      <c r="E4145" s="120">
        <f t="shared" si="1524"/>
        <v>5</v>
      </c>
      <c r="F4145" s="275">
        <f t="shared" si="1525"/>
        <v>46889.5</v>
      </c>
      <c r="G4145" s="120">
        <f t="shared" si="1526"/>
        <v>24340</v>
      </c>
      <c r="H4145" s="245">
        <f t="shared" si="1527"/>
        <v>1</v>
      </c>
      <c r="I4145" s="121">
        <f t="shared" si="1528"/>
        <v>1.1575200000000001</v>
      </c>
      <c r="J4145" s="121">
        <f t="shared" si="1529"/>
        <v>1.1575200000000001</v>
      </c>
      <c r="K4145" s="120">
        <f t="shared" si="1530"/>
        <v>0</v>
      </c>
      <c r="L4145" s="120">
        <f t="shared" si="1531"/>
        <v>0</v>
      </c>
      <c r="M4145" s="246">
        <f t="shared" si="1532"/>
        <v>0</v>
      </c>
      <c r="N4145" s="121">
        <f t="shared" si="1533"/>
        <v>1.1575200000000001</v>
      </c>
      <c r="O4145" s="246">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87">
        <v>42</v>
      </c>
      <c r="B4146" s="242">
        <f t="shared" si="1541"/>
        <v>46905</v>
      </c>
      <c r="C4146" s="243">
        <f t="shared" si="1522"/>
        <v>46934</v>
      </c>
      <c r="D4146" s="120">
        <f t="shared" si="1523"/>
        <v>30</v>
      </c>
      <c r="E4146" s="120">
        <f t="shared" si="1524"/>
        <v>6</v>
      </c>
      <c r="F4146" s="275">
        <f t="shared" si="1525"/>
        <v>46920</v>
      </c>
      <c r="G4146" s="120">
        <f t="shared" si="1526"/>
        <v>24341</v>
      </c>
      <c r="H4146" s="245">
        <f t="shared" si="1527"/>
        <v>1</v>
      </c>
      <c r="I4146" s="121">
        <f t="shared" si="1528"/>
        <v>1.1575200000000001</v>
      </c>
      <c r="J4146" s="121">
        <f t="shared" si="1529"/>
        <v>1.1575200000000001</v>
      </c>
      <c r="K4146" s="120">
        <f t="shared" si="1530"/>
        <v>0</v>
      </c>
      <c r="L4146" s="120">
        <f t="shared" si="1531"/>
        <v>0</v>
      </c>
      <c r="M4146" s="246">
        <f t="shared" si="1532"/>
        <v>0</v>
      </c>
      <c r="N4146" s="121">
        <f t="shared" si="1533"/>
        <v>1.1575200000000001</v>
      </c>
      <c r="O4146" s="246">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87">
        <v>43</v>
      </c>
      <c r="B4147" s="242">
        <f t="shared" si="1541"/>
        <v>46935</v>
      </c>
      <c r="C4147" s="243">
        <f t="shared" si="1522"/>
        <v>46965</v>
      </c>
      <c r="D4147" s="120">
        <f t="shared" si="1523"/>
        <v>31</v>
      </c>
      <c r="E4147" s="120">
        <f t="shared" si="1524"/>
        <v>7</v>
      </c>
      <c r="F4147" s="275">
        <f t="shared" si="1525"/>
        <v>46950.5</v>
      </c>
      <c r="G4147" s="120">
        <f t="shared" si="1526"/>
        <v>24342</v>
      </c>
      <c r="H4147" s="245">
        <f t="shared" si="1527"/>
        <v>1</v>
      </c>
      <c r="I4147" s="121">
        <f t="shared" si="1528"/>
        <v>1.1575200000000001</v>
      </c>
      <c r="J4147" s="121">
        <f t="shared" si="1529"/>
        <v>1.1575200000000001</v>
      </c>
      <c r="K4147" s="120">
        <f t="shared" si="1530"/>
        <v>0</v>
      </c>
      <c r="L4147" s="120">
        <f t="shared" si="1531"/>
        <v>0</v>
      </c>
      <c r="M4147" s="246">
        <f t="shared" si="1532"/>
        <v>0</v>
      </c>
      <c r="N4147" s="121">
        <f t="shared" si="1533"/>
        <v>1.1575200000000001</v>
      </c>
      <c r="O4147" s="246">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87">
        <v>44</v>
      </c>
      <c r="B4148" s="242">
        <f t="shared" si="1541"/>
        <v>46966</v>
      </c>
      <c r="C4148" s="243">
        <f t="shared" si="1522"/>
        <v>46996</v>
      </c>
      <c r="D4148" s="120">
        <f t="shared" si="1523"/>
        <v>31</v>
      </c>
      <c r="E4148" s="120">
        <f t="shared" si="1524"/>
        <v>8</v>
      </c>
      <c r="F4148" s="275">
        <f t="shared" si="1525"/>
        <v>46981.5</v>
      </c>
      <c r="G4148" s="120">
        <f t="shared" si="1526"/>
        <v>24343</v>
      </c>
      <c r="H4148" s="245">
        <f t="shared" si="1527"/>
        <v>1</v>
      </c>
      <c r="I4148" s="121">
        <f t="shared" si="1528"/>
        <v>1.1575200000000001</v>
      </c>
      <c r="J4148" s="121">
        <f t="shared" si="1529"/>
        <v>1.1575200000000001</v>
      </c>
      <c r="K4148" s="120">
        <f t="shared" si="1530"/>
        <v>0</v>
      </c>
      <c r="L4148" s="120">
        <f t="shared" si="1531"/>
        <v>0</v>
      </c>
      <c r="M4148" s="246">
        <f t="shared" si="1532"/>
        <v>0</v>
      </c>
      <c r="N4148" s="121">
        <f t="shared" si="1533"/>
        <v>1.1575200000000001</v>
      </c>
      <c r="O4148" s="246">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87">
        <v>45</v>
      </c>
      <c r="B4149" s="242">
        <f t="shared" si="1541"/>
        <v>46997</v>
      </c>
      <c r="C4149" s="243">
        <f t="shared" si="1522"/>
        <v>47026</v>
      </c>
      <c r="D4149" s="120">
        <f t="shared" si="1523"/>
        <v>30</v>
      </c>
      <c r="E4149" s="120">
        <f t="shared" si="1524"/>
        <v>9</v>
      </c>
      <c r="F4149" s="275">
        <f t="shared" si="1525"/>
        <v>47012</v>
      </c>
      <c r="G4149" s="120">
        <f t="shared" si="1526"/>
        <v>24344</v>
      </c>
      <c r="H4149" s="245">
        <f t="shared" si="1527"/>
        <v>1</v>
      </c>
      <c r="I4149" s="121">
        <f t="shared" si="1528"/>
        <v>1.1575200000000001</v>
      </c>
      <c r="J4149" s="121">
        <f t="shared" si="1529"/>
        <v>1.1575200000000001</v>
      </c>
      <c r="K4149" s="120">
        <f t="shared" si="1530"/>
        <v>0</v>
      </c>
      <c r="L4149" s="120">
        <f t="shared" si="1531"/>
        <v>0</v>
      </c>
      <c r="M4149" s="246">
        <f t="shared" si="1532"/>
        <v>0</v>
      </c>
      <c r="N4149" s="121">
        <f t="shared" si="1533"/>
        <v>1.1575200000000001</v>
      </c>
      <c r="O4149" s="246">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87">
        <v>46</v>
      </c>
      <c r="B4150" s="242">
        <f t="shared" si="1541"/>
        <v>47027</v>
      </c>
      <c r="C4150" s="243">
        <f t="shared" si="1522"/>
        <v>47057</v>
      </c>
      <c r="D4150" s="120">
        <f t="shared" si="1523"/>
        <v>31</v>
      </c>
      <c r="E4150" s="120">
        <f t="shared" si="1524"/>
        <v>10</v>
      </c>
      <c r="F4150" s="275">
        <f t="shared" si="1525"/>
        <v>47042.5</v>
      </c>
      <c r="G4150" s="120">
        <f t="shared" si="1526"/>
        <v>24345</v>
      </c>
      <c r="H4150" s="245">
        <f t="shared" si="1527"/>
        <v>1</v>
      </c>
      <c r="I4150" s="121">
        <f t="shared" si="1528"/>
        <v>1.1575200000000001</v>
      </c>
      <c r="J4150" s="121">
        <f t="shared" si="1529"/>
        <v>1.1575200000000001</v>
      </c>
      <c r="K4150" s="120">
        <f t="shared" si="1530"/>
        <v>0</v>
      </c>
      <c r="L4150" s="120">
        <f t="shared" si="1531"/>
        <v>0</v>
      </c>
      <c r="M4150" s="246">
        <f t="shared" si="1532"/>
        <v>0</v>
      </c>
      <c r="N4150" s="121">
        <f t="shared" si="1533"/>
        <v>1.1575200000000001</v>
      </c>
      <c r="O4150" s="246">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87">
        <v>47</v>
      </c>
      <c r="B4151" s="242">
        <f t="shared" si="1541"/>
        <v>47058</v>
      </c>
      <c r="C4151" s="243">
        <f t="shared" si="1522"/>
        <v>47087</v>
      </c>
      <c r="D4151" s="120">
        <f t="shared" si="1523"/>
        <v>30</v>
      </c>
      <c r="E4151" s="120">
        <f t="shared" si="1524"/>
        <v>11</v>
      </c>
      <c r="F4151" s="275">
        <f t="shared" si="1525"/>
        <v>47073</v>
      </c>
      <c r="G4151" s="120">
        <f t="shared" si="1526"/>
        <v>24346</v>
      </c>
      <c r="H4151" s="245">
        <f t="shared" si="1527"/>
        <v>1</v>
      </c>
      <c r="I4151" s="121">
        <f t="shared" si="1528"/>
        <v>1.1575200000000001</v>
      </c>
      <c r="J4151" s="121">
        <f t="shared" si="1529"/>
        <v>1.1575200000000001</v>
      </c>
      <c r="K4151" s="120">
        <f t="shared" si="1530"/>
        <v>0</v>
      </c>
      <c r="L4151" s="120">
        <f t="shared" si="1531"/>
        <v>0</v>
      </c>
      <c r="M4151" s="246">
        <f t="shared" si="1532"/>
        <v>0</v>
      </c>
      <c r="N4151" s="121">
        <f t="shared" si="1533"/>
        <v>1.1575200000000001</v>
      </c>
      <c r="O4151" s="246">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87">
        <v>48</v>
      </c>
      <c r="B4152" s="242">
        <f t="shared" si="1541"/>
        <v>47088</v>
      </c>
      <c r="C4152" s="243">
        <f t="shared" si="1522"/>
        <v>47118</v>
      </c>
      <c r="D4152" s="120">
        <f t="shared" si="1523"/>
        <v>31</v>
      </c>
      <c r="E4152" s="120">
        <f t="shared" si="1524"/>
        <v>12</v>
      </c>
      <c r="F4152" s="275">
        <f t="shared" si="1525"/>
        <v>47103.5</v>
      </c>
      <c r="G4152" s="120">
        <f t="shared" si="1526"/>
        <v>24347</v>
      </c>
      <c r="H4152" s="245">
        <f t="shared" si="1527"/>
        <v>1</v>
      </c>
      <c r="I4152" s="121">
        <f t="shared" si="1528"/>
        <v>1.1575200000000001</v>
      </c>
      <c r="J4152" s="121">
        <f t="shared" si="1529"/>
        <v>1.1575200000000001</v>
      </c>
      <c r="K4152" s="120">
        <f t="shared" si="1530"/>
        <v>0</v>
      </c>
      <c r="L4152" s="120">
        <f t="shared" si="1531"/>
        <v>0</v>
      </c>
      <c r="M4152" s="246">
        <f t="shared" si="1532"/>
        <v>0</v>
      </c>
      <c r="N4152" s="121">
        <f t="shared" si="1533"/>
        <v>1.1575200000000001</v>
      </c>
      <c r="O4152" s="246">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1692</v>
      </c>
      <c r="B4153" s="73">
        <f>SUMPRODUCT($H$4105:$H$4152,$Q$4105:$Q$4152,$U$4105:$U$4152)/SUMPRODUCT($H$4105:$H$4152,$Q$4105:$Q$4152)</f>
        <v>1.1101025000000002</v>
      </c>
      <c r="C4153" s="73">
        <f>SUMPRODUCT($H$4105:$H$4152,$R$4105:$R$4152,$U$4105:$U$4152)/SUMPRODUCT($H$4105:$H$4152,$R$4105:$R$4152)</f>
        <v>1.1557975</v>
      </c>
      <c r="D4153" s="224">
        <f>SUMPRODUCT($H$4105:$H$4152,$Q$4105:$Q$4152,$O$4105:$O$4152)/SUMPRODUCT($H$4105:$H$4152,$Q$4105:$Q$4152)</f>
        <v>0.8659874179431073</v>
      </c>
    </row>
    <row r="4156" spans="1:21" x14ac:dyDescent="0.3">
      <c r="A4156" s="270" t="s">
        <v>1693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42">EOMONTH($B4159,0)</f>
        <v>45688</v>
      </c>
      <c r="D4159" s="120">
        <f t="shared" ref="D4159:D4206" si="1543">$C4159-$B4159+1</f>
        <v>31</v>
      </c>
      <c r="E4159" s="120">
        <f t="shared" ref="E4159:E4206" si="1544">MONTH($B4159)</f>
        <v>1</v>
      </c>
      <c r="F4159" s="275">
        <f t="shared" ref="F4159:F4206" si="1545">($B4159+$C4159+1)/2</f>
        <v>45673.5</v>
      </c>
      <c r="G4159" s="120">
        <f t="shared" ref="G4159:G4206" si="1546">YEAR($B4159)*12+MONTH($B4159)-1</f>
        <v>24300</v>
      </c>
      <c r="H4159" s="245">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46">
        <f t="shared" ref="M4159:M4206" si="1552">IF($K4159=0,0,MIN(1,$L4159/$D4159))</f>
        <v>0</v>
      </c>
      <c r="N4159" s="121">
        <f t="shared" ref="N4159:N4206" si="1553">IF($K4159=0,$J4159,(1-$M4159)*$I4159+$M4159*$J4159)</f>
        <v>1</v>
      </c>
      <c r="O4159" s="246">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87">
        <v>2</v>
      </c>
      <c r="B4160" s="242">
        <f t="shared" ref="B4160:B4206" si="1561">EDATE($B4159,1)</f>
        <v>45689</v>
      </c>
      <c r="C4160" s="243">
        <f t="shared" si="1542"/>
        <v>45716</v>
      </c>
      <c r="D4160" s="120">
        <f t="shared" si="1543"/>
        <v>28</v>
      </c>
      <c r="E4160" s="120">
        <f t="shared" si="1544"/>
        <v>2</v>
      </c>
      <c r="F4160" s="275">
        <f t="shared" si="1545"/>
        <v>45703</v>
      </c>
      <c r="G4160" s="120">
        <f t="shared" si="1546"/>
        <v>24301</v>
      </c>
      <c r="H4160" s="245">
        <f t="shared" si="1547"/>
        <v>1</v>
      </c>
      <c r="I4160" s="121">
        <f t="shared" si="1548"/>
        <v>1</v>
      </c>
      <c r="J4160" s="121">
        <f t="shared" si="1549"/>
        <v>1</v>
      </c>
      <c r="K4160" s="120">
        <f t="shared" si="1550"/>
        <v>0</v>
      </c>
      <c r="L4160" s="120">
        <f t="shared" si="1551"/>
        <v>0</v>
      </c>
      <c r="M4160" s="246">
        <f t="shared" si="1552"/>
        <v>0</v>
      </c>
      <c r="N4160" s="121">
        <f t="shared" si="1553"/>
        <v>1</v>
      </c>
      <c r="O4160" s="246">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87">
        <v>3</v>
      </c>
      <c r="B4161" s="242">
        <f t="shared" si="1561"/>
        <v>45717</v>
      </c>
      <c r="C4161" s="243">
        <f t="shared" si="1542"/>
        <v>45747</v>
      </c>
      <c r="D4161" s="120">
        <f t="shared" si="1543"/>
        <v>31</v>
      </c>
      <c r="E4161" s="120">
        <f t="shared" si="1544"/>
        <v>3</v>
      </c>
      <c r="F4161" s="275">
        <f t="shared" si="1545"/>
        <v>45732.5</v>
      </c>
      <c r="G4161" s="120">
        <f t="shared" si="1546"/>
        <v>24302</v>
      </c>
      <c r="H4161" s="245">
        <f t="shared" si="1547"/>
        <v>1</v>
      </c>
      <c r="I4161" s="121">
        <f t="shared" si="1548"/>
        <v>1</v>
      </c>
      <c r="J4161" s="121">
        <f t="shared" si="1549"/>
        <v>1</v>
      </c>
      <c r="K4161" s="120">
        <f t="shared" si="1550"/>
        <v>0</v>
      </c>
      <c r="L4161" s="120">
        <f t="shared" si="1551"/>
        <v>0</v>
      </c>
      <c r="M4161" s="246">
        <f t="shared" si="1552"/>
        <v>0</v>
      </c>
      <c r="N4161" s="121">
        <f t="shared" si="1553"/>
        <v>1</v>
      </c>
      <c r="O4161" s="246">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87">
        <v>4</v>
      </c>
      <c r="B4162" s="242">
        <f t="shared" si="1561"/>
        <v>45748</v>
      </c>
      <c r="C4162" s="243">
        <f t="shared" si="1542"/>
        <v>45777</v>
      </c>
      <c r="D4162" s="120">
        <f t="shared" si="1543"/>
        <v>30</v>
      </c>
      <c r="E4162" s="120">
        <f t="shared" si="1544"/>
        <v>4</v>
      </c>
      <c r="F4162" s="275">
        <f t="shared" si="1545"/>
        <v>45763</v>
      </c>
      <c r="G4162" s="120">
        <f t="shared" si="1546"/>
        <v>24303</v>
      </c>
      <c r="H4162" s="245">
        <f t="shared" si="1547"/>
        <v>1</v>
      </c>
      <c r="I4162" s="121">
        <f t="shared" si="1548"/>
        <v>1</v>
      </c>
      <c r="J4162" s="121">
        <f t="shared" si="1549"/>
        <v>1</v>
      </c>
      <c r="K4162" s="120">
        <f t="shared" si="1550"/>
        <v>0</v>
      </c>
      <c r="L4162" s="120">
        <f t="shared" si="1551"/>
        <v>0</v>
      </c>
      <c r="M4162" s="246">
        <f t="shared" si="1552"/>
        <v>0</v>
      </c>
      <c r="N4162" s="121">
        <f t="shared" si="1553"/>
        <v>1</v>
      </c>
      <c r="O4162" s="246">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87">
        <v>5</v>
      </c>
      <c r="B4163" s="242">
        <f t="shared" si="1561"/>
        <v>45778</v>
      </c>
      <c r="C4163" s="243">
        <f t="shared" si="1542"/>
        <v>45808</v>
      </c>
      <c r="D4163" s="120">
        <f t="shared" si="1543"/>
        <v>31</v>
      </c>
      <c r="E4163" s="120">
        <f t="shared" si="1544"/>
        <v>5</v>
      </c>
      <c r="F4163" s="275">
        <f t="shared" si="1545"/>
        <v>45793.5</v>
      </c>
      <c r="G4163" s="120">
        <f t="shared" si="1546"/>
        <v>24304</v>
      </c>
      <c r="H4163" s="245">
        <f t="shared" si="1547"/>
        <v>1</v>
      </c>
      <c r="I4163" s="121">
        <f t="shared" si="1548"/>
        <v>1</v>
      </c>
      <c r="J4163" s="121">
        <f t="shared" si="1549"/>
        <v>1</v>
      </c>
      <c r="K4163" s="120">
        <f t="shared" si="1550"/>
        <v>0</v>
      </c>
      <c r="L4163" s="120">
        <f t="shared" si="1551"/>
        <v>0</v>
      </c>
      <c r="M4163" s="246">
        <f t="shared" si="1552"/>
        <v>0</v>
      </c>
      <c r="N4163" s="121">
        <f t="shared" si="1553"/>
        <v>1</v>
      </c>
      <c r="O4163" s="246">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87">
        <v>6</v>
      </c>
      <c r="B4164" s="242">
        <f t="shared" si="1561"/>
        <v>45809</v>
      </c>
      <c r="C4164" s="243">
        <f t="shared" si="1542"/>
        <v>45838</v>
      </c>
      <c r="D4164" s="120">
        <f t="shared" si="1543"/>
        <v>30</v>
      </c>
      <c r="E4164" s="120">
        <f t="shared" si="1544"/>
        <v>6</v>
      </c>
      <c r="F4164" s="275">
        <f t="shared" si="1545"/>
        <v>45824</v>
      </c>
      <c r="G4164" s="120">
        <f t="shared" si="1546"/>
        <v>24305</v>
      </c>
      <c r="H4164" s="245">
        <f t="shared" si="1547"/>
        <v>1</v>
      </c>
      <c r="I4164" s="121">
        <f t="shared" si="1548"/>
        <v>1</v>
      </c>
      <c r="J4164" s="121">
        <f t="shared" si="1549"/>
        <v>1</v>
      </c>
      <c r="K4164" s="120">
        <f t="shared" si="1550"/>
        <v>0</v>
      </c>
      <c r="L4164" s="120">
        <f t="shared" si="1551"/>
        <v>0</v>
      </c>
      <c r="M4164" s="246">
        <f t="shared" si="1552"/>
        <v>0</v>
      </c>
      <c r="N4164" s="121">
        <f t="shared" si="1553"/>
        <v>1</v>
      </c>
      <c r="O4164" s="246">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87">
        <v>7</v>
      </c>
      <c r="B4165" s="242">
        <f t="shared" si="1561"/>
        <v>45839</v>
      </c>
      <c r="C4165" s="243">
        <f t="shared" si="1542"/>
        <v>45869</v>
      </c>
      <c r="D4165" s="120">
        <f t="shared" si="1543"/>
        <v>31</v>
      </c>
      <c r="E4165" s="120">
        <f t="shared" si="1544"/>
        <v>7</v>
      </c>
      <c r="F4165" s="275">
        <f t="shared" si="1545"/>
        <v>45854.5</v>
      </c>
      <c r="G4165" s="120">
        <f t="shared" si="1546"/>
        <v>24306</v>
      </c>
      <c r="H4165" s="245">
        <f t="shared" si="1547"/>
        <v>1</v>
      </c>
      <c r="I4165" s="121">
        <f t="shared" si="1548"/>
        <v>1</v>
      </c>
      <c r="J4165" s="121">
        <f t="shared" si="1549"/>
        <v>1.04</v>
      </c>
      <c r="K4165" s="120">
        <f t="shared" si="1550"/>
        <v>1</v>
      </c>
      <c r="L4165" s="120">
        <f t="shared" si="1551"/>
        <v>31</v>
      </c>
      <c r="M4165" s="246">
        <f t="shared" si="1552"/>
        <v>1</v>
      </c>
      <c r="N4165" s="121">
        <f t="shared" si="1553"/>
        <v>1.04</v>
      </c>
      <c r="O4165" s="246">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87">
        <v>8</v>
      </c>
      <c r="B4166" s="242">
        <f t="shared" si="1561"/>
        <v>45870</v>
      </c>
      <c r="C4166" s="243">
        <f t="shared" si="1542"/>
        <v>45900</v>
      </c>
      <c r="D4166" s="120">
        <f t="shared" si="1543"/>
        <v>31</v>
      </c>
      <c r="E4166" s="120">
        <f t="shared" si="1544"/>
        <v>8</v>
      </c>
      <c r="F4166" s="275">
        <f t="shared" si="1545"/>
        <v>45885.5</v>
      </c>
      <c r="G4166" s="120">
        <f t="shared" si="1546"/>
        <v>24307</v>
      </c>
      <c r="H4166" s="245">
        <f t="shared" si="1547"/>
        <v>1</v>
      </c>
      <c r="I4166" s="121">
        <f t="shared" si="1548"/>
        <v>1.04</v>
      </c>
      <c r="J4166" s="121">
        <f t="shared" si="1549"/>
        <v>1.04</v>
      </c>
      <c r="K4166" s="120">
        <f t="shared" si="1550"/>
        <v>0</v>
      </c>
      <c r="L4166" s="120">
        <f t="shared" si="1551"/>
        <v>0</v>
      </c>
      <c r="M4166" s="246">
        <f t="shared" si="1552"/>
        <v>0</v>
      </c>
      <c r="N4166" s="121">
        <f t="shared" si="1553"/>
        <v>1.04</v>
      </c>
      <c r="O4166" s="246">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87">
        <v>9</v>
      </c>
      <c r="B4167" s="242">
        <f t="shared" si="1561"/>
        <v>45901</v>
      </c>
      <c r="C4167" s="243">
        <f t="shared" si="1542"/>
        <v>45930</v>
      </c>
      <c r="D4167" s="120">
        <f t="shared" si="1543"/>
        <v>30</v>
      </c>
      <c r="E4167" s="120">
        <f t="shared" si="1544"/>
        <v>9</v>
      </c>
      <c r="F4167" s="275">
        <f t="shared" si="1545"/>
        <v>45916</v>
      </c>
      <c r="G4167" s="120">
        <f t="shared" si="1546"/>
        <v>24308</v>
      </c>
      <c r="H4167" s="245">
        <f t="shared" si="1547"/>
        <v>1</v>
      </c>
      <c r="I4167" s="121">
        <f t="shared" si="1548"/>
        <v>1.04</v>
      </c>
      <c r="J4167" s="121">
        <f t="shared" si="1549"/>
        <v>1.04</v>
      </c>
      <c r="K4167" s="120">
        <f t="shared" si="1550"/>
        <v>0</v>
      </c>
      <c r="L4167" s="120">
        <f t="shared" si="1551"/>
        <v>0</v>
      </c>
      <c r="M4167" s="246">
        <f t="shared" si="1552"/>
        <v>0</v>
      </c>
      <c r="N4167" s="121">
        <f t="shared" si="1553"/>
        <v>1.04</v>
      </c>
      <c r="O4167" s="246">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87">
        <v>10</v>
      </c>
      <c r="B4168" s="242">
        <f t="shared" si="1561"/>
        <v>45931</v>
      </c>
      <c r="C4168" s="243">
        <f t="shared" si="1542"/>
        <v>45961</v>
      </c>
      <c r="D4168" s="120">
        <f t="shared" si="1543"/>
        <v>31</v>
      </c>
      <c r="E4168" s="120">
        <f t="shared" si="1544"/>
        <v>10</v>
      </c>
      <c r="F4168" s="275">
        <f t="shared" si="1545"/>
        <v>45946.5</v>
      </c>
      <c r="G4168" s="120">
        <f t="shared" si="1546"/>
        <v>24309</v>
      </c>
      <c r="H4168" s="245">
        <f t="shared" si="1547"/>
        <v>1</v>
      </c>
      <c r="I4168" s="121">
        <f t="shared" si="1548"/>
        <v>1.04</v>
      </c>
      <c r="J4168" s="121">
        <f t="shared" si="1549"/>
        <v>1.04</v>
      </c>
      <c r="K4168" s="120">
        <f t="shared" si="1550"/>
        <v>0</v>
      </c>
      <c r="L4168" s="120">
        <f t="shared" si="1551"/>
        <v>0</v>
      </c>
      <c r="M4168" s="246">
        <f t="shared" si="1552"/>
        <v>0</v>
      </c>
      <c r="N4168" s="121">
        <f t="shared" si="1553"/>
        <v>1.04</v>
      </c>
      <c r="O4168" s="246">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87">
        <v>11</v>
      </c>
      <c r="B4169" s="242">
        <f t="shared" si="1561"/>
        <v>45962</v>
      </c>
      <c r="C4169" s="243">
        <f t="shared" si="1542"/>
        <v>45991</v>
      </c>
      <c r="D4169" s="120">
        <f t="shared" si="1543"/>
        <v>30</v>
      </c>
      <c r="E4169" s="120">
        <f t="shared" si="1544"/>
        <v>11</v>
      </c>
      <c r="F4169" s="275">
        <f t="shared" si="1545"/>
        <v>45977</v>
      </c>
      <c r="G4169" s="120">
        <f t="shared" si="1546"/>
        <v>24310</v>
      </c>
      <c r="H4169" s="245">
        <f t="shared" si="1547"/>
        <v>1</v>
      </c>
      <c r="I4169" s="121">
        <f t="shared" si="1548"/>
        <v>1.04</v>
      </c>
      <c r="J4169" s="121">
        <f t="shared" si="1549"/>
        <v>1.04</v>
      </c>
      <c r="K4169" s="120">
        <f t="shared" si="1550"/>
        <v>0</v>
      </c>
      <c r="L4169" s="120">
        <f t="shared" si="1551"/>
        <v>0</v>
      </c>
      <c r="M4169" s="246">
        <f t="shared" si="1552"/>
        <v>0</v>
      </c>
      <c r="N4169" s="121">
        <f t="shared" si="1553"/>
        <v>1.04</v>
      </c>
      <c r="O4169" s="246">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87">
        <v>12</v>
      </c>
      <c r="B4170" s="242">
        <f t="shared" si="1561"/>
        <v>45992</v>
      </c>
      <c r="C4170" s="243">
        <f t="shared" si="1542"/>
        <v>46022</v>
      </c>
      <c r="D4170" s="120">
        <f t="shared" si="1543"/>
        <v>31</v>
      </c>
      <c r="E4170" s="120">
        <f t="shared" si="1544"/>
        <v>12</v>
      </c>
      <c r="F4170" s="275">
        <f t="shared" si="1545"/>
        <v>46007.5</v>
      </c>
      <c r="G4170" s="120">
        <f t="shared" si="1546"/>
        <v>24311</v>
      </c>
      <c r="H4170" s="245">
        <f t="shared" si="1547"/>
        <v>1</v>
      </c>
      <c r="I4170" s="121">
        <f t="shared" si="1548"/>
        <v>1.04</v>
      </c>
      <c r="J4170" s="121">
        <f t="shared" si="1549"/>
        <v>1.04</v>
      </c>
      <c r="K4170" s="120">
        <f t="shared" si="1550"/>
        <v>0</v>
      </c>
      <c r="L4170" s="120">
        <f t="shared" si="1551"/>
        <v>0</v>
      </c>
      <c r="M4170" s="246">
        <f t="shared" si="1552"/>
        <v>0</v>
      </c>
      <c r="N4170" s="121">
        <f t="shared" si="1553"/>
        <v>1.04</v>
      </c>
      <c r="O4170" s="246">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87">
        <v>13</v>
      </c>
      <c r="B4171" s="242">
        <f t="shared" si="1561"/>
        <v>46023</v>
      </c>
      <c r="C4171" s="243">
        <f t="shared" si="1542"/>
        <v>46053</v>
      </c>
      <c r="D4171" s="120">
        <f t="shared" si="1543"/>
        <v>31</v>
      </c>
      <c r="E4171" s="120">
        <f t="shared" si="1544"/>
        <v>1</v>
      </c>
      <c r="F4171" s="275">
        <f t="shared" si="1545"/>
        <v>46038.5</v>
      </c>
      <c r="G4171" s="120">
        <f t="shared" si="1546"/>
        <v>24312</v>
      </c>
      <c r="H4171" s="245">
        <f t="shared" si="1547"/>
        <v>1</v>
      </c>
      <c r="I4171" s="121">
        <f t="shared" si="1548"/>
        <v>1.04</v>
      </c>
      <c r="J4171" s="121">
        <f t="shared" si="1549"/>
        <v>1.04</v>
      </c>
      <c r="K4171" s="120">
        <f t="shared" si="1550"/>
        <v>0</v>
      </c>
      <c r="L4171" s="120">
        <f t="shared" si="1551"/>
        <v>0</v>
      </c>
      <c r="M4171" s="246">
        <f t="shared" si="1552"/>
        <v>0</v>
      </c>
      <c r="N4171" s="121">
        <f t="shared" si="1553"/>
        <v>1.04</v>
      </c>
      <c r="O4171" s="246">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87">
        <v>14</v>
      </c>
      <c r="B4172" s="242">
        <f t="shared" si="1561"/>
        <v>46054</v>
      </c>
      <c r="C4172" s="243">
        <f t="shared" si="1542"/>
        <v>46081</v>
      </c>
      <c r="D4172" s="120">
        <f t="shared" si="1543"/>
        <v>28</v>
      </c>
      <c r="E4172" s="120">
        <f t="shared" si="1544"/>
        <v>2</v>
      </c>
      <c r="F4172" s="275">
        <f t="shared" si="1545"/>
        <v>46068</v>
      </c>
      <c r="G4172" s="120">
        <f t="shared" si="1546"/>
        <v>24313</v>
      </c>
      <c r="H4172" s="245">
        <f t="shared" si="1547"/>
        <v>1</v>
      </c>
      <c r="I4172" s="121">
        <f t="shared" si="1548"/>
        <v>1.04</v>
      </c>
      <c r="J4172" s="121">
        <f t="shared" si="1549"/>
        <v>1.04</v>
      </c>
      <c r="K4172" s="120">
        <f t="shared" si="1550"/>
        <v>0</v>
      </c>
      <c r="L4172" s="120">
        <f t="shared" si="1551"/>
        <v>0</v>
      </c>
      <c r="M4172" s="246">
        <f t="shared" si="1552"/>
        <v>0</v>
      </c>
      <c r="N4172" s="121">
        <f t="shared" si="1553"/>
        <v>1.04</v>
      </c>
      <c r="O4172" s="246">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87">
        <v>15</v>
      </c>
      <c r="B4173" s="242">
        <f t="shared" si="1561"/>
        <v>46082</v>
      </c>
      <c r="C4173" s="243">
        <f t="shared" si="1542"/>
        <v>46112</v>
      </c>
      <c r="D4173" s="120">
        <f t="shared" si="1543"/>
        <v>31</v>
      </c>
      <c r="E4173" s="120">
        <f t="shared" si="1544"/>
        <v>3</v>
      </c>
      <c r="F4173" s="275">
        <f t="shared" si="1545"/>
        <v>46097.5</v>
      </c>
      <c r="G4173" s="120">
        <f t="shared" si="1546"/>
        <v>24314</v>
      </c>
      <c r="H4173" s="245">
        <f t="shared" si="1547"/>
        <v>1</v>
      </c>
      <c r="I4173" s="121">
        <f t="shared" si="1548"/>
        <v>1.04</v>
      </c>
      <c r="J4173" s="121">
        <f t="shared" si="1549"/>
        <v>1.04</v>
      </c>
      <c r="K4173" s="120">
        <f t="shared" si="1550"/>
        <v>0</v>
      </c>
      <c r="L4173" s="120">
        <f t="shared" si="1551"/>
        <v>0</v>
      </c>
      <c r="M4173" s="246">
        <f t="shared" si="1552"/>
        <v>0</v>
      </c>
      <c r="N4173" s="121">
        <f t="shared" si="1553"/>
        <v>1.04</v>
      </c>
      <c r="O4173" s="246">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87">
        <v>16</v>
      </c>
      <c r="B4174" s="242">
        <f t="shared" si="1561"/>
        <v>46113</v>
      </c>
      <c r="C4174" s="243">
        <f t="shared" si="1542"/>
        <v>46142</v>
      </c>
      <c r="D4174" s="120">
        <f t="shared" si="1543"/>
        <v>30</v>
      </c>
      <c r="E4174" s="120">
        <f t="shared" si="1544"/>
        <v>4</v>
      </c>
      <c r="F4174" s="275">
        <f t="shared" si="1545"/>
        <v>46128</v>
      </c>
      <c r="G4174" s="120">
        <f t="shared" si="1546"/>
        <v>24315</v>
      </c>
      <c r="H4174" s="245">
        <f t="shared" si="1547"/>
        <v>1</v>
      </c>
      <c r="I4174" s="121">
        <f t="shared" si="1548"/>
        <v>1.04</v>
      </c>
      <c r="J4174" s="121">
        <f t="shared" si="1549"/>
        <v>1.04</v>
      </c>
      <c r="K4174" s="120">
        <f t="shared" si="1550"/>
        <v>0</v>
      </c>
      <c r="L4174" s="120">
        <f t="shared" si="1551"/>
        <v>0</v>
      </c>
      <c r="M4174" s="246">
        <f t="shared" si="1552"/>
        <v>0</v>
      </c>
      <c r="N4174" s="121">
        <f t="shared" si="1553"/>
        <v>1.04</v>
      </c>
      <c r="O4174" s="246">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87">
        <v>17</v>
      </c>
      <c r="B4175" s="242">
        <f t="shared" si="1561"/>
        <v>46143</v>
      </c>
      <c r="C4175" s="243">
        <f t="shared" si="1542"/>
        <v>46173</v>
      </c>
      <c r="D4175" s="120">
        <f t="shared" si="1543"/>
        <v>31</v>
      </c>
      <c r="E4175" s="120">
        <f t="shared" si="1544"/>
        <v>5</v>
      </c>
      <c r="F4175" s="275">
        <f t="shared" si="1545"/>
        <v>46158.5</v>
      </c>
      <c r="G4175" s="120">
        <f t="shared" si="1546"/>
        <v>24316</v>
      </c>
      <c r="H4175" s="245">
        <f t="shared" si="1547"/>
        <v>1</v>
      </c>
      <c r="I4175" s="121">
        <f t="shared" si="1548"/>
        <v>1.04</v>
      </c>
      <c r="J4175" s="121">
        <f t="shared" si="1549"/>
        <v>1.04</v>
      </c>
      <c r="K4175" s="120">
        <f t="shared" si="1550"/>
        <v>0</v>
      </c>
      <c r="L4175" s="120">
        <f t="shared" si="1551"/>
        <v>0</v>
      </c>
      <c r="M4175" s="246">
        <f t="shared" si="1552"/>
        <v>0</v>
      </c>
      <c r="N4175" s="121">
        <f t="shared" si="1553"/>
        <v>1.04</v>
      </c>
      <c r="O4175" s="246">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87">
        <v>18</v>
      </c>
      <c r="B4176" s="242">
        <f t="shared" si="1561"/>
        <v>46174</v>
      </c>
      <c r="C4176" s="243">
        <f t="shared" si="1542"/>
        <v>46203</v>
      </c>
      <c r="D4176" s="120">
        <f t="shared" si="1543"/>
        <v>30</v>
      </c>
      <c r="E4176" s="120">
        <f t="shared" si="1544"/>
        <v>6</v>
      </c>
      <c r="F4176" s="275">
        <f t="shared" si="1545"/>
        <v>46189</v>
      </c>
      <c r="G4176" s="120">
        <f t="shared" si="1546"/>
        <v>24317</v>
      </c>
      <c r="H4176" s="245">
        <f t="shared" si="1547"/>
        <v>1</v>
      </c>
      <c r="I4176" s="121">
        <f t="shared" si="1548"/>
        <v>1.04</v>
      </c>
      <c r="J4176" s="121">
        <f t="shared" si="1549"/>
        <v>1.04</v>
      </c>
      <c r="K4176" s="120">
        <f t="shared" si="1550"/>
        <v>0</v>
      </c>
      <c r="L4176" s="120">
        <f t="shared" si="1551"/>
        <v>0</v>
      </c>
      <c r="M4176" s="246">
        <f t="shared" si="1552"/>
        <v>0</v>
      </c>
      <c r="N4176" s="121">
        <f t="shared" si="1553"/>
        <v>1.04</v>
      </c>
      <c r="O4176" s="246">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87">
        <v>19</v>
      </c>
      <c r="B4177" s="242">
        <f t="shared" si="1561"/>
        <v>46204</v>
      </c>
      <c r="C4177" s="243">
        <f t="shared" si="1542"/>
        <v>46234</v>
      </c>
      <c r="D4177" s="120">
        <f t="shared" si="1543"/>
        <v>31</v>
      </c>
      <c r="E4177" s="120">
        <f t="shared" si="1544"/>
        <v>7</v>
      </c>
      <c r="F4177" s="275">
        <f t="shared" si="1545"/>
        <v>46219.5</v>
      </c>
      <c r="G4177" s="120">
        <f t="shared" si="1546"/>
        <v>24318</v>
      </c>
      <c r="H4177" s="245">
        <f t="shared" si="1547"/>
        <v>1</v>
      </c>
      <c r="I4177" s="121">
        <f t="shared" si="1548"/>
        <v>1.04</v>
      </c>
      <c r="J4177" s="121">
        <f t="shared" si="1549"/>
        <v>1.1024</v>
      </c>
      <c r="K4177" s="120">
        <f t="shared" si="1550"/>
        <v>1</v>
      </c>
      <c r="L4177" s="120">
        <f t="shared" si="1551"/>
        <v>31</v>
      </c>
      <c r="M4177" s="246">
        <f t="shared" si="1552"/>
        <v>1</v>
      </c>
      <c r="N4177" s="121">
        <f t="shared" si="1553"/>
        <v>1.1024</v>
      </c>
      <c r="O4177" s="246">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87">
        <v>20</v>
      </c>
      <c r="B4178" s="242">
        <f t="shared" si="1561"/>
        <v>46235</v>
      </c>
      <c r="C4178" s="243">
        <f t="shared" si="1542"/>
        <v>46265</v>
      </c>
      <c r="D4178" s="120">
        <f t="shared" si="1543"/>
        <v>31</v>
      </c>
      <c r="E4178" s="120">
        <f t="shared" si="1544"/>
        <v>8</v>
      </c>
      <c r="F4178" s="275">
        <f t="shared" si="1545"/>
        <v>46250.5</v>
      </c>
      <c r="G4178" s="120">
        <f t="shared" si="1546"/>
        <v>24319</v>
      </c>
      <c r="H4178" s="245">
        <f t="shared" si="1547"/>
        <v>1</v>
      </c>
      <c r="I4178" s="121">
        <f t="shared" si="1548"/>
        <v>1.1024</v>
      </c>
      <c r="J4178" s="121">
        <f t="shared" si="1549"/>
        <v>1.1024</v>
      </c>
      <c r="K4178" s="120">
        <f t="shared" si="1550"/>
        <v>0</v>
      </c>
      <c r="L4178" s="120">
        <f t="shared" si="1551"/>
        <v>0</v>
      </c>
      <c r="M4178" s="246">
        <f t="shared" si="1552"/>
        <v>0</v>
      </c>
      <c r="N4178" s="121">
        <f t="shared" si="1553"/>
        <v>1.1024</v>
      </c>
      <c r="O4178" s="246">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87">
        <v>21</v>
      </c>
      <c r="B4179" s="242">
        <f t="shared" si="1561"/>
        <v>46266</v>
      </c>
      <c r="C4179" s="243">
        <f t="shared" si="1542"/>
        <v>46295</v>
      </c>
      <c r="D4179" s="120">
        <f t="shared" si="1543"/>
        <v>30</v>
      </c>
      <c r="E4179" s="120">
        <f t="shared" si="1544"/>
        <v>9</v>
      </c>
      <c r="F4179" s="275">
        <f t="shared" si="1545"/>
        <v>46281</v>
      </c>
      <c r="G4179" s="120">
        <f t="shared" si="1546"/>
        <v>24320</v>
      </c>
      <c r="H4179" s="245">
        <f t="shared" si="1547"/>
        <v>1</v>
      </c>
      <c r="I4179" s="121">
        <f t="shared" si="1548"/>
        <v>1.1024</v>
      </c>
      <c r="J4179" s="121">
        <f t="shared" si="1549"/>
        <v>1.1024</v>
      </c>
      <c r="K4179" s="120">
        <f t="shared" si="1550"/>
        <v>0</v>
      </c>
      <c r="L4179" s="120">
        <f t="shared" si="1551"/>
        <v>0</v>
      </c>
      <c r="M4179" s="246">
        <f t="shared" si="1552"/>
        <v>0</v>
      </c>
      <c r="N4179" s="121">
        <f t="shared" si="1553"/>
        <v>1.1024</v>
      </c>
      <c r="O4179" s="246">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87">
        <v>22</v>
      </c>
      <c r="B4180" s="242">
        <f t="shared" si="1561"/>
        <v>46296</v>
      </c>
      <c r="C4180" s="243">
        <f t="shared" si="1542"/>
        <v>46326</v>
      </c>
      <c r="D4180" s="120">
        <f t="shared" si="1543"/>
        <v>31</v>
      </c>
      <c r="E4180" s="120">
        <f t="shared" si="1544"/>
        <v>10</v>
      </c>
      <c r="F4180" s="275">
        <f t="shared" si="1545"/>
        <v>46311.5</v>
      </c>
      <c r="G4180" s="120">
        <f t="shared" si="1546"/>
        <v>24321</v>
      </c>
      <c r="H4180" s="245">
        <f t="shared" si="1547"/>
        <v>1</v>
      </c>
      <c r="I4180" s="121">
        <f t="shared" si="1548"/>
        <v>1.1024</v>
      </c>
      <c r="J4180" s="121">
        <f t="shared" si="1549"/>
        <v>1.1024</v>
      </c>
      <c r="K4180" s="120">
        <f t="shared" si="1550"/>
        <v>0</v>
      </c>
      <c r="L4180" s="120">
        <f t="shared" si="1551"/>
        <v>0</v>
      </c>
      <c r="M4180" s="246">
        <f t="shared" si="1552"/>
        <v>0</v>
      </c>
      <c r="N4180" s="121">
        <f t="shared" si="1553"/>
        <v>1.1024</v>
      </c>
      <c r="O4180" s="246">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87">
        <v>23</v>
      </c>
      <c r="B4181" s="242">
        <f t="shared" si="1561"/>
        <v>46327</v>
      </c>
      <c r="C4181" s="243">
        <f t="shared" si="1542"/>
        <v>46356</v>
      </c>
      <c r="D4181" s="120">
        <f t="shared" si="1543"/>
        <v>30</v>
      </c>
      <c r="E4181" s="120">
        <f t="shared" si="1544"/>
        <v>11</v>
      </c>
      <c r="F4181" s="275">
        <f t="shared" si="1545"/>
        <v>46342</v>
      </c>
      <c r="G4181" s="120">
        <f t="shared" si="1546"/>
        <v>24322</v>
      </c>
      <c r="H4181" s="245">
        <f t="shared" si="1547"/>
        <v>1</v>
      </c>
      <c r="I4181" s="121">
        <f t="shared" si="1548"/>
        <v>1.1024</v>
      </c>
      <c r="J4181" s="121">
        <f t="shared" si="1549"/>
        <v>1.1024</v>
      </c>
      <c r="K4181" s="120">
        <f t="shared" si="1550"/>
        <v>0</v>
      </c>
      <c r="L4181" s="120">
        <f t="shared" si="1551"/>
        <v>0</v>
      </c>
      <c r="M4181" s="246">
        <f t="shared" si="1552"/>
        <v>0</v>
      </c>
      <c r="N4181" s="121">
        <f t="shared" si="1553"/>
        <v>1.1024</v>
      </c>
      <c r="O4181" s="246">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87">
        <v>24</v>
      </c>
      <c r="B4182" s="242">
        <f t="shared" si="1561"/>
        <v>46357</v>
      </c>
      <c r="C4182" s="243">
        <f t="shared" si="1542"/>
        <v>46387</v>
      </c>
      <c r="D4182" s="120">
        <f t="shared" si="1543"/>
        <v>31</v>
      </c>
      <c r="E4182" s="120">
        <f t="shared" si="1544"/>
        <v>12</v>
      </c>
      <c r="F4182" s="275">
        <f t="shared" si="1545"/>
        <v>46372.5</v>
      </c>
      <c r="G4182" s="120">
        <f t="shared" si="1546"/>
        <v>24323</v>
      </c>
      <c r="H4182" s="245">
        <f t="shared" si="1547"/>
        <v>1</v>
      </c>
      <c r="I4182" s="121">
        <f t="shared" si="1548"/>
        <v>1.1024</v>
      </c>
      <c r="J4182" s="121">
        <f t="shared" si="1549"/>
        <v>1.1024</v>
      </c>
      <c r="K4182" s="120">
        <f t="shared" si="1550"/>
        <v>0</v>
      </c>
      <c r="L4182" s="120">
        <f t="shared" si="1551"/>
        <v>0</v>
      </c>
      <c r="M4182" s="246">
        <f t="shared" si="1552"/>
        <v>0</v>
      </c>
      <c r="N4182" s="121">
        <f t="shared" si="1553"/>
        <v>1.1024</v>
      </c>
      <c r="O4182" s="246">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87">
        <v>25</v>
      </c>
      <c r="B4183" s="242">
        <f t="shared" si="1561"/>
        <v>46388</v>
      </c>
      <c r="C4183" s="243">
        <f t="shared" si="1542"/>
        <v>46418</v>
      </c>
      <c r="D4183" s="120">
        <f t="shared" si="1543"/>
        <v>31</v>
      </c>
      <c r="E4183" s="120">
        <f t="shared" si="1544"/>
        <v>1</v>
      </c>
      <c r="F4183" s="275">
        <f t="shared" si="1545"/>
        <v>46403.5</v>
      </c>
      <c r="G4183" s="120">
        <f t="shared" si="1546"/>
        <v>24324</v>
      </c>
      <c r="H4183" s="245">
        <f t="shared" si="1547"/>
        <v>1</v>
      </c>
      <c r="I4183" s="121">
        <f t="shared" si="1548"/>
        <v>1.1024</v>
      </c>
      <c r="J4183" s="121">
        <f t="shared" si="1549"/>
        <v>1.1024</v>
      </c>
      <c r="K4183" s="120">
        <f t="shared" si="1550"/>
        <v>0</v>
      </c>
      <c r="L4183" s="120">
        <f t="shared" si="1551"/>
        <v>0</v>
      </c>
      <c r="M4183" s="246">
        <f t="shared" si="1552"/>
        <v>0</v>
      </c>
      <c r="N4183" s="121">
        <f t="shared" si="1553"/>
        <v>1.1024</v>
      </c>
      <c r="O4183" s="246">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87">
        <v>26</v>
      </c>
      <c r="B4184" s="242">
        <f t="shared" si="1561"/>
        <v>46419</v>
      </c>
      <c r="C4184" s="243">
        <f t="shared" si="1542"/>
        <v>46446</v>
      </c>
      <c r="D4184" s="120">
        <f t="shared" si="1543"/>
        <v>28</v>
      </c>
      <c r="E4184" s="120">
        <f t="shared" si="1544"/>
        <v>2</v>
      </c>
      <c r="F4184" s="275">
        <f t="shared" si="1545"/>
        <v>46433</v>
      </c>
      <c r="G4184" s="120">
        <f t="shared" si="1546"/>
        <v>24325</v>
      </c>
      <c r="H4184" s="245">
        <f t="shared" si="1547"/>
        <v>1</v>
      </c>
      <c r="I4184" s="121">
        <f t="shared" si="1548"/>
        <v>1.1024</v>
      </c>
      <c r="J4184" s="121">
        <f t="shared" si="1549"/>
        <v>1.1024</v>
      </c>
      <c r="K4184" s="120">
        <f t="shared" si="1550"/>
        <v>0</v>
      </c>
      <c r="L4184" s="120">
        <f t="shared" si="1551"/>
        <v>0</v>
      </c>
      <c r="M4184" s="246">
        <f t="shared" si="1552"/>
        <v>0</v>
      </c>
      <c r="N4184" s="121">
        <f t="shared" si="1553"/>
        <v>1.1024</v>
      </c>
      <c r="O4184" s="246">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87">
        <v>27</v>
      </c>
      <c r="B4185" s="242">
        <f t="shared" si="1561"/>
        <v>46447</v>
      </c>
      <c r="C4185" s="243">
        <f t="shared" si="1542"/>
        <v>46477</v>
      </c>
      <c r="D4185" s="120">
        <f t="shared" si="1543"/>
        <v>31</v>
      </c>
      <c r="E4185" s="120">
        <f t="shared" si="1544"/>
        <v>3</v>
      </c>
      <c r="F4185" s="275">
        <f t="shared" si="1545"/>
        <v>46462.5</v>
      </c>
      <c r="G4185" s="120">
        <f t="shared" si="1546"/>
        <v>24326</v>
      </c>
      <c r="H4185" s="245">
        <f t="shared" si="1547"/>
        <v>1</v>
      </c>
      <c r="I4185" s="121">
        <f t="shared" si="1548"/>
        <v>1.1024</v>
      </c>
      <c r="J4185" s="121">
        <f t="shared" si="1549"/>
        <v>1.1024</v>
      </c>
      <c r="K4185" s="120">
        <f t="shared" si="1550"/>
        <v>0</v>
      </c>
      <c r="L4185" s="120">
        <f t="shared" si="1551"/>
        <v>0</v>
      </c>
      <c r="M4185" s="246">
        <f t="shared" si="1552"/>
        <v>0</v>
      </c>
      <c r="N4185" s="121">
        <f t="shared" si="1553"/>
        <v>1.1024</v>
      </c>
      <c r="O4185" s="246">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87">
        <v>28</v>
      </c>
      <c r="B4186" s="242">
        <f t="shared" si="1561"/>
        <v>46478</v>
      </c>
      <c r="C4186" s="243">
        <f t="shared" si="1542"/>
        <v>46507</v>
      </c>
      <c r="D4186" s="120">
        <f t="shared" si="1543"/>
        <v>30</v>
      </c>
      <c r="E4186" s="120">
        <f t="shared" si="1544"/>
        <v>4</v>
      </c>
      <c r="F4186" s="275">
        <f t="shared" si="1545"/>
        <v>46493</v>
      </c>
      <c r="G4186" s="120">
        <f t="shared" si="1546"/>
        <v>24327</v>
      </c>
      <c r="H4186" s="245">
        <f t="shared" si="1547"/>
        <v>1</v>
      </c>
      <c r="I4186" s="121">
        <f t="shared" si="1548"/>
        <v>1.1024</v>
      </c>
      <c r="J4186" s="121">
        <f t="shared" si="1549"/>
        <v>1.1575200000000001</v>
      </c>
      <c r="K4186" s="120">
        <f t="shared" si="1550"/>
        <v>1</v>
      </c>
      <c r="L4186" s="120">
        <f t="shared" si="1551"/>
        <v>30</v>
      </c>
      <c r="M4186" s="246">
        <f t="shared" si="1552"/>
        <v>1</v>
      </c>
      <c r="N4186" s="121">
        <f t="shared" si="1553"/>
        <v>1.1575200000000001</v>
      </c>
      <c r="O4186" s="246">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87">
        <v>29</v>
      </c>
      <c r="B4187" s="242">
        <f t="shared" si="1561"/>
        <v>46508</v>
      </c>
      <c r="C4187" s="243">
        <f t="shared" si="1542"/>
        <v>46538</v>
      </c>
      <c r="D4187" s="120">
        <f t="shared" si="1543"/>
        <v>31</v>
      </c>
      <c r="E4187" s="120">
        <f t="shared" si="1544"/>
        <v>5</v>
      </c>
      <c r="F4187" s="275">
        <f t="shared" si="1545"/>
        <v>46523.5</v>
      </c>
      <c r="G4187" s="120">
        <f t="shared" si="1546"/>
        <v>24328</v>
      </c>
      <c r="H4187" s="245">
        <f t="shared" si="1547"/>
        <v>1</v>
      </c>
      <c r="I4187" s="121">
        <f t="shared" si="1548"/>
        <v>1.1575200000000001</v>
      </c>
      <c r="J4187" s="121">
        <f t="shared" si="1549"/>
        <v>1.1575200000000001</v>
      </c>
      <c r="K4187" s="120">
        <f t="shared" si="1550"/>
        <v>0</v>
      </c>
      <c r="L4187" s="120">
        <f t="shared" si="1551"/>
        <v>0</v>
      </c>
      <c r="M4187" s="246">
        <f t="shared" si="1552"/>
        <v>0</v>
      </c>
      <c r="N4187" s="121">
        <f t="shared" si="1553"/>
        <v>1.1575200000000001</v>
      </c>
      <c r="O4187" s="246">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87">
        <v>30</v>
      </c>
      <c r="B4188" s="242">
        <f t="shared" si="1561"/>
        <v>46539</v>
      </c>
      <c r="C4188" s="243">
        <f t="shared" si="1542"/>
        <v>46568</v>
      </c>
      <c r="D4188" s="120">
        <f t="shared" si="1543"/>
        <v>30</v>
      </c>
      <c r="E4188" s="120">
        <f t="shared" si="1544"/>
        <v>6</v>
      </c>
      <c r="F4188" s="275">
        <f t="shared" si="1545"/>
        <v>46554</v>
      </c>
      <c r="G4188" s="120">
        <f t="shared" si="1546"/>
        <v>24329</v>
      </c>
      <c r="H4188" s="245">
        <f t="shared" si="1547"/>
        <v>1</v>
      </c>
      <c r="I4188" s="121">
        <f t="shared" si="1548"/>
        <v>1.1575200000000001</v>
      </c>
      <c r="J4188" s="121">
        <f t="shared" si="1549"/>
        <v>1.1575200000000001</v>
      </c>
      <c r="K4188" s="120">
        <f t="shared" si="1550"/>
        <v>0</v>
      </c>
      <c r="L4188" s="120">
        <f t="shared" si="1551"/>
        <v>0</v>
      </c>
      <c r="M4188" s="246">
        <f t="shared" si="1552"/>
        <v>0</v>
      </c>
      <c r="N4188" s="121">
        <f t="shared" si="1553"/>
        <v>1.1575200000000001</v>
      </c>
      <c r="O4188" s="246">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87">
        <v>31</v>
      </c>
      <c r="B4189" s="242">
        <f t="shared" si="1561"/>
        <v>46569</v>
      </c>
      <c r="C4189" s="243">
        <f t="shared" si="1542"/>
        <v>46599</v>
      </c>
      <c r="D4189" s="120">
        <f t="shared" si="1543"/>
        <v>31</v>
      </c>
      <c r="E4189" s="120">
        <f t="shared" si="1544"/>
        <v>7</v>
      </c>
      <c r="F4189" s="275">
        <f t="shared" si="1545"/>
        <v>46584.5</v>
      </c>
      <c r="G4189" s="120">
        <f t="shared" si="1546"/>
        <v>24330</v>
      </c>
      <c r="H4189" s="245">
        <f t="shared" si="1547"/>
        <v>1</v>
      </c>
      <c r="I4189" s="121">
        <f t="shared" si="1548"/>
        <v>1.1575200000000001</v>
      </c>
      <c r="J4189" s="121">
        <f t="shared" si="1549"/>
        <v>1.1575200000000001</v>
      </c>
      <c r="K4189" s="120">
        <f t="shared" si="1550"/>
        <v>0</v>
      </c>
      <c r="L4189" s="120">
        <f t="shared" si="1551"/>
        <v>0</v>
      </c>
      <c r="M4189" s="246">
        <f t="shared" si="1552"/>
        <v>0</v>
      </c>
      <c r="N4189" s="121">
        <f t="shared" si="1553"/>
        <v>1.1575200000000001</v>
      </c>
      <c r="O4189" s="246">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87">
        <v>32</v>
      </c>
      <c r="B4190" s="242">
        <f t="shared" si="1561"/>
        <v>46600</v>
      </c>
      <c r="C4190" s="243">
        <f t="shared" si="1542"/>
        <v>46630</v>
      </c>
      <c r="D4190" s="120">
        <f t="shared" si="1543"/>
        <v>31</v>
      </c>
      <c r="E4190" s="120">
        <f t="shared" si="1544"/>
        <v>8</v>
      </c>
      <c r="F4190" s="275">
        <f t="shared" si="1545"/>
        <v>46615.5</v>
      </c>
      <c r="G4190" s="120">
        <f t="shared" si="1546"/>
        <v>24331</v>
      </c>
      <c r="H4190" s="245">
        <f t="shared" si="1547"/>
        <v>1</v>
      </c>
      <c r="I4190" s="121">
        <f t="shared" si="1548"/>
        <v>1.1575200000000001</v>
      </c>
      <c r="J4190" s="121">
        <f t="shared" si="1549"/>
        <v>1.1575200000000001</v>
      </c>
      <c r="K4190" s="120">
        <f t="shared" si="1550"/>
        <v>0</v>
      </c>
      <c r="L4190" s="120">
        <f t="shared" si="1551"/>
        <v>0</v>
      </c>
      <c r="M4190" s="246">
        <f t="shared" si="1552"/>
        <v>0</v>
      </c>
      <c r="N4190" s="121">
        <f t="shared" si="1553"/>
        <v>1.1575200000000001</v>
      </c>
      <c r="O4190" s="246">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87">
        <v>33</v>
      </c>
      <c r="B4191" s="242">
        <f t="shared" si="1561"/>
        <v>46631</v>
      </c>
      <c r="C4191" s="243">
        <f t="shared" si="1542"/>
        <v>46660</v>
      </c>
      <c r="D4191" s="120">
        <f t="shared" si="1543"/>
        <v>30</v>
      </c>
      <c r="E4191" s="120">
        <f t="shared" si="1544"/>
        <v>9</v>
      </c>
      <c r="F4191" s="275">
        <f t="shared" si="1545"/>
        <v>46646</v>
      </c>
      <c r="G4191" s="120">
        <f t="shared" si="1546"/>
        <v>24332</v>
      </c>
      <c r="H4191" s="245">
        <f t="shared" si="1547"/>
        <v>1</v>
      </c>
      <c r="I4191" s="121">
        <f t="shared" si="1548"/>
        <v>1.1575200000000001</v>
      </c>
      <c r="J4191" s="121">
        <f t="shared" si="1549"/>
        <v>1.1575200000000001</v>
      </c>
      <c r="K4191" s="120">
        <f t="shared" si="1550"/>
        <v>0</v>
      </c>
      <c r="L4191" s="120">
        <f t="shared" si="1551"/>
        <v>0</v>
      </c>
      <c r="M4191" s="246">
        <f t="shared" si="1552"/>
        <v>0</v>
      </c>
      <c r="N4191" s="121">
        <f t="shared" si="1553"/>
        <v>1.1575200000000001</v>
      </c>
      <c r="O4191" s="246">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87">
        <v>34</v>
      </c>
      <c r="B4192" s="242">
        <f t="shared" si="1561"/>
        <v>46661</v>
      </c>
      <c r="C4192" s="243">
        <f t="shared" si="1542"/>
        <v>46691</v>
      </c>
      <c r="D4192" s="120">
        <f t="shared" si="1543"/>
        <v>31</v>
      </c>
      <c r="E4192" s="120">
        <f t="shared" si="1544"/>
        <v>10</v>
      </c>
      <c r="F4192" s="275">
        <f t="shared" si="1545"/>
        <v>46676.5</v>
      </c>
      <c r="G4192" s="120">
        <f t="shared" si="1546"/>
        <v>24333</v>
      </c>
      <c r="H4192" s="245">
        <f t="shared" si="1547"/>
        <v>1</v>
      </c>
      <c r="I4192" s="121">
        <f t="shared" si="1548"/>
        <v>1.1575200000000001</v>
      </c>
      <c r="J4192" s="121">
        <f t="shared" si="1549"/>
        <v>1.1575200000000001</v>
      </c>
      <c r="K4192" s="120">
        <f t="shared" si="1550"/>
        <v>0</v>
      </c>
      <c r="L4192" s="120">
        <f t="shared" si="1551"/>
        <v>0</v>
      </c>
      <c r="M4192" s="246">
        <f t="shared" si="1552"/>
        <v>0</v>
      </c>
      <c r="N4192" s="121">
        <f t="shared" si="1553"/>
        <v>1.1575200000000001</v>
      </c>
      <c r="O4192" s="246">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87">
        <v>35</v>
      </c>
      <c r="B4193" s="242">
        <f t="shared" si="1561"/>
        <v>46692</v>
      </c>
      <c r="C4193" s="243">
        <f t="shared" si="1542"/>
        <v>46721</v>
      </c>
      <c r="D4193" s="120">
        <f t="shared" si="1543"/>
        <v>30</v>
      </c>
      <c r="E4193" s="120">
        <f t="shared" si="1544"/>
        <v>11</v>
      </c>
      <c r="F4193" s="275">
        <f t="shared" si="1545"/>
        <v>46707</v>
      </c>
      <c r="G4193" s="120">
        <f t="shared" si="1546"/>
        <v>24334</v>
      </c>
      <c r="H4193" s="245">
        <f t="shared" si="1547"/>
        <v>1</v>
      </c>
      <c r="I4193" s="121">
        <f t="shared" si="1548"/>
        <v>1.1575200000000001</v>
      </c>
      <c r="J4193" s="121">
        <f t="shared" si="1549"/>
        <v>1.1575200000000001</v>
      </c>
      <c r="K4193" s="120">
        <f t="shared" si="1550"/>
        <v>0</v>
      </c>
      <c r="L4193" s="120">
        <f t="shared" si="1551"/>
        <v>0</v>
      </c>
      <c r="M4193" s="246">
        <f t="shared" si="1552"/>
        <v>0</v>
      </c>
      <c r="N4193" s="121">
        <f t="shared" si="1553"/>
        <v>1.1575200000000001</v>
      </c>
      <c r="O4193" s="246">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87">
        <v>36</v>
      </c>
      <c r="B4194" s="242">
        <f t="shared" si="1561"/>
        <v>46722</v>
      </c>
      <c r="C4194" s="243">
        <f t="shared" si="1542"/>
        <v>46752</v>
      </c>
      <c r="D4194" s="120">
        <f t="shared" si="1543"/>
        <v>31</v>
      </c>
      <c r="E4194" s="120">
        <f t="shared" si="1544"/>
        <v>12</v>
      </c>
      <c r="F4194" s="275">
        <f t="shared" si="1545"/>
        <v>46737.5</v>
      </c>
      <c r="G4194" s="120">
        <f t="shared" si="1546"/>
        <v>24335</v>
      </c>
      <c r="H4194" s="245">
        <f t="shared" si="1547"/>
        <v>1</v>
      </c>
      <c r="I4194" s="121">
        <f t="shared" si="1548"/>
        <v>1.1575200000000001</v>
      </c>
      <c r="J4194" s="121">
        <f t="shared" si="1549"/>
        <v>1.1575200000000001</v>
      </c>
      <c r="K4194" s="120">
        <f t="shared" si="1550"/>
        <v>0</v>
      </c>
      <c r="L4194" s="120">
        <f t="shared" si="1551"/>
        <v>0</v>
      </c>
      <c r="M4194" s="246">
        <f t="shared" si="1552"/>
        <v>0</v>
      </c>
      <c r="N4194" s="121">
        <f t="shared" si="1553"/>
        <v>1.1575200000000001</v>
      </c>
      <c r="O4194" s="246">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87">
        <v>37</v>
      </c>
      <c r="B4195" s="242">
        <f t="shared" si="1561"/>
        <v>46753</v>
      </c>
      <c r="C4195" s="243">
        <f t="shared" si="1542"/>
        <v>46783</v>
      </c>
      <c r="D4195" s="120">
        <f t="shared" si="1543"/>
        <v>31</v>
      </c>
      <c r="E4195" s="120">
        <f t="shared" si="1544"/>
        <v>1</v>
      </c>
      <c r="F4195" s="275">
        <f t="shared" si="1545"/>
        <v>46768.5</v>
      </c>
      <c r="G4195" s="120">
        <f t="shared" si="1546"/>
        <v>24336</v>
      </c>
      <c r="H4195" s="245">
        <f t="shared" si="1547"/>
        <v>1</v>
      </c>
      <c r="I4195" s="121">
        <f t="shared" si="1548"/>
        <v>1.1575200000000001</v>
      </c>
      <c r="J4195" s="121">
        <f t="shared" si="1549"/>
        <v>1.1575200000000001</v>
      </c>
      <c r="K4195" s="120">
        <f t="shared" si="1550"/>
        <v>0</v>
      </c>
      <c r="L4195" s="120">
        <f t="shared" si="1551"/>
        <v>0</v>
      </c>
      <c r="M4195" s="246">
        <f t="shared" si="1552"/>
        <v>0</v>
      </c>
      <c r="N4195" s="121">
        <f t="shared" si="1553"/>
        <v>1.1575200000000001</v>
      </c>
      <c r="O4195" s="246">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87">
        <v>38</v>
      </c>
      <c r="B4196" s="242">
        <f t="shared" si="1561"/>
        <v>46784</v>
      </c>
      <c r="C4196" s="243">
        <f t="shared" si="1542"/>
        <v>46812</v>
      </c>
      <c r="D4196" s="120">
        <f t="shared" si="1543"/>
        <v>29</v>
      </c>
      <c r="E4196" s="120">
        <f t="shared" si="1544"/>
        <v>2</v>
      </c>
      <c r="F4196" s="275">
        <f t="shared" si="1545"/>
        <v>46798.5</v>
      </c>
      <c r="G4196" s="120">
        <f t="shared" si="1546"/>
        <v>24337</v>
      </c>
      <c r="H4196" s="245">
        <f t="shared" si="1547"/>
        <v>1</v>
      </c>
      <c r="I4196" s="121">
        <f t="shared" si="1548"/>
        <v>1.1575200000000001</v>
      </c>
      <c r="J4196" s="121">
        <f t="shared" si="1549"/>
        <v>1.1575200000000001</v>
      </c>
      <c r="K4196" s="120">
        <f t="shared" si="1550"/>
        <v>0</v>
      </c>
      <c r="L4196" s="120">
        <f t="shared" si="1551"/>
        <v>0</v>
      </c>
      <c r="M4196" s="246">
        <f t="shared" si="1552"/>
        <v>0</v>
      </c>
      <c r="N4196" s="121">
        <f t="shared" si="1553"/>
        <v>1.1575200000000001</v>
      </c>
      <c r="O4196" s="246">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87">
        <v>39</v>
      </c>
      <c r="B4197" s="242">
        <f t="shared" si="1561"/>
        <v>46813</v>
      </c>
      <c r="C4197" s="243">
        <f t="shared" si="1542"/>
        <v>46843</v>
      </c>
      <c r="D4197" s="120">
        <f t="shared" si="1543"/>
        <v>31</v>
      </c>
      <c r="E4197" s="120">
        <f t="shared" si="1544"/>
        <v>3</v>
      </c>
      <c r="F4197" s="275">
        <f t="shared" si="1545"/>
        <v>46828.5</v>
      </c>
      <c r="G4197" s="120">
        <f t="shared" si="1546"/>
        <v>24338</v>
      </c>
      <c r="H4197" s="245">
        <f t="shared" si="1547"/>
        <v>1</v>
      </c>
      <c r="I4197" s="121">
        <f t="shared" si="1548"/>
        <v>1.1575200000000001</v>
      </c>
      <c r="J4197" s="121">
        <f t="shared" si="1549"/>
        <v>1.1575200000000001</v>
      </c>
      <c r="K4197" s="120">
        <f t="shared" si="1550"/>
        <v>0</v>
      </c>
      <c r="L4197" s="120">
        <f t="shared" si="1551"/>
        <v>0</v>
      </c>
      <c r="M4197" s="246">
        <f t="shared" si="1552"/>
        <v>0</v>
      </c>
      <c r="N4197" s="121">
        <f t="shared" si="1553"/>
        <v>1.1575200000000001</v>
      </c>
      <c r="O4197" s="246">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87">
        <v>40</v>
      </c>
      <c r="B4198" s="242">
        <f t="shared" si="1561"/>
        <v>46844</v>
      </c>
      <c r="C4198" s="243">
        <f t="shared" si="1542"/>
        <v>46873</v>
      </c>
      <c r="D4198" s="120">
        <f t="shared" si="1543"/>
        <v>30</v>
      </c>
      <c r="E4198" s="120">
        <f t="shared" si="1544"/>
        <v>4</v>
      </c>
      <c r="F4198" s="275">
        <f t="shared" si="1545"/>
        <v>46859</v>
      </c>
      <c r="G4198" s="120">
        <f t="shared" si="1546"/>
        <v>24339</v>
      </c>
      <c r="H4198" s="245">
        <f t="shared" si="1547"/>
        <v>1</v>
      </c>
      <c r="I4198" s="121">
        <f t="shared" si="1548"/>
        <v>1.1575200000000001</v>
      </c>
      <c r="J4198" s="121">
        <f t="shared" si="1549"/>
        <v>1.1575200000000001</v>
      </c>
      <c r="K4198" s="120">
        <f t="shared" si="1550"/>
        <v>0</v>
      </c>
      <c r="L4198" s="120">
        <f t="shared" si="1551"/>
        <v>0</v>
      </c>
      <c r="M4198" s="246">
        <f t="shared" si="1552"/>
        <v>0</v>
      </c>
      <c r="N4198" s="121">
        <f t="shared" si="1553"/>
        <v>1.1575200000000001</v>
      </c>
      <c r="O4198" s="246">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87">
        <v>41</v>
      </c>
      <c r="B4199" s="242">
        <f t="shared" si="1561"/>
        <v>46874</v>
      </c>
      <c r="C4199" s="243">
        <f t="shared" si="1542"/>
        <v>46904</v>
      </c>
      <c r="D4199" s="120">
        <f t="shared" si="1543"/>
        <v>31</v>
      </c>
      <c r="E4199" s="120">
        <f t="shared" si="1544"/>
        <v>5</v>
      </c>
      <c r="F4199" s="275">
        <f t="shared" si="1545"/>
        <v>46889.5</v>
      </c>
      <c r="G4199" s="120">
        <f t="shared" si="1546"/>
        <v>24340</v>
      </c>
      <c r="H4199" s="245">
        <f t="shared" si="1547"/>
        <v>1</v>
      </c>
      <c r="I4199" s="121">
        <f t="shared" si="1548"/>
        <v>1.1575200000000001</v>
      </c>
      <c r="J4199" s="121">
        <f t="shared" si="1549"/>
        <v>1.1575200000000001</v>
      </c>
      <c r="K4199" s="120">
        <f t="shared" si="1550"/>
        <v>0</v>
      </c>
      <c r="L4199" s="120">
        <f t="shared" si="1551"/>
        <v>0</v>
      </c>
      <c r="M4199" s="246">
        <f t="shared" si="1552"/>
        <v>0</v>
      </c>
      <c r="N4199" s="121">
        <f t="shared" si="1553"/>
        <v>1.1575200000000001</v>
      </c>
      <c r="O4199" s="246">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87">
        <v>42</v>
      </c>
      <c r="B4200" s="242">
        <f t="shared" si="1561"/>
        <v>46905</v>
      </c>
      <c r="C4200" s="243">
        <f t="shared" si="1542"/>
        <v>46934</v>
      </c>
      <c r="D4200" s="120">
        <f t="shared" si="1543"/>
        <v>30</v>
      </c>
      <c r="E4200" s="120">
        <f t="shared" si="1544"/>
        <v>6</v>
      </c>
      <c r="F4200" s="275">
        <f t="shared" si="1545"/>
        <v>46920</v>
      </c>
      <c r="G4200" s="120">
        <f t="shared" si="1546"/>
        <v>24341</v>
      </c>
      <c r="H4200" s="245">
        <f t="shared" si="1547"/>
        <v>1</v>
      </c>
      <c r="I4200" s="121">
        <f t="shared" si="1548"/>
        <v>1.1575200000000001</v>
      </c>
      <c r="J4200" s="121">
        <f t="shared" si="1549"/>
        <v>1.1575200000000001</v>
      </c>
      <c r="K4200" s="120">
        <f t="shared" si="1550"/>
        <v>0</v>
      </c>
      <c r="L4200" s="120">
        <f t="shared" si="1551"/>
        <v>0</v>
      </c>
      <c r="M4200" s="246">
        <f t="shared" si="1552"/>
        <v>0</v>
      </c>
      <c r="N4200" s="121">
        <f t="shared" si="1553"/>
        <v>1.1575200000000001</v>
      </c>
      <c r="O4200" s="246">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87">
        <v>43</v>
      </c>
      <c r="B4201" s="242">
        <f t="shared" si="1561"/>
        <v>46935</v>
      </c>
      <c r="C4201" s="243">
        <f t="shared" si="1542"/>
        <v>46965</v>
      </c>
      <c r="D4201" s="120">
        <f t="shared" si="1543"/>
        <v>31</v>
      </c>
      <c r="E4201" s="120">
        <f t="shared" si="1544"/>
        <v>7</v>
      </c>
      <c r="F4201" s="275">
        <f t="shared" si="1545"/>
        <v>46950.5</v>
      </c>
      <c r="G4201" s="120">
        <f t="shared" si="1546"/>
        <v>24342</v>
      </c>
      <c r="H4201" s="245">
        <f t="shared" si="1547"/>
        <v>1</v>
      </c>
      <c r="I4201" s="121">
        <f t="shared" si="1548"/>
        <v>1.1575200000000001</v>
      </c>
      <c r="J4201" s="121">
        <f t="shared" si="1549"/>
        <v>1.1575200000000001</v>
      </c>
      <c r="K4201" s="120">
        <f t="shared" si="1550"/>
        <v>0</v>
      </c>
      <c r="L4201" s="120">
        <f t="shared" si="1551"/>
        <v>0</v>
      </c>
      <c r="M4201" s="246">
        <f t="shared" si="1552"/>
        <v>0</v>
      </c>
      <c r="N4201" s="121">
        <f t="shared" si="1553"/>
        <v>1.1575200000000001</v>
      </c>
      <c r="O4201" s="246">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87">
        <v>44</v>
      </c>
      <c r="B4202" s="242">
        <f t="shared" si="1561"/>
        <v>46966</v>
      </c>
      <c r="C4202" s="243">
        <f t="shared" si="1542"/>
        <v>46996</v>
      </c>
      <c r="D4202" s="120">
        <f t="shared" si="1543"/>
        <v>31</v>
      </c>
      <c r="E4202" s="120">
        <f t="shared" si="1544"/>
        <v>8</v>
      </c>
      <c r="F4202" s="275">
        <f t="shared" si="1545"/>
        <v>46981.5</v>
      </c>
      <c r="G4202" s="120">
        <f t="shared" si="1546"/>
        <v>24343</v>
      </c>
      <c r="H4202" s="245">
        <f t="shared" si="1547"/>
        <v>1</v>
      </c>
      <c r="I4202" s="121">
        <f t="shared" si="1548"/>
        <v>1.1575200000000001</v>
      </c>
      <c r="J4202" s="121">
        <f t="shared" si="1549"/>
        <v>1.1575200000000001</v>
      </c>
      <c r="K4202" s="120">
        <f t="shared" si="1550"/>
        <v>0</v>
      </c>
      <c r="L4202" s="120">
        <f t="shared" si="1551"/>
        <v>0</v>
      </c>
      <c r="M4202" s="246">
        <f t="shared" si="1552"/>
        <v>0</v>
      </c>
      <c r="N4202" s="121">
        <f t="shared" si="1553"/>
        <v>1.1575200000000001</v>
      </c>
      <c r="O4202" s="246">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87">
        <v>45</v>
      </c>
      <c r="B4203" s="242">
        <f t="shared" si="1561"/>
        <v>46997</v>
      </c>
      <c r="C4203" s="243">
        <f t="shared" si="1542"/>
        <v>47026</v>
      </c>
      <c r="D4203" s="120">
        <f t="shared" si="1543"/>
        <v>30</v>
      </c>
      <c r="E4203" s="120">
        <f t="shared" si="1544"/>
        <v>9</v>
      </c>
      <c r="F4203" s="275">
        <f t="shared" si="1545"/>
        <v>47012</v>
      </c>
      <c r="G4203" s="120">
        <f t="shared" si="1546"/>
        <v>24344</v>
      </c>
      <c r="H4203" s="245">
        <f t="shared" si="1547"/>
        <v>1</v>
      </c>
      <c r="I4203" s="121">
        <f t="shared" si="1548"/>
        <v>1.1575200000000001</v>
      </c>
      <c r="J4203" s="121">
        <f t="shared" si="1549"/>
        <v>1.1575200000000001</v>
      </c>
      <c r="K4203" s="120">
        <f t="shared" si="1550"/>
        <v>0</v>
      </c>
      <c r="L4203" s="120">
        <f t="shared" si="1551"/>
        <v>0</v>
      </c>
      <c r="M4203" s="246">
        <f t="shared" si="1552"/>
        <v>0</v>
      </c>
      <c r="N4203" s="121">
        <f t="shared" si="1553"/>
        <v>1.1575200000000001</v>
      </c>
      <c r="O4203" s="246">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87">
        <v>46</v>
      </c>
      <c r="B4204" s="242">
        <f t="shared" si="1561"/>
        <v>47027</v>
      </c>
      <c r="C4204" s="243">
        <f t="shared" si="1542"/>
        <v>47057</v>
      </c>
      <c r="D4204" s="120">
        <f t="shared" si="1543"/>
        <v>31</v>
      </c>
      <c r="E4204" s="120">
        <f t="shared" si="1544"/>
        <v>10</v>
      </c>
      <c r="F4204" s="275">
        <f t="shared" si="1545"/>
        <v>47042.5</v>
      </c>
      <c r="G4204" s="120">
        <f t="shared" si="1546"/>
        <v>24345</v>
      </c>
      <c r="H4204" s="245">
        <f t="shared" si="1547"/>
        <v>1</v>
      </c>
      <c r="I4204" s="121">
        <f t="shared" si="1548"/>
        <v>1.1575200000000001</v>
      </c>
      <c r="J4204" s="121">
        <f t="shared" si="1549"/>
        <v>1.1575200000000001</v>
      </c>
      <c r="K4204" s="120">
        <f t="shared" si="1550"/>
        <v>0</v>
      </c>
      <c r="L4204" s="120">
        <f t="shared" si="1551"/>
        <v>0</v>
      </c>
      <c r="M4204" s="246">
        <f t="shared" si="1552"/>
        <v>0</v>
      </c>
      <c r="N4204" s="121">
        <f t="shared" si="1553"/>
        <v>1.1575200000000001</v>
      </c>
      <c r="O4204" s="246">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87">
        <v>47</v>
      </c>
      <c r="B4205" s="242">
        <f t="shared" si="1561"/>
        <v>47058</v>
      </c>
      <c r="C4205" s="243">
        <f t="shared" si="1542"/>
        <v>47087</v>
      </c>
      <c r="D4205" s="120">
        <f t="shared" si="1543"/>
        <v>30</v>
      </c>
      <c r="E4205" s="120">
        <f t="shared" si="1544"/>
        <v>11</v>
      </c>
      <c r="F4205" s="275">
        <f t="shared" si="1545"/>
        <v>47073</v>
      </c>
      <c r="G4205" s="120">
        <f t="shared" si="1546"/>
        <v>24346</v>
      </c>
      <c r="H4205" s="245">
        <f t="shared" si="1547"/>
        <v>1</v>
      </c>
      <c r="I4205" s="121">
        <f t="shared" si="1548"/>
        <v>1.1575200000000001</v>
      </c>
      <c r="J4205" s="121">
        <f t="shared" si="1549"/>
        <v>1.1575200000000001</v>
      </c>
      <c r="K4205" s="120">
        <f t="shared" si="1550"/>
        <v>0</v>
      </c>
      <c r="L4205" s="120">
        <f t="shared" si="1551"/>
        <v>0</v>
      </c>
      <c r="M4205" s="246">
        <f t="shared" si="1552"/>
        <v>0</v>
      </c>
      <c r="N4205" s="121">
        <f t="shared" si="1553"/>
        <v>1.1575200000000001</v>
      </c>
      <c r="O4205" s="246">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87">
        <v>48</v>
      </c>
      <c r="B4206" s="242">
        <f t="shared" si="1561"/>
        <v>47088</v>
      </c>
      <c r="C4206" s="243">
        <f t="shared" si="1542"/>
        <v>47118</v>
      </c>
      <c r="D4206" s="120">
        <f t="shared" si="1543"/>
        <v>31</v>
      </c>
      <c r="E4206" s="120">
        <f t="shared" si="1544"/>
        <v>12</v>
      </c>
      <c r="F4206" s="275">
        <f t="shared" si="1545"/>
        <v>47103.5</v>
      </c>
      <c r="G4206" s="120">
        <f t="shared" si="1546"/>
        <v>24347</v>
      </c>
      <c r="H4206" s="245">
        <f t="shared" si="1547"/>
        <v>1</v>
      </c>
      <c r="I4206" s="121">
        <f t="shared" si="1548"/>
        <v>1.1575200000000001</v>
      </c>
      <c r="J4206" s="121">
        <f t="shared" si="1549"/>
        <v>1.1575200000000001</v>
      </c>
      <c r="K4206" s="120">
        <f t="shared" si="1550"/>
        <v>0</v>
      </c>
      <c r="L4206" s="120">
        <f t="shared" si="1551"/>
        <v>0</v>
      </c>
      <c r="M4206" s="246">
        <f t="shared" si="1552"/>
        <v>0</v>
      </c>
      <c r="N4206" s="121">
        <f t="shared" si="1553"/>
        <v>1.1575200000000001</v>
      </c>
      <c r="O4206" s="246">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1694</v>
      </c>
      <c r="B4207" s="73">
        <f>SUMPRODUCT($H$4159:$H$4206,$Q$4159:$Q$4206,$U$4159:$U$4206)/SUMPRODUCT($H$4159:$H$4206,$Q$4159:$Q$4206)</f>
        <v>1.1101025000000002</v>
      </c>
      <c r="C4207" s="73">
        <f>SUMPRODUCT($H$4159:$H$4206,$R$4159:$R$4206,$U$4159:$U$4206)/SUMPRODUCT($H$4159:$H$4206,$R$4159:$R$4206)</f>
        <v>1.1557975</v>
      </c>
      <c r="D4207" s="224">
        <f>SUMPRODUCT($H$4159:$H$4206,$Q$4159:$Q$4206,$O$4159:$O$4206)/SUMPRODUCT($H$4159:$H$4206,$Q$4159:$Q$4206)</f>
        <v>0.8659874179431073</v>
      </c>
    </row>
    <row r="4210" spans="1:21" x14ac:dyDescent="0.3">
      <c r="A4210" s="270" t="s">
        <v>1695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62">EOMONTH($B4213,0)</f>
        <v>45688</v>
      </c>
      <c r="D4213" s="120">
        <f t="shared" ref="D4213:D4260" si="1563">$C4213-$B4213+1</f>
        <v>31</v>
      </c>
      <c r="E4213" s="120">
        <f t="shared" ref="E4213:E4260" si="1564">MONTH($B4213)</f>
        <v>1</v>
      </c>
      <c r="F4213" s="275">
        <f t="shared" ref="F4213:F4260" si="1565">($B4213+$C4213+1)/2</f>
        <v>45673.5</v>
      </c>
      <c r="G4213" s="120">
        <f t="shared" ref="G4213:G4260" si="1566">YEAR($B4213)*12+MONTH($B4213)-1</f>
        <v>24300</v>
      </c>
      <c r="H4213" s="245">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46">
        <f t="shared" ref="M4213:M4260" si="1572">IF($K4213=0,0,MIN(1,$L4213/$D4213))</f>
        <v>0</v>
      </c>
      <c r="N4213" s="121">
        <f t="shared" ref="N4213:N4260" si="1573">IF($K4213=0,$J4213,(1-$M4213)*$I4213+$M4213*$J4213)</f>
        <v>1</v>
      </c>
      <c r="O4213" s="246">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87">
        <v>2</v>
      </c>
      <c r="B4214" s="242">
        <f t="shared" ref="B4214:B4260" si="1581">EDATE($B4213,1)</f>
        <v>45689</v>
      </c>
      <c r="C4214" s="243">
        <f t="shared" si="1562"/>
        <v>45716</v>
      </c>
      <c r="D4214" s="120">
        <f t="shared" si="1563"/>
        <v>28</v>
      </c>
      <c r="E4214" s="120">
        <f t="shared" si="1564"/>
        <v>2</v>
      </c>
      <c r="F4214" s="275">
        <f t="shared" si="1565"/>
        <v>45703</v>
      </c>
      <c r="G4214" s="120">
        <f t="shared" si="1566"/>
        <v>24301</v>
      </c>
      <c r="H4214" s="245">
        <f t="shared" si="1567"/>
        <v>1</v>
      </c>
      <c r="I4214" s="121">
        <f t="shared" si="1568"/>
        <v>1</v>
      </c>
      <c r="J4214" s="121">
        <f t="shared" si="1569"/>
        <v>1</v>
      </c>
      <c r="K4214" s="120">
        <f t="shared" si="1570"/>
        <v>0</v>
      </c>
      <c r="L4214" s="120">
        <f t="shared" si="1571"/>
        <v>0</v>
      </c>
      <c r="M4214" s="246">
        <f t="shared" si="1572"/>
        <v>0</v>
      </c>
      <c r="N4214" s="121">
        <f t="shared" si="1573"/>
        <v>1</v>
      </c>
      <c r="O4214" s="246">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87">
        <v>3</v>
      </c>
      <c r="B4215" s="242">
        <f t="shared" si="1581"/>
        <v>45717</v>
      </c>
      <c r="C4215" s="243">
        <f t="shared" si="1562"/>
        <v>45747</v>
      </c>
      <c r="D4215" s="120">
        <f t="shared" si="1563"/>
        <v>31</v>
      </c>
      <c r="E4215" s="120">
        <f t="shared" si="1564"/>
        <v>3</v>
      </c>
      <c r="F4215" s="275">
        <f t="shared" si="1565"/>
        <v>45732.5</v>
      </c>
      <c r="G4215" s="120">
        <f t="shared" si="1566"/>
        <v>24302</v>
      </c>
      <c r="H4215" s="245">
        <f t="shared" si="1567"/>
        <v>1</v>
      </c>
      <c r="I4215" s="121">
        <f t="shared" si="1568"/>
        <v>1</v>
      </c>
      <c r="J4215" s="121">
        <f t="shared" si="1569"/>
        <v>1</v>
      </c>
      <c r="K4215" s="120">
        <f t="shared" si="1570"/>
        <v>0</v>
      </c>
      <c r="L4215" s="120">
        <f t="shared" si="1571"/>
        <v>0</v>
      </c>
      <c r="M4215" s="246">
        <f t="shared" si="1572"/>
        <v>0</v>
      </c>
      <c r="N4215" s="121">
        <f t="shared" si="1573"/>
        <v>1</v>
      </c>
      <c r="O4215" s="246">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87">
        <v>4</v>
      </c>
      <c r="B4216" s="242">
        <f t="shared" si="1581"/>
        <v>45748</v>
      </c>
      <c r="C4216" s="243">
        <f t="shared" si="1562"/>
        <v>45777</v>
      </c>
      <c r="D4216" s="120">
        <f t="shared" si="1563"/>
        <v>30</v>
      </c>
      <c r="E4216" s="120">
        <f t="shared" si="1564"/>
        <v>4</v>
      </c>
      <c r="F4216" s="275">
        <f t="shared" si="1565"/>
        <v>45763</v>
      </c>
      <c r="G4216" s="120">
        <f t="shared" si="1566"/>
        <v>24303</v>
      </c>
      <c r="H4216" s="245">
        <f t="shared" si="1567"/>
        <v>1</v>
      </c>
      <c r="I4216" s="121">
        <f t="shared" si="1568"/>
        <v>1</v>
      </c>
      <c r="J4216" s="121">
        <f t="shared" si="1569"/>
        <v>1</v>
      </c>
      <c r="K4216" s="120">
        <f t="shared" si="1570"/>
        <v>0</v>
      </c>
      <c r="L4216" s="120">
        <f t="shared" si="1571"/>
        <v>0</v>
      </c>
      <c r="M4216" s="246">
        <f t="shared" si="1572"/>
        <v>0</v>
      </c>
      <c r="N4216" s="121">
        <f t="shared" si="1573"/>
        <v>1</v>
      </c>
      <c r="O4216" s="246">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87">
        <v>5</v>
      </c>
      <c r="B4217" s="242">
        <f t="shared" si="1581"/>
        <v>45778</v>
      </c>
      <c r="C4217" s="243">
        <f t="shared" si="1562"/>
        <v>45808</v>
      </c>
      <c r="D4217" s="120">
        <f t="shared" si="1563"/>
        <v>31</v>
      </c>
      <c r="E4217" s="120">
        <f t="shared" si="1564"/>
        <v>5</v>
      </c>
      <c r="F4217" s="275">
        <f t="shared" si="1565"/>
        <v>45793.5</v>
      </c>
      <c r="G4217" s="120">
        <f t="shared" si="1566"/>
        <v>24304</v>
      </c>
      <c r="H4217" s="245">
        <f t="shared" si="1567"/>
        <v>1</v>
      </c>
      <c r="I4217" s="121">
        <f t="shared" si="1568"/>
        <v>1</v>
      </c>
      <c r="J4217" s="121">
        <f t="shared" si="1569"/>
        <v>1</v>
      </c>
      <c r="K4217" s="120">
        <f t="shared" si="1570"/>
        <v>0</v>
      </c>
      <c r="L4217" s="120">
        <f t="shared" si="1571"/>
        <v>0</v>
      </c>
      <c r="M4217" s="246">
        <f t="shared" si="1572"/>
        <v>0</v>
      </c>
      <c r="N4217" s="121">
        <f t="shared" si="1573"/>
        <v>1</v>
      </c>
      <c r="O4217" s="246">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87">
        <v>6</v>
      </c>
      <c r="B4218" s="242">
        <f t="shared" si="1581"/>
        <v>45809</v>
      </c>
      <c r="C4218" s="243">
        <f t="shared" si="1562"/>
        <v>45838</v>
      </c>
      <c r="D4218" s="120">
        <f t="shared" si="1563"/>
        <v>30</v>
      </c>
      <c r="E4218" s="120">
        <f t="shared" si="1564"/>
        <v>6</v>
      </c>
      <c r="F4218" s="275">
        <f t="shared" si="1565"/>
        <v>45824</v>
      </c>
      <c r="G4218" s="120">
        <f t="shared" si="1566"/>
        <v>24305</v>
      </c>
      <c r="H4218" s="245">
        <f t="shared" si="1567"/>
        <v>1</v>
      </c>
      <c r="I4218" s="121">
        <f t="shared" si="1568"/>
        <v>1</v>
      </c>
      <c r="J4218" s="121">
        <f t="shared" si="1569"/>
        <v>1</v>
      </c>
      <c r="K4218" s="120">
        <f t="shared" si="1570"/>
        <v>0</v>
      </c>
      <c r="L4218" s="120">
        <f t="shared" si="1571"/>
        <v>0</v>
      </c>
      <c r="M4218" s="246">
        <f t="shared" si="1572"/>
        <v>0</v>
      </c>
      <c r="N4218" s="121">
        <f t="shared" si="1573"/>
        <v>1</v>
      </c>
      <c r="O4218" s="246">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87">
        <v>7</v>
      </c>
      <c r="B4219" s="242">
        <f t="shared" si="1581"/>
        <v>45839</v>
      </c>
      <c r="C4219" s="243">
        <f t="shared" si="1562"/>
        <v>45869</v>
      </c>
      <c r="D4219" s="120">
        <f t="shared" si="1563"/>
        <v>31</v>
      </c>
      <c r="E4219" s="120">
        <f t="shared" si="1564"/>
        <v>7</v>
      </c>
      <c r="F4219" s="275">
        <f t="shared" si="1565"/>
        <v>45854.5</v>
      </c>
      <c r="G4219" s="120">
        <f t="shared" si="1566"/>
        <v>24306</v>
      </c>
      <c r="H4219" s="245">
        <f t="shared" si="1567"/>
        <v>1</v>
      </c>
      <c r="I4219" s="121">
        <f t="shared" si="1568"/>
        <v>1</v>
      </c>
      <c r="J4219" s="121">
        <f t="shared" si="1569"/>
        <v>1.04</v>
      </c>
      <c r="K4219" s="120">
        <f t="shared" si="1570"/>
        <v>1</v>
      </c>
      <c r="L4219" s="120">
        <f t="shared" si="1571"/>
        <v>31</v>
      </c>
      <c r="M4219" s="246">
        <f t="shared" si="1572"/>
        <v>1</v>
      </c>
      <c r="N4219" s="121">
        <f t="shared" si="1573"/>
        <v>1.04</v>
      </c>
      <c r="O4219" s="246">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87">
        <v>8</v>
      </c>
      <c r="B4220" s="242">
        <f t="shared" si="1581"/>
        <v>45870</v>
      </c>
      <c r="C4220" s="243">
        <f t="shared" si="1562"/>
        <v>45900</v>
      </c>
      <c r="D4220" s="120">
        <f t="shared" si="1563"/>
        <v>31</v>
      </c>
      <c r="E4220" s="120">
        <f t="shared" si="1564"/>
        <v>8</v>
      </c>
      <c r="F4220" s="275">
        <f t="shared" si="1565"/>
        <v>45885.5</v>
      </c>
      <c r="G4220" s="120">
        <f t="shared" si="1566"/>
        <v>24307</v>
      </c>
      <c r="H4220" s="245">
        <f t="shared" si="1567"/>
        <v>1</v>
      </c>
      <c r="I4220" s="121">
        <f t="shared" si="1568"/>
        <v>1.04</v>
      </c>
      <c r="J4220" s="121">
        <f t="shared" si="1569"/>
        <v>1.04</v>
      </c>
      <c r="K4220" s="120">
        <f t="shared" si="1570"/>
        <v>0</v>
      </c>
      <c r="L4220" s="120">
        <f t="shared" si="1571"/>
        <v>0</v>
      </c>
      <c r="M4220" s="246">
        <f t="shared" si="1572"/>
        <v>0</v>
      </c>
      <c r="N4220" s="121">
        <f t="shared" si="1573"/>
        <v>1.04</v>
      </c>
      <c r="O4220" s="246">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87">
        <v>9</v>
      </c>
      <c r="B4221" s="242">
        <f t="shared" si="1581"/>
        <v>45901</v>
      </c>
      <c r="C4221" s="243">
        <f t="shared" si="1562"/>
        <v>45930</v>
      </c>
      <c r="D4221" s="120">
        <f t="shared" si="1563"/>
        <v>30</v>
      </c>
      <c r="E4221" s="120">
        <f t="shared" si="1564"/>
        <v>9</v>
      </c>
      <c r="F4221" s="275">
        <f t="shared" si="1565"/>
        <v>45916</v>
      </c>
      <c r="G4221" s="120">
        <f t="shared" si="1566"/>
        <v>24308</v>
      </c>
      <c r="H4221" s="245">
        <f t="shared" si="1567"/>
        <v>1</v>
      </c>
      <c r="I4221" s="121">
        <f t="shared" si="1568"/>
        <v>1.04</v>
      </c>
      <c r="J4221" s="121">
        <f t="shared" si="1569"/>
        <v>1.04</v>
      </c>
      <c r="K4221" s="120">
        <f t="shared" si="1570"/>
        <v>0</v>
      </c>
      <c r="L4221" s="120">
        <f t="shared" si="1571"/>
        <v>0</v>
      </c>
      <c r="M4221" s="246">
        <f t="shared" si="1572"/>
        <v>0</v>
      </c>
      <c r="N4221" s="121">
        <f t="shared" si="1573"/>
        <v>1.04</v>
      </c>
      <c r="O4221" s="246">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87">
        <v>10</v>
      </c>
      <c r="B4222" s="242">
        <f t="shared" si="1581"/>
        <v>45931</v>
      </c>
      <c r="C4222" s="243">
        <f t="shared" si="1562"/>
        <v>45961</v>
      </c>
      <c r="D4222" s="120">
        <f t="shared" si="1563"/>
        <v>31</v>
      </c>
      <c r="E4222" s="120">
        <f t="shared" si="1564"/>
        <v>10</v>
      </c>
      <c r="F4222" s="275">
        <f t="shared" si="1565"/>
        <v>45946.5</v>
      </c>
      <c r="G4222" s="120">
        <f t="shared" si="1566"/>
        <v>24309</v>
      </c>
      <c r="H4222" s="245">
        <f t="shared" si="1567"/>
        <v>1</v>
      </c>
      <c r="I4222" s="121">
        <f t="shared" si="1568"/>
        <v>1.04</v>
      </c>
      <c r="J4222" s="121">
        <f t="shared" si="1569"/>
        <v>1.04</v>
      </c>
      <c r="K4222" s="120">
        <f t="shared" si="1570"/>
        <v>0</v>
      </c>
      <c r="L4222" s="120">
        <f t="shared" si="1571"/>
        <v>0</v>
      </c>
      <c r="M4222" s="246">
        <f t="shared" si="1572"/>
        <v>0</v>
      </c>
      <c r="N4222" s="121">
        <f t="shared" si="1573"/>
        <v>1.04</v>
      </c>
      <c r="O4222" s="246">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87">
        <v>11</v>
      </c>
      <c r="B4223" s="242">
        <f t="shared" si="1581"/>
        <v>45962</v>
      </c>
      <c r="C4223" s="243">
        <f t="shared" si="1562"/>
        <v>45991</v>
      </c>
      <c r="D4223" s="120">
        <f t="shared" si="1563"/>
        <v>30</v>
      </c>
      <c r="E4223" s="120">
        <f t="shared" si="1564"/>
        <v>11</v>
      </c>
      <c r="F4223" s="275">
        <f t="shared" si="1565"/>
        <v>45977</v>
      </c>
      <c r="G4223" s="120">
        <f t="shared" si="1566"/>
        <v>24310</v>
      </c>
      <c r="H4223" s="245">
        <f t="shared" si="1567"/>
        <v>1</v>
      </c>
      <c r="I4223" s="121">
        <f t="shared" si="1568"/>
        <v>1.04</v>
      </c>
      <c r="J4223" s="121">
        <f t="shared" si="1569"/>
        <v>1.04</v>
      </c>
      <c r="K4223" s="120">
        <f t="shared" si="1570"/>
        <v>0</v>
      </c>
      <c r="L4223" s="120">
        <f t="shared" si="1571"/>
        <v>0</v>
      </c>
      <c r="M4223" s="246">
        <f t="shared" si="1572"/>
        <v>0</v>
      </c>
      <c r="N4223" s="121">
        <f t="shared" si="1573"/>
        <v>1.04</v>
      </c>
      <c r="O4223" s="246">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87">
        <v>12</v>
      </c>
      <c r="B4224" s="242">
        <f t="shared" si="1581"/>
        <v>45992</v>
      </c>
      <c r="C4224" s="243">
        <f t="shared" si="1562"/>
        <v>46022</v>
      </c>
      <c r="D4224" s="120">
        <f t="shared" si="1563"/>
        <v>31</v>
      </c>
      <c r="E4224" s="120">
        <f t="shared" si="1564"/>
        <v>12</v>
      </c>
      <c r="F4224" s="275">
        <f t="shared" si="1565"/>
        <v>46007.5</v>
      </c>
      <c r="G4224" s="120">
        <f t="shared" si="1566"/>
        <v>24311</v>
      </c>
      <c r="H4224" s="245">
        <f t="shared" si="1567"/>
        <v>1</v>
      </c>
      <c r="I4224" s="121">
        <f t="shared" si="1568"/>
        <v>1.04</v>
      </c>
      <c r="J4224" s="121">
        <f t="shared" si="1569"/>
        <v>1.04</v>
      </c>
      <c r="K4224" s="120">
        <f t="shared" si="1570"/>
        <v>0</v>
      </c>
      <c r="L4224" s="120">
        <f t="shared" si="1571"/>
        <v>0</v>
      </c>
      <c r="M4224" s="246">
        <f t="shared" si="1572"/>
        <v>0</v>
      </c>
      <c r="N4224" s="121">
        <f t="shared" si="1573"/>
        <v>1.04</v>
      </c>
      <c r="O4224" s="246">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87">
        <v>13</v>
      </c>
      <c r="B4225" s="242">
        <f t="shared" si="1581"/>
        <v>46023</v>
      </c>
      <c r="C4225" s="243">
        <f t="shared" si="1562"/>
        <v>46053</v>
      </c>
      <c r="D4225" s="120">
        <f t="shared" si="1563"/>
        <v>31</v>
      </c>
      <c r="E4225" s="120">
        <f t="shared" si="1564"/>
        <v>1</v>
      </c>
      <c r="F4225" s="275">
        <f t="shared" si="1565"/>
        <v>46038.5</v>
      </c>
      <c r="G4225" s="120">
        <f t="shared" si="1566"/>
        <v>24312</v>
      </c>
      <c r="H4225" s="245">
        <f t="shared" si="1567"/>
        <v>1</v>
      </c>
      <c r="I4225" s="121">
        <f t="shared" si="1568"/>
        <v>1.04</v>
      </c>
      <c r="J4225" s="121">
        <f t="shared" si="1569"/>
        <v>1.04</v>
      </c>
      <c r="K4225" s="120">
        <f t="shared" si="1570"/>
        <v>0</v>
      </c>
      <c r="L4225" s="120">
        <f t="shared" si="1571"/>
        <v>0</v>
      </c>
      <c r="M4225" s="246">
        <f t="shared" si="1572"/>
        <v>0</v>
      </c>
      <c r="N4225" s="121">
        <f t="shared" si="1573"/>
        <v>1.04</v>
      </c>
      <c r="O4225" s="246">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87">
        <v>14</v>
      </c>
      <c r="B4226" s="242">
        <f t="shared" si="1581"/>
        <v>46054</v>
      </c>
      <c r="C4226" s="243">
        <f t="shared" si="1562"/>
        <v>46081</v>
      </c>
      <c r="D4226" s="120">
        <f t="shared" si="1563"/>
        <v>28</v>
      </c>
      <c r="E4226" s="120">
        <f t="shared" si="1564"/>
        <v>2</v>
      </c>
      <c r="F4226" s="275">
        <f t="shared" si="1565"/>
        <v>46068</v>
      </c>
      <c r="G4226" s="120">
        <f t="shared" si="1566"/>
        <v>24313</v>
      </c>
      <c r="H4226" s="245">
        <f t="shared" si="1567"/>
        <v>1</v>
      </c>
      <c r="I4226" s="121">
        <f t="shared" si="1568"/>
        <v>1.04</v>
      </c>
      <c r="J4226" s="121">
        <f t="shared" si="1569"/>
        <v>1.04</v>
      </c>
      <c r="K4226" s="120">
        <f t="shared" si="1570"/>
        <v>0</v>
      </c>
      <c r="L4226" s="120">
        <f t="shared" si="1571"/>
        <v>0</v>
      </c>
      <c r="M4226" s="246">
        <f t="shared" si="1572"/>
        <v>0</v>
      </c>
      <c r="N4226" s="121">
        <f t="shared" si="1573"/>
        <v>1.04</v>
      </c>
      <c r="O4226" s="246">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87">
        <v>15</v>
      </c>
      <c r="B4227" s="242">
        <f t="shared" si="1581"/>
        <v>46082</v>
      </c>
      <c r="C4227" s="243">
        <f t="shared" si="1562"/>
        <v>46112</v>
      </c>
      <c r="D4227" s="120">
        <f t="shared" si="1563"/>
        <v>31</v>
      </c>
      <c r="E4227" s="120">
        <f t="shared" si="1564"/>
        <v>3</v>
      </c>
      <c r="F4227" s="275">
        <f t="shared" si="1565"/>
        <v>46097.5</v>
      </c>
      <c r="G4227" s="120">
        <f t="shared" si="1566"/>
        <v>24314</v>
      </c>
      <c r="H4227" s="245">
        <f t="shared" si="1567"/>
        <v>1</v>
      </c>
      <c r="I4227" s="121">
        <f t="shared" si="1568"/>
        <v>1.04</v>
      </c>
      <c r="J4227" s="121">
        <f t="shared" si="1569"/>
        <v>1.04</v>
      </c>
      <c r="K4227" s="120">
        <f t="shared" si="1570"/>
        <v>0</v>
      </c>
      <c r="L4227" s="120">
        <f t="shared" si="1571"/>
        <v>0</v>
      </c>
      <c r="M4227" s="246">
        <f t="shared" si="1572"/>
        <v>0</v>
      </c>
      <c r="N4227" s="121">
        <f t="shared" si="1573"/>
        <v>1.04</v>
      </c>
      <c r="O4227" s="246">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87">
        <v>16</v>
      </c>
      <c r="B4228" s="242">
        <f t="shared" si="1581"/>
        <v>46113</v>
      </c>
      <c r="C4228" s="243">
        <f t="shared" si="1562"/>
        <v>46142</v>
      </c>
      <c r="D4228" s="120">
        <f t="shared" si="1563"/>
        <v>30</v>
      </c>
      <c r="E4228" s="120">
        <f t="shared" si="1564"/>
        <v>4</v>
      </c>
      <c r="F4228" s="275">
        <f t="shared" si="1565"/>
        <v>46128</v>
      </c>
      <c r="G4228" s="120">
        <f t="shared" si="1566"/>
        <v>24315</v>
      </c>
      <c r="H4228" s="245">
        <f t="shared" si="1567"/>
        <v>1</v>
      </c>
      <c r="I4228" s="121">
        <f t="shared" si="1568"/>
        <v>1.04</v>
      </c>
      <c r="J4228" s="121">
        <f t="shared" si="1569"/>
        <v>1.04</v>
      </c>
      <c r="K4228" s="120">
        <f t="shared" si="1570"/>
        <v>0</v>
      </c>
      <c r="L4228" s="120">
        <f t="shared" si="1571"/>
        <v>0</v>
      </c>
      <c r="M4228" s="246">
        <f t="shared" si="1572"/>
        <v>0</v>
      </c>
      <c r="N4228" s="121">
        <f t="shared" si="1573"/>
        <v>1.04</v>
      </c>
      <c r="O4228" s="246">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87">
        <v>17</v>
      </c>
      <c r="B4229" s="242">
        <f t="shared" si="1581"/>
        <v>46143</v>
      </c>
      <c r="C4229" s="243">
        <f t="shared" si="1562"/>
        <v>46173</v>
      </c>
      <c r="D4229" s="120">
        <f t="shared" si="1563"/>
        <v>31</v>
      </c>
      <c r="E4229" s="120">
        <f t="shared" si="1564"/>
        <v>5</v>
      </c>
      <c r="F4229" s="275">
        <f t="shared" si="1565"/>
        <v>46158.5</v>
      </c>
      <c r="G4229" s="120">
        <f t="shared" si="1566"/>
        <v>24316</v>
      </c>
      <c r="H4229" s="245">
        <f t="shared" si="1567"/>
        <v>1</v>
      </c>
      <c r="I4229" s="121">
        <f t="shared" si="1568"/>
        <v>1.04</v>
      </c>
      <c r="J4229" s="121">
        <f t="shared" si="1569"/>
        <v>1.04</v>
      </c>
      <c r="K4229" s="120">
        <f t="shared" si="1570"/>
        <v>0</v>
      </c>
      <c r="L4229" s="120">
        <f t="shared" si="1571"/>
        <v>0</v>
      </c>
      <c r="M4229" s="246">
        <f t="shared" si="1572"/>
        <v>0</v>
      </c>
      <c r="N4229" s="121">
        <f t="shared" si="1573"/>
        <v>1.04</v>
      </c>
      <c r="O4229" s="246">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87">
        <v>18</v>
      </c>
      <c r="B4230" s="242">
        <f t="shared" si="1581"/>
        <v>46174</v>
      </c>
      <c r="C4230" s="243">
        <f t="shared" si="1562"/>
        <v>46203</v>
      </c>
      <c r="D4230" s="120">
        <f t="shared" si="1563"/>
        <v>30</v>
      </c>
      <c r="E4230" s="120">
        <f t="shared" si="1564"/>
        <v>6</v>
      </c>
      <c r="F4230" s="275">
        <f t="shared" si="1565"/>
        <v>46189</v>
      </c>
      <c r="G4230" s="120">
        <f t="shared" si="1566"/>
        <v>24317</v>
      </c>
      <c r="H4230" s="245">
        <f t="shared" si="1567"/>
        <v>1</v>
      </c>
      <c r="I4230" s="121">
        <f t="shared" si="1568"/>
        <v>1.04</v>
      </c>
      <c r="J4230" s="121">
        <f t="shared" si="1569"/>
        <v>1.04</v>
      </c>
      <c r="K4230" s="120">
        <f t="shared" si="1570"/>
        <v>0</v>
      </c>
      <c r="L4230" s="120">
        <f t="shared" si="1571"/>
        <v>0</v>
      </c>
      <c r="M4230" s="246">
        <f t="shared" si="1572"/>
        <v>0</v>
      </c>
      <c r="N4230" s="121">
        <f t="shared" si="1573"/>
        <v>1.04</v>
      </c>
      <c r="O4230" s="246">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87">
        <v>19</v>
      </c>
      <c r="B4231" s="242">
        <f t="shared" si="1581"/>
        <v>46204</v>
      </c>
      <c r="C4231" s="243">
        <f t="shared" si="1562"/>
        <v>46234</v>
      </c>
      <c r="D4231" s="120">
        <f t="shared" si="1563"/>
        <v>31</v>
      </c>
      <c r="E4231" s="120">
        <f t="shared" si="1564"/>
        <v>7</v>
      </c>
      <c r="F4231" s="275">
        <f t="shared" si="1565"/>
        <v>46219.5</v>
      </c>
      <c r="G4231" s="120">
        <f t="shared" si="1566"/>
        <v>24318</v>
      </c>
      <c r="H4231" s="245">
        <f t="shared" si="1567"/>
        <v>1</v>
      </c>
      <c r="I4231" s="121">
        <f t="shared" si="1568"/>
        <v>1.04</v>
      </c>
      <c r="J4231" s="121">
        <f t="shared" si="1569"/>
        <v>1.1024</v>
      </c>
      <c r="K4231" s="120">
        <f t="shared" si="1570"/>
        <v>1</v>
      </c>
      <c r="L4231" s="120">
        <f t="shared" si="1571"/>
        <v>31</v>
      </c>
      <c r="M4231" s="246">
        <f t="shared" si="1572"/>
        <v>1</v>
      </c>
      <c r="N4231" s="121">
        <f t="shared" si="1573"/>
        <v>1.1024</v>
      </c>
      <c r="O4231" s="246">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87">
        <v>20</v>
      </c>
      <c r="B4232" s="242">
        <f t="shared" si="1581"/>
        <v>46235</v>
      </c>
      <c r="C4232" s="243">
        <f t="shared" si="1562"/>
        <v>46265</v>
      </c>
      <c r="D4232" s="120">
        <f t="shared" si="1563"/>
        <v>31</v>
      </c>
      <c r="E4232" s="120">
        <f t="shared" si="1564"/>
        <v>8</v>
      </c>
      <c r="F4232" s="275">
        <f t="shared" si="1565"/>
        <v>46250.5</v>
      </c>
      <c r="G4232" s="120">
        <f t="shared" si="1566"/>
        <v>24319</v>
      </c>
      <c r="H4232" s="245">
        <f t="shared" si="1567"/>
        <v>1</v>
      </c>
      <c r="I4232" s="121">
        <f t="shared" si="1568"/>
        <v>1.1024</v>
      </c>
      <c r="J4232" s="121">
        <f t="shared" si="1569"/>
        <v>1.1024</v>
      </c>
      <c r="K4232" s="120">
        <f t="shared" si="1570"/>
        <v>0</v>
      </c>
      <c r="L4232" s="120">
        <f t="shared" si="1571"/>
        <v>0</v>
      </c>
      <c r="M4232" s="246">
        <f t="shared" si="1572"/>
        <v>0</v>
      </c>
      <c r="N4232" s="121">
        <f t="shared" si="1573"/>
        <v>1.1024</v>
      </c>
      <c r="O4232" s="246">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87">
        <v>21</v>
      </c>
      <c r="B4233" s="242">
        <f t="shared" si="1581"/>
        <v>46266</v>
      </c>
      <c r="C4233" s="243">
        <f t="shared" si="1562"/>
        <v>46295</v>
      </c>
      <c r="D4233" s="120">
        <f t="shared" si="1563"/>
        <v>30</v>
      </c>
      <c r="E4233" s="120">
        <f t="shared" si="1564"/>
        <v>9</v>
      </c>
      <c r="F4233" s="275">
        <f t="shared" si="1565"/>
        <v>46281</v>
      </c>
      <c r="G4233" s="120">
        <f t="shared" si="1566"/>
        <v>24320</v>
      </c>
      <c r="H4233" s="245">
        <f t="shared" si="1567"/>
        <v>1</v>
      </c>
      <c r="I4233" s="121">
        <f t="shared" si="1568"/>
        <v>1.1024</v>
      </c>
      <c r="J4233" s="121">
        <f t="shared" si="1569"/>
        <v>1.1024</v>
      </c>
      <c r="K4233" s="120">
        <f t="shared" si="1570"/>
        <v>0</v>
      </c>
      <c r="L4233" s="120">
        <f t="shared" si="1571"/>
        <v>0</v>
      </c>
      <c r="M4233" s="246">
        <f t="shared" si="1572"/>
        <v>0</v>
      </c>
      <c r="N4233" s="121">
        <f t="shared" si="1573"/>
        <v>1.1024</v>
      </c>
      <c r="O4233" s="246">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87">
        <v>22</v>
      </c>
      <c r="B4234" s="242">
        <f t="shared" si="1581"/>
        <v>46296</v>
      </c>
      <c r="C4234" s="243">
        <f t="shared" si="1562"/>
        <v>46326</v>
      </c>
      <c r="D4234" s="120">
        <f t="shared" si="1563"/>
        <v>31</v>
      </c>
      <c r="E4234" s="120">
        <f t="shared" si="1564"/>
        <v>10</v>
      </c>
      <c r="F4234" s="275">
        <f t="shared" si="1565"/>
        <v>46311.5</v>
      </c>
      <c r="G4234" s="120">
        <f t="shared" si="1566"/>
        <v>24321</v>
      </c>
      <c r="H4234" s="245">
        <f t="shared" si="1567"/>
        <v>1</v>
      </c>
      <c r="I4234" s="121">
        <f t="shared" si="1568"/>
        <v>1.1024</v>
      </c>
      <c r="J4234" s="121">
        <f t="shared" si="1569"/>
        <v>1.1024</v>
      </c>
      <c r="K4234" s="120">
        <f t="shared" si="1570"/>
        <v>0</v>
      </c>
      <c r="L4234" s="120">
        <f t="shared" si="1571"/>
        <v>0</v>
      </c>
      <c r="M4234" s="246">
        <f t="shared" si="1572"/>
        <v>0</v>
      </c>
      <c r="N4234" s="121">
        <f t="shared" si="1573"/>
        <v>1.1024</v>
      </c>
      <c r="O4234" s="246">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87">
        <v>23</v>
      </c>
      <c r="B4235" s="242">
        <f t="shared" si="1581"/>
        <v>46327</v>
      </c>
      <c r="C4235" s="243">
        <f t="shared" si="1562"/>
        <v>46356</v>
      </c>
      <c r="D4235" s="120">
        <f t="shared" si="1563"/>
        <v>30</v>
      </c>
      <c r="E4235" s="120">
        <f t="shared" si="1564"/>
        <v>11</v>
      </c>
      <c r="F4235" s="275">
        <f t="shared" si="1565"/>
        <v>46342</v>
      </c>
      <c r="G4235" s="120">
        <f t="shared" si="1566"/>
        <v>24322</v>
      </c>
      <c r="H4235" s="245">
        <f t="shared" si="1567"/>
        <v>1</v>
      </c>
      <c r="I4235" s="121">
        <f t="shared" si="1568"/>
        <v>1.1024</v>
      </c>
      <c r="J4235" s="121">
        <f t="shared" si="1569"/>
        <v>1.1024</v>
      </c>
      <c r="K4235" s="120">
        <f t="shared" si="1570"/>
        <v>0</v>
      </c>
      <c r="L4235" s="120">
        <f t="shared" si="1571"/>
        <v>0</v>
      </c>
      <c r="M4235" s="246">
        <f t="shared" si="1572"/>
        <v>0</v>
      </c>
      <c r="N4235" s="121">
        <f t="shared" si="1573"/>
        <v>1.1024</v>
      </c>
      <c r="O4235" s="246">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87">
        <v>24</v>
      </c>
      <c r="B4236" s="242">
        <f t="shared" si="1581"/>
        <v>46357</v>
      </c>
      <c r="C4236" s="243">
        <f t="shared" si="1562"/>
        <v>46387</v>
      </c>
      <c r="D4236" s="120">
        <f t="shared" si="1563"/>
        <v>31</v>
      </c>
      <c r="E4236" s="120">
        <f t="shared" si="1564"/>
        <v>12</v>
      </c>
      <c r="F4236" s="275">
        <f t="shared" si="1565"/>
        <v>46372.5</v>
      </c>
      <c r="G4236" s="120">
        <f t="shared" si="1566"/>
        <v>24323</v>
      </c>
      <c r="H4236" s="245">
        <f t="shared" si="1567"/>
        <v>1</v>
      </c>
      <c r="I4236" s="121">
        <f t="shared" si="1568"/>
        <v>1.1024</v>
      </c>
      <c r="J4236" s="121">
        <f t="shared" si="1569"/>
        <v>1.1024</v>
      </c>
      <c r="K4236" s="120">
        <f t="shared" si="1570"/>
        <v>0</v>
      </c>
      <c r="L4236" s="120">
        <f t="shared" si="1571"/>
        <v>0</v>
      </c>
      <c r="M4236" s="246">
        <f t="shared" si="1572"/>
        <v>0</v>
      </c>
      <c r="N4236" s="121">
        <f t="shared" si="1573"/>
        <v>1.1024</v>
      </c>
      <c r="O4236" s="246">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87">
        <v>25</v>
      </c>
      <c r="B4237" s="242">
        <f t="shared" si="1581"/>
        <v>46388</v>
      </c>
      <c r="C4237" s="243">
        <f t="shared" si="1562"/>
        <v>46418</v>
      </c>
      <c r="D4237" s="120">
        <f t="shared" si="1563"/>
        <v>31</v>
      </c>
      <c r="E4237" s="120">
        <f t="shared" si="1564"/>
        <v>1</v>
      </c>
      <c r="F4237" s="275">
        <f t="shared" si="1565"/>
        <v>46403.5</v>
      </c>
      <c r="G4237" s="120">
        <f t="shared" si="1566"/>
        <v>24324</v>
      </c>
      <c r="H4237" s="245">
        <f t="shared" si="1567"/>
        <v>1</v>
      </c>
      <c r="I4237" s="121">
        <f t="shared" si="1568"/>
        <v>1.1024</v>
      </c>
      <c r="J4237" s="121">
        <f t="shared" si="1569"/>
        <v>1.1024</v>
      </c>
      <c r="K4237" s="120">
        <f t="shared" si="1570"/>
        <v>0</v>
      </c>
      <c r="L4237" s="120">
        <f t="shared" si="1571"/>
        <v>0</v>
      </c>
      <c r="M4237" s="246">
        <f t="shared" si="1572"/>
        <v>0</v>
      </c>
      <c r="N4237" s="121">
        <f t="shared" si="1573"/>
        <v>1.1024</v>
      </c>
      <c r="O4237" s="246">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87">
        <v>26</v>
      </c>
      <c r="B4238" s="242">
        <f t="shared" si="1581"/>
        <v>46419</v>
      </c>
      <c r="C4238" s="243">
        <f t="shared" si="1562"/>
        <v>46446</v>
      </c>
      <c r="D4238" s="120">
        <f t="shared" si="1563"/>
        <v>28</v>
      </c>
      <c r="E4238" s="120">
        <f t="shared" si="1564"/>
        <v>2</v>
      </c>
      <c r="F4238" s="275">
        <f t="shared" si="1565"/>
        <v>46433</v>
      </c>
      <c r="G4238" s="120">
        <f t="shared" si="1566"/>
        <v>24325</v>
      </c>
      <c r="H4238" s="245">
        <f t="shared" si="1567"/>
        <v>1</v>
      </c>
      <c r="I4238" s="121">
        <f t="shared" si="1568"/>
        <v>1.1024</v>
      </c>
      <c r="J4238" s="121">
        <f t="shared" si="1569"/>
        <v>1.1024</v>
      </c>
      <c r="K4238" s="120">
        <f t="shared" si="1570"/>
        <v>0</v>
      </c>
      <c r="L4238" s="120">
        <f t="shared" si="1571"/>
        <v>0</v>
      </c>
      <c r="M4238" s="246">
        <f t="shared" si="1572"/>
        <v>0</v>
      </c>
      <c r="N4238" s="121">
        <f t="shared" si="1573"/>
        <v>1.1024</v>
      </c>
      <c r="O4238" s="246">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87">
        <v>27</v>
      </c>
      <c r="B4239" s="242">
        <f t="shared" si="1581"/>
        <v>46447</v>
      </c>
      <c r="C4239" s="243">
        <f t="shared" si="1562"/>
        <v>46477</v>
      </c>
      <c r="D4239" s="120">
        <f t="shared" si="1563"/>
        <v>31</v>
      </c>
      <c r="E4239" s="120">
        <f t="shared" si="1564"/>
        <v>3</v>
      </c>
      <c r="F4239" s="275">
        <f t="shared" si="1565"/>
        <v>46462.5</v>
      </c>
      <c r="G4239" s="120">
        <f t="shared" si="1566"/>
        <v>24326</v>
      </c>
      <c r="H4239" s="245">
        <f t="shared" si="1567"/>
        <v>1</v>
      </c>
      <c r="I4239" s="121">
        <f t="shared" si="1568"/>
        <v>1.1024</v>
      </c>
      <c r="J4239" s="121">
        <f t="shared" si="1569"/>
        <v>1.1024</v>
      </c>
      <c r="K4239" s="120">
        <f t="shared" si="1570"/>
        <v>0</v>
      </c>
      <c r="L4239" s="120">
        <f t="shared" si="1571"/>
        <v>0</v>
      </c>
      <c r="M4239" s="246">
        <f t="shared" si="1572"/>
        <v>0</v>
      </c>
      <c r="N4239" s="121">
        <f t="shared" si="1573"/>
        <v>1.1024</v>
      </c>
      <c r="O4239" s="246">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87">
        <v>28</v>
      </c>
      <c r="B4240" s="242">
        <f t="shared" si="1581"/>
        <v>46478</v>
      </c>
      <c r="C4240" s="243">
        <f t="shared" si="1562"/>
        <v>46507</v>
      </c>
      <c r="D4240" s="120">
        <f t="shared" si="1563"/>
        <v>30</v>
      </c>
      <c r="E4240" s="120">
        <f t="shared" si="1564"/>
        <v>4</v>
      </c>
      <c r="F4240" s="275">
        <f t="shared" si="1565"/>
        <v>46493</v>
      </c>
      <c r="G4240" s="120">
        <f t="shared" si="1566"/>
        <v>24327</v>
      </c>
      <c r="H4240" s="245">
        <f t="shared" si="1567"/>
        <v>1</v>
      </c>
      <c r="I4240" s="121">
        <f t="shared" si="1568"/>
        <v>1.1024</v>
      </c>
      <c r="J4240" s="121">
        <f t="shared" si="1569"/>
        <v>1.1575200000000001</v>
      </c>
      <c r="K4240" s="120">
        <f t="shared" si="1570"/>
        <v>1</v>
      </c>
      <c r="L4240" s="120">
        <f t="shared" si="1571"/>
        <v>30</v>
      </c>
      <c r="M4240" s="246">
        <f t="shared" si="1572"/>
        <v>1</v>
      </c>
      <c r="N4240" s="121">
        <f t="shared" si="1573"/>
        <v>1.1575200000000001</v>
      </c>
      <c r="O4240" s="246">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87">
        <v>29</v>
      </c>
      <c r="B4241" s="242">
        <f t="shared" si="1581"/>
        <v>46508</v>
      </c>
      <c r="C4241" s="243">
        <f t="shared" si="1562"/>
        <v>46538</v>
      </c>
      <c r="D4241" s="120">
        <f t="shared" si="1563"/>
        <v>31</v>
      </c>
      <c r="E4241" s="120">
        <f t="shared" si="1564"/>
        <v>5</v>
      </c>
      <c r="F4241" s="275">
        <f t="shared" si="1565"/>
        <v>46523.5</v>
      </c>
      <c r="G4241" s="120">
        <f t="shared" si="1566"/>
        <v>24328</v>
      </c>
      <c r="H4241" s="245">
        <f t="shared" si="1567"/>
        <v>1</v>
      </c>
      <c r="I4241" s="121">
        <f t="shared" si="1568"/>
        <v>1.1575200000000001</v>
      </c>
      <c r="J4241" s="121">
        <f t="shared" si="1569"/>
        <v>1.1575200000000001</v>
      </c>
      <c r="K4241" s="120">
        <f t="shared" si="1570"/>
        <v>0</v>
      </c>
      <c r="L4241" s="120">
        <f t="shared" si="1571"/>
        <v>0</v>
      </c>
      <c r="M4241" s="246">
        <f t="shared" si="1572"/>
        <v>0</v>
      </c>
      <c r="N4241" s="121">
        <f t="shared" si="1573"/>
        <v>1.1575200000000001</v>
      </c>
      <c r="O4241" s="246">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87">
        <v>30</v>
      </c>
      <c r="B4242" s="242">
        <f t="shared" si="1581"/>
        <v>46539</v>
      </c>
      <c r="C4242" s="243">
        <f t="shared" si="1562"/>
        <v>46568</v>
      </c>
      <c r="D4242" s="120">
        <f t="shared" si="1563"/>
        <v>30</v>
      </c>
      <c r="E4242" s="120">
        <f t="shared" si="1564"/>
        <v>6</v>
      </c>
      <c r="F4242" s="275">
        <f t="shared" si="1565"/>
        <v>46554</v>
      </c>
      <c r="G4242" s="120">
        <f t="shared" si="1566"/>
        <v>24329</v>
      </c>
      <c r="H4242" s="245">
        <f t="shared" si="1567"/>
        <v>1</v>
      </c>
      <c r="I4242" s="121">
        <f t="shared" si="1568"/>
        <v>1.1575200000000001</v>
      </c>
      <c r="J4242" s="121">
        <f t="shared" si="1569"/>
        <v>1.1575200000000001</v>
      </c>
      <c r="K4242" s="120">
        <f t="shared" si="1570"/>
        <v>0</v>
      </c>
      <c r="L4242" s="120">
        <f t="shared" si="1571"/>
        <v>0</v>
      </c>
      <c r="M4242" s="246">
        <f t="shared" si="1572"/>
        <v>0</v>
      </c>
      <c r="N4242" s="121">
        <f t="shared" si="1573"/>
        <v>1.1575200000000001</v>
      </c>
      <c r="O4242" s="246">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87">
        <v>31</v>
      </c>
      <c r="B4243" s="242">
        <f t="shared" si="1581"/>
        <v>46569</v>
      </c>
      <c r="C4243" s="243">
        <f t="shared" si="1562"/>
        <v>46599</v>
      </c>
      <c r="D4243" s="120">
        <f t="shared" si="1563"/>
        <v>31</v>
      </c>
      <c r="E4243" s="120">
        <f t="shared" si="1564"/>
        <v>7</v>
      </c>
      <c r="F4243" s="275">
        <f t="shared" si="1565"/>
        <v>46584.5</v>
      </c>
      <c r="G4243" s="120">
        <f t="shared" si="1566"/>
        <v>24330</v>
      </c>
      <c r="H4243" s="245">
        <f t="shared" si="1567"/>
        <v>1</v>
      </c>
      <c r="I4243" s="121">
        <f t="shared" si="1568"/>
        <v>1.1575200000000001</v>
      </c>
      <c r="J4243" s="121">
        <f t="shared" si="1569"/>
        <v>1.1575200000000001</v>
      </c>
      <c r="K4243" s="120">
        <f t="shared" si="1570"/>
        <v>0</v>
      </c>
      <c r="L4243" s="120">
        <f t="shared" si="1571"/>
        <v>0</v>
      </c>
      <c r="M4243" s="246">
        <f t="shared" si="1572"/>
        <v>0</v>
      </c>
      <c r="N4243" s="121">
        <f t="shared" si="1573"/>
        <v>1.1575200000000001</v>
      </c>
      <c r="O4243" s="246">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87">
        <v>32</v>
      </c>
      <c r="B4244" s="242">
        <f t="shared" si="1581"/>
        <v>46600</v>
      </c>
      <c r="C4244" s="243">
        <f t="shared" si="1562"/>
        <v>46630</v>
      </c>
      <c r="D4244" s="120">
        <f t="shared" si="1563"/>
        <v>31</v>
      </c>
      <c r="E4244" s="120">
        <f t="shared" si="1564"/>
        <v>8</v>
      </c>
      <c r="F4244" s="275">
        <f t="shared" si="1565"/>
        <v>46615.5</v>
      </c>
      <c r="G4244" s="120">
        <f t="shared" si="1566"/>
        <v>24331</v>
      </c>
      <c r="H4244" s="245">
        <f t="shared" si="1567"/>
        <v>1</v>
      </c>
      <c r="I4244" s="121">
        <f t="shared" si="1568"/>
        <v>1.1575200000000001</v>
      </c>
      <c r="J4244" s="121">
        <f t="shared" si="1569"/>
        <v>1.1575200000000001</v>
      </c>
      <c r="K4244" s="120">
        <f t="shared" si="1570"/>
        <v>0</v>
      </c>
      <c r="L4244" s="120">
        <f t="shared" si="1571"/>
        <v>0</v>
      </c>
      <c r="M4244" s="246">
        <f t="shared" si="1572"/>
        <v>0</v>
      </c>
      <c r="N4244" s="121">
        <f t="shared" si="1573"/>
        <v>1.1575200000000001</v>
      </c>
      <c r="O4244" s="246">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87">
        <v>33</v>
      </c>
      <c r="B4245" s="242">
        <f t="shared" si="1581"/>
        <v>46631</v>
      </c>
      <c r="C4245" s="243">
        <f t="shared" si="1562"/>
        <v>46660</v>
      </c>
      <c r="D4245" s="120">
        <f t="shared" si="1563"/>
        <v>30</v>
      </c>
      <c r="E4245" s="120">
        <f t="shared" si="1564"/>
        <v>9</v>
      </c>
      <c r="F4245" s="275">
        <f t="shared" si="1565"/>
        <v>46646</v>
      </c>
      <c r="G4245" s="120">
        <f t="shared" si="1566"/>
        <v>24332</v>
      </c>
      <c r="H4245" s="245">
        <f t="shared" si="1567"/>
        <v>1</v>
      </c>
      <c r="I4245" s="121">
        <f t="shared" si="1568"/>
        <v>1.1575200000000001</v>
      </c>
      <c r="J4245" s="121">
        <f t="shared" si="1569"/>
        <v>1.1575200000000001</v>
      </c>
      <c r="K4245" s="120">
        <f t="shared" si="1570"/>
        <v>0</v>
      </c>
      <c r="L4245" s="120">
        <f t="shared" si="1571"/>
        <v>0</v>
      </c>
      <c r="M4245" s="246">
        <f t="shared" si="1572"/>
        <v>0</v>
      </c>
      <c r="N4245" s="121">
        <f t="shared" si="1573"/>
        <v>1.1575200000000001</v>
      </c>
      <c r="O4245" s="246">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87">
        <v>34</v>
      </c>
      <c r="B4246" s="242">
        <f t="shared" si="1581"/>
        <v>46661</v>
      </c>
      <c r="C4246" s="243">
        <f t="shared" si="1562"/>
        <v>46691</v>
      </c>
      <c r="D4246" s="120">
        <f t="shared" si="1563"/>
        <v>31</v>
      </c>
      <c r="E4246" s="120">
        <f t="shared" si="1564"/>
        <v>10</v>
      </c>
      <c r="F4246" s="275">
        <f t="shared" si="1565"/>
        <v>46676.5</v>
      </c>
      <c r="G4246" s="120">
        <f t="shared" si="1566"/>
        <v>24333</v>
      </c>
      <c r="H4246" s="245">
        <f t="shared" si="1567"/>
        <v>1</v>
      </c>
      <c r="I4246" s="121">
        <f t="shared" si="1568"/>
        <v>1.1575200000000001</v>
      </c>
      <c r="J4246" s="121">
        <f t="shared" si="1569"/>
        <v>1.1575200000000001</v>
      </c>
      <c r="K4246" s="120">
        <f t="shared" si="1570"/>
        <v>0</v>
      </c>
      <c r="L4246" s="120">
        <f t="shared" si="1571"/>
        <v>0</v>
      </c>
      <c r="M4246" s="246">
        <f t="shared" si="1572"/>
        <v>0</v>
      </c>
      <c r="N4246" s="121">
        <f t="shared" si="1573"/>
        <v>1.1575200000000001</v>
      </c>
      <c r="O4246" s="246">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87">
        <v>35</v>
      </c>
      <c r="B4247" s="242">
        <f t="shared" si="1581"/>
        <v>46692</v>
      </c>
      <c r="C4247" s="243">
        <f t="shared" si="1562"/>
        <v>46721</v>
      </c>
      <c r="D4247" s="120">
        <f t="shared" si="1563"/>
        <v>30</v>
      </c>
      <c r="E4247" s="120">
        <f t="shared" si="1564"/>
        <v>11</v>
      </c>
      <c r="F4247" s="275">
        <f t="shared" si="1565"/>
        <v>46707</v>
      </c>
      <c r="G4247" s="120">
        <f t="shared" si="1566"/>
        <v>24334</v>
      </c>
      <c r="H4247" s="245">
        <f t="shared" si="1567"/>
        <v>1</v>
      </c>
      <c r="I4247" s="121">
        <f t="shared" si="1568"/>
        <v>1.1575200000000001</v>
      </c>
      <c r="J4247" s="121">
        <f t="shared" si="1569"/>
        <v>1.1575200000000001</v>
      </c>
      <c r="K4247" s="120">
        <f t="shared" si="1570"/>
        <v>0</v>
      </c>
      <c r="L4247" s="120">
        <f t="shared" si="1571"/>
        <v>0</v>
      </c>
      <c r="M4247" s="246">
        <f t="shared" si="1572"/>
        <v>0</v>
      </c>
      <c r="N4247" s="121">
        <f t="shared" si="1573"/>
        <v>1.1575200000000001</v>
      </c>
      <c r="O4247" s="246">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87">
        <v>36</v>
      </c>
      <c r="B4248" s="242">
        <f t="shared" si="1581"/>
        <v>46722</v>
      </c>
      <c r="C4248" s="243">
        <f t="shared" si="1562"/>
        <v>46752</v>
      </c>
      <c r="D4248" s="120">
        <f t="shared" si="1563"/>
        <v>31</v>
      </c>
      <c r="E4248" s="120">
        <f t="shared" si="1564"/>
        <v>12</v>
      </c>
      <c r="F4248" s="275">
        <f t="shared" si="1565"/>
        <v>46737.5</v>
      </c>
      <c r="G4248" s="120">
        <f t="shared" si="1566"/>
        <v>24335</v>
      </c>
      <c r="H4248" s="245">
        <f t="shared" si="1567"/>
        <v>1</v>
      </c>
      <c r="I4248" s="121">
        <f t="shared" si="1568"/>
        <v>1.1575200000000001</v>
      </c>
      <c r="J4248" s="121">
        <f t="shared" si="1569"/>
        <v>1.1575200000000001</v>
      </c>
      <c r="K4248" s="120">
        <f t="shared" si="1570"/>
        <v>0</v>
      </c>
      <c r="L4248" s="120">
        <f t="shared" si="1571"/>
        <v>0</v>
      </c>
      <c r="M4248" s="246">
        <f t="shared" si="1572"/>
        <v>0</v>
      </c>
      <c r="N4248" s="121">
        <f t="shared" si="1573"/>
        <v>1.1575200000000001</v>
      </c>
      <c r="O4248" s="246">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87">
        <v>37</v>
      </c>
      <c r="B4249" s="242">
        <f t="shared" si="1581"/>
        <v>46753</v>
      </c>
      <c r="C4249" s="243">
        <f t="shared" si="1562"/>
        <v>46783</v>
      </c>
      <c r="D4249" s="120">
        <f t="shared" si="1563"/>
        <v>31</v>
      </c>
      <c r="E4249" s="120">
        <f t="shared" si="1564"/>
        <v>1</v>
      </c>
      <c r="F4249" s="275">
        <f t="shared" si="1565"/>
        <v>46768.5</v>
      </c>
      <c r="G4249" s="120">
        <f t="shared" si="1566"/>
        <v>24336</v>
      </c>
      <c r="H4249" s="245">
        <f t="shared" si="1567"/>
        <v>1</v>
      </c>
      <c r="I4249" s="121">
        <f t="shared" si="1568"/>
        <v>1.1575200000000001</v>
      </c>
      <c r="J4249" s="121">
        <f t="shared" si="1569"/>
        <v>1.1575200000000001</v>
      </c>
      <c r="K4249" s="120">
        <f t="shared" si="1570"/>
        <v>0</v>
      </c>
      <c r="L4249" s="120">
        <f t="shared" si="1571"/>
        <v>0</v>
      </c>
      <c r="M4249" s="246">
        <f t="shared" si="1572"/>
        <v>0</v>
      </c>
      <c r="N4249" s="121">
        <f t="shared" si="1573"/>
        <v>1.1575200000000001</v>
      </c>
      <c r="O4249" s="246">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87">
        <v>38</v>
      </c>
      <c r="B4250" s="242">
        <f t="shared" si="1581"/>
        <v>46784</v>
      </c>
      <c r="C4250" s="243">
        <f t="shared" si="1562"/>
        <v>46812</v>
      </c>
      <c r="D4250" s="120">
        <f t="shared" si="1563"/>
        <v>29</v>
      </c>
      <c r="E4250" s="120">
        <f t="shared" si="1564"/>
        <v>2</v>
      </c>
      <c r="F4250" s="275">
        <f t="shared" si="1565"/>
        <v>46798.5</v>
      </c>
      <c r="G4250" s="120">
        <f t="shared" si="1566"/>
        <v>24337</v>
      </c>
      <c r="H4250" s="245">
        <f t="shared" si="1567"/>
        <v>1</v>
      </c>
      <c r="I4250" s="121">
        <f t="shared" si="1568"/>
        <v>1.1575200000000001</v>
      </c>
      <c r="J4250" s="121">
        <f t="shared" si="1569"/>
        <v>1.1575200000000001</v>
      </c>
      <c r="K4250" s="120">
        <f t="shared" si="1570"/>
        <v>0</v>
      </c>
      <c r="L4250" s="120">
        <f t="shared" si="1571"/>
        <v>0</v>
      </c>
      <c r="M4250" s="246">
        <f t="shared" si="1572"/>
        <v>0</v>
      </c>
      <c r="N4250" s="121">
        <f t="shared" si="1573"/>
        <v>1.1575200000000001</v>
      </c>
      <c r="O4250" s="246">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87">
        <v>39</v>
      </c>
      <c r="B4251" s="242">
        <f t="shared" si="1581"/>
        <v>46813</v>
      </c>
      <c r="C4251" s="243">
        <f t="shared" si="1562"/>
        <v>46843</v>
      </c>
      <c r="D4251" s="120">
        <f t="shared" si="1563"/>
        <v>31</v>
      </c>
      <c r="E4251" s="120">
        <f t="shared" si="1564"/>
        <v>3</v>
      </c>
      <c r="F4251" s="275">
        <f t="shared" si="1565"/>
        <v>46828.5</v>
      </c>
      <c r="G4251" s="120">
        <f t="shared" si="1566"/>
        <v>24338</v>
      </c>
      <c r="H4251" s="245">
        <f t="shared" si="1567"/>
        <v>1</v>
      </c>
      <c r="I4251" s="121">
        <f t="shared" si="1568"/>
        <v>1.1575200000000001</v>
      </c>
      <c r="J4251" s="121">
        <f t="shared" si="1569"/>
        <v>1.1575200000000001</v>
      </c>
      <c r="K4251" s="120">
        <f t="shared" si="1570"/>
        <v>0</v>
      </c>
      <c r="L4251" s="120">
        <f t="shared" si="1571"/>
        <v>0</v>
      </c>
      <c r="M4251" s="246">
        <f t="shared" si="1572"/>
        <v>0</v>
      </c>
      <c r="N4251" s="121">
        <f t="shared" si="1573"/>
        <v>1.1575200000000001</v>
      </c>
      <c r="O4251" s="246">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87">
        <v>40</v>
      </c>
      <c r="B4252" s="242">
        <f t="shared" si="1581"/>
        <v>46844</v>
      </c>
      <c r="C4252" s="243">
        <f t="shared" si="1562"/>
        <v>46873</v>
      </c>
      <c r="D4252" s="120">
        <f t="shared" si="1563"/>
        <v>30</v>
      </c>
      <c r="E4252" s="120">
        <f t="shared" si="1564"/>
        <v>4</v>
      </c>
      <c r="F4252" s="275">
        <f t="shared" si="1565"/>
        <v>46859</v>
      </c>
      <c r="G4252" s="120">
        <f t="shared" si="1566"/>
        <v>24339</v>
      </c>
      <c r="H4252" s="245">
        <f t="shared" si="1567"/>
        <v>1</v>
      </c>
      <c r="I4252" s="121">
        <f t="shared" si="1568"/>
        <v>1.1575200000000001</v>
      </c>
      <c r="J4252" s="121">
        <f t="shared" si="1569"/>
        <v>1.1575200000000001</v>
      </c>
      <c r="K4252" s="120">
        <f t="shared" si="1570"/>
        <v>0</v>
      </c>
      <c r="L4252" s="120">
        <f t="shared" si="1571"/>
        <v>0</v>
      </c>
      <c r="M4252" s="246">
        <f t="shared" si="1572"/>
        <v>0</v>
      </c>
      <c r="N4252" s="121">
        <f t="shared" si="1573"/>
        <v>1.1575200000000001</v>
      </c>
      <c r="O4252" s="246">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87">
        <v>41</v>
      </c>
      <c r="B4253" s="242">
        <f t="shared" si="1581"/>
        <v>46874</v>
      </c>
      <c r="C4253" s="243">
        <f t="shared" si="1562"/>
        <v>46904</v>
      </c>
      <c r="D4253" s="120">
        <f t="shared" si="1563"/>
        <v>31</v>
      </c>
      <c r="E4253" s="120">
        <f t="shared" si="1564"/>
        <v>5</v>
      </c>
      <c r="F4253" s="275">
        <f t="shared" si="1565"/>
        <v>46889.5</v>
      </c>
      <c r="G4253" s="120">
        <f t="shared" si="1566"/>
        <v>24340</v>
      </c>
      <c r="H4253" s="245">
        <f t="shared" si="1567"/>
        <v>1</v>
      </c>
      <c r="I4253" s="121">
        <f t="shared" si="1568"/>
        <v>1.1575200000000001</v>
      </c>
      <c r="J4253" s="121">
        <f t="shared" si="1569"/>
        <v>1.1575200000000001</v>
      </c>
      <c r="K4253" s="120">
        <f t="shared" si="1570"/>
        <v>0</v>
      </c>
      <c r="L4253" s="120">
        <f t="shared" si="1571"/>
        <v>0</v>
      </c>
      <c r="M4253" s="246">
        <f t="shared" si="1572"/>
        <v>0</v>
      </c>
      <c r="N4253" s="121">
        <f t="shared" si="1573"/>
        <v>1.1575200000000001</v>
      </c>
      <c r="O4253" s="246">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87">
        <v>42</v>
      </c>
      <c r="B4254" s="242">
        <f t="shared" si="1581"/>
        <v>46905</v>
      </c>
      <c r="C4254" s="243">
        <f t="shared" si="1562"/>
        <v>46934</v>
      </c>
      <c r="D4254" s="120">
        <f t="shared" si="1563"/>
        <v>30</v>
      </c>
      <c r="E4254" s="120">
        <f t="shared" si="1564"/>
        <v>6</v>
      </c>
      <c r="F4254" s="275">
        <f t="shared" si="1565"/>
        <v>46920</v>
      </c>
      <c r="G4254" s="120">
        <f t="shared" si="1566"/>
        <v>24341</v>
      </c>
      <c r="H4254" s="245">
        <f t="shared" si="1567"/>
        <v>1</v>
      </c>
      <c r="I4254" s="121">
        <f t="shared" si="1568"/>
        <v>1.1575200000000001</v>
      </c>
      <c r="J4254" s="121">
        <f t="shared" si="1569"/>
        <v>1.1575200000000001</v>
      </c>
      <c r="K4254" s="120">
        <f t="shared" si="1570"/>
        <v>0</v>
      </c>
      <c r="L4254" s="120">
        <f t="shared" si="1571"/>
        <v>0</v>
      </c>
      <c r="M4254" s="246">
        <f t="shared" si="1572"/>
        <v>0</v>
      </c>
      <c r="N4254" s="121">
        <f t="shared" si="1573"/>
        <v>1.1575200000000001</v>
      </c>
      <c r="O4254" s="246">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87">
        <v>43</v>
      </c>
      <c r="B4255" s="242">
        <f t="shared" si="1581"/>
        <v>46935</v>
      </c>
      <c r="C4255" s="243">
        <f t="shared" si="1562"/>
        <v>46965</v>
      </c>
      <c r="D4255" s="120">
        <f t="shared" si="1563"/>
        <v>31</v>
      </c>
      <c r="E4255" s="120">
        <f t="shared" si="1564"/>
        <v>7</v>
      </c>
      <c r="F4255" s="275">
        <f t="shared" si="1565"/>
        <v>46950.5</v>
      </c>
      <c r="G4255" s="120">
        <f t="shared" si="1566"/>
        <v>24342</v>
      </c>
      <c r="H4255" s="245">
        <f t="shared" si="1567"/>
        <v>1</v>
      </c>
      <c r="I4255" s="121">
        <f t="shared" si="1568"/>
        <v>1.1575200000000001</v>
      </c>
      <c r="J4255" s="121">
        <f t="shared" si="1569"/>
        <v>1.1575200000000001</v>
      </c>
      <c r="K4255" s="120">
        <f t="shared" si="1570"/>
        <v>0</v>
      </c>
      <c r="L4255" s="120">
        <f t="shared" si="1571"/>
        <v>0</v>
      </c>
      <c r="M4255" s="246">
        <f t="shared" si="1572"/>
        <v>0</v>
      </c>
      <c r="N4255" s="121">
        <f t="shared" si="1573"/>
        <v>1.1575200000000001</v>
      </c>
      <c r="O4255" s="246">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87">
        <v>44</v>
      </c>
      <c r="B4256" s="242">
        <f t="shared" si="1581"/>
        <v>46966</v>
      </c>
      <c r="C4256" s="243">
        <f t="shared" si="1562"/>
        <v>46996</v>
      </c>
      <c r="D4256" s="120">
        <f t="shared" si="1563"/>
        <v>31</v>
      </c>
      <c r="E4256" s="120">
        <f t="shared" si="1564"/>
        <v>8</v>
      </c>
      <c r="F4256" s="275">
        <f t="shared" si="1565"/>
        <v>46981.5</v>
      </c>
      <c r="G4256" s="120">
        <f t="shared" si="1566"/>
        <v>24343</v>
      </c>
      <c r="H4256" s="245">
        <f t="shared" si="1567"/>
        <v>1</v>
      </c>
      <c r="I4256" s="121">
        <f t="shared" si="1568"/>
        <v>1.1575200000000001</v>
      </c>
      <c r="J4256" s="121">
        <f t="shared" si="1569"/>
        <v>1.1575200000000001</v>
      </c>
      <c r="K4256" s="120">
        <f t="shared" si="1570"/>
        <v>0</v>
      </c>
      <c r="L4256" s="120">
        <f t="shared" si="1571"/>
        <v>0</v>
      </c>
      <c r="M4256" s="246">
        <f t="shared" si="1572"/>
        <v>0</v>
      </c>
      <c r="N4256" s="121">
        <f t="shared" si="1573"/>
        <v>1.1575200000000001</v>
      </c>
      <c r="O4256" s="246">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87">
        <v>45</v>
      </c>
      <c r="B4257" s="242">
        <f t="shared" si="1581"/>
        <v>46997</v>
      </c>
      <c r="C4257" s="243">
        <f t="shared" si="1562"/>
        <v>47026</v>
      </c>
      <c r="D4257" s="120">
        <f t="shared" si="1563"/>
        <v>30</v>
      </c>
      <c r="E4257" s="120">
        <f t="shared" si="1564"/>
        <v>9</v>
      </c>
      <c r="F4257" s="275">
        <f t="shared" si="1565"/>
        <v>47012</v>
      </c>
      <c r="G4257" s="120">
        <f t="shared" si="1566"/>
        <v>24344</v>
      </c>
      <c r="H4257" s="245">
        <f t="shared" si="1567"/>
        <v>1</v>
      </c>
      <c r="I4257" s="121">
        <f t="shared" si="1568"/>
        <v>1.1575200000000001</v>
      </c>
      <c r="J4257" s="121">
        <f t="shared" si="1569"/>
        <v>1.1575200000000001</v>
      </c>
      <c r="K4257" s="120">
        <f t="shared" si="1570"/>
        <v>0</v>
      </c>
      <c r="L4257" s="120">
        <f t="shared" si="1571"/>
        <v>0</v>
      </c>
      <c r="M4257" s="246">
        <f t="shared" si="1572"/>
        <v>0</v>
      </c>
      <c r="N4257" s="121">
        <f t="shared" si="1573"/>
        <v>1.1575200000000001</v>
      </c>
      <c r="O4257" s="246">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87">
        <v>46</v>
      </c>
      <c r="B4258" s="242">
        <f t="shared" si="1581"/>
        <v>47027</v>
      </c>
      <c r="C4258" s="243">
        <f t="shared" si="1562"/>
        <v>47057</v>
      </c>
      <c r="D4258" s="120">
        <f t="shared" si="1563"/>
        <v>31</v>
      </c>
      <c r="E4258" s="120">
        <f t="shared" si="1564"/>
        <v>10</v>
      </c>
      <c r="F4258" s="275">
        <f t="shared" si="1565"/>
        <v>47042.5</v>
      </c>
      <c r="G4258" s="120">
        <f t="shared" si="1566"/>
        <v>24345</v>
      </c>
      <c r="H4258" s="245">
        <f t="shared" si="1567"/>
        <v>1</v>
      </c>
      <c r="I4258" s="121">
        <f t="shared" si="1568"/>
        <v>1.1575200000000001</v>
      </c>
      <c r="J4258" s="121">
        <f t="shared" si="1569"/>
        <v>1.1575200000000001</v>
      </c>
      <c r="K4258" s="120">
        <f t="shared" si="1570"/>
        <v>0</v>
      </c>
      <c r="L4258" s="120">
        <f t="shared" si="1571"/>
        <v>0</v>
      </c>
      <c r="M4258" s="246">
        <f t="shared" si="1572"/>
        <v>0</v>
      </c>
      <c r="N4258" s="121">
        <f t="shared" si="1573"/>
        <v>1.1575200000000001</v>
      </c>
      <c r="O4258" s="246">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87">
        <v>47</v>
      </c>
      <c r="B4259" s="242">
        <f t="shared" si="1581"/>
        <v>47058</v>
      </c>
      <c r="C4259" s="243">
        <f t="shared" si="1562"/>
        <v>47087</v>
      </c>
      <c r="D4259" s="120">
        <f t="shared" si="1563"/>
        <v>30</v>
      </c>
      <c r="E4259" s="120">
        <f t="shared" si="1564"/>
        <v>11</v>
      </c>
      <c r="F4259" s="275">
        <f t="shared" si="1565"/>
        <v>47073</v>
      </c>
      <c r="G4259" s="120">
        <f t="shared" si="1566"/>
        <v>24346</v>
      </c>
      <c r="H4259" s="245">
        <f t="shared" si="1567"/>
        <v>1</v>
      </c>
      <c r="I4259" s="121">
        <f t="shared" si="1568"/>
        <v>1.1575200000000001</v>
      </c>
      <c r="J4259" s="121">
        <f t="shared" si="1569"/>
        <v>1.1575200000000001</v>
      </c>
      <c r="K4259" s="120">
        <f t="shared" si="1570"/>
        <v>0</v>
      </c>
      <c r="L4259" s="120">
        <f t="shared" si="1571"/>
        <v>0</v>
      </c>
      <c r="M4259" s="246">
        <f t="shared" si="1572"/>
        <v>0</v>
      </c>
      <c r="N4259" s="121">
        <f t="shared" si="1573"/>
        <v>1.1575200000000001</v>
      </c>
      <c r="O4259" s="246">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87">
        <v>48</v>
      </c>
      <c r="B4260" s="242">
        <f t="shared" si="1581"/>
        <v>47088</v>
      </c>
      <c r="C4260" s="243">
        <f t="shared" si="1562"/>
        <v>47118</v>
      </c>
      <c r="D4260" s="120">
        <f t="shared" si="1563"/>
        <v>31</v>
      </c>
      <c r="E4260" s="120">
        <f t="shared" si="1564"/>
        <v>12</v>
      </c>
      <c r="F4260" s="275">
        <f t="shared" si="1565"/>
        <v>47103.5</v>
      </c>
      <c r="G4260" s="120">
        <f t="shared" si="1566"/>
        <v>24347</v>
      </c>
      <c r="H4260" s="245">
        <f t="shared" si="1567"/>
        <v>1</v>
      </c>
      <c r="I4260" s="121">
        <f t="shared" si="1568"/>
        <v>1.1575200000000001</v>
      </c>
      <c r="J4260" s="121">
        <f t="shared" si="1569"/>
        <v>1.1575200000000001</v>
      </c>
      <c r="K4260" s="120">
        <f t="shared" si="1570"/>
        <v>0</v>
      </c>
      <c r="L4260" s="120">
        <f t="shared" si="1571"/>
        <v>0</v>
      </c>
      <c r="M4260" s="246">
        <f t="shared" si="1572"/>
        <v>0</v>
      </c>
      <c r="N4260" s="121">
        <f t="shared" si="1573"/>
        <v>1.1575200000000001</v>
      </c>
      <c r="O4260" s="246">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1696</v>
      </c>
      <c r="B4261" s="73">
        <f>SUMPRODUCT($H$4213:$H$4260,$Q$4213:$Q$4260,$U$4213:$U$4260)/SUMPRODUCT($H$4213:$H$4260,$Q$4213:$Q$4260)</f>
        <v>1.1101025000000002</v>
      </c>
      <c r="C4261" s="73">
        <f>SUMPRODUCT($H$4213:$H$4260,$R$4213:$R$4260,$U$4213:$U$4260)/SUMPRODUCT($H$4213:$H$4260,$R$4213:$R$4260)</f>
        <v>1.1557975</v>
      </c>
      <c r="D4261" s="224">
        <f>SUMPRODUCT($H$4213:$H$4260,$Q$4213:$Q$4260,$O$4213:$O$4260)/SUMPRODUCT($H$4213:$H$4260,$Q$4213:$Q$4260)</f>
        <v>0.8659874179431073</v>
      </c>
    </row>
    <row r="4266" spans="1:21" x14ac:dyDescent="0.3">
      <c r="A4266" s="270" t="s">
        <v>1697</v>
      </c>
    </row>
    <row r="4267" spans="1:21" x14ac:dyDescent="0.3">
      <c r="A4267" s="23" t="s">
        <v>1698</v>
      </c>
      <c r="B4267" s="23" t="s">
        <v>1699</v>
      </c>
      <c r="C4267" s="23" t="s">
        <v>1700</v>
      </c>
      <c r="D4267" s="23" t="s">
        <v>1701</v>
      </c>
      <c r="E4267" s="23" t="s">
        <v>1702</v>
      </c>
      <c r="F4267" s="23" t="s">
        <v>1703</v>
      </c>
      <c r="G4267" s="23" t="s">
        <v>1704</v>
      </c>
      <c r="H4267" s="23" t="s">
        <v>1705</v>
      </c>
      <c r="I4267" s="23" t="s">
        <v>1706</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0" t="s">
        <v>1707</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94">EOMONTH($B4513,0)</f>
        <v>45688</v>
      </c>
      <c r="D4513" s="120">
        <f t="shared" ref="D4513:D4560" si="1595">$C4513-$B4513+1</f>
        <v>31</v>
      </c>
      <c r="E4513" s="120">
        <f t="shared" ref="E4513:E4560" si="1596">MONTH($B4513)</f>
        <v>1</v>
      </c>
      <c r="F4513" s="275">
        <f t="shared" ref="F4513:F4560" si="1597">($B4513+$C4513+1)/2</f>
        <v>45673.5</v>
      </c>
      <c r="G4513" s="120">
        <f t="shared" ref="G4513:G4560" si="1598">YEAR($B4513)*12+MONTH($B4513)-1</f>
        <v>24300</v>
      </c>
      <c r="H4513" s="245">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46">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87">
        <v>2</v>
      </c>
      <c r="B4514" s="242">
        <f t="shared" ref="B4514:B4560" si="1609">EDATE($B4513,1)</f>
        <v>45689</v>
      </c>
      <c r="C4514" s="243">
        <f t="shared" si="1594"/>
        <v>45716</v>
      </c>
      <c r="D4514" s="120">
        <f t="shared" si="1595"/>
        <v>28</v>
      </c>
      <c r="E4514" s="120">
        <f t="shared" si="1596"/>
        <v>2</v>
      </c>
      <c r="F4514" s="275">
        <f t="shared" si="1597"/>
        <v>45703</v>
      </c>
      <c r="G4514" s="120">
        <f t="shared" si="1598"/>
        <v>24301</v>
      </c>
      <c r="H4514" s="245">
        <f t="shared" si="1599"/>
        <v>1</v>
      </c>
      <c r="I4514" s="121">
        <f t="shared" si="1600"/>
        <v>1</v>
      </c>
      <c r="J4514" s="121">
        <f t="shared" si="1601"/>
        <v>1</v>
      </c>
      <c r="K4514" s="120">
        <f t="shared" si="1602"/>
        <v>0</v>
      </c>
      <c r="L4514" s="120">
        <f t="shared" si="1603"/>
        <v>0</v>
      </c>
      <c r="M4514" s="246">
        <f t="shared" si="1604"/>
        <v>0</v>
      </c>
      <c r="N4514" s="121">
        <f t="shared" si="1605"/>
        <v>1</v>
      </c>
      <c r="P4514" s="121">
        <f t="shared" si="1606"/>
        <v>0.125</v>
      </c>
      <c r="Q4514" s="121">
        <f t="shared" si="1607"/>
        <v>0</v>
      </c>
      <c r="R4514" s="121">
        <f t="shared" si="1608"/>
        <v>0</v>
      </c>
    </row>
    <row r="4515" spans="1:18" x14ac:dyDescent="0.3">
      <c r="A4515" s="187">
        <v>3</v>
      </c>
      <c r="B4515" s="242">
        <f t="shared" si="1609"/>
        <v>45717</v>
      </c>
      <c r="C4515" s="243">
        <f t="shared" si="1594"/>
        <v>45747</v>
      </c>
      <c r="D4515" s="120">
        <f t="shared" si="1595"/>
        <v>31</v>
      </c>
      <c r="E4515" s="120">
        <f t="shared" si="1596"/>
        <v>3</v>
      </c>
      <c r="F4515" s="275">
        <f t="shared" si="1597"/>
        <v>45732.5</v>
      </c>
      <c r="G4515" s="120">
        <f t="shared" si="1598"/>
        <v>24302</v>
      </c>
      <c r="H4515" s="245">
        <f t="shared" si="1599"/>
        <v>1</v>
      </c>
      <c r="I4515" s="121">
        <f t="shared" si="1600"/>
        <v>1</v>
      </c>
      <c r="J4515" s="121">
        <f t="shared" si="1601"/>
        <v>1</v>
      </c>
      <c r="K4515" s="120">
        <f t="shared" si="1602"/>
        <v>0</v>
      </c>
      <c r="L4515" s="120">
        <f t="shared" si="1603"/>
        <v>0</v>
      </c>
      <c r="M4515" s="246">
        <f t="shared" si="1604"/>
        <v>0</v>
      </c>
      <c r="N4515" s="121">
        <f t="shared" si="1605"/>
        <v>1</v>
      </c>
      <c r="P4515" s="121">
        <f t="shared" si="1606"/>
        <v>0.20833333333333337</v>
      </c>
      <c r="Q4515" s="121">
        <f t="shared" si="1607"/>
        <v>0</v>
      </c>
      <c r="R4515" s="121">
        <f t="shared" si="1608"/>
        <v>0</v>
      </c>
    </row>
    <row r="4516" spans="1:18" x14ac:dyDescent="0.3">
      <c r="A4516" s="187">
        <v>4</v>
      </c>
      <c r="B4516" s="242">
        <f t="shared" si="1609"/>
        <v>45748</v>
      </c>
      <c r="C4516" s="243">
        <f t="shared" si="1594"/>
        <v>45777</v>
      </c>
      <c r="D4516" s="120">
        <f t="shared" si="1595"/>
        <v>30</v>
      </c>
      <c r="E4516" s="120">
        <f t="shared" si="1596"/>
        <v>4</v>
      </c>
      <c r="F4516" s="275">
        <f t="shared" si="1597"/>
        <v>45763</v>
      </c>
      <c r="G4516" s="120">
        <f t="shared" si="1598"/>
        <v>24303</v>
      </c>
      <c r="H4516" s="245">
        <f t="shared" si="1599"/>
        <v>1</v>
      </c>
      <c r="I4516" s="121">
        <f t="shared" si="1600"/>
        <v>1</v>
      </c>
      <c r="J4516" s="121">
        <f t="shared" si="1601"/>
        <v>1</v>
      </c>
      <c r="K4516" s="120">
        <f t="shared" si="1602"/>
        <v>0</v>
      </c>
      <c r="L4516" s="120">
        <f t="shared" si="1603"/>
        <v>0</v>
      </c>
      <c r="M4516" s="246">
        <f t="shared" si="1604"/>
        <v>0</v>
      </c>
      <c r="N4516" s="121">
        <f t="shared" si="1605"/>
        <v>1</v>
      </c>
      <c r="P4516" s="121">
        <f t="shared" si="1606"/>
        <v>0.29166666666666663</v>
      </c>
      <c r="Q4516" s="121">
        <f t="shared" si="1607"/>
        <v>0</v>
      </c>
      <c r="R4516" s="121">
        <f t="shared" si="1608"/>
        <v>0</v>
      </c>
    </row>
    <row r="4517" spans="1:18" x14ac:dyDescent="0.3">
      <c r="A4517" s="187">
        <v>5</v>
      </c>
      <c r="B4517" s="242">
        <f t="shared" si="1609"/>
        <v>45778</v>
      </c>
      <c r="C4517" s="243">
        <f t="shared" si="1594"/>
        <v>45808</v>
      </c>
      <c r="D4517" s="120">
        <f t="shared" si="1595"/>
        <v>31</v>
      </c>
      <c r="E4517" s="120">
        <f t="shared" si="1596"/>
        <v>5</v>
      </c>
      <c r="F4517" s="275">
        <f t="shared" si="1597"/>
        <v>45793.5</v>
      </c>
      <c r="G4517" s="120">
        <f t="shared" si="1598"/>
        <v>24304</v>
      </c>
      <c r="H4517" s="245">
        <f t="shared" si="1599"/>
        <v>1</v>
      </c>
      <c r="I4517" s="121">
        <f t="shared" si="1600"/>
        <v>1</v>
      </c>
      <c r="J4517" s="121">
        <f t="shared" si="1601"/>
        <v>1</v>
      </c>
      <c r="K4517" s="120">
        <f t="shared" si="1602"/>
        <v>0</v>
      </c>
      <c r="L4517" s="120">
        <f t="shared" si="1603"/>
        <v>0</v>
      </c>
      <c r="M4517" s="246">
        <f t="shared" si="1604"/>
        <v>0</v>
      </c>
      <c r="N4517" s="121">
        <f t="shared" si="1605"/>
        <v>1</v>
      </c>
      <c r="P4517" s="121">
        <f t="shared" si="1606"/>
        <v>0.375</v>
      </c>
      <c r="Q4517" s="121">
        <f t="shared" si="1607"/>
        <v>0</v>
      </c>
      <c r="R4517" s="121">
        <f t="shared" si="1608"/>
        <v>0</v>
      </c>
    </row>
    <row r="4518" spans="1:18" x14ac:dyDescent="0.3">
      <c r="A4518" s="187">
        <v>6</v>
      </c>
      <c r="B4518" s="242">
        <f t="shared" si="1609"/>
        <v>45809</v>
      </c>
      <c r="C4518" s="243">
        <f t="shared" si="1594"/>
        <v>45838</v>
      </c>
      <c r="D4518" s="120">
        <f t="shared" si="1595"/>
        <v>30</v>
      </c>
      <c r="E4518" s="120">
        <f t="shared" si="1596"/>
        <v>6</v>
      </c>
      <c r="F4518" s="275">
        <f t="shared" si="1597"/>
        <v>45824</v>
      </c>
      <c r="G4518" s="120">
        <f t="shared" si="1598"/>
        <v>24305</v>
      </c>
      <c r="H4518" s="245">
        <f t="shared" si="1599"/>
        <v>1</v>
      </c>
      <c r="I4518" s="121">
        <f t="shared" si="1600"/>
        <v>1</v>
      </c>
      <c r="J4518" s="121">
        <f t="shared" si="1601"/>
        <v>1</v>
      </c>
      <c r="K4518" s="120">
        <f t="shared" si="1602"/>
        <v>0</v>
      </c>
      <c r="L4518" s="120">
        <f t="shared" si="1603"/>
        <v>0</v>
      </c>
      <c r="M4518" s="246">
        <f t="shared" si="1604"/>
        <v>0</v>
      </c>
      <c r="N4518" s="121">
        <f t="shared" si="1605"/>
        <v>1</v>
      </c>
      <c r="P4518" s="121">
        <f t="shared" si="1606"/>
        <v>0.45833333333333337</v>
      </c>
      <c r="Q4518" s="121">
        <f t="shared" si="1607"/>
        <v>0</v>
      </c>
      <c r="R4518" s="121">
        <f t="shared" si="1608"/>
        <v>0</v>
      </c>
    </row>
    <row r="4519" spans="1:18" x14ac:dyDescent="0.3">
      <c r="A4519" s="187">
        <v>7</v>
      </c>
      <c r="B4519" s="242">
        <f t="shared" si="1609"/>
        <v>45839</v>
      </c>
      <c r="C4519" s="243">
        <f t="shared" si="1594"/>
        <v>45869</v>
      </c>
      <c r="D4519" s="120">
        <f t="shared" si="1595"/>
        <v>31</v>
      </c>
      <c r="E4519" s="120">
        <f t="shared" si="1596"/>
        <v>7</v>
      </c>
      <c r="F4519" s="275">
        <f t="shared" si="1597"/>
        <v>45854.5</v>
      </c>
      <c r="G4519" s="120">
        <f t="shared" si="1598"/>
        <v>24306</v>
      </c>
      <c r="H4519" s="245">
        <f t="shared" si="1599"/>
        <v>1</v>
      </c>
      <c r="I4519" s="121">
        <f t="shared" si="1600"/>
        <v>1</v>
      </c>
      <c r="J4519" s="121">
        <f t="shared" si="1601"/>
        <v>1.04</v>
      </c>
      <c r="K4519" s="120">
        <f t="shared" si="1602"/>
        <v>1</v>
      </c>
      <c r="L4519" s="120">
        <f t="shared" si="1603"/>
        <v>31</v>
      </c>
      <c r="M4519" s="246">
        <f t="shared" si="1604"/>
        <v>1</v>
      </c>
      <c r="N4519" s="121">
        <f t="shared" si="1605"/>
        <v>1.04</v>
      </c>
      <c r="P4519" s="121">
        <f t="shared" si="1606"/>
        <v>0.54166666666666674</v>
      </c>
      <c r="Q4519" s="121">
        <f t="shared" si="1607"/>
        <v>0</v>
      </c>
      <c r="R4519" s="121">
        <f t="shared" si="1608"/>
        <v>0</v>
      </c>
    </row>
    <row r="4520" spans="1:18" x14ac:dyDescent="0.3">
      <c r="A4520" s="187">
        <v>8</v>
      </c>
      <c r="B4520" s="242">
        <f t="shared" si="1609"/>
        <v>45870</v>
      </c>
      <c r="C4520" s="243">
        <f t="shared" si="1594"/>
        <v>45900</v>
      </c>
      <c r="D4520" s="120">
        <f t="shared" si="1595"/>
        <v>31</v>
      </c>
      <c r="E4520" s="120">
        <f t="shared" si="1596"/>
        <v>8</v>
      </c>
      <c r="F4520" s="275">
        <f t="shared" si="1597"/>
        <v>45885.5</v>
      </c>
      <c r="G4520" s="120">
        <f t="shared" si="1598"/>
        <v>24307</v>
      </c>
      <c r="H4520" s="245">
        <f t="shared" si="1599"/>
        <v>1</v>
      </c>
      <c r="I4520" s="121">
        <f t="shared" si="1600"/>
        <v>1.04</v>
      </c>
      <c r="J4520" s="121">
        <f t="shared" si="1601"/>
        <v>1.04</v>
      </c>
      <c r="K4520" s="120">
        <f t="shared" si="1602"/>
        <v>0</v>
      </c>
      <c r="L4520" s="120">
        <f t="shared" si="1603"/>
        <v>0</v>
      </c>
      <c r="M4520" s="246">
        <f t="shared" si="1604"/>
        <v>0</v>
      </c>
      <c r="N4520" s="121">
        <f t="shared" si="1605"/>
        <v>1.04</v>
      </c>
      <c r="P4520" s="121">
        <f t="shared" si="1606"/>
        <v>0.625</v>
      </c>
      <c r="Q4520" s="121">
        <f t="shared" si="1607"/>
        <v>0</v>
      </c>
      <c r="R4520" s="121">
        <f t="shared" si="1608"/>
        <v>0</v>
      </c>
    </row>
    <row r="4521" spans="1:18" x14ac:dyDescent="0.3">
      <c r="A4521" s="187">
        <v>9</v>
      </c>
      <c r="B4521" s="242">
        <f t="shared" si="1609"/>
        <v>45901</v>
      </c>
      <c r="C4521" s="243">
        <f t="shared" si="1594"/>
        <v>45930</v>
      </c>
      <c r="D4521" s="120">
        <f t="shared" si="1595"/>
        <v>30</v>
      </c>
      <c r="E4521" s="120">
        <f t="shared" si="1596"/>
        <v>9</v>
      </c>
      <c r="F4521" s="275">
        <f t="shared" si="1597"/>
        <v>45916</v>
      </c>
      <c r="G4521" s="120">
        <f t="shared" si="1598"/>
        <v>24308</v>
      </c>
      <c r="H4521" s="245">
        <f t="shared" si="1599"/>
        <v>1</v>
      </c>
      <c r="I4521" s="121">
        <f t="shared" si="1600"/>
        <v>1.04</v>
      </c>
      <c r="J4521" s="121">
        <f t="shared" si="1601"/>
        <v>1.04</v>
      </c>
      <c r="K4521" s="120">
        <f t="shared" si="1602"/>
        <v>0</v>
      </c>
      <c r="L4521" s="120">
        <f t="shared" si="1603"/>
        <v>0</v>
      </c>
      <c r="M4521" s="246">
        <f t="shared" si="1604"/>
        <v>0</v>
      </c>
      <c r="N4521" s="121">
        <f t="shared" si="1605"/>
        <v>1.04</v>
      </c>
      <c r="P4521" s="121">
        <f t="shared" si="1606"/>
        <v>0.70833333333333326</v>
      </c>
      <c r="Q4521" s="121">
        <f t="shared" si="1607"/>
        <v>0</v>
      </c>
      <c r="R4521" s="121">
        <f t="shared" si="1608"/>
        <v>0</v>
      </c>
    </row>
    <row r="4522" spans="1:18" x14ac:dyDescent="0.3">
      <c r="A4522" s="187">
        <v>10</v>
      </c>
      <c r="B4522" s="242">
        <f t="shared" si="1609"/>
        <v>45931</v>
      </c>
      <c r="C4522" s="243">
        <f t="shared" si="1594"/>
        <v>45961</v>
      </c>
      <c r="D4522" s="120">
        <f t="shared" si="1595"/>
        <v>31</v>
      </c>
      <c r="E4522" s="120">
        <f t="shared" si="1596"/>
        <v>10</v>
      </c>
      <c r="F4522" s="275">
        <f t="shared" si="1597"/>
        <v>45946.5</v>
      </c>
      <c r="G4522" s="120">
        <f t="shared" si="1598"/>
        <v>24309</v>
      </c>
      <c r="H4522" s="245">
        <f t="shared" si="1599"/>
        <v>1</v>
      </c>
      <c r="I4522" s="121">
        <f t="shared" si="1600"/>
        <v>1.04</v>
      </c>
      <c r="J4522" s="121">
        <f t="shared" si="1601"/>
        <v>1.04</v>
      </c>
      <c r="K4522" s="120">
        <f t="shared" si="1602"/>
        <v>0</v>
      </c>
      <c r="L4522" s="120">
        <f t="shared" si="1603"/>
        <v>0</v>
      </c>
      <c r="M4522" s="246">
        <f t="shared" si="1604"/>
        <v>0</v>
      </c>
      <c r="N4522" s="121">
        <f t="shared" si="1605"/>
        <v>1.04</v>
      </c>
      <c r="P4522" s="121">
        <f t="shared" si="1606"/>
        <v>0.79166666666666663</v>
      </c>
      <c r="Q4522" s="121">
        <f t="shared" si="1607"/>
        <v>0</v>
      </c>
      <c r="R4522" s="121">
        <f t="shared" si="1608"/>
        <v>0</v>
      </c>
    </row>
    <row r="4523" spans="1:18" x14ac:dyDescent="0.3">
      <c r="A4523" s="187">
        <v>11</v>
      </c>
      <c r="B4523" s="242">
        <f t="shared" si="1609"/>
        <v>45962</v>
      </c>
      <c r="C4523" s="243">
        <f t="shared" si="1594"/>
        <v>45991</v>
      </c>
      <c r="D4523" s="120">
        <f t="shared" si="1595"/>
        <v>30</v>
      </c>
      <c r="E4523" s="120">
        <f t="shared" si="1596"/>
        <v>11</v>
      </c>
      <c r="F4523" s="275">
        <f t="shared" si="1597"/>
        <v>45977</v>
      </c>
      <c r="G4523" s="120">
        <f t="shared" si="1598"/>
        <v>24310</v>
      </c>
      <c r="H4523" s="245">
        <f t="shared" si="1599"/>
        <v>1</v>
      </c>
      <c r="I4523" s="121">
        <f t="shared" si="1600"/>
        <v>1.04</v>
      </c>
      <c r="J4523" s="121">
        <f t="shared" si="1601"/>
        <v>1.04</v>
      </c>
      <c r="K4523" s="120">
        <f t="shared" si="1602"/>
        <v>0</v>
      </c>
      <c r="L4523" s="120">
        <f t="shared" si="1603"/>
        <v>0</v>
      </c>
      <c r="M4523" s="246">
        <f t="shared" si="1604"/>
        <v>0</v>
      </c>
      <c r="N4523" s="121">
        <f t="shared" si="1605"/>
        <v>1.04</v>
      </c>
      <c r="P4523" s="121">
        <f t="shared" si="1606"/>
        <v>0.875</v>
      </c>
      <c r="Q4523" s="121">
        <f t="shared" si="1607"/>
        <v>0</v>
      </c>
      <c r="R4523" s="121">
        <f t="shared" si="1608"/>
        <v>0</v>
      </c>
    </row>
    <row r="4524" spans="1:18" x14ac:dyDescent="0.3">
      <c r="A4524" s="187">
        <v>12</v>
      </c>
      <c r="B4524" s="242">
        <f t="shared" si="1609"/>
        <v>45992</v>
      </c>
      <c r="C4524" s="243">
        <f t="shared" si="1594"/>
        <v>46022</v>
      </c>
      <c r="D4524" s="120">
        <f t="shared" si="1595"/>
        <v>31</v>
      </c>
      <c r="E4524" s="120">
        <f t="shared" si="1596"/>
        <v>12</v>
      </c>
      <c r="F4524" s="275">
        <f t="shared" si="1597"/>
        <v>46007.5</v>
      </c>
      <c r="G4524" s="120">
        <f t="shared" si="1598"/>
        <v>24311</v>
      </c>
      <c r="H4524" s="245">
        <f t="shared" si="1599"/>
        <v>1</v>
      </c>
      <c r="I4524" s="121">
        <f t="shared" si="1600"/>
        <v>1.04</v>
      </c>
      <c r="J4524" s="121">
        <f t="shared" si="1601"/>
        <v>1.04</v>
      </c>
      <c r="K4524" s="120">
        <f t="shared" si="1602"/>
        <v>0</v>
      </c>
      <c r="L4524" s="120">
        <f t="shared" si="1603"/>
        <v>0</v>
      </c>
      <c r="M4524" s="246">
        <f t="shared" si="1604"/>
        <v>0</v>
      </c>
      <c r="N4524" s="121">
        <f t="shared" si="1605"/>
        <v>1.04</v>
      </c>
      <c r="P4524" s="121">
        <f t="shared" si="1606"/>
        <v>0.95833333333333337</v>
      </c>
      <c r="Q4524" s="121">
        <f t="shared" si="1607"/>
        <v>0</v>
      </c>
      <c r="R4524" s="121">
        <f t="shared" si="1608"/>
        <v>0</v>
      </c>
    </row>
    <row r="4525" spans="1:18" x14ac:dyDescent="0.3">
      <c r="A4525" s="187">
        <v>13</v>
      </c>
      <c r="B4525" s="242">
        <f t="shared" si="1609"/>
        <v>46023</v>
      </c>
      <c r="C4525" s="243">
        <f t="shared" si="1594"/>
        <v>46053</v>
      </c>
      <c r="D4525" s="120">
        <f t="shared" si="1595"/>
        <v>31</v>
      </c>
      <c r="E4525" s="120">
        <f t="shared" si="1596"/>
        <v>1</v>
      </c>
      <c r="F4525" s="275">
        <f t="shared" si="1597"/>
        <v>46038.5</v>
      </c>
      <c r="G4525" s="120">
        <f t="shared" si="1598"/>
        <v>24312</v>
      </c>
      <c r="H4525" s="245">
        <f t="shared" si="1599"/>
        <v>1</v>
      </c>
      <c r="I4525" s="121">
        <f t="shared" si="1600"/>
        <v>1.04</v>
      </c>
      <c r="J4525" s="121">
        <f t="shared" si="1601"/>
        <v>1.04</v>
      </c>
      <c r="K4525" s="120">
        <f t="shared" si="1602"/>
        <v>0</v>
      </c>
      <c r="L4525" s="120">
        <f t="shared" si="1603"/>
        <v>0</v>
      </c>
      <c r="M4525" s="246">
        <f t="shared" si="1604"/>
        <v>0</v>
      </c>
      <c r="N4525" s="121">
        <f t="shared" si="1605"/>
        <v>1.04</v>
      </c>
      <c r="P4525" s="121">
        <f t="shared" si="1606"/>
        <v>0.95833333333333337</v>
      </c>
      <c r="Q4525" s="121">
        <f t="shared" si="1607"/>
        <v>4.166666666666663E-2</v>
      </c>
      <c r="R4525" s="121">
        <f t="shared" si="1608"/>
        <v>0</v>
      </c>
    </row>
    <row r="4526" spans="1:18" x14ac:dyDescent="0.3">
      <c r="A4526" s="187">
        <v>14</v>
      </c>
      <c r="B4526" s="242">
        <f t="shared" si="1609"/>
        <v>46054</v>
      </c>
      <c r="C4526" s="243">
        <f t="shared" si="1594"/>
        <v>46081</v>
      </c>
      <c r="D4526" s="120">
        <f t="shared" si="1595"/>
        <v>28</v>
      </c>
      <c r="E4526" s="120">
        <f t="shared" si="1596"/>
        <v>2</v>
      </c>
      <c r="F4526" s="275">
        <f t="shared" si="1597"/>
        <v>46068</v>
      </c>
      <c r="G4526" s="120">
        <f t="shared" si="1598"/>
        <v>24313</v>
      </c>
      <c r="H4526" s="245">
        <f t="shared" si="1599"/>
        <v>1</v>
      </c>
      <c r="I4526" s="121">
        <f t="shared" si="1600"/>
        <v>1.04</v>
      </c>
      <c r="J4526" s="121">
        <f t="shared" si="1601"/>
        <v>1.04</v>
      </c>
      <c r="K4526" s="120">
        <f t="shared" si="1602"/>
        <v>0</v>
      </c>
      <c r="L4526" s="120">
        <f t="shared" si="1603"/>
        <v>0</v>
      </c>
      <c r="M4526" s="246">
        <f t="shared" si="1604"/>
        <v>0</v>
      </c>
      <c r="N4526" s="121">
        <f t="shared" si="1605"/>
        <v>1.04</v>
      </c>
      <c r="P4526" s="121">
        <f t="shared" si="1606"/>
        <v>0.875</v>
      </c>
      <c r="Q4526" s="121">
        <f t="shared" si="1607"/>
        <v>0.125</v>
      </c>
      <c r="R4526" s="121">
        <f t="shared" si="1608"/>
        <v>0</v>
      </c>
    </row>
    <row r="4527" spans="1:18" x14ac:dyDescent="0.3">
      <c r="A4527" s="187">
        <v>15</v>
      </c>
      <c r="B4527" s="242">
        <f t="shared" si="1609"/>
        <v>46082</v>
      </c>
      <c r="C4527" s="243">
        <f t="shared" si="1594"/>
        <v>46112</v>
      </c>
      <c r="D4527" s="120">
        <f t="shared" si="1595"/>
        <v>31</v>
      </c>
      <c r="E4527" s="120">
        <f t="shared" si="1596"/>
        <v>3</v>
      </c>
      <c r="F4527" s="275">
        <f t="shared" si="1597"/>
        <v>46097.5</v>
      </c>
      <c r="G4527" s="120">
        <f t="shared" si="1598"/>
        <v>24314</v>
      </c>
      <c r="H4527" s="245">
        <f t="shared" si="1599"/>
        <v>1</v>
      </c>
      <c r="I4527" s="121">
        <f t="shared" si="1600"/>
        <v>1.04</v>
      </c>
      <c r="J4527" s="121">
        <f t="shared" si="1601"/>
        <v>1.04</v>
      </c>
      <c r="K4527" s="120">
        <f t="shared" si="1602"/>
        <v>0</v>
      </c>
      <c r="L4527" s="120">
        <f t="shared" si="1603"/>
        <v>0</v>
      </c>
      <c r="M4527" s="246">
        <f t="shared" si="1604"/>
        <v>0</v>
      </c>
      <c r="N4527" s="121">
        <f t="shared" si="1605"/>
        <v>1.04</v>
      </c>
      <c r="P4527" s="121">
        <f t="shared" si="1606"/>
        <v>0.79166666666666663</v>
      </c>
      <c r="Q4527" s="121">
        <f t="shared" si="1607"/>
        <v>0.20833333333333337</v>
      </c>
      <c r="R4527" s="121">
        <f t="shared" si="1608"/>
        <v>0</v>
      </c>
    </row>
    <row r="4528" spans="1:18" x14ac:dyDescent="0.3">
      <c r="A4528" s="187">
        <v>16</v>
      </c>
      <c r="B4528" s="242">
        <f t="shared" si="1609"/>
        <v>46113</v>
      </c>
      <c r="C4528" s="243">
        <f t="shared" si="1594"/>
        <v>46142</v>
      </c>
      <c r="D4528" s="120">
        <f t="shared" si="1595"/>
        <v>30</v>
      </c>
      <c r="E4528" s="120">
        <f t="shared" si="1596"/>
        <v>4</v>
      </c>
      <c r="F4528" s="275">
        <f t="shared" si="1597"/>
        <v>46128</v>
      </c>
      <c r="G4528" s="120">
        <f t="shared" si="1598"/>
        <v>24315</v>
      </c>
      <c r="H4528" s="245">
        <f t="shared" si="1599"/>
        <v>1</v>
      </c>
      <c r="I4528" s="121">
        <f t="shared" si="1600"/>
        <v>1.04</v>
      </c>
      <c r="J4528" s="121">
        <f t="shared" si="1601"/>
        <v>1.04</v>
      </c>
      <c r="K4528" s="120">
        <f t="shared" si="1602"/>
        <v>0</v>
      </c>
      <c r="L4528" s="120">
        <f t="shared" si="1603"/>
        <v>0</v>
      </c>
      <c r="M4528" s="246">
        <f t="shared" si="1604"/>
        <v>0</v>
      </c>
      <c r="N4528" s="121">
        <f t="shared" si="1605"/>
        <v>1.04</v>
      </c>
      <c r="P4528" s="121">
        <f t="shared" si="1606"/>
        <v>0.70833333333333337</v>
      </c>
      <c r="Q4528" s="121">
        <f t="shared" si="1607"/>
        <v>0.29166666666666663</v>
      </c>
      <c r="R4528" s="121">
        <f t="shared" si="1608"/>
        <v>0</v>
      </c>
    </row>
    <row r="4529" spans="1:18" x14ac:dyDescent="0.3">
      <c r="A4529" s="187">
        <v>17</v>
      </c>
      <c r="B4529" s="242">
        <f t="shared" si="1609"/>
        <v>46143</v>
      </c>
      <c r="C4529" s="243">
        <f t="shared" si="1594"/>
        <v>46173</v>
      </c>
      <c r="D4529" s="120">
        <f t="shared" si="1595"/>
        <v>31</v>
      </c>
      <c r="E4529" s="120">
        <f t="shared" si="1596"/>
        <v>5</v>
      </c>
      <c r="F4529" s="275">
        <f t="shared" si="1597"/>
        <v>46158.5</v>
      </c>
      <c r="G4529" s="120">
        <f t="shared" si="1598"/>
        <v>24316</v>
      </c>
      <c r="H4529" s="245">
        <f t="shared" si="1599"/>
        <v>1</v>
      </c>
      <c r="I4529" s="121">
        <f t="shared" si="1600"/>
        <v>1.04</v>
      </c>
      <c r="J4529" s="121">
        <f t="shared" si="1601"/>
        <v>1.04</v>
      </c>
      <c r="K4529" s="120">
        <f t="shared" si="1602"/>
        <v>0</v>
      </c>
      <c r="L4529" s="120">
        <f t="shared" si="1603"/>
        <v>0</v>
      </c>
      <c r="M4529" s="246">
        <f t="shared" si="1604"/>
        <v>0</v>
      </c>
      <c r="N4529" s="121">
        <f t="shared" si="1605"/>
        <v>1.04</v>
      </c>
      <c r="P4529" s="121">
        <f t="shared" si="1606"/>
        <v>0.625</v>
      </c>
      <c r="Q4529" s="121">
        <f t="shared" si="1607"/>
        <v>0.375</v>
      </c>
      <c r="R4529" s="121">
        <f t="shared" si="1608"/>
        <v>0</v>
      </c>
    </row>
    <row r="4530" spans="1:18" x14ac:dyDescent="0.3">
      <c r="A4530" s="187">
        <v>18</v>
      </c>
      <c r="B4530" s="242">
        <f t="shared" si="1609"/>
        <v>46174</v>
      </c>
      <c r="C4530" s="243">
        <f t="shared" si="1594"/>
        <v>46203</v>
      </c>
      <c r="D4530" s="120">
        <f t="shared" si="1595"/>
        <v>30</v>
      </c>
      <c r="E4530" s="120">
        <f t="shared" si="1596"/>
        <v>6</v>
      </c>
      <c r="F4530" s="275">
        <f t="shared" si="1597"/>
        <v>46189</v>
      </c>
      <c r="G4530" s="120">
        <f t="shared" si="1598"/>
        <v>24317</v>
      </c>
      <c r="H4530" s="245">
        <f t="shared" si="1599"/>
        <v>1</v>
      </c>
      <c r="I4530" s="121">
        <f t="shared" si="1600"/>
        <v>1.04</v>
      </c>
      <c r="J4530" s="121">
        <f t="shared" si="1601"/>
        <v>1.04</v>
      </c>
      <c r="K4530" s="120">
        <f t="shared" si="1602"/>
        <v>0</v>
      </c>
      <c r="L4530" s="120">
        <f t="shared" si="1603"/>
        <v>0</v>
      </c>
      <c r="M4530" s="246">
        <f t="shared" si="1604"/>
        <v>0</v>
      </c>
      <c r="N4530" s="121">
        <f t="shared" si="1605"/>
        <v>1.04</v>
      </c>
      <c r="P4530" s="121">
        <f t="shared" si="1606"/>
        <v>0.54166666666666663</v>
      </c>
      <c r="Q4530" s="121">
        <f t="shared" si="1607"/>
        <v>0.45833333333333337</v>
      </c>
      <c r="R4530" s="121">
        <f t="shared" si="1608"/>
        <v>0</v>
      </c>
    </row>
    <row r="4531" spans="1:18" x14ac:dyDescent="0.3">
      <c r="A4531" s="187">
        <v>19</v>
      </c>
      <c r="B4531" s="242">
        <f t="shared" si="1609"/>
        <v>46204</v>
      </c>
      <c r="C4531" s="243">
        <f t="shared" si="1594"/>
        <v>46234</v>
      </c>
      <c r="D4531" s="120">
        <f t="shared" si="1595"/>
        <v>31</v>
      </c>
      <c r="E4531" s="120">
        <f t="shared" si="1596"/>
        <v>7</v>
      </c>
      <c r="F4531" s="275">
        <f t="shared" si="1597"/>
        <v>46219.5</v>
      </c>
      <c r="G4531" s="120">
        <f t="shared" si="1598"/>
        <v>24318</v>
      </c>
      <c r="H4531" s="245">
        <f t="shared" si="1599"/>
        <v>1</v>
      </c>
      <c r="I4531" s="121">
        <f t="shared" si="1600"/>
        <v>1.04</v>
      </c>
      <c r="J4531" s="121">
        <f t="shared" si="1601"/>
        <v>1.1024</v>
      </c>
      <c r="K4531" s="120">
        <f t="shared" si="1602"/>
        <v>1</v>
      </c>
      <c r="L4531" s="120">
        <f t="shared" si="1603"/>
        <v>31</v>
      </c>
      <c r="M4531" s="246">
        <f t="shared" si="1604"/>
        <v>1</v>
      </c>
      <c r="N4531" s="121">
        <f t="shared" si="1605"/>
        <v>1.1024</v>
      </c>
      <c r="P4531" s="121">
        <f t="shared" si="1606"/>
        <v>0.45833333333333331</v>
      </c>
      <c r="Q4531" s="121">
        <f t="shared" si="1607"/>
        <v>0.54166666666666674</v>
      </c>
      <c r="R4531" s="121">
        <f t="shared" si="1608"/>
        <v>0</v>
      </c>
    </row>
    <row r="4532" spans="1:18" x14ac:dyDescent="0.3">
      <c r="A4532" s="187">
        <v>20</v>
      </c>
      <c r="B4532" s="242">
        <f t="shared" si="1609"/>
        <v>46235</v>
      </c>
      <c r="C4532" s="243">
        <f t="shared" si="1594"/>
        <v>46265</v>
      </c>
      <c r="D4532" s="120">
        <f t="shared" si="1595"/>
        <v>31</v>
      </c>
      <c r="E4532" s="120">
        <f t="shared" si="1596"/>
        <v>8</v>
      </c>
      <c r="F4532" s="275">
        <f t="shared" si="1597"/>
        <v>46250.5</v>
      </c>
      <c r="G4532" s="120">
        <f t="shared" si="1598"/>
        <v>24319</v>
      </c>
      <c r="H4532" s="245">
        <f t="shared" si="1599"/>
        <v>1</v>
      </c>
      <c r="I4532" s="121">
        <f t="shared" si="1600"/>
        <v>1.1024</v>
      </c>
      <c r="J4532" s="121">
        <f t="shared" si="1601"/>
        <v>1.1024</v>
      </c>
      <c r="K4532" s="120">
        <f t="shared" si="1602"/>
        <v>0</v>
      </c>
      <c r="L4532" s="120">
        <f t="shared" si="1603"/>
        <v>0</v>
      </c>
      <c r="M4532" s="246">
        <f t="shared" si="1604"/>
        <v>0</v>
      </c>
      <c r="N4532" s="121">
        <f t="shared" si="1605"/>
        <v>1.1024</v>
      </c>
      <c r="P4532" s="121">
        <f t="shared" si="1606"/>
        <v>0.375</v>
      </c>
      <c r="Q4532" s="121">
        <f t="shared" si="1607"/>
        <v>0.625</v>
      </c>
      <c r="R4532" s="121">
        <f t="shared" si="1608"/>
        <v>0</v>
      </c>
    </row>
    <row r="4533" spans="1:18" x14ac:dyDescent="0.3">
      <c r="A4533" s="187">
        <v>21</v>
      </c>
      <c r="B4533" s="242">
        <f t="shared" si="1609"/>
        <v>46266</v>
      </c>
      <c r="C4533" s="243">
        <f t="shared" si="1594"/>
        <v>46295</v>
      </c>
      <c r="D4533" s="120">
        <f t="shared" si="1595"/>
        <v>30</v>
      </c>
      <c r="E4533" s="120">
        <f t="shared" si="1596"/>
        <v>9</v>
      </c>
      <c r="F4533" s="275">
        <f t="shared" si="1597"/>
        <v>46281</v>
      </c>
      <c r="G4533" s="120">
        <f t="shared" si="1598"/>
        <v>24320</v>
      </c>
      <c r="H4533" s="245">
        <f t="shared" si="1599"/>
        <v>1</v>
      </c>
      <c r="I4533" s="121">
        <f t="shared" si="1600"/>
        <v>1.1024</v>
      </c>
      <c r="J4533" s="121">
        <f t="shared" si="1601"/>
        <v>1.1024</v>
      </c>
      <c r="K4533" s="120">
        <f t="shared" si="1602"/>
        <v>0</v>
      </c>
      <c r="L4533" s="120">
        <f t="shared" si="1603"/>
        <v>0</v>
      </c>
      <c r="M4533" s="246">
        <f t="shared" si="1604"/>
        <v>0</v>
      </c>
      <c r="N4533" s="121">
        <f t="shared" si="1605"/>
        <v>1.1024</v>
      </c>
      <c r="P4533" s="121">
        <f t="shared" si="1606"/>
        <v>0.29166666666666669</v>
      </c>
      <c r="Q4533" s="121">
        <f t="shared" si="1607"/>
        <v>0.70833333333333326</v>
      </c>
      <c r="R4533" s="121">
        <f t="shared" si="1608"/>
        <v>0</v>
      </c>
    </row>
    <row r="4534" spans="1:18" x14ac:dyDescent="0.3">
      <c r="A4534" s="187">
        <v>22</v>
      </c>
      <c r="B4534" s="242">
        <f t="shared" si="1609"/>
        <v>46296</v>
      </c>
      <c r="C4534" s="243">
        <f t="shared" si="1594"/>
        <v>46326</v>
      </c>
      <c r="D4534" s="120">
        <f t="shared" si="1595"/>
        <v>31</v>
      </c>
      <c r="E4534" s="120">
        <f t="shared" si="1596"/>
        <v>10</v>
      </c>
      <c r="F4534" s="275">
        <f t="shared" si="1597"/>
        <v>46311.5</v>
      </c>
      <c r="G4534" s="120">
        <f t="shared" si="1598"/>
        <v>24321</v>
      </c>
      <c r="H4534" s="245">
        <f t="shared" si="1599"/>
        <v>1</v>
      </c>
      <c r="I4534" s="121">
        <f t="shared" si="1600"/>
        <v>1.1024</v>
      </c>
      <c r="J4534" s="121">
        <f t="shared" si="1601"/>
        <v>1.1024</v>
      </c>
      <c r="K4534" s="120">
        <f t="shared" si="1602"/>
        <v>0</v>
      </c>
      <c r="L4534" s="120">
        <f t="shared" si="1603"/>
        <v>0</v>
      </c>
      <c r="M4534" s="246">
        <f t="shared" si="1604"/>
        <v>0</v>
      </c>
      <c r="N4534" s="121">
        <f t="shared" si="1605"/>
        <v>1.1024</v>
      </c>
      <c r="P4534" s="121">
        <f t="shared" si="1606"/>
        <v>0.20833333333333334</v>
      </c>
      <c r="Q4534" s="121">
        <f t="shared" si="1607"/>
        <v>0.79166666666666663</v>
      </c>
      <c r="R4534" s="121">
        <f t="shared" si="1608"/>
        <v>0</v>
      </c>
    </row>
    <row r="4535" spans="1:18" x14ac:dyDescent="0.3">
      <c r="A4535" s="187">
        <v>23</v>
      </c>
      <c r="B4535" s="242">
        <f t="shared" si="1609"/>
        <v>46327</v>
      </c>
      <c r="C4535" s="243">
        <f t="shared" si="1594"/>
        <v>46356</v>
      </c>
      <c r="D4535" s="120">
        <f t="shared" si="1595"/>
        <v>30</v>
      </c>
      <c r="E4535" s="120">
        <f t="shared" si="1596"/>
        <v>11</v>
      </c>
      <c r="F4535" s="275">
        <f t="shared" si="1597"/>
        <v>46342</v>
      </c>
      <c r="G4535" s="120">
        <f t="shared" si="1598"/>
        <v>24322</v>
      </c>
      <c r="H4535" s="245">
        <f t="shared" si="1599"/>
        <v>1</v>
      </c>
      <c r="I4535" s="121">
        <f t="shared" si="1600"/>
        <v>1.1024</v>
      </c>
      <c r="J4535" s="121">
        <f t="shared" si="1601"/>
        <v>1.1024</v>
      </c>
      <c r="K4535" s="120">
        <f t="shared" si="1602"/>
        <v>0</v>
      </c>
      <c r="L4535" s="120">
        <f t="shared" si="1603"/>
        <v>0</v>
      </c>
      <c r="M4535" s="246">
        <f t="shared" si="1604"/>
        <v>0</v>
      </c>
      <c r="N4535" s="121">
        <f t="shared" si="1605"/>
        <v>1.1024</v>
      </c>
      <c r="P4535" s="121">
        <f t="shared" si="1606"/>
        <v>0.125</v>
      </c>
      <c r="Q4535" s="121">
        <f t="shared" si="1607"/>
        <v>0.875</v>
      </c>
      <c r="R4535" s="121">
        <f t="shared" si="1608"/>
        <v>0</v>
      </c>
    </row>
    <row r="4536" spans="1:18" x14ac:dyDescent="0.3">
      <c r="A4536" s="187">
        <v>24</v>
      </c>
      <c r="B4536" s="242">
        <f t="shared" si="1609"/>
        <v>46357</v>
      </c>
      <c r="C4536" s="243">
        <f t="shared" si="1594"/>
        <v>46387</v>
      </c>
      <c r="D4536" s="120">
        <f t="shared" si="1595"/>
        <v>31</v>
      </c>
      <c r="E4536" s="120">
        <f t="shared" si="1596"/>
        <v>12</v>
      </c>
      <c r="F4536" s="275">
        <f t="shared" si="1597"/>
        <v>46372.5</v>
      </c>
      <c r="G4536" s="120">
        <f t="shared" si="1598"/>
        <v>24323</v>
      </c>
      <c r="H4536" s="245">
        <f t="shared" si="1599"/>
        <v>1</v>
      </c>
      <c r="I4536" s="121">
        <f t="shared" si="1600"/>
        <v>1.1024</v>
      </c>
      <c r="J4536" s="121">
        <f t="shared" si="1601"/>
        <v>1.1024</v>
      </c>
      <c r="K4536" s="120">
        <f t="shared" si="1602"/>
        <v>0</v>
      </c>
      <c r="L4536" s="120">
        <f t="shared" si="1603"/>
        <v>0</v>
      </c>
      <c r="M4536" s="246">
        <f t="shared" si="1604"/>
        <v>0</v>
      </c>
      <c r="N4536" s="121">
        <f t="shared" si="1605"/>
        <v>1.1024</v>
      </c>
      <c r="P4536" s="121">
        <f t="shared" si="1606"/>
        <v>4.1666666666666664E-2</v>
      </c>
      <c r="Q4536" s="121">
        <f t="shared" si="1607"/>
        <v>0.95833333333333337</v>
      </c>
      <c r="R4536" s="121">
        <f t="shared" si="1608"/>
        <v>0</v>
      </c>
    </row>
    <row r="4537" spans="1:18" x14ac:dyDescent="0.3">
      <c r="A4537" s="187">
        <v>25</v>
      </c>
      <c r="B4537" s="242">
        <f t="shared" si="1609"/>
        <v>46388</v>
      </c>
      <c r="C4537" s="243">
        <f t="shared" si="1594"/>
        <v>46418</v>
      </c>
      <c r="D4537" s="120">
        <f t="shared" si="1595"/>
        <v>31</v>
      </c>
      <c r="E4537" s="120">
        <f t="shared" si="1596"/>
        <v>1</v>
      </c>
      <c r="F4537" s="275">
        <f t="shared" si="1597"/>
        <v>46403.5</v>
      </c>
      <c r="G4537" s="120">
        <f t="shared" si="1598"/>
        <v>24324</v>
      </c>
      <c r="H4537" s="245">
        <f t="shared" si="1599"/>
        <v>1</v>
      </c>
      <c r="I4537" s="121">
        <f t="shared" si="1600"/>
        <v>1.1024</v>
      </c>
      <c r="J4537" s="121">
        <f t="shared" si="1601"/>
        <v>1.1024</v>
      </c>
      <c r="K4537" s="120">
        <f t="shared" si="1602"/>
        <v>0</v>
      </c>
      <c r="L4537" s="120">
        <f t="shared" si="1603"/>
        <v>0</v>
      </c>
      <c r="M4537" s="246">
        <f t="shared" si="1604"/>
        <v>0</v>
      </c>
      <c r="N4537" s="121">
        <f t="shared" si="1605"/>
        <v>1.1024</v>
      </c>
      <c r="P4537" s="121">
        <f t="shared" si="1606"/>
        <v>0</v>
      </c>
      <c r="Q4537" s="121">
        <f t="shared" si="1607"/>
        <v>0.95833333333333337</v>
      </c>
      <c r="R4537" s="121">
        <f t="shared" si="1608"/>
        <v>4.166666666666663E-2</v>
      </c>
    </row>
    <row r="4538" spans="1:18" x14ac:dyDescent="0.3">
      <c r="A4538" s="187">
        <v>26</v>
      </c>
      <c r="B4538" s="242">
        <f t="shared" si="1609"/>
        <v>46419</v>
      </c>
      <c r="C4538" s="243">
        <f t="shared" si="1594"/>
        <v>46446</v>
      </c>
      <c r="D4538" s="120">
        <f t="shared" si="1595"/>
        <v>28</v>
      </c>
      <c r="E4538" s="120">
        <f t="shared" si="1596"/>
        <v>2</v>
      </c>
      <c r="F4538" s="275">
        <f t="shared" si="1597"/>
        <v>46433</v>
      </c>
      <c r="G4538" s="120">
        <f t="shared" si="1598"/>
        <v>24325</v>
      </c>
      <c r="H4538" s="245">
        <f t="shared" si="1599"/>
        <v>1</v>
      </c>
      <c r="I4538" s="121">
        <f t="shared" si="1600"/>
        <v>1.1024</v>
      </c>
      <c r="J4538" s="121">
        <f t="shared" si="1601"/>
        <v>1.1024</v>
      </c>
      <c r="K4538" s="120">
        <f t="shared" si="1602"/>
        <v>0</v>
      </c>
      <c r="L4538" s="120">
        <f t="shared" si="1603"/>
        <v>0</v>
      </c>
      <c r="M4538" s="246">
        <f t="shared" si="1604"/>
        <v>0</v>
      </c>
      <c r="N4538" s="121">
        <f t="shared" si="1605"/>
        <v>1.1024</v>
      </c>
      <c r="P4538" s="121">
        <f t="shared" si="1606"/>
        <v>0</v>
      </c>
      <c r="Q4538" s="121">
        <f t="shared" si="1607"/>
        <v>0.875</v>
      </c>
      <c r="R4538" s="121">
        <f t="shared" si="1608"/>
        <v>0.125</v>
      </c>
    </row>
    <row r="4539" spans="1:18" x14ac:dyDescent="0.3">
      <c r="A4539" s="187">
        <v>27</v>
      </c>
      <c r="B4539" s="242">
        <f t="shared" si="1609"/>
        <v>46447</v>
      </c>
      <c r="C4539" s="243">
        <f t="shared" si="1594"/>
        <v>46477</v>
      </c>
      <c r="D4539" s="120">
        <f t="shared" si="1595"/>
        <v>31</v>
      </c>
      <c r="E4539" s="120">
        <f t="shared" si="1596"/>
        <v>3</v>
      </c>
      <c r="F4539" s="275">
        <f t="shared" si="1597"/>
        <v>46462.5</v>
      </c>
      <c r="G4539" s="120">
        <f t="shared" si="1598"/>
        <v>24326</v>
      </c>
      <c r="H4539" s="245">
        <f t="shared" si="1599"/>
        <v>1</v>
      </c>
      <c r="I4539" s="121">
        <f t="shared" si="1600"/>
        <v>1.1024</v>
      </c>
      <c r="J4539" s="121">
        <f t="shared" si="1601"/>
        <v>1.1024</v>
      </c>
      <c r="K4539" s="120">
        <f t="shared" si="1602"/>
        <v>0</v>
      </c>
      <c r="L4539" s="120">
        <f t="shared" si="1603"/>
        <v>0</v>
      </c>
      <c r="M4539" s="246">
        <f t="shared" si="1604"/>
        <v>0</v>
      </c>
      <c r="N4539" s="121">
        <f t="shared" si="1605"/>
        <v>1.1024</v>
      </c>
      <c r="P4539" s="121">
        <f t="shared" si="1606"/>
        <v>0</v>
      </c>
      <c r="Q4539" s="121">
        <f t="shared" si="1607"/>
        <v>0.79166666666666663</v>
      </c>
      <c r="R4539" s="121">
        <f t="shared" si="1608"/>
        <v>0.20833333333333337</v>
      </c>
    </row>
    <row r="4540" spans="1:18" x14ac:dyDescent="0.3">
      <c r="A4540" s="187">
        <v>28</v>
      </c>
      <c r="B4540" s="242">
        <f t="shared" si="1609"/>
        <v>46478</v>
      </c>
      <c r="C4540" s="243">
        <f t="shared" si="1594"/>
        <v>46507</v>
      </c>
      <c r="D4540" s="120">
        <f t="shared" si="1595"/>
        <v>30</v>
      </c>
      <c r="E4540" s="120">
        <f t="shared" si="1596"/>
        <v>4</v>
      </c>
      <c r="F4540" s="275">
        <f t="shared" si="1597"/>
        <v>46493</v>
      </c>
      <c r="G4540" s="120">
        <f t="shared" si="1598"/>
        <v>24327</v>
      </c>
      <c r="H4540" s="245">
        <f t="shared" si="1599"/>
        <v>1</v>
      </c>
      <c r="I4540" s="121">
        <f t="shared" si="1600"/>
        <v>1.1024</v>
      </c>
      <c r="J4540" s="121">
        <f t="shared" si="1601"/>
        <v>1.1575200000000001</v>
      </c>
      <c r="K4540" s="120">
        <f t="shared" si="1602"/>
        <v>1</v>
      </c>
      <c r="L4540" s="120">
        <f t="shared" si="1603"/>
        <v>30</v>
      </c>
      <c r="M4540" s="246">
        <f t="shared" si="1604"/>
        <v>1</v>
      </c>
      <c r="N4540" s="121">
        <f t="shared" si="1605"/>
        <v>1.1575200000000001</v>
      </c>
      <c r="P4540" s="121">
        <f t="shared" si="1606"/>
        <v>0</v>
      </c>
      <c r="Q4540" s="121">
        <f t="shared" si="1607"/>
        <v>0.70833333333333337</v>
      </c>
      <c r="R4540" s="121">
        <f t="shared" si="1608"/>
        <v>0.29166666666666663</v>
      </c>
    </row>
    <row r="4541" spans="1:18" x14ac:dyDescent="0.3">
      <c r="A4541" s="187">
        <v>29</v>
      </c>
      <c r="B4541" s="242">
        <f t="shared" si="1609"/>
        <v>46508</v>
      </c>
      <c r="C4541" s="243">
        <f t="shared" si="1594"/>
        <v>46538</v>
      </c>
      <c r="D4541" s="120">
        <f t="shared" si="1595"/>
        <v>31</v>
      </c>
      <c r="E4541" s="120">
        <f t="shared" si="1596"/>
        <v>5</v>
      </c>
      <c r="F4541" s="275">
        <f t="shared" si="1597"/>
        <v>46523.5</v>
      </c>
      <c r="G4541" s="120">
        <f t="shared" si="1598"/>
        <v>24328</v>
      </c>
      <c r="H4541" s="245">
        <f t="shared" si="1599"/>
        <v>1</v>
      </c>
      <c r="I4541" s="121">
        <f t="shared" si="1600"/>
        <v>1.1575200000000001</v>
      </c>
      <c r="J4541" s="121">
        <f t="shared" si="1601"/>
        <v>1.1575200000000001</v>
      </c>
      <c r="K4541" s="120">
        <f t="shared" si="1602"/>
        <v>0</v>
      </c>
      <c r="L4541" s="120">
        <f t="shared" si="1603"/>
        <v>0</v>
      </c>
      <c r="M4541" s="246">
        <f t="shared" si="1604"/>
        <v>0</v>
      </c>
      <c r="N4541" s="121">
        <f t="shared" si="1605"/>
        <v>1.1575200000000001</v>
      </c>
      <c r="P4541" s="121">
        <f t="shared" si="1606"/>
        <v>0</v>
      </c>
      <c r="Q4541" s="121">
        <f t="shared" si="1607"/>
        <v>0.625</v>
      </c>
      <c r="R4541" s="121">
        <f t="shared" si="1608"/>
        <v>0.375</v>
      </c>
    </row>
    <row r="4542" spans="1:18" x14ac:dyDescent="0.3">
      <c r="A4542" s="187">
        <v>30</v>
      </c>
      <c r="B4542" s="242">
        <f t="shared" si="1609"/>
        <v>46539</v>
      </c>
      <c r="C4542" s="243">
        <f t="shared" si="1594"/>
        <v>46568</v>
      </c>
      <c r="D4542" s="120">
        <f t="shared" si="1595"/>
        <v>30</v>
      </c>
      <c r="E4542" s="120">
        <f t="shared" si="1596"/>
        <v>6</v>
      </c>
      <c r="F4542" s="275">
        <f t="shared" si="1597"/>
        <v>46554</v>
      </c>
      <c r="G4542" s="120">
        <f t="shared" si="1598"/>
        <v>24329</v>
      </c>
      <c r="H4542" s="245">
        <f t="shared" si="1599"/>
        <v>1</v>
      </c>
      <c r="I4542" s="121">
        <f t="shared" si="1600"/>
        <v>1.1575200000000001</v>
      </c>
      <c r="J4542" s="121">
        <f t="shared" si="1601"/>
        <v>1.1575200000000001</v>
      </c>
      <c r="K4542" s="120">
        <f t="shared" si="1602"/>
        <v>0</v>
      </c>
      <c r="L4542" s="120">
        <f t="shared" si="1603"/>
        <v>0</v>
      </c>
      <c r="M4542" s="246">
        <f t="shared" si="1604"/>
        <v>0</v>
      </c>
      <c r="N4542" s="121">
        <f t="shared" si="1605"/>
        <v>1.1575200000000001</v>
      </c>
      <c r="P4542" s="121">
        <f t="shared" si="1606"/>
        <v>0</v>
      </c>
      <c r="Q4542" s="121">
        <f t="shared" si="1607"/>
        <v>0.54166666666666663</v>
      </c>
      <c r="R4542" s="121">
        <f t="shared" si="1608"/>
        <v>0.45833333333333337</v>
      </c>
    </row>
    <row r="4543" spans="1:18" x14ac:dyDescent="0.3">
      <c r="A4543" s="187">
        <v>31</v>
      </c>
      <c r="B4543" s="242">
        <f t="shared" si="1609"/>
        <v>46569</v>
      </c>
      <c r="C4543" s="243">
        <f t="shared" si="1594"/>
        <v>46599</v>
      </c>
      <c r="D4543" s="120">
        <f t="shared" si="1595"/>
        <v>31</v>
      </c>
      <c r="E4543" s="120">
        <f t="shared" si="1596"/>
        <v>7</v>
      </c>
      <c r="F4543" s="275">
        <f t="shared" si="1597"/>
        <v>46584.5</v>
      </c>
      <c r="G4543" s="120">
        <f t="shared" si="1598"/>
        <v>24330</v>
      </c>
      <c r="H4543" s="245">
        <f t="shared" si="1599"/>
        <v>1</v>
      </c>
      <c r="I4543" s="121">
        <f t="shared" si="1600"/>
        <v>1.1575200000000001</v>
      </c>
      <c r="J4543" s="121">
        <f t="shared" si="1601"/>
        <v>1.1575200000000001</v>
      </c>
      <c r="K4543" s="120">
        <f t="shared" si="1602"/>
        <v>0</v>
      </c>
      <c r="L4543" s="120">
        <f t="shared" si="1603"/>
        <v>0</v>
      </c>
      <c r="M4543" s="246">
        <f t="shared" si="1604"/>
        <v>0</v>
      </c>
      <c r="N4543" s="121">
        <f t="shared" si="1605"/>
        <v>1.1575200000000001</v>
      </c>
      <c r="P4543" s="121">
        <f t="shared" si="1606"/>
        <v>0</v>
      </c>
      <c r="Q4543" s="121">
        <f t="shared" si="1607"/>
        <v>0.45833333333333331</v>
      </c>
      <c r="R4543" s="121">
        <f t="shared" si="1608"/>
        <v>0.54166666666666674</v>
      </c>
    </row>
    <row r="4544" spans="1:18" x14ac:dyDescent="0.3">
      <c r="A4544" s="187">
        <v>32</v>
      </c>
      <c r="B4544" s="242">
        <f t="shared" si="1609"/>
        <v>46600</v>
      </c>
      <c r="C4544" s="243">
        <f t="shared" si="1594"/>
        <v>46630</v>
      </c>
      <c r="D4544" s="120">
        <f t="shared" si="1595"/>
        <v>31</v>
      </c>
      <c r="E4544" s="120">
        <f t="shared" si="1596"/>
        <v>8</v>
      </c>
      <c r="F4544" s="275">
        <f t="shared" si="1597"/>
        <v>46615.5</v>
      </c>
      <c r="G4544" s="120">
        <f t="shared" si="1598"/>
        <v>24331</v>
      </c>
      <c r="H4544" s="245">
        <f t="shared" si="1599"/>
        <v>1</v>
      </c>
      <c r="I4544" s="121">
        <f t="shared" si="1600"/>
        <v>1.1575200000000001</v>
      </c>
      <c r="J4544" s="121">
        <f t="shared" si="1601"/>
        <v>1.1575200000000001</v>
      </c>
      <c r="K4544" s="120">
        <f t="shared" si="1602"/>
        <v>0</v>
      </c>
      <c r="L4544" s="120">
        <f t="shared" si="1603"/>
        <v>0</v>
      </c>
      <c r="M4544" s="246">
        <f t="shared" si="1604"/>
        <v>0</v>
      </c>
      <c r="N4544" s="121">
        <f t="shared" si="1605"/>
        <v>1.1575200000000001</v>
      </c>
      <c r="P4544" s="121">
        <f t="shared" si="1606"/>
        <v>0</v>
      </c>
      <c r="Q4544" s="121">
        <f t="shared" si="1607"/>
        <v>0.375</v>
      </c>
      <c r="R4544" s="121">
        <f t="shared" si="1608"/>
        <v>0.625</v>
      </c>
    </row>
    <row r="4545" spans="1:18" x14ac:dyDescent="0.3">
      <c r="A4545" s="187">
        <v>33</v>
      </c>
      <c r="B4545" s="242">
        <f t="shared" si="1609"/>
        <v>46631</v>
      </c>
      <c r="C4545" s="243">
        <f t="shared" si="1594"/>
        <v>46660</v>
      </c>
      <c r="D4545" s="120">
        <f t="shared" si="1595"/>
        <v>30</v>
      </c>
      <c r="E4545" s="120">
        <f t="shared" si="1596"/>
        <v>9</v>
      </c>
      <c r="F4545" s="275">
        <f t="shared" si="1597"/>
        <v>46646</v>
      </c>
      <c r="G4545" s="120">
        <f t="shared" si="1598"/>
        <v>24332</v>
      </c>
      <c r="H4545" s="245">
        <f t="shared" si="1599"/>
        <v>1</v>
      </c>
      <c r="I4545" s="121">
        <f t="shared" si="1600"/>
        <v>1.1575200000000001</v>
      </c>
      <c r="J4545" s="121">
        <f t="shared" si="1601"/>
        <v>1.1575200000000001</v>
      </c>
      <c r="K4545" s="120">
        <f t="shared" si="1602"/>
        <v>0</v>
      </c>
      <c r="L4545" s="120">
        <f t="shared" si="1603"/>
        <v>0</v>
      </c>
      <c r="M4545" s="246">
        <f t="shared" si="1604"/>
        <v>0</v>
      </c>
      <c r="N4545" s="121">
        <f t="shared" si="1605"/>
        <v>1.1575200000000001</v>
      </c>
      <c r="P4545" s="121">
        <f t="shared" si="1606"/>
        <v>0</v>
      </c>
      <c r="Q4545" s="121">
        <f t="shared" si="1607"/>
        <v>0.29166666666666669</v>
      </c>
      <c r="R4545" s="121">
        <f t="shared" si="1608"/>
        <v>0.70833333333333326</v>
      </c>
    </row>
    <row r="4546" spans="1:18" x14ac:dyDescent="0.3">
      <c r="A4546" s="187">
        <v>34</v>
      </c>
      <c r="B4546" s="242">
        <f t="shared" si="1609"/>
        <v>46661</v>
      </c>
      <c r="C4546" s="243">
        <f t="shared" si="1594"/>
        <v>46691</v>
      </c>
      <c r="D4546" s="120">
        <f t="shared" si="1595"/>
        <v>31</v>
      </c>
      <c r="E4546" s="120">
        <f t="shared" si="1596"/>
        <v>10</v>
      </c>
      <c r="F4546" s="275">
        <f t="shared" si="1597"/>
        <v>46676.5</v>
      </c>
      <c r="G4546" s="120">
        <f t="shared" si="1598"/>
        <v>24333</v>
      </c>
      <c r="H4546" s="245">
        <f t="shared" si="1599"/>
        <v>1</v>
      </c>
      <c r="I4546" s="121">
        <f t="shared" si="1600"/>
        <v>1.1575200000000001</v>
      </c>
      <c r="J4546" s="121">
        <f t="shared" si="1601"/>
        <v>1.1575200000000001</v>
      </c>
      <c r="K4546" s="120">
        <f t="shared" si="1602"/>
        <v>0</v>
      </c>
      <c r="L4546" s="120">
        <f t="shared" si="1603"/>
        <v>0</v>
      </c>
      <c r="M4546" s="246">
        <f t="shared" si="1604"/>
        <v>0</v>
      </c>
      <c r="N4546" s="121">
        <f t="shared" si="1605"/>
        <v>1.1575200000000001</v>
      </c>
      <c r="P4546" s="121">
        <f t="shared" si="1606"/>
        <v>0</v>
      </c>
      <c r="Q4546" s="121">
        <f t="shared" si="1607"/>
        <v>0.20833333333333334</v>
      </c>
      <c r="R4546" s="121">
        <f t="shared" si="1608"/>
        <v>0.79166666666666663</v>
      </c>
    </row>
    <row r="4547" spans="1:18" x14ac:dyDescent="0.3">
      <c r="A4547" s="187">
        <v>35</v>
      </c>
      <c r="B4547" s="242">
        <f t="shared" si="1609"/>
        <v>46692</v>
      </c>
      <c r="C4547" s="243">
        <f t="shared" si="1594"/>
        <v>46721</v>
      </c>
      <c r="D4547" s="120">
        <f t="shared" si="1595"/>
        <v>30</v>
      </c>
      <c r="E4547" s="120">
        <f t="shared" si="1596"/>
        <v>11</v>
      </c>
      <c r="F4547" s="275">
        <f t="shared" si="1597"/>
        <v>46707</v>
      </c>
      <c r="G4547" s="120">
        <f t="shared" si="1598"/>
        <v>24334</v>
      </c>
      <c r="H4547" s="245">
        <f t="shared" si="1599"/>
        <v>1</v>
      </c>
      <c r="I4547" s="121">
        <f t="shared" si="1600"/>
        <v>1.1575200000000001</v>
      </c>
      <c r="J4547" s="121">
        <f t="shared" si="1601"/>
        <v>1.1575200000000001</v>
      </c>
      <c r="K4547" s="120">
        <f t="shared" si="1602"/>
        <v>0</v>
      </c>
      <c r="L4547" s="120">
        <f t="shared" si="1603"/>
        <v>0</v>
      </c>
      <c r="M4547" s="246">
        <f t="shared" si="1604"/>
        <v>0</v>
      </c>
      <c r="N4547" s="121">
        <f t="shared" si="1605"/>
        <v>1.1575200000000001</v>
      </c>
      <c r="P4547" s="121">
        <f t="shared" si="1606"/>
        <v>0</v>
      </c>
      <c r="Q4547" s="121">
        <f t="shared" si="1607"/>
        <v>0.125</v>
      </c>
      <c r="R4547" s="121">
        <f t="shared" si="1608"/>
        <v>0.875</v>
      </c>
    </row>
    <row r="4548" spans="1:18" x14ac:dyDescent="0.3">
      <c r="A4548" s="187">
        <v>36</v>
      </c>
      <c r="B4548" s="242">
        <f t="shared" si="1609"/>
        <v>46722</v>
      </c>
      <c r="C4548" s="243">
        <f t="shared" si="1594"/>
        <v>46752</v>
      </c>
      <c r="D4548" s="120">
        <f t="shared" si="1595"/>
        <v>31</v>
      </c>
      <c r="E4548" s="120">
        <f t="shared" si="1596"/>
        <v>12</v>
      </c>
      <c r="F4548" s="275">
        <f t="shared" si="1597"/>
        <v>46737.5</v>
      </c>
      <c r="G4548" s="120">
        <f t="shared" si="1598"/>
        <v>24335</v>
      </c>
      <c r="H4548" s="245">
        <f t="shared" si="1599"/>
        <v>1</v>
      </c>
      <c r="I4548" s="121">
        <f t="shared" si="1600"/>
        <v>1.1575200000000001</v>
      </c>
      <c r="J4548" s="121">
        <f t="shared" si="1601"/>
        <v>1.1575200000000001</v>
      </c>
      <c r="K4548" s="120">
        <f t="shared" si="1602"/>
        <v>0</v>
      </c>
      <c r="L4548" s="120">
        <f t="shared" si="1603"/>
        <v>0</v>
      </c>
      <c r="M4548" s="246">
        <f t="shared" si="1604"/>
        <v>0</v>
      </c>
      <c r="N4548" s="121">
        <f t="shared" si="1605"/>
        <v>1.1575200000000001</v>
      </c>
      <c r="P4548" s="121">
        <f t="shared" si="1606"/>
        <v>0</v>
      </c>
      <c r="Q4548" s="121">
        <f t="shared" si="1607"/>
        <v>4.1666666666666664E-2</v>
      </c>
      <c r="R4548" s="121">
        <f t="shared" si="1608"/>
        <v>0.95833333333333337</v>
      </c>
    </row>
    <row r="4549" spans="1:18" x14ac:dyDescent="0.3">
      <c r="A4549" s="187">
        <v>37</v>
      </c>
      <c r="B4549" s="242">
        <f t="shared" si="1609"/>
        <v>46753</v>
      </c>
      <c r="C4549" s="243">
        <f t="shared" si="1594"/>
        <v>46783</v>
      </c>
      <c r="D4549" s="120">
        <f t="shared" si="1595"/>
        <v>31</v>
      </c>
      <c r="E4549" s="120">
        <f t="shared" si="1596"/>
        <v>1</v>
      </c>
      <c r="F4549" s="275">
        <f t="shared" si="1597"/>
        <v>46768.5</v>
      </c>
      <c r="G4549" s="120">
        <f t="shared" si="1598"/>
        <v>24336</v>
      </c>
      <c r="H4549" s="245">
        <f t="shared" si="1599"/>
        <v>1</v>
      </c>
      <c r="I4549" s="121">
        <f t="shared" si="1600"/>
        <v>1.1575200000000001</v>
      </c>
      <c r="J4549" s="121">
        <f t="shared" si="1601"/>
        <v>1.1575200000000001</v>
      </c>
      <c r="K4549" s="120">
        <f t="shared" si="1602"/>
        <v>0</v>
      </c>
      <c r="L4549" s="120">
        <f t="shared" si="1603"/>
        <v>0</v>
      </c>
      <c r="M4549" s="246">
        <f t="shared" si="1604"/>
        <v>0</v>
      </c>
      <c r="N4549" s="121">
        <f t="shared" si="1605"/>
        <v>1.1575200000000001</v>
      </c>
      <c r="P4549" s="121">
        <f t="shared" si="1606"/>
        <v>0</v>
      </c>
      <c r="Q4549" s="121">
        <f t="shared" si="1607"/>
        <v>0</v>
      </c>
      <c r="R4549" s="121">
        <f t="shared" si="1608"/>
        <v>0.95833333333333337</v>
      </c>
    </row>
    <row r="4550" spans="1:18" x14ac:dyDescent="0.3">
      <c r="A4550" s="187">
        <v>38</v>
      </c>
      <c r="B4550" s="242">
        <f t="shared" si="1609"/>
        <v>46784</v>
      </c>
      <c r="C4550" s="243">
        <f t="shared" si="1594"/>
        <v>46812</v>
      </c>
      <c r="D4550" s="120">
        <f t="shared" si="1595"/>
        <v>29</v>
      </c>
      <c r="E4550" s="120">
        <f t="shared" si="1596"/>
        <v>2</v>
      </c>
      <c r="F4550" s="275">
        <f t="shared" si="1597"/>
        <v>46798.5</v>
      </c>
      <c r="G4550" s="120">
        <f t="shared" si="1598"/>
        <v>24337</v>
      </c>
      <c r="H4550" s="245">
        <f t="shared" si="1599"/>
        <v>1</v>
      </c>
      <c r="I4550" s="121">
        <f t="shared" si="1600"/>
        <v>1.1575200000000001</v>
      </c>
      <c r="J4550" s="121">
        <f t="shared" si="1601"/>
        <v>1.1575200000000001</v>
      </c>
      <c r="K4550" s="120">
        <f t="shared" si="1602"/>
        <v>0</v>
      </c>
      <c r="L4550" s="120">
        <f t="shared" si="1603"/>
        <v>0</v>
      </c>
      <c r="M4550" s="246">
        <f t="shared" si="1604"/>
        <v>0</v>
      </c>
      <c r="N4550" s="121">
        <f t="shared" si="1605"/>
        <v>1.1575200000000001</v>
      </c>
      <c r="P4550" s="121">
        <f t="shared" si="1606"/>
        <v>0</v>
      </c>
      <c r="Q4550" s="121">
        <f t="shared" si="1607"/>
        <v>0</v>
      </c>
      <c r="R4550" s="121">
        <f t="shared" si="1608"/>
        <v>0.875</v>
      </c>
    </row>
    <row r="4551" spans="1:18" x14ac:dyDescent="0.3">
      <c r="A4551" s="187">
        <v>39</v>
      </c>
      <c r="B4551" s="242">
        <f t="shared" si="1609"/>
        <v>46813</v>
      </c>
      <c r="C4551" s="243">
        <f t="shared" si="1594"/>
        <v>46843</v>
      </c>
      <c r="D4551" s="120">
        <f t="shared" si="1595"/>
        <v>31</v>
      </c>
      <c r="E4551" s="120">
        <f t="shared" si="1596"/>
        <v>3</v>
      </c>
      <c r="F4551" s="275">
        <f t="shared" si="1597"/>
        <v>46828.5</v>
      </c>
      <c r="G4551" s="120">
        <f t="shared" si="1598"/>
        <v>24338</v>
      </c>
      <c r="H4551" s="245">
        <f t="shared" si="1599"/>
        <v>1</v>
      </c>
      <c r="I4551" s="121">
        <f t="shared" si="1600"/>
        <v>1.1575200000000001</v>
      </c>
      <c r="J4551" s="121">
        <f t="shared" si="1601"/>
        <v>1.1575200000000001</v>
      </c>
      <c r="K4551" s="120">
        <f t="shared" si="1602"/>
        <v>0</v>
      </c>
      <c r="L4551" s="120">
        <f t="shared" si="1603"/>
        <v>0</v>
      </c>
      <c r="M4551" s="246">
        <f t="shared" si="1604"/>
        <v>0</v>
      </c>
      <c r="N4551" s="121">
        <f t="shared" si="1605"/>
        <v>1.1575200000000001</v>
      </c>
      <c r="P4551" s="121">
        <f t="shared" si="1606"/>
        <v>0</v>
      </c>
      <c r="Q4551" s="121">
        <f t="shared" si="1607"/>
        <v>0</v>
      </c>
      <c r="R4551" s="121">
        <f t="shared" si="1608"/>
        <v>0.79166666666666663</v>
      </c>
    </row>
    <row r="4552" spans="1:18" x14ac:dyDescent="0.3">
      <c r="A4552" s="187">
        <v>40</v>
      </c>
      <c r="B4552" s="242">
        <f t="shared" si="1609"/>
        <v>46844</v>
      </c>
      <c r="C4552" s="243">
        <f t="shared" si="1594"/>
        <v>46873</v>
      </c>
      <c r="D4552" s="120">
        <f t="shared" si="1595"/>
        <v>30</v>
      </c>
      <c r="E4552" s="120">
        <f t="shared" si="1596"/>
        <v>4</v>
      </c>
      <c r="F4552" s="275">
        <f t="shared" si="1597"/>
        <v>46859</v>
      </c>
      <c r="G4552" s="120">
        <f t="shared" si="1598"/>
        <v>24339</v>
      </c>
      <c r="H4552" s="245">
        <f t="shared" si="1599"/>
        <v>1</v>
      </c>
      <c r="I4552" s="121">
        <f t="shared" si="1600"/>
        <v>1.1575200000000001</v>
      </c>
      <c r="J4552" s="121">
        <f t="shared" si="1601"/>
        <v>1.1575200000000001</v>
      </c>
      <c r="K4552" s="120">
        <f t="shared" si="1602"/>
        <v>0</v>
      </c>
      <c r="L4552" s="120">
        <f t="shared" si="1603"/>
        <v>0</v>
      </c>
      <c r="M4552" s="246">
        <f t="shared" si="1604"/>
        <v>0</v>
      </c>
      <c r="N4552" s="121">
        <f t="shared" si="1605"/>
        <v>1.1575200000000001</v>
      </c>
      <c r="P4552" s="121">
        <f t="shared" si="1606"/>
        <v>0</v>
      </c>
      <c r="Q4552" s="121">
        <f t="shared" si="1607"/>
        <v>0</v>
      </c>
      <c r="R4552" s="121">
        <f t="shared" si="1608"/>
        <v>0.70833333333333337</v>
      </c>
    </row>
    <row r="4553" spans="1:18" x14ac:dyDescent="0.3">
      <c r="A4553" s="187">
        <v>41</v>
      </c>
      <c r="B4553" s="242">
        <f t="shared" si="1609"/>
        <v>46874</v>
      </c>
      <c r="C4553" s="243">
        <f t="shared" si="1594"/>
        <v>46904</v>
      </c>
      <c r="D4553" s="120">
        <f t="shared" si="1595"/>
        <v>31</v>
      </c>
      <c r="E4553" s="120">
        <f t="shared" si="1596"/>
        <v>5</v>
      </c>
      <c r="F4553" s="275">
        <f t="shared" si="1597"/>
        <v>46889.5</v>
      </c>
      <c r="G4553" s="120">
        <f t="shared" si="1598"/>
        <v>24340</v>
      </c>
      <c r="H4553" s="245">
        <f t="shared" si="1599"/>
        <v>1</v>
      </c>
      <c r="I4553" s="121">
        <f t="shared" si="1600"/>
        <v>1.1575200000000001</v>
      </c>
      <c r="J4553" s="121">
        <f t="shared" si="1601"/>
        <v>1.1575200000000001</v>
      </c>
      <c r="K4553" s="120">
        <f t="shared" si="1602"/>
        <v>0</v>
      </c>
      <c r="L4553" s="120">
        <f t="shared" si="1603"/>
        <v>0</v>
      </c>
      <c r="M4553" s="246">
        <f t="shared" si="1604"/>
        <v>0</v>
      </c>
      <c r="N4553" s="121">
        <f t="shared" si="1605"/>
        <v>1.1575200000000001</v>
      </c>
      <c r="P4553" s="121">
        <f t="shared" si="1606"/>
        <v>0</v>
      </c>
      <c r="Q4553" s="121">
        <f t="shared" si="1607"/>
        <v>0</v>
      </c>
      <c r="R4553" s="121">
        <f t="shared" si="1608"/>
        <v>0.625</v>
      </c>
    </row>
    <row r="4554" spans="1:18" x14ac:dyDescent="0.3">
      <c r="A4554" s="187">
        <v>42</v>
      </c>
      <c r="B4554" s="242">
        <f t="shared" si="1609"/>
        <v>46905</v>
      </c>
      <c r="C4554" s="243">
        <f t="shared" si="1594"/>
        <v>46934</v>
      </c>
      <c r="D4554" s="120">
        <f t="shared" si="1595"/>
        <v>30</v>
      </c>
      <c r="E4554" s="120">
        <f t="shared" si="1596"/>
        <v>6</v>
      </c>
      <c r="F4554" s="275">
        <f t="shared" si="1597"/>
        <v>46920</v>
      </c>
      <c r="G4554" s="120">
        <f t="shared" si="1598"/>
        <v>24341</v>
      </c>
      <c r="H4554" s="245">
        <f t="shared" si="1599"/>
        <v>1</v>
      </c>
      <c r="I4554" s="121">
        <f t="shared" si="1600"/>
        <v>1.1575200000000001</v>
      </c>
      <c r="J4554" s="121">
        <f t="shared" si="1601"/>
        <v>1.1575200000000001</v>
      </c>
      <c r="K4554" s="120">
        <f t="shared" si="1602"/>
        <v>0</v>
      </c>
      <c r="L4554" s="120">
        <f t="shared" si="1603"/>
        <v>0</v>
      </c>
      <c r="M4554" s="246">
        <f t="shared" si="1604"/>
        <v>0</v>
      </c>
      <c r="N4554" s="121">
        <f t="shared" si="1605"/>
        <v>1.1575200000000001</v>
      </c>
      <c r="P4554" s="121">
        <f t="shared" si="1606"/>
        <v>0</v>
      </c>
      <c r="Q4554" s="121">
        <f t="shared" si="1607"/>
        <v>0</v>
      </c>
      <c r="R4554" s="121">
        <f t="shared" si="1608"/>
        <v>0.54166666666666663</v>
      </c>
    </row>
    <row r="4555" spans="1:18" x14ac:dyDescent="0.3">
      <c r="A4555" s="187">
        <v>43</v>
      </c>
      <c r="B4555" s="242">
        <f t="shared" si="1609"/>
        <v>46935</v>
      </c>
      <c r="C4555" s="243">
        <f t="shared" si="1594"/>
        <v>46965</v>
      </c>
      <c r="D4555" s="120">
        <f t="shared" si="1595"/>
        <v>31</v>
      </c>
      <c r="E4555" s="120">
        <f t="shared" si="1596"/>
        <v>7</v>
      </c>
      <c r="F4555" s="275">
        <f t="shared" si="1597"/>
        <v>46950.5</v>
      </c>
      <c r="G4555" s="120">
        <f t="shared" si="1598"/>
        <v>24342</v>
      </c>
      <c r="H4555" s="245">
        <f t="shared" si="1599"/>
        <v>1</v>
      </c>
      <c r="I4555" s="121">
        <f t="shared" si="1600"/>
        <v>1.1575200000000001</v>
      </c>
      <c r="J4555" s="121">
        <f t="shared" si="1601"/>
        <v>1.1575200000000001</v>
      </c>
      <c r="K4555" s="120">
        <f t="shared" si="1602"/>
        <v>0</v>
      </c>
      <c r="L4555" s="120">
        <f t="shared" si="1603"/>
        <v>0</v>
      </c>
      <c r="M4555" s="246">
        <f t="shared" si="1604"/>
        <v>0</v>
      </c>
      <c r="N4555" s="121">
        <f t="shared" si="1605"/>
        <v>1.1575200000000001</v>
      </c>
      <c r="P4555" s="121">
        <f t="shared" si="1606"/>
        <v>0</v>
      </c>
      <c r="Q4555" s="121">
        <f t="shared" si="1607"/>
        <v>0</v>
      </c>
      <c r="R4555" s="121">
        <f t="shared" si="1608"/>
        <v>0.45833333333333331</v>
      </c>
    </row>
    <row r="4556" spans="1:18" x14ac:dyDescent="0.3">
      <c r="A4556" s="187">
        <v>44</v>
      </c>
      <c r="B4556" s="242">
        <f t="shared" si="1609"/>
        <v>46966</v>
      </c>
      <c r="C4556" s="243">
        <f t="shared" si="1594"/>
        <v>46996</v>
      </c>
      <c r="D4556" s="120">
        <f t="shared" si="1595"/>
        <v>31</v>
      </c>
      <c r="E4556" s="120">
        <f t="shared" si="1596"/>
        <v>8</v>
      </c>
      <c r="F4556" s="275">
        <f t="shared" si="1597"/>
        <v>46981.5</v>
      </c>
      <c r="G4556" s="120">
        <f t="shared" si="1598"/>
        <v>24343</v>
      </c>
      <c r="H4556" s="245">
        <f t="shared" si="1599"/>
        <v>1</v>
      </c>
      <c r="I4556" s="121">
        <f t="shared" si="1600"/>
        <v>1.1575200000000001</v>
      </c>
      <c r="J4556" s="121">
        <f t="shared" si="1601"/>
        <v>1.1575200000000001</v>
      </c>
      <c r="K4556" s="120">
        <f t="shared" si="1602"/>
        <v>0</v>
      </c>
      <c r="L4556" s="120">
        <f t="shared" si="1603"/>
        <v>0</v>
      </c>
      <c r="M4556" s="246">
        <f t="shared" si="1604"/>
        <v>0</v>
      </c>
      <c r="N4556" s="121">
        <f t="shared" si="1605"/>
        <v>1.1575200000000001</v>
      </c>
      <c r="P4556" s="121">
        <f t="shared" si="1606"/>
        <v>0</v>
      </c>
      <c r="Q4556" s="121">
        <f t="shared" si="1607"/>
        <v>0</v>
      </c>
      <c r="R4556" s="121">
        <f t="shared" si="1608"/>
        <v>0.375</v>
      </c>
    </row>
    <row r="4557" spans="1:18" x14ac:dyDescent="0.3">
      <c r="A4557" s="187">
        <v>45</v>
      </c>
      <c r="B4557" s="242">
        <f t="shared" si="1609"/>
        <v>46997</v>
      </c>
      <c r="C4557" s="243">
        <f t="shared" si="1594"/>
        <v>47026</v>
      </c>
      <c r="D4557" s="120">
        <f t="shared" si="1595"/>
        <v>30</v>
      </c>
      <c r="E4557" s="120">
        <f t="shared" si="1596"/>
        <v>9</v>
      </c>
      <c r="F4557" s="275">
        <f t="shared" si="1597"/>
        <v>47012</v>
      </c>
      <c r="G4557" s="120">
        <f t="shared" si="1598"/>
        <v>24344</v>
      </c>
      <c r="H4557" s="245">
        <f t="shared" si="1599"/>
        <v>1</v>
      </c>
      <c r="I4557" s="121">
        <f t="shared" si="1600"/>
        <v>1.1575200000000001</v>
      </c>
      <c r="J4557" s="121">
        <f t="shared" si="1601"/>
        <v>1.1575200000000001</v>
      </c>
      <c r="K4557" s="120">
        <f t="shared" si="1602"/>
        <v>0</v>
      </c>
      <c r="L4557" s="120">
        <f t="shared" si="1603"/>
        <v>0</v>
      </c>
      <c r="M4557" s="246">
        <f t="shared" si="1604"/>
        <v>0</v>
      </c>
      <c r="N4557" s="121">
        <f t="shared" si="1605"/>
        <v>1.1575200000000001</v>
      </c>
      <c r="P4557" s="121">
        <f t="shared" si="1606"/>
        <v>0</v>
      </c>
      <c r="Q4557" s="121">
        <f t="shared" si="1607"/>
        <v>0</v>
      </c>
      <c r="R4557" s="121">
        <f t="shared" si="1608"/>
        <v>0.29166666666666669</v>
      </c>
    </row>
    <row r="4558" spans="1:18" x14ac:dyDescent="0.3">
      <c r="A4558" s="187">
        <v>46</v>
      </c>
      <c r="B4558" s="242">
        <f t="shared" si="1609"/>
        <v>47027</v>
      </c>
      <c r="C4558" s="243">
        <f t="shared" si="1594"/>
        <v>47057</v>
      </c>
      <c r="D4558" s="120">
        <f t="shared" si="1595"/>
        <v>31</v>
      </c>
      <c r="E4558" s="120">
        <f t="shared" si="1596"/>
        <v>10</v>
      </c>
      <c r="F4558" s="275">
        <f t="shared" si="1597"/>
        <v>47042.5</v>
      </c>
      <c r="G4558" s="120">
        <f t="shared" si="1598"/>
        <v>24345</v>
      </c>
      <c r="H4558" s="245">
        <f t="shared" si="1599"/>
        <v>1</v>
      </c>
      <c r="I4558" s="121">
        <f t="shared" si="1600"/>
        <v>1.1575200000000001</v>
      </c>
      <c r="J4558" s="121">
        <f t="shared" si="1601"/>
        <v>1.1575200000000001</v>
      </c>
      <c r="K4558" s="120">
        <f t="shared" si="1602"/>
        <v>0</v>
      </c>
      <c r="L4558" s="120">
        <f t="shared" si="1603"/>
        <v>0</v>
      </c>
      <c r="M4558" s="246">
        <f t="shared" si="1604"/>
        <v>0</v>
      </c>
      <c r="N4558" s="121">
        <f t="shared" si="1605"/>
        <v>1.1575200000000001</v>
      </c>
      <c r="P4558" s="121">
        <f t="shared" si="1606"/>
        <v>0</v>
      </c>
      <c r="Q4558" s="121">
        <f t="shared" si="1607"/>
        <v>0</v>
      </c>
      <c r="R4558" s="121">
        <f t="shared" si="1608"/>
        <v>0.20833333333333334</v>
      </c>
    </row>
    <row r="4559" spans="1:18" x14ac:dyDescent="0.3">
      <c r="A4559" s="187">
        <v>47</v>
      </c>
      <c r="B4559" s="242">
        <f t="shared" si="1609"/>
        <v>47058</v>
      </c>
      <c r="C4559" s="243">
        <f t="shared" si="1594"/>
        <v>47087</v>
      </c>
      <c r="D4559" s="120">
        <f t="shared" si="1595"/>
        <v>30</v>
      </c>
      <c r="E4559" s="120">
        <f t="shared" si="1596"/>
        <v>11</v>
      </c>
      <c r="F4559" s="275">
        <f t="shared" si="1597"/>
        <v>47073</v>
      </c>
      <c r="G4559" s="120">
        <f t="shared" si="1598"/>
        <v>24346</v>
      </c>
      <c r="H4559" s="245">
        <f t="shared" si="1599"/>
        <v>1</v>
      </c>
      <c r="I4559" s="121">
        <f t="shared" si="1600"/>
        <v>1.1575200000000001</v>
      </c>
      <c r="J4559" s="121">
        <f t="shared" si="1601"/>
        <v>1.1575200000000001</v>
      </c>
      <c r="K4559" s="120">
        <f t="shared" si="1602"/>
        <v>0</v>
      </c>
      <c r="L4559" s="120">
        <f t="shared" si="1603"/>
        <v>0</v>
      </c>
      <c r="M4559" s="246">
        <f t="shared" si="1604"/>
        <v>0</v>
      </c>
      <c r="N4559" s="121">
        <f t="shared" si="1605"/>
        <v>1.1575200000000001</v>
      </c>
      <c r="P4559" s="121">
        <f t="shared" si="1606"/>
        <v>0</v>
      </c>
      <c r="Q4559" s="121">
        <f t="shared" si="1607"/>
        <v>0</v>
      </c>
      <c r="R4559" s="121">
        <f t="shared" si="1608"/>
        <v>0.125</v>
      </c>
    </row>
    <row r="4560" spans="1:18" x14ac:dyDescent="0.3">
      <c r="A4560" s="187">
        <v>48</v>
      </c>
      <c r="B4560" s="242">
        <f t="shared" si="1609"/>
        <v>47088</v>
      </c>
      <c r="C4560" s="243">
        <f t="shared" si="1594"/>
        <v>47118</v>
      </c>
      <c r="D4560" s="120">
        <f t="shared" si="1595"/>
        <v>31</v>
      </c>
      <c r="E4560" s="120">
        <f t="shared" si="1596"/>
        <v>12</v>
      </c>
      <c r="F4560" s="275">
        <f t="shared" si="1597"/>
        <v>47103.5</v>
      </c>
      <c r="G4560" s="120">
        <f t="shared" si="1598"/>
        <v>24347</v>
      </c>
      <c r="H4560" s="245">
        <f t="shared" si="1599"/>
        <v>1</v>
      </c>
      <c r="I4560" s="121">
        <f t="shared" si="1600"/>
        <v>1.1575200000000001</v>
      </c>
      <c r="J4560" s="121">
        <f t="shared" si="1601"/>
        <v>1.1575200000000001</v>
      </c>
      <c r="K4560" s="120">
        <f t="shared" si="1602"/>
        <v>0</v>
      </c>
      <c r="L4560" s="120">
        <f t="shared" si="1603"/>
        <v>0</v>
      </c>
      <c r="M4560" s="246">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0" t="s">
        <v>1708</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610">EOMONTH($B4567,0)</f>
        <v>45688</v>
      </c>
      <c r="D4567" s="120">
        <f t="shared" ref="D4567:D4614" si="1611">$C4567-$B4567+1</f>
        <v>31</v>
      </c>
      <c r="E4567" s="120">
        <f t="shared" ref="E4567:E4614" si="1612">MONTH($B4567)</f>
        <v>1</v>
      </c>
      <c r="F4567" s="275">
        <f t="shared" ref="F4567:F4614" si="1613">($B4567+$C4567+1)/2</f>
        <v>45673.5</v>
      </c>
      <c r="G4567" s="120">
        <f t="shared" ref="G4567:G4614" si="1614">YEAR($B4567)*12+MONTH($B4567)-1</f>
        <v>24300</v>
      </c>
      <c r="H4567" s="245">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46">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87">
        <v>2</v>
      </c>
      <c r="B4568" s="242">
        <f t="shared" ref="B4568:B4614" si="1625">EDATE($B4567,1)</f>
        <v>45689</v>
      </c>
      <c r="C4568" s="243">
        <f t="shared" si="1610"/>
        <v>45716</v>
      </c>
      <c r="D4568" s="120">
        <f t="shared" si="1611"/>
        <v>28</v>
      </c>
      <c r="E4568" s="120">
        <f t="shared" si="1612"/>
        <v>2</v>
      </c>
      <c r="F4568" s="275">
        <f t="shared" si="1613"/>
        <v>45703</v>
      </c>
      <c r="G4568" s="120">
        <f t="shared" si="1614"/>
        <v>24301</v>
      </c>
      <c r="H4568" s="245">
        <f t="shared" si="1615"/>
        <v>1</v>
      </c>
      <c r="I4568" s="121">
        <f t="shared" si="1616"/>
        <v>1</v>
      </c>
      <c r="J4568" s="121">
        <f t="shared" si="1617"/>
        <v>1</v>
      </c>
      <c r="K4568" s="120">
        <f t="shared" si="1618"/>
        <v>0</v>
      </c>
      <c r="L4568" s="120">
        <f t="shared" si="1619"/>
        <v>0</v>
      </c>
      <c r="M4568" s="246">
        <f t="shared" si="1620"/>
        <v>0</v>
      </c>
      <c r="N4568" s="121">
        <f t="shared" si="1621"/>
        <v>1</v>
      </c>
      <c r="P4568" s="121">
        <f t="shared" si="1622"/>
        <v>0.125</v>
      </c>
      <c r="Q4568" s="121">
        <f t="shared" si="1623"/>
        <v>0</v>
      </c>
      <c r="R4568" s="121">
        <f t="shared" si="1624"/>
        <v>0</v>
      </c>
    </row>
    <row r="4569" spans="1:21" x14ac:dyDescent="0.3">
      <c r="A4569" s="187">
        <v>3</v>
      </c>
      <c r="B4569" s="242">
        <f t="shared" si="1625"/>
        <v>45717</v>
      </c>
      <c r="C4569" s="243">
        <f t="shared" si="1610"/>
        <v>45747</v>
      </c>
      <c r="D4569" s="120">
        <f t="shared" si="1611"/>
        <v>31</v>
      </c>
      <c r="E4569" s="120">
        <f t="shared" si="1612"/>
        <v>3</v>
      </c>
      <c r="F4569" s="275">
        <f t="shared" si="1613"/>
        <v>45732.5</v>
      </c>
      <c r="G4569" s="120">
        <f t="shared" si="1614"/>
        <v>24302</v>
      </c>
      <c r="H4569" s="245">
        <f t="shared" si="1615"/>
        <v>1</v>
      </c>
      <c r="I4569" s="121">
        <f t="shared" si="1616"/>
        <v>1</v>
      </c>
      <c r="J4569" s="121">
        <f t="shared" si="1617"/>
        <v>1</v>
      </c>
      <c r="K4569" s="120">
        <f t="shared" si="1618"/>
        <v>0</v>
      </c>
      <c r="L4569" s="120">
        <f t="shared" si="1619"/>
        <v>0</v>
      </c>
      <c r="M4569" s="246">
        <f t="shared" si="1620"/>
        <v>0</v>
      </c>
      <c r="N4569" s="121">
        <f t="shared" si="1621"/>
        <v>1</v>
      </c>
      <c r="P4569" s="121">
        <f t="shared" si="1622"/>
        <v>0.20833333333333337</v>
      </c>
      <c r="Q4569" s="121">
        <f t="shared" si="1623"/>
        <v>0</v>
      </c>
      <c r="R4569" s="121">
        <f t="shared" si="1624"/>
        <v>0</v>
      </c>
    </row>
    <row r="4570" spans="1:21" x14ac:dyDescent="0.3">
      <c r="A4570" s="187">
        <v>4</v>
      </c>
      <c r="B4570" s="242">
        <f t="shared" si="1625"/>
        <v>45748</v>
      </c>
      <c r="C4570" s="243">
        <f t="shared" si="1610"/>
        <v>45777</v>
      </c>
      <c r="D4570" s="120">
        <f t="shared" si="1611"/>
        <v>30</v>
      </c>
      <c r="E4570" s="120">
        <f t="shared" si="1612"/>
        <v>4</v>
      </c>
      <c r="F4570" s="275">
        <f t="shared" si="1613"/>
        <v>45763</v>
      </c>
      <c r="G4570" s="120">
        <f t="shared" si="1614"/>
        <v>24303</v>
      </c>
      <c r="H4570" s="245">
        <f t="shared" si="1615"/>
        <v>1</v>
      </c>
      <c r="I4570" s="121">
        <f t="shared" si="1616"/>
        <v>1</v>
      </c>
      <c r="J4570" s="121">
        <f t="shared" si="1617"/>
        <v>1</v>
      </c>
      <c r="K4570" s="120">
        <f t="shared" si="1618"/>
        <v>0</v>
      </c>
      <c r="L4570" s="120">
        <f t="shared" si="1619"/>
        <v>0</v>
      </c>
      <c r="M4570" s="246">
        <f t="shared" si="1620"/>
        <v>0</v>
      </c>
      <c r="N4570" s="121">
        <f t="shared" si="1621"/>
        <v>1</v>
      </c>
      <c r="P4570" s="121">
        <f t="shared" si="1622"/>
        <v>0.29166666666666663</v>
      </c>
      <c r="Q4570" s="121">
        <f t="shared" si="1623"/>
        <v>0</v>
      </c>
      <c r="R4570" s="121">
        <f t="shared" si="1624"/>
        <v>0</v>
      </c>
    </row>
    <row r="4571" spans="1:21" x14ac:dyDescent="0.3">
      <c r="A4571" s="187">
        <v>5</v>
      </c>
      <c r="B4571" s="242">
        <f t="shared" si="1625"/>
        <v>45778</v>
      </c>
      <c r="C4571" s="243">
        <f t="shared" si="1610"/>
        <v>45808</v>
      </c>
      <c r="D4571" s="120">
        <f t="shared" si="1611"/>
        <v>31</v>
      </c>
      <c r="E4571" s="120">
        <f t="shared" si="1612"/>
        <v>5</v>
      </c>
      <c r="F4571" s="275">
        <f t="shared" si="1613"/>
        <v>45793.5</v>
      </c>
      <c r="G4571" s="120">
        <f t="shared" si="1614"/>
        <v>24304</v>
      </c>
      <c r="H4571" s="245">
        <f t="shared" si="1615"/>
        <v>1</v>
      </c>
      <c r="I4571" s="121">
        <f t="shared" si="1616"/>
        <v>1</v>
      </c>
      <c r="J4571" s="121">
        <f t="shared" si="1617"/>
        <v>1</v>
      </c>
      <c r="K4571" s="120">
        <f t="shared" si="1618"/>
        <v>0</v>
      </c>
      <c r="L4571" s="120">
        <f t="shared" si="1619"/>
        <v>0</v>
      </c>
      <c r="M4571" s="246">
        <f t="shared" si="1620"/>
        <v>0</v>
      </c>
      <c r="N4571" s="121">
        <f t="shared" si="1621"/>
        <v>1</v>
      </c>
      <c r="P4571" s="121">
        <f t="shared" si="1622"/>
        <v>0.375</v>
      </c>
      <c r="Q4571" s="121">
        <f t="shared" si="1623"/>
        <v>0</v>
      </c>
      <c r="R4571" s="121">
        <f t="shared" si="1624"/>
        <v>0</v>
      </c>
    </row>
    <row r="4572" spans="1:21" x14ac:dyDescent="0.3">
      <c r="A4572" s="187">
        <v>6</v>
      </c>
      <c r="B4572" s="242">
        <f t="shared" si="1625"/>
        <v>45809</v>
      </c>
      <c r="C4572" s="243">
        <f t="shared" si="1610"/>
        <v>45838</v>
      </c>
      <c r="D4572" s="120">
        <f t="shared" si="1611"/>
        <v>30</v>
      </c>
      <c r="E4572" s="120">
        <f t="shared" si="1612"/>
        <v>6</v>
      </c>
      <c r="F4572" s="275">
        <f t="shared" si="1613"/>
        <v>45824</v>
      </c>
      <c r="G4572" s="120">
        <f t="shared" si="1614"/>
        <v>24305</v>
      </c>
      <c r="H4572" s="245">
        <f t="shared" si="1615"/>
        <v>1</v>
      </c>
      <c r="I4572" s="121">
        <f t="shared" si="1616"/>
        <v>1</v>
      </c>
      <c r="J4572" s="121">
        <f t="shared" si="1617"/>
        <v>1</v>
      </c>
      <c r="K4572" s="120">
        <f t="shared" si="1618"/>
        <v>0</v>
      </c>
      <c r="L4572" s="120">
        <f t="shared" si="1619"/>
        <v>0</v>
      </c>
      <c r="M4572" s="246">
        <f t="shared" si="1620"/>
        <v>0</v>
      </c>
      <c r="N4572" s="121">
        <f t="shared" si="1621"/>
        <v>1</v>
      </c>
      <c r="P4572" s="121">
        <f t="shared" si="1622"/>
        <v>0.45833333333333337</v>
      </c>
      <c r="Q4572" s="121">
        <f t="shared" si="1623"/>
        <v>0</v>
      </c>
      <c r="R4572" s="121">
        <f t="shared" si="1624"/>
        <v>0</v>
      </c>
    </row>
    <row r="4573" spans="1:21" x14ac:dyDescent="0.3">
      <c r="A4573" s="187">
        <v>7</v>
      </c>
      <c r="B4573" s="242">
        <f t="shared" si="1625"/>
        <v>45839</v>
      </c>
      <c r="C4573" s="243">
        <f t="shared" si="1610"/>
        <v>45869</v>
      </c>
      <c r="D4573" s="120">
        <f t="shared" si="1611"/>
        <v>31</v>
      </c>
      <c r="E4573" s="120">
        <f t="shared" si="1612"/>
        <v>7</v>
      </c>
      <c r="F4573" s="275">
        <f t="shared" si="1613"/>
        <v>45854.5</v>
      </c>
      <c r="G4573" s="120">
        <f t="shared" si="1614"/>
        <v>24306</v>
      </c>
      <c r="H4573" s="245">
        <f t="shared" si="1615"/>
        <v>1</v>
      </c>
      <c r="I4573" s="121">
        <f t="shared" si="1616"/>
        <v>1</v>
      </c>
      <c r="J4573" s="121">
        <f t="shared" si="1617"/>
        <v>1.04</v>
      </c>
      <c r="K4573" s="120">
        <f t="shared" si="1618"/>
        <v>1</v>
      </c>
      <c r="L4573" s="120">
        <f t="shared" si="1619"/>
        <v>31</v>
      </c>
      <c r="M4573" s="246">
        <f t="shared" si="1620"/>
        <v>1</v>
      </c>
      <c r="N4573" s="121">
        <f t="shared" si="1621"/>
        <v>1.04</v>
      </c>
      <c r="P4573" s="121">
        <f t="shared" si="1622"/>
        <v>0.54166666666666674</v>
      </c>
      <c r="Q4573" s="121">
        <f t="shared" si="1623"/>
        <v>0</v>
      </c>
      <c r="R4573" s="121">
        <f t="shared" si="1624"/>
        <v>0</v>
      </c>
    </row>
    <row r="4574" spans="1:21" x14ac:dyDescent="0.3">
      <c r="A4574" s="187">
        <v>8</v>
      </c>
      <c r="B4574" s="242">
        <f t="shared" si="1625"/>
        <v>45870</v>
      </c>
      <c r="C4574" s="243">
        <f t="shared" si="1610"/>
        <v>45900</v>
      </c>
      <c r="D4574" s="120">
        <f t="shared" si="1611"/>
        <v>31</v>
      </c>
      <c r="E4574" s="120">
        <f t="shared" si="1612"/>
        <v>8</v>
      </c>
      <c r="F4574" s="275">
        <f t="shared" si="1613"/>
        <v>45885.5</v>
      </c>
      <c r="G4574" s="120">
        <f t="shared" si="1614"/>
        <v>24307</v>
      </c>
      <c r="H4574" s="245">
        <f t="shared" si="1615"/>
        <v>1</v>
      </c>
      <c r="I4574" s="121">
        <f t="shared" si="1616"/>
        <v>1.04</v>
      </c>
      <c r="J4574" s="121">
        <f t="shared" si="1617"/>
        <v>1.04</v>
      </c>
      <c r="K4574" s="120">
        <f t="shared" si="1618"/>
        <v>0</v>
      </c>
      <c r="L4574" s="120">
        <f t="shared" si="1619"/>
        <v>0</v>
      </c>
      <c r="M4574" s="246">
        <f t="shared" si="1620"/>
        <v>0</v>
      </c>
      <c r="N4574" s="121">
        <f t="shared" si="1621"/>
        <v>1.04</v>
      </c>
      <c r="P4574" s="121">
        <f t="shared" si="1622"/>
        <v>0.625</v>
      </c>
      <c r="Q4574" s="121">
        <f t="shared" si="1623"/>
        <v>0</v>
      </c>
      <c r="R4574" s="121">
        <f t="shared" si="1624"/>
        <v>0</v>
      </c>
    </row>
    <row r="4575" spans="1:21" x14ac:dyDescent="0.3">
      <c r="A4575" s="187">
        <v>9</v>
      </c>
      <c r="B4575" s="242">
        <f t="shared" si="1625"/>
        <v>45901</v>
      </c>
      <c r="C4575" s="243">
        <f t="shared" si="1610"/>
        <v>45930</v>
      </c>
      <c r="D4575" s="120">
        <f t="shared" si="1611"/>
        <v>30</v>
      </c>
      <c r="E4575" s="120">
        <f t="shared" si="1612"/>
        <v>9</v>
      </c>
      <c r="F4575" s="275">
        <f t="shared" si="1613"/>
        <v>45916</v>
      </c>
      <c r="G4575" s="120">
        <f t="shared" si="1614"/>
        <v>24308</v>
      </c>
      <c r="H4575" s="245">
        <f t="shared" si="1615"/>
        <v>1</v>
      </c>
      <c r="I4575" s="121">
        <f t="shared" si="1616"/>
        <v>1.04</v>
      </c>
      <c r="J4575" s="121">
        <f t="shared" si="1617"/>
        <v>1.04</v>
      </c>
      <c r="K4575" s="120">
        <f t="shared" si="1618"/>
        <v>0</v>
      </c>
      <c r="L4575" s="120">
        <f t="shared" si="1619"/>
        <v>0</v>
      </c>
      <c r="M4575" s="246">
        <f t="shared" si="1620"/>
        <v>0</v>
      </c>
      <c r="N4575" s="121">
        <f t="shared" si="1621"/>
        <v>1.04</v>
      </c>
      <c r="P4575" s="121">
        <f t="shared" si="1622"/>
        <v>0.70833333333333326</v>
      </c>
      <c r="Q4575" s="121">
        <f t="shared" si="1623"/>
        <v>0</v>
      </c>
      <c r="R4575" s="121">
        <f t="shared" si="1624"/>
        <v>0</v>
      </c>
    </row>
    <row r="4576" spans="1:21" x14ac:dyDescent="0.3">
      <c r="A4576" s="187">
        <v>10</v>
      </c>
      <c r="B4576" s="242">
        <f t="shared" si="1625"/>
        <v>45931</v>
      </c>
      <c r="C4576" s="243">
        <f t="shared" si="1610"/>
        <v>45961</v>
      </c>
      <c r="D4576" s="120">
        <f t="shared" si="1611"/>
        <v>31</v>
      </c>
      <c r="E4576" s="120">
        <f t="shared" si="1612"/>
        <v>10</v>
      </c>
      <c r="F4576" s="275">
        <f t="shared" si="1613"/>
        <v>45946.5</v>
      </c>
      <c r="G4576" s="120">
        <f t="shared" si="1614"/>
        <v>24309</v>
      </c>
      <c r="H4576" s="245">
        <f t="shared" si="1615"/>
        <v>1</v>
      </c>
      <c r="I4576" s="121">
        <f t="shared" si="1616"/>
        <v>1.04</v>
      </c>
      <c r="J4576" s="121">
        <f t="shared" si="1617"/>
        <v>1.04</v>
      </c>
      <c r="K4576" s="120">
        <f t="shared" si="1618"/>
        <v>0</v>
      </c>
      <c r="L4576" s="120">
        <f t="shared" si="1619"/>
        <v>0</v>
      </c>
      <c r="M4576" s="246">
        <f t="shared" si="1620"/>
        <v>0</v>
      </c>
      <c r="N4576" s="121">
        <f t="shared" si="1621"/>
        <v>1.04</v>
      </c>
      <c r="P4576" s="121">
        <f t="shared" si="1622"/>
        <v>0.79166666666666663</v>
      </c>
      <c r="Q4576" s="121">
        <f t="shared" si="1623"/>
        <v>0</v>
      </c>
      <c r="R4576" s="121">
        <f t="shared" si="1624"/>
        <v>0</v>
      </c>
    </row>
    <row r="4577" spans="1:18" x14ac:dyDescent="0.3">
      <c r="A4577" s="187">
        <v>11</v>
      </c>
      <c r="B4577" s="242">
        <f t="shared" si="1625"/>
        <v>45962</v>
      </c>
      <c r="C4577" s="243">
        <f t="shared" si="1610"/>
        <v>45991</v>
      </c>
      <c r="D4577" s="120">
        <f t="shared" si="1611"/>
        <v>30</v>
      </c>
      <c r="E4577" s="120">
        <f t="shared" si="1612"/>
        <v>11</v>
      </c>
      <c r="F4577" s="275">
        <f t="shared" si="1613"/>
        <v>45977</v>
      </c>
      <c r="G4577" s="120">
        <f t="shared" si="1614"/>
        <v>24310</v>
      </c>
      <c r="H4577" s="245">
        <f t="shared" si="1615"/>
        <v>1</v>
      </c>
      <c r="I4577" s="121">
        <f t="shared" si="1616"/>
        <v>1.04</v>
      </c>
      <c r="J4577" s="121">
        <f t="shared" si="1617"/>
        <v>1.04</v>
      </c>
      <c r="K4577" s="120">
        <f t="shared" si="1618"/>
        <v>0</v>
      </c>
      <c r="L4577" s="120">
        <f t="shared" si="1619"/>
        <v>0</v>
      </c>
      <c r="M4577" s="246">
        <f t="shared" si="1620"/>
        <v>0</v>
      </c>
      <c r="N4577" s="121">
        <f t="shared" si="1621"/>
        <v>1.04</v>
      </c>
      <c r="P4577" s="121">
        <f t="shared" si="1622"/>
        <v>0.875</v>
      </c>
      <c r="Q4577" s="121">
        <f t="shared" si="1623"/>
        <v>0</v>
      </c>
      <c r="R4577" s="121">
        <f t="shared" si="1624"/>
        <v>0</v>
      </c>
    </row>
    <row r="4578" spans="1:18" x14ac:dyDescent="0.3">
      <c r="A4578" s="187">
        <v>12</v>
      </c>
      <c r="B4578" s="242">
        <f t="shared" si="1625"/>
        <v>45992</v>
      </c>
      <c r="C4578" s="243">
        <f t="shared" si="1610"/>
        <v>46022</v>
      </c>
      <c r="D4578" s="120">
        <f t="shared" si="1611"/>
        <v>31</v>
      </c>
      <c r="E4578" s="120">
        <f t="shared" si="1612"/>
        <v>12</v>
      </c>
      <c r="F4578" s="275">
        <f t="shared" si="1613"/>
        <v>46007.5</v>
      </c>
      <c r="G4578" s="120">
        <f t="shared" si="1614"/>
        <v>24311</v>
      </c>
      <c r="H4578" s="245">
        <f t="shared" si="1615"/>
        <v>1</v>
      </c>
      <c r="I4578" s="121">
        <f t="shared" si="1616"/>
        <v>1.04</v>
      </c>
      <c r="J4578" s="121">
        <f t="shared" si="1617"/>
        <v>1.04</v>
      </c>
      <c r="K4578" s="120">
        <f t="shared" si="1618"/>
        <v>0</v>
      </c>
      <c r="L4578" s="120">
        <f t="shared" si="1619"/>
        <v>0</v>
      </c>
      <c r="M4578" s="246">
        <f t="shared" si="1620"/>
        <v>0</v>
      </c>
      <c r="N4578" s="121">
        <f t="shared" si="1621"/>
        <v>1.04</v>
      </c>
      <c r="P4578" s="121">
        <f t="shared" si="1622"/>
        <v>0.95833333333333337</v>
      </c>
      <c r="Q4578" s="121">
        <f t="shared" si="1623"/>
        <v>0</v>
      </c>
      <c r="R4578" s="121">
        <f t="shared" si="1624"/>
        <v>0</v>
      </c>
    </row>
    <row r="4579" spans="1:18" x14ac:dyDescent="0.3">
      <c r="A4579" s="187">
        <v>13</v>
      </c>
      <c r="B4579" s="242">
        <f t="shared" si="1625"/>
        <v>46023</v>
      </c>
      <c r="C4579" s="243">
        <f t="shared" si="1610"/>
        <v>46053</v>
      </c>
      <c r="D4579" s="120">
        <f t="shared" si="1611"/>
        <v>31</v>
      </c>
      <c r="E4579" s="120">
        <f t="shared" si="1612"/>
        <v>1</v>
      </c>
      <c r="F4579" s="275">
        <f t="shared" si="1613"/>
        <v>46038.5</v>
      </c>
      <c r="G4579" s="120">
        <f t="shared" si="1614"/>
        <v>24312</v>
      </c>
      <c r="H4579" s="245">
        <f t="shared" si="1615"/>
        <v>1</v>
      </c>
      <c r="I4579" s="121">
        <f t="shared" si="1616"/>
        <v>1.04</v>
      </c>
      <c r="J4579" s="121">
        <f t="shared" si="1617"/>
        <v>1.04</v>
      </c>
      <c r="K4579" s="120">
        <f t="shared" si="1618"/>
        <v>0</v>
      </c>
      <c r="L4579" s="120">
        <f t="shared" si="1619"/>
        <v>0</v>
      </c>
      <c r="M4579" s="246">
        <f t="shared" si="1620"/>
        <v>0</v>
      </c>
      <c r="N4579" s="121">
        <f t="shared" si="1621"/>
        <v>1.04</v>
      </c>
      <c r="P4579" s="121">
        <f t="shared" si="1622"/>
        <v>0.95833333333333337</v>
      </c>
      <c r="Q4579" s="121">
        <f t="shared" si="1623"/>
        <v>4.166666666666663E-2</v>
      </c>
      <c r="R4579" s="121">
        <f t="shared" si="1624"/>
        <v>0</v>
      </c>
    </row>
    <row r="4580" spans="1:18" x14ac:dyDescent="0.3">
      <c r="A4580" s="187">
        <v>14</v>
      </c>
      <c r="B4580" s="242">
        <f t="shared" si="1625"/>
        <v>46054</v>
      </c>
      <c r="C4580" s="243">
        <f t="shared" si="1610"/>
        <v>46081</v>
      </c>
      <c r="D4580" s="120">
        <f t="shared" si="1611"/>
        <v>28</v>
      </c>
      <c r="E4580" s="120">
        <f t="shared" si="1612"/>
        <v>2</v>
      </c>
      <c r="F4580" s="275">
        <f t="shared" si="1613"/>
        <v>46068</v>
      </c>
      <c r="G4580" s="120">
        <f t="shared" si="1614"/>
        <v>24313</v>
      </c>
      <c r="H4580" s="245">
        <f t="shared" si="1615"/>
        <v>1</v>
      </c>
      <c r="I4580" s="121">
        <f t="shared" si="1616"/>
        <v>1.04</v>
      </c>
      <c r="J4580" s="121">
        <f t="shared" si="1617"/>
        <v>1.04</v>
      </c>
      <c r="K4580" s="120">
        <f t="shared" si="1618"/>
        <v>0</v>
      </c>
      <c r="L4580" s="120">
        <f t="shared" si="1619"/>
        <v>0</v>
      </c>
      <c r="M4580" s="246">
        <f t="shared" si="1620"/>
        <v>0</v>
      </c>
      <c r="N4580" s="121">
        <f t="shared" si="1621"/>
        <v>1.04</v>
      </c>
      <c r="P4580" s="121">
        <f t="shared" si="1622"/>
        <v>0.875</v>
      </c>
      <c r="Q4580" s="121">
        <f t="shared" si="1623"/>
        <v>0.125</v>
      </c>
      <c r="R4580" s="121">
        <f t="shared" si="1624"/>
        <v>0</v>
      </c>
    </row>
    <row r="4581" spans="1:18" x14ac:dyDescent="0.3">
      <c r="A4581" s="187">
        <v>15</v>
      </c>
      <c r="B4581" s="242">
        <f t="shared" si="1625"/>
        <v>46082</v>
      </c>
      <c r="C4581" s="243">
        <f t="shared" si="1610"/>
        <v>46112</v>
      </c>
      <c r="D4581" s="120">
        <f t="shared" si="1611"/>
        <v>31</v>
      </c>
      <c r="E4581" s="120">
        <f t="shared" si="1612"/>
        <v>3</v>
      </c>
      <c r="F4581" s="275">
        <f t="shared" si="1613"/>
        <v>46097.5</v>
      </c>
      <c r="G4581" s="120">
        <f t="shared" si="1614"/>
        <v>24314</v>
      </c>
      <c r="H4581" s="245">
        <f t="shared" si="1615"/>
        <v>1</v>
      </c>
      <c r="I4581" s="121">
        <f t="shared" si="1616"/>
        <v>1.04</v>
      </c>
      <c r="J4581" s="121">
        <f t="shared" si="1617"/>
        <v>1.04</v>
      </c>
      <c r="K4581" s="120">
        <f t="shared" si="1618"/>
        <v>0</v>
      </c>
      <c r="L4581" s="120">
        <f t="shared" si="1619"/>
        <v>0</v>
      </c>
      <c r="M4581" s="246">
        <f t="shared" si="1620"/>
        <v>0</v>
      </c>
      <c r="N4581" s="121">
        <f t="shared" si="1621"/>
        <v>1.04</v>
      </c>
      <c r="P4581" s="121">
        <f t="shared" si="1622"/>
        <v>0.79166666666666663</v>
      </c>
      <c r="Q4581" s="121">
        <f t="shared" si="1623"/>
        <v>0.20833333333333337</v>
      </c>
      <c r="R4581" s="121">
        <f t="shared" si="1624"/>
        <v>0</v>
      </c>
    </row>
    <row r="4582" spans="1:18" x14ac:dyDescent="0.3">
      <c r="A4582" s="187">
        <v>16</v>
      </c>
      <c r="B4582" s="242">
        <f t="shared" si="1625"/>
        <v>46113</v>
      </c>
      <c r="C4582" s="243">
        <f t="shared" si="1610"/>
        <v>46142</v>
      </c>
      <c r="D4582" s="120">
        <f t="shared" si="1611"/>
        <v>30</v>
      </c>
      <c r="E4582" s="120">
        <f t="shared" si="1612"/>
        <v>4</v>
      </c>
      <c r="F4582" s="275">
        <f t="shared" si="1613"/>
        <v>46128</v>
      </c>
      <c r="G4582" s="120">
        <f t="shared" si="1614"/>
        <v>24315</v>
      </c>
      <c r="H4582" s="245">
        <f t="shared" si="1615"/>
        <v>1</v>
      </c>
      <c r="I4582" s="121">
        <f t="shared" si="1616"/>
        <v>1.04</v>
      </c>
      <c r="J4582" s="121">
        <f t="shared" si="1617"/>
        <v>1.04</v>
      </c>
      <c r="K4582" s="120">
        <f t="shared" si="1618"/>
        <v>0</v>
      </c>
      <c r="L4582" s="120">
        <f t="shared" si="1619"/>
        <v>0</v>
      </c>
      <c r="M4582" s="246">
        <f t="shared" si="1620"/>
        <v>0</v>
      </c>
      <c r="N4582" s="121">
        <f t="shared" si="1621"/>
        <v>1.04</v>
      </c>
      <c r="P4582" s="121">
        <f t="shared" si="1622"/>
        <v>0.70833333333333337</v>
      </c>
      <c r="Q4582" s="121">
        <f t="shared" si="1623"/>
        <v>0.29166666666666663</v>
      </c>
      <c r="R4582" s="121">
        <f t="shared" si="1624"/>
        <v>0</v>
      </c>
    </row>
    <row r="4583" spans="1:18" x14ac:dyDescent="0.3">
      <c r="A4583" s="187">
        <v>17</v>
      </c>
      <c r="B4583" s="242">
        <f t="shared" si="1625"/>
        <v>46143</v>
      </c>
      <c r="C4583" s="243">
        <f t="shared" si="1610"/>
        <v>46173</v>
      </c>
      <c r="D4583" s="120">
        <f t="shared" si="1611"/>
        <v>31</v>
      </c>
      <c r="E4583" s="120">
        <f t="shared" si="1612"/>
        <v>5</v>
      </c>
      <c r="F4583" s="275">
        <f t="shared" si="1613"/>
        <v>46158.5</v>
      </c>
      <c r="G4583" s="120">
        <f t="shared" si="1614"/>
        <v>24316</v>
      </c>
      <c r="H4583" s="245">
        <f t="shared" si="1615"/>
        <v>1</v>
      </c>
      <c r="I4583" s="121">
        <f t="shared" si="1616"/>
        <v>1.04</v>
      </c>
      <c r="J4583" s="121">
        <f t="shared" si="1617"/>
        <v>1.04</v>
      </c>
      <c r="K4583" s="120">
        <f t="shared" si="1618"/>
        <v>0</v>
      </c>
      <c r="L4583" s="120">
        <f t="shared" si="1619"/>
        <v>0</v>
      </c>
      <c r="M4583" s="246">
        <f t="shared" si="1620"/>
        <v>0</v>
      </c>
      <c r="N4583" s="121">
        <f t="shared" si="1621"/>
        <v>1.04</v>
      </c>
      <c r="P4583" s="121">
        <f t="shared" si="1622"/>
        <v>0.625</v>
      </c>
      <c r="Q4583" s="121">
        <f t="shared" si="1623"/>
        <v>0.375</v>
      </c>
      <c r="R4583" s="121">
        <f t="shared" si="1624"/>
        <v>0</v>
      </c>
    </row>
    <row r="4584" spans="1:18" x14ac:dyDescent="0.3">
      <c r="A4584" s="187">
        <v>18</v>
      </c>
      <c r="B4584" s="242">
        <f t="shared" si="1625"/>
        <v>46174</v>
      </c>
      <c r="C4584" s="243">
        <f t="shared" si="1610"/>
        <v>46203</v>
      </c>
      <c r="D4584" s="120">
        <f t="shared" si="1611"/>
        <v>30</v>
      </c>
      <c r="E4584" s="120">
        <f t="shared" si="1612"/>
        <v>6</v>
      </c>
      <c r="F4584" s="275">
        <f t="shared" si="1613"/>
        <v>46189</v>
      </c>
      <c r="G4584" s="120">
        <f t="shared" si="1614"/>
        <v>24317</v>
      </c>
      <c r="H4584" s="245">
        <f t="shared" si="1615"/>
        <v>1</v>
      </c>
      <c r="I4584" s="121">
        <f t="shared" si="1616"/>
        <v>1.04</v>
      </c>
      <c r="J4584" s="121">
        <f t="shared" si="1617"/>
        <v>1.04</v>
      </c>
      <c r="K4584" s="120">
        <f t="shared" si="1618"/>
        <v>0</v>
      </c>
      <c r="L4584" s="120">
        <f t="shared" si="1619"/>
        <v>0</v>
      </c>
      <c r="M4584" s="246">
        <f t="shared" si="1620"/>
        <v>0</v>
      </c>
      <c r="N4584" s="121">
        <f t="shared" si="1621"/>
        <v>1.04</v>
      </c>
      <c r="P4584" s="121">
        <f t="shared" si="1622"/>
        <v>0.54166666666666663</v>
      </c>
      <c r="Q4584" s="121">
        <f t="shared" si="1623"/>
        <v>0.45833333333333337</v>
      </c>
      <c r="R4584" s="121">
        <f t="shared" si="1624"/>
        <v>0</v>
      </c>
    </row>
    <row r="4585" spans="1:18" x14ac:dyDescent="0.3">
      <c r="A4585" s="187">
        <v>19</v>
      </c>
      <c r="B4585" s="242">
        <f t="shared" si="1625"/>
        <v>46204</v>
      </c>
      <c r="C4585" s="243">
        <f t="shared" si="1610"/>
        <v>46234</v>
      </c>
      <c r="D4585" s="120">
        <f t="shared" si="1611"/>
        <v>31</v>
      </c>
      <c r="E4585" s="120">
        <f t="shared" si="1612"/>
        <v>7</v>
      </c>
      <c r="F4585" s="275">
        <f t="shared" si="1613"/>
        <v>46219.5</v>
      </c>
      <c r="G4585" s="120">
        <f t="shared" si="1614"/>
        <v>24318</v>
      </c>
      <c r="H4585" s="245">
        <f t="shared" si="1615"/>
        <v>1</v>
      </c>
      <c r="I4585" s="121">
        <f t="shared" si="1616"/>
        <v>1.04</v>
      </c>
      <c r="J4585" s="121">
        <f t="shared" si="1617"/>
        <v>1.1024</v>
      </c>
      <c r="K4585" s="120">
        <f t="shared" si="1618"/>
        <v>1</v>
      </c>
      <c r="L4585" s="120">
        <f t="shared" si="1619"/>
        <v>31</v>
      </c>
      <c r="M4585" s="246">
        <f t="shared" si="1620"/>
        <v>1</v>
      </c>
      <c r="N4585" s="121">
        <f t="shared" si="1621"/>
        <v>1.1024</v>
      </c>
      <c r="P4585" s="121">
        <f t="shared" si="1622"/>
        <v>0.45833333333333331</v>
      </c>
      <c r="Q4585" s="121">
        <f t="shared" si="1623"/>
        <v>0.54166666666666674</v>
      </c>
      <c r="R4585" s="121">
        <f t="shared" si="1624"/>
        <v>0</v>
      </c>
    </row>
    <row r="4586" spans="1:18" x14ac:dyDescent="0.3">
      <c r="A4586" s="187">
        <v>20</v>
      </c>
      <c r="B4586" s="242">
        <f t="shared" si="1625"/>
        <v>46235</v>
      </c>
      <c r="C4586" s="243">
        <f t="shared" si="1610"/>
        <v>46265</v>
      </c>
      <c r="D4586" s="120">
        <f t="shared" si="1611"/>
        <v>31</v>
      </c>
      <c r="E4586" s="120">
        <f t="shared" si="1612"/>
        <v>8</v>
      </c>
      <c r="F4586" s="275">
        <f t="shared" si="1613"/>
        <v>46250.5</v>
      </c>
      <c r="G4586" s="120">
        <f t="shared" si="1614"/>
        <v>24319</v>
      </c>
      <c r="H4586" s="245">
        <f t="shared" si="1615"/>
        <v>1</v>
      </c>
      <c r="I4586" s="121">
        <f t="shared" si="1616"/>
        <v>1.1024</v>
      </c>
      <c r="J4586" s="121">
        <f t="shared" si="1617"/>
        <v>1.1024</v>
      </c>
      <c r="K4586" s="120">
        <f t="shared" si="1618"/>
        <v>0</v>
      </c>
      <c r="L4586" s="120">
        <f t="shared" si="1619"/>
        <v>0</v>
      </c>
      <c r="M4586" s="246">
        <f t="shared" si="1620"/>
        <v>0</v>
      </c>
      <c r="N4586" s="121">
        <f t="shared" si="1621"/>
        <v>1.1024</v>
      </c>
      <c r="P4586" s="121">
        <f t="shared" si="1622"/>
        <v>0.375</v>
      </c>
      <c r="Q4586" s="121">
        <f t="shared" si="1623"/>
        <v>0.625</v>
      </c>
      <c r="R4586" s="121">
        <f t="shared" si="1624"/>
        <v>0</v>
      </c>
    </row>
    <row r="4587" spans="1:18" x14ac:dyDescent="0.3">
      <c r="A4587" s="187">
        <v>21</v>
      </c>
      <c r="B4587" s="242">
        <f t="shared" si="1625"/>
        <v>46266</v>
      </c>
      <c r="C4587" s="243">
        <f t="shared" si="1610"/>
        <v>46295</v>
      </c>
      <c r="D4587" s="120">
        <f t="shared" si="1611"/>
        <v>30</v>
      </c>
      <c r="E4587" s="120">
        <f t="shared" si="1612"/>
        <v>9</v>
      </c>
      <c r="F4587" s="275">
        <f t="shared" si="1613"/>
        <v>46281</v>
      </c>
      <c r="G4587" s="120">
        <f t="shared" si="1614"/>
        <v>24320</v>
      </c>
      <c r="H4587" s="245">
        <f t="shared" si="1615"/>
        <v>1</v>
      </c>
      <c r="I4587" s="121">
        <f t="shared" si="1616"/>
        <v>1.1024</v>
      </c>
      <c r="J4587" s="121">
        <f t="shared" si="1617"/>
        <v>1.1024</v>
      </c>
      <c r="K4587" s="120">
        <f t="shared" si="1618"/>
        <v>0</v>
      </c>
      <c r="L4587" s="120">
        <f t="shared" si="1619"/>
        <v>0</v>
      </c>
      <c r="M4587" s="246">
        <f t="shared" si="1620"/>
        <v>0</v>
      </c>
      <c r="N4587" s="121">
        <f t="shared" si="1621"/>
        <v>1.1024</v>
      </c>
      <c r="P4587" s="121">
        <f t="shared" si="1622"/>
        <v>0.29166666666666669</v>
      </c>
      <c r="Q4587" s="121">
        <f t="shared" si="1623"/>
        <v>0.70833333333333326</v>
      </c>
      <c r="R4587" s="121">
        <f t="shared" si="1624"/>
        <v>0</v>
      </c>
    </row>
    <row r="4588" spans="1:18" x14ac:dyDescent="0.3">
      <c r="A4588" s="187">
        <v>22</v>
      </c>
      <c r="B4588" s="242">
        <f t="shared" si="1625"/>
        <v>46296</v>
      </c>
      <c r="C4588" s="243">
        <f t="shared" si="1610"/>
        <v>46326</v>
      </c>
      <c r="D4588" s="120">
        <f t="shared" si="1611"/>
        <v>31</v>
      </c>
      <c r="E4588" s="120">
        <f t="shared" si="1612"/>
        <v>10</v>
      </c>
      <c r="F4588" s="275">
        <f t="shared" si="1613"/>
        <v>46311.5</v>
      </c>
      <c r="G4588" s="120">
        <f t="shared" si="1614"/>
        <v>24321</v>
      </c>
      <c r="H4588" s="245">
        <f t="shared" si="1615"/>
        <v>1</v>
      </c>
      <c r="I4588" s="121">
        <f t="shared" si="1616"/>
        <v>1.1024</v>
      </c>
      <c r="J4588" s="121">
        <f t="shared" si="1617"/>
        <v>1.1024</v>
      </c>
      <c r="K4588" s="120">
        <f t="shared" si="1618"/>
        <v>0</v>
      </c>
      <c r="L4588" s="120">
        <f t="shared" si="1619"/>
        <v>0</v>
      </c>
      <c r="M4588" s="246">
        <f t="shared" si="1620"/>
        <v>0</v>
      </c>
      <c r="N4588" s="121">
        <f t="shared" si="1621"/>
        <v>1.1024</v>
      </c>
      <c r="P4588" s="121">
        <f t="shared" si="1622"/>
        <v>0.20833333333333334</v>
      </c>
      <c r="Q4588" s="121">
        <f t="shared" si="1623"/>
        <v>0.79166666666666663</v>
      </c>
      <c r="R4588" s="121">
        <f t="shared" si="1624"/>
        <v>0</v>
      </c>
    </row>
    <row r="4589" spans="1:18" x14ac:dyDescent="0.3">
      <c r="A4589" s="187">
        <v>23</v>
      </c>
      <c r="B4589" s="242">
        <f t="shared" si="1625"/>
        <v>46327</v>
      </c>
      <c r="C4589" s="243">
        <f t="shared" si="1610"/>
        <v>46356</v>
      </c>
      <c r="D4589" s="120">
        <f t="shared" si="1611"/>
        <v>30</v>
      </c>
      <c r="E4589" s="120">
        <f t="shared" si="1612"/>
        <v>11</v>
      </c>
      <c r="F4589" s="275">
        <f t="shared" si="1613"/>
        <v>46342</v>
      </c>
      <c r="G4589" s="120">
        <f t="shared" si="1614"/>
        <v>24322</v>
      </c>
      <c r="H4589" s="245">
        <f t="shared" si="1615"/>
        <v>1</v>
      </c>
      <c r="I4589" s="121">
        <f t="shared" si="1616"/>
        <v>1.1024</v>
      </c>
      <c r="J4589" s="121">
        <f t="shared" si="1617"/>
        <v>1.1024</v>
      </c>
      <c r="K4589" s="120">
        <f t="shared" si="1618"/>
        <v>0</v>
      </c>
      <c r="L4589" s="120">
        <f t="shared" si="1619"/>
        <v>0</v>
      </c>
      <c r="M4589" s="246">
        <f t="shared" si="1620"/>
        <v>0</v>
      </c>
      <c r="N4589" s="121">
        <f t="shared" si="1621"/>
        <v>1.1024</v>
      </c>
      <c r="P4589" s="121">
        <f t="shared" si="1622"/>
        <v>0.125</v>
      </c>
      <c r="Q4589" s="121">
        <f t="shared" si="1623"/>
        <v>0.875</v>
      </c>
      <c r="R4589" s="121">
        <f t="shared" si="1624"/>
        <v>0</v>
      </c>
    </row>
    <row r="4590" spans="1:18" x14ac:dyDescent="0.3">
      <c r="A4590" s="187">
        <v>24</v>
      </c>
      <c r="B4590" s="242">
        <f t="shared" si="1625"/>
        <v>46357</v>
      </c>
      <c r="C4590" s="243">
        <f t="shared" si="1610"/>
        <v>46387</v>
      </c>
      <c r="D4590" s="120">
        <f t="shared" si="1611"/>
        <v>31</v>
      </c>
      <c r="E4590" s="120">
        <f t="shared" si="1612"/>
        <v>12</v>
      </c>
      <c r="F4590" s="275">
        <f t="shared" si="1613"/>
        <v>46372.5</v>
      </c>
      <c r="G4590" s="120">
        <f t="shared" si="1614"/>
        <v>24323</v>
      </c>
      <c r="H4590" s="245">
        <f t="shared" si="1615"/>
        <v>1</v>
      </c>
      <c r="I4590" s="121">
        <f t="shared" si="1616"/>
        <v>1.1024</v>
      </c>
      <c r="J4590" s="121">
        <f t="shared" si="1617"/>
        <v>1.1024</v>
      </c>
      <c r="K4590" s="120">
        <f t="shared" si="1618"/>
        <v>0</v>
      </c>
      <c r="L4590" s="120">
        <f t="shared" si="1619"/>
        <v>0</v>
      </c>
      <c r="M4590" s="246">
        <f t="shared" si="1620"/>
        <v>0</v>
      </c>
      <c r="N4590" s="121">
        <f t="shared" si="1621"/>
        <v>1.1024</v>
      </c>
      <c r="P4590" s="121">
        <f t="shared" si="1622"/>
        <v>4.1666666666666664E-2</v>
      </c>
      <c r="Q4590" s="121">
        <f t="shared" si="1623"/>
        <v>0.95833333333333337</v>
      </c>
      <c r="R4590" s="121">
        <f t="shared" si="1624"/>
        <v>0</v>
      </c>
    </row>
    <row r="4591" spans="1:18" x14ac:dyDescent="0.3">
      <c r="A4591" s="187">
        <v>25</v>
      </c>
      <c r="B4591" s="242">
        <f t="shared" si="1625"/>
        <v>46388</v>
      </c>
      <c r="C4591" s="243">
        <f t="shared" si="1610"/>
        <v>46418</v>
      </c>
      <c r="D4591" s="120">
        <f t="shared" si="1611"/>
        <v>31</v>
      </c>
      <c r="E4591" s="120">
        <f t="shared" si="1612"/>
        <v>1</v>
      </c>
      <c r="F4591" s="275">
        <f t="shared" si="1613"/>
        <v>46403.5</v>
      </c>
      <c r="G4591" s="120">
        <f t="shared" si="1614"/>
        <v>24324</v>
      </c>
      <c r="H4591" s="245">
        <f t="shared" si="1615"/>
        <v>1</v>
      </c>
      <c r="I4591" s="121">
        <f t="shared" si="1616"/>
        <v>1.1024</v>
      </c>
      <c r="J4591" s="121">
        <f t="shared" si="1617"/>
        <v>1.1024</v>
      </c>
      <c r="K4591" s="120">
        <f t="shared" si="1618"/>
        <v>0</v>
      </c>
      <c r="L4591" s="120">
        <f t="shared" si="1619"/>
        <v>0</v>
      </c>
      <c r="M4591" s="246">
        <f t="shared" si="1620"/>
        <v>0</v>
      </c>
      <c r="N4591" s="121">
        <f t="shared" si="1621"/>
        <v>1.1024</v>
      </c>
      <c r="P4591" s="121">
        <f t="shared" si="1622"/>
        <v>0</v>
      </c>
      <c r="Q4591" s="121">
        <f t="shared" si="1623"/>
        <v>0.95833333333333337</v>
      </c>
      <c r="R4591" s="121">
        <f t="shared" si="1624"/>
        <v>4.166666666666663E-2</v>
      </c>
    </row>
    <row r="4592" spans="1:18" x14ac:dyDescent="0.3">
      <c r="A4592" s="187">
        <v>26</v>
      </c>
      <c r="B4592" s="242">
        <f t="shared" si="1625"/>
        <v>46419</v>
      </c>
      <c r="C4592" s="243">
        <f t="shared" si="1610"/>
        <v>46446</v>
      </c>
      <c r="D4592" s="120">
        <f t="shared" si="1611"/>
        <v>28</v>
      </c>
      <c r="E4592" s="120">
        <f t="shared" si="1612"/>
        <v>2</v>
      </c>
      <c r="F4592" s="275">
        <f t="shared" si="1613"/>
        <v>46433</v>
      </c>
      <c r="G4592" s="120">
        <f t="shared" si="1614"/>
        <v>24325</v>
      </c>
      <c r="H4592" s="245">
        <f t="shared" si="1615"/>
        <v>1</v>
      </c>
      <c r="I4592" s="121">
        <f t="shared" si="1616"/>
        <v>1.1024</v>
      </c>
      <c r="J4592" s="121">
        <f t="shared" si="1617"/>
        <v>1.1024</v>
      </c>
      <c r="K4592" s="120">
        <f t="shared" si="1618"/>
        <v>0</v>
      </c>
      <c r="L4592" s="120">
        <f t="shared" si="1619"/>
        <v>0</v>
      </c>
      <c r="M4592" s="246">
        <f t="shared" si="1620"/>
        <v>0</v>
      </c>
      <c r="N4592" s="121">
        <f t="shared" si="1621"/>
        <v>1.1024</v>
      </c>
      <c r="P4592" s="121">
        <f t="shared" si="1622"/>
        <v>0</v>
      </c>
      <c r="Q4592" s="121">
        <f t="shared" si="1623"/>
        <v>0.875</v>
      </c>
      <c r="R4592" s="121">
        <f t="shared" si="1624"/>
        <v>0.125</v>
      </c>
    </row>
    <row r="4593" spans="1:18" x14ac:dyDescent="0.3">
      <c r="A4593" s="187">
        <v>27</v>
      </c>
      <c r="B4593" s="242">
        <f t="shared" si="1625"/>
        <v>46447</v>
      </c>
      <c r="C4593" s="243">
        <f t="shared" si="1610"/>
        <v>46477</v>
      </c>
      <c r="D4593" s="120">
        <f t="shared" si="1611"/>
        <v>31</v>
      </c>
      <c r="E4593" s="120">
        <f t="shared" si="1612"/>
        <v>3</v>
      </c>
      <c r="F4593" s="275">
        <f t="shared" si="1613"/>
        <v>46462.5</v>
      </c>
      <c r="G4593" s="120">
        <f t="shared" si="1614"/>
        <v>24326</v>
      </c>
      <c r="H4593" s="245">
        <f t="shared" si="1615"/>
        <v>1</v>
      </c>
      <c r="I4593" s="121">
        <f t="shared" si="1616"/>
        <v>1.1024</v>
      </c>
      <c r="J4593" s="121">
        <f t="shared" si="1617"/>
        <v>1.1024</v>
      </c>
      <c r="K4593" s="120">
        <f t="shared" si="1618"/>
        <v>0</v>
      </c>
      <c r="L4593" s="120">
        <f t="shared" si="1619"/>
        <v>0</v>
      </c>
      <c r="M4593" s="246">
        <f t="shared" si="1620"/>
        <v>0</v>
      </c>
      <c r="N4593" s="121">
        <f t="shared" si="1621"/>
        <v>1.1024</v>
      </c>
      <c r="P4593" s="121">
        <f t="shared" si="1622"/>
        <v>0</v>
      </c>
      <c r="Q4593" s="121">
        <f t="shared" si="1623"/>
        <v>0.79166666666666663</v>
      </c>
      <c r="R4593" s="121">
        <f t="shared" si="1624"/>
        <v>0.20833333333333337</v>
      </c>
    </row>
    <row r="4594" spans="1:18" x14ac:dyDescent="0.3">
      <c r="A4594" s="187">
        <v>28</v>
      </c>
      <c r="B4594" s="242">
        <f t="shared" si="1625"/>
        <v>46478</v>
      </c>
      <c r="C4594" s="243">
        <f t="shared" si="1610"/>
        <v>46507</v>
      </c>
      <c r="D4594" s="120">
        <f t="shared" si="1611"/>
        <v>30</v>
      </c>
      <c r="E4594" s="120">
        <f t="shared" si="1612"/>
        <v>4</v>
      </c>
      <c r="F4594" s="275">
        <f t="shared" si="1613"/>
        <v>46493</v>
      </c>
      <c r="G4594" s="120">
        <f t="shared" si="1614"/>
        <v>24327</v>
      </c>
      <c r="H4594" s="245">
        <f t="shared" si="1615"/>
        <v>1</v>
      </c>
      <c r="I4594" s="121">
        <f t="shared" si="1616"/>
        <v>1.1024</v>
      </c>
      <c r="J4594" s="121">
        <f t="shared" si="1617"/>
        <v>1.1575200000000001</v>
      </c>
      <c r="K4594" s="120">
        <f t="shared" si="1618"/>
        <v>1</v>
      </c>
      <c r="L4594" s="120">
        <f t="shared" si="1619"/>
        <v>30</v>
      </c>
      <c r="M4594" s="246">
        <f t="shared" si="1620"/>
        <v>1</v>
      </c>
      <c r="N4594" s="121">
        <f t="shared" si="1621"/>
        <v>1.1575200000000001</v>
      </c>
      <c r="P4594" s="121">
        <f t="shared" si="1622"/>
        <v>0</v>
      </c>
      <c r="Q4594" s="121">
        <f t="shared" si="1623"/>
        <v>0.70833333333333337</v>
      </c>
      <c r="R4594" s="121">
        <f t="shared" si="1624"/>
        <v>0.29166666666666663</v>
      </c>
    </row>
    <row r="4595" spans="1:18" x14ac:dyDescent="0.3">
      <c r="A4595" s="187">
        <v>29</v>
      </c>
      <c r="B4595" s="242">
        <f t="shared" si="1625"/>
        <v>46508</v>
      </c>
      <c r="C4595" s="243">
        <f t="shared" si="1610"/>
        <v>46538</v>
      </c>
      <c r="D4595" s="120">
        <f t="shared" si="1611"/>
        <v>31</v>
      </c>
      <c r="E4595" s="120">
        <f t="shared" si="1612"/>
        <v>5</v>
      </c>
      <c r="F4595" s="275">
        <f t="shared" si="1613"/>
        <v>46523.5</v>
      </c>
      <c r="G4595" s="120">
        <f t="shared" si="1614"/>
        <v>24328</v>
      </c>
      <c r="H4595" s="245">
        <f t="shared" si="1615"/>
        <v>1</v>
      </c>
      <c r="I4595" s="121">
        <f t="shared" si="1616"/>
        <v>1.1575200000000001</v>
      </c>
      <c r="J4595" s="121">
        <f t="shared" si="1617"/>
        <v>1.1575200000000001</v>
      </c>
      <c r="K4595" s="120">
        <f t="shared" si="1618"/>
        <v>0</v>
      </c>
      <c r="L4595" s="120">
        <f t="shared" si="1619"/>
        <v>0</v>
      </c>
      <c r="M4595" s="246">
        <f t="shared" si="1620"/>
        <v>0</v>
      </c>
      <c r="N4595" s="121">
        <f t="shared" si="1621"/>
        <v>1.1575200000000001</v>
      </c>
      <c r="P4595" s="121">
        <f t="shared" si="1622"/>
        <v>0</v>
      </c>
      <c r="Q4595" s="121">
        <f t="shared" si="1623"/>
        <v>0.625</v>
      </c>
      <c r="R4595" s="121">
        <f t="shared" si="1624"/>
        <v>0.375</v>
      </c>
    </row>
    <row r="4596" spans="1:18" x14ac:dyDescent="0.3">
      <c r="A4596" s="187">
        <v>30</v>
      </c>
      <c r="B4596" s="242">
        <f t="shared" si="1625"/>
        <v>46539</v>
      </c>
      <c r="C4596" s="243">
        <f t="shared" si="1610"/>
        <v>46568</v>
      </c>
      <c r="D4596" s="120">
        <f t="shared" si="1611"/>
        <v>30</v>
      </c>
      <c r="E4596" s="120">
        <f t="shared" si="1612"/>
        <v>6</v>
      </c>
      <c r="F4596" s="275">
        <f t="shared" si="1613"/>
        <v>46554</v>
      </c>
      <c r="G4596" s="120">
        <f t="shared" si="1614"/>
        <v>24329</v>
      </c>
      <c r="H4596" s="245">
        <f t="shared" si="1615"/>
        <v>1</v>
      </c>
      <c r="I4596" s="121">
        <f t="shared" si="1616"/>
        <v>1.1575200000000001</v>
      </c>
      <c r="J4596" s="121">
        <f t="shared" si="1617"/>
        <v>1.1575200000000001</v>
      </c>
      <c r="K4596" s="120">
        <f t="shared" si="1618"/>
        <v>0</v>
      </c>
      <c r="L4596" s="120">
        <f t="shared" si="1619"/>
        <v>0</v>
      </c>
      <c r="M4596" s="246">
        <f t="shared" si="1620"/>
        <v>0</v>
      </c>
      <c r="N4596" s="121">
        <f t="shared" si="1621"/>
        <v>1.1575200000000001</v>
      </c>
      <c r="P4596" s="121">
        <f t="shared" si="1622"/>
        <v>0</v>
      </c>
      <c r="Q4596" s="121">
        <f t="shared" si="1623"/>
        <v>0.54166666666666663</v>
      </c>
      <c r="R4596" s="121">
        <f t="shared" si="1624"/>
        <v>0.45833333333333337</v>
      </c>
    </row>
    <row r="4597" spans="1:18" x14ac:dyDescent="0.3">
      <c r="A4597" s="187">
        <v>31</v>
      </c>
      <c r="B4597" s="242">
        <f t="shared" si="1625"/>
        <v>46569</v>
      </c>
      <c r="C4597" s="243">
        <f t="shared" si="1610"/>
        <v>46599</v>
      </c>
      <c r="D4597" s="120">
        <f t="shared" si="1611"/>
        <v>31</v>
      </c>
      <c r="E4597" s="120">
        <f t="shared" si="1612"/>
        <v>7</v>
      </c>
      <c r="F4597" s="275">
        <f t="shared" si="1613"/>
        <v>46584.5</v>
      </c>
      <c r="G4597" s="120">
        <f t="shared" si="1614"/>
        <v>24330</v>
      </c>
      <c r="H4597" s="245">
        <f t="shared" si="1615"/>
        <v>1</v>
      </c>
      <c r="I4597" s="121">
        <f t="shared" si="1616"/>
        <v>1.1575200000000001</v>
      </c>
      <c r="J4597" s="121">
        <f t="shared" si="1617"/>
        <v>1.1575200000000001</v>
      </c>
      <c r="K4597" s="120">
        <f t="shared" si="1618"/>
        <v>0</v>
      </c>
      <c r="L4597" s="120">
        <f t="shared" si="1619"/>
        <v>0</v>
      </c>
      <c r="M4597" s="246">
        <f t="shared" si="1620"/>
        <v>0</v>
      </c>
      <c r="N4597" s="121">
        <f t="shared" si="1621"/>
        <v>1.1575200000000001</v>
      </c>
      <c r="P4597" s="121">
        <f t="shared" si="1622"/>
        <v>0</v>
      </c>
      <c r="Q4597" s="121">
        <f t="shared" si="1623"/>
        <v>0.45833333333333331</v>
      </c>
      <c r="R4597" s="121">
        <f t="shared" si="1624"/>
        <v>0.54166666666666674</v>
      </c>
    </row>
    <row r="4598" spans="1:18" x14ac:dyDescent="0.3">
      <c r="A4598" s="187">
        <v>32</v>
      </c>
      <c r="B4598" s="242">
        <f t="shared" si="1625"/>
        <v>46600</v>
      </c>
      <c r="C4598" s="243">
        <f t="shared" si="1610"/>
        <v>46630</v>
      </c>
      <c r="D4598" s="120">
        <f t="shared" si="1611"/>
        <v>31</v>
      </c>
      <c r="E4598" s="120">
        <f t="shared" si="1612"/>
        <v>8</v>
      </c>
      <c r="F4598" s="275">
        <f t="shared" si="1613"/>
        <v>46615.5</v>
      </c>
      <c r="G4598" s="120">
        <f t="shared" si="1614"/>
        <v>24331</v>
      </c>
      <c r="H4598" s="245">
        <f t="shared" si="1615"/>
        <v>1</v>
      </c>
      <c r="I4598" s="121">
        <f t="shared" si="1616"/>
        <v>1.1575200000000001</v>
      </c>
      <c r="J4598" s="121">
        <f t="shared" si="1617"/>
        <v>1.1575200000000001</v>
      </c>
      <c r="K4598" s="120">
        <f t="shared" si="1618"/>
        <v>0</v>
      </c>
      <c r="L4598" s="120">
        <f t="shared" si="1619"/>
        <v>0</v>
      </c>
      <c r="M4598" s="246">
        <f t="shared" si="1620"/>
        <v>0</v>
      </c>
      <c r="N4598" s="121">
        <f t="shared" si="1621"/>
        <v>1.1575200000000001</v>
      </c>
      <c r="P4598" s="121">
        <f t="shared" si="1622"/>
        <v>0</v>
      </c>
      <c r="Q4598" s="121">
        <f t="shared" si="1623"/>
        <v>0.375</v>
      </c>
      <c r="R4598" s="121">
        <f t="shared" si="1624"/>
        <v>0.625</v>
      </c>
    </row>
    <row r="4599" spans="1:18" x14ac:dyDescent="0.3">
      <c r="A4599" s="187">
        <v>33</v>
      </c>
      <c r="B4599" s="242">
        <f t="shared" si="1625"/>
        <v>46631</v>
      </c>
      <c r="C4599" s="243">
        <f t="shared" si="1610"/>
        <v>46660</v>
      </c>
      <c r="D4599" s="120">
        <f t="shared" si="1611"/>
        <v>30</v>
      </c>
      <c r="E4599" s="120">
        <f t="shared" si="1612"/>
        <v>9</v>
      </c>
      <c r="F4599" s="275">
        <f t="shared" si="1613"/>
        <v>46646</v>
      </c>
      <c r="G4599" s="120">
        <f t="shared" si="1614"/>
        <v>24332</v>
      </c>
      <c r="H4599" s="245">
        <f t="shared" si="1615"/>
        <v>1</v>
      </c>
      <c r="I4599" s="121">
        <f t="shared" si="1616"/>
        <v>1.1575200000000001</v>
      </c>
      <c r="J4599" s="121">
        <f t="shared" si="1617"/>
        <v>1.1575200000000001</v>
      </c>
      <c r="K4599" s="120">
        <f t="shared" si="1618"/>
        <v>0</v>
      </c>
      <c r="L4599" s="120">
        <f t="shared" si="1619"/>
        <v>0</v>
      </c>
      <c r="M4599" s="246">
        <f t="shared" si="1620"/>
        <v>0</v>
      </c>
      <c r="N4599" s="121">
        <f t="shared" si="1621"/>
        <v>1.1575200000000001</v>
      </c>
      <c r="P4599" s="121">
        <f t="shared" si="1622"/>
        <v>0</v>
      </c>
      <c r="Q4599" s="121">
        <f t="shared" si="1623"/>
        <v>0.29166666666666669</v>
      </c>
      <c r="R4599" s="121">
        <f t="shared" si="1624"/>
        <v>0.70833333333333326</v>
      </c>
    </row>
    <row r="4600" spans="1:18" x14ac:dyDescent="0.3">
      <c r="A4600" s="187">
        <v>34</v>
      </c>
      <c r="B4600" s="242">
        <f t="shared" si="1625"/>
        <v>46661</v>
      </c>
      <c r="C4600" s="243">
        <f t="shared" si="1610"/>
        <v>46691</v>
      </c>
      <c r="D4600" s="120">
        <f t="shared" si="1611"/>
        <v>31</v>
      </c>
      <c r="E4600" s="120">
        <f t="shared" si="1612"/>
        <v>10</v>
      </c>
      <c r="F4600" s="275">
        <f t="shared" si="1613"/>
        <v>46676.5</v>
      </c>
      <c r="G4600" s="120">
        <f t="shared" si="1614"/>
        <v>24333</v>
      </c>
      <c r="H4600" s="245">
        <f t="shared" si="1615"/>
        <v>1</v>
      </c>
      <c r="I4600" s="121">
        <f t="shared" si="1616"/>
        <v>1.1575200000000001</v>
      </c>
      <c r="J4600" s="121">
        <f t="shared" si="1617"/>
        <v>1.1575200000000001</v>
      </c>
      <c r="K4600" s="120">
        <f t="shared" si="1618"/>
        <v>0</v>
      </c>
      <c r="L4600" s="120">
        <f t="shared" si="1619"/>
        <v>0</v>
      </c>
      <c r="M4600" s="246">
        <f t="shared" si="1620"/>
        <v>0</v>
      </c>
      <c r="N4600" s="121">
        <f t="shared" si="1621"/>
        <v>1.1575200000000001</v>
      </c>
      <c r="P4600" s="121">
        <f t="shared" si="1622"/>
        <v>0</v>
      </c>
      <c r="Q4600" s="121">
        <f t="shared" si="1623"/>
        <v>0.20833333333333334</v>
      </c>
      <c r="R4600" s="121">
        <f t="shared" si="1624"/>
        <v>0.79166666666666663</v>
      </c>
    </row>
    <row r="4601" spans="1:18" x14ac:dyDescent="0.3">
      <c r="A4601" s="187">
        <v>35</v>
      </c>
      <c r="B4601" s="242">
        <f t="shared" si="1625"/>
        <v>46692</v>
      </c>
      <c r="C4601" s="243">
        <f t="shared" si="1610"/>
        <v>46721</v>
      </c>
      <c r="D4601" s="120">
        <f t="shared" si="1611"/>
        <v>30</v>
      </c>
      <c r="E4601" s="120">
        <f t="shared" si="1612"/>
        <v>11</v>
      </c>
      <c r="F4601" s="275">
        <f t="shared" si="1613"/>
        <v>46707</v>
      </c>
      <c r="G4601" s="120">
        <f t="shared" si="1614"/>
        <v>24334</v>
      </c>
      <c r="H4601" s="245">
        <f t="shared" si="1615"/>
        <v>1</v>
      </c>
      <c r="I4601" s="121">
        <f t="shared" si="1616"/>
        <v>1.1575200000000001</v>
      </c>
      <c r="J4601" s="121">
        <f t="shared" si="1617"/>
        <v>1.1575200000000001</v>
      </c>
      <c r="K4601" s="120">
        <f t="shared" si="1618"/>
        <v>0</v>
      </c>
      <c r="L4601" s="120">
        <f t="shared" si="1619"/>
        <v>0</v>
      </c>
      <c r="M4601" s="246">
        <f t="shared" si="1620"/>
        <v>0</v>
      </c>
      <c r="N4601" s="121">
        <f t="shared" si="1621"/>
        <v>1.1575200000000001</v>
      </c>
      <c r="P4601" s="121">
        <f t="shared" si="1622"/>
        <v>0</v>
      </c>
      <c r="Q4601" s="121">
        <f t="shared" si="1623"/>
        <v>0.125</v>
      </c>
      <c r="R4601" s="121">
        <f t="shared" si="1624"/>
        <v>0.875</v>
      </c>
    </row>
    <row r="4602" spans="1:18" x14ac:dyDescent="0.3">
      <c r="A4602" s="187">
        <v>36</v>
      </c>
      <c r="B4602" s="242">
        <f t="shared" si="1625"/>
        <v>46722</v>
      </c>
      <c r="C4602" s="243">
        <f t="shared" si="1610"/>
        <v>46752</v>
      </c>
      <c r="D4602" s="120">
        <f t="shared" si="1611"/>
        <v>31</v>
      </c>
      <c r="E4602" s="120">
        <f t="shared" si="1612"/>
        <v>12</v>
      </c>
      <c r="F4602" s="275">
        <f t="shared" si="1613"/>
        <v>46737.5</v>
      </c>
      <c r="G4602" s="120">
        <f t="shared" si="1614"/>
        <v>24335</v>
      </c>
      <c r="H4602" s="245">
        <f t="shared" si="1615"/>
        <v>1</v>
      </c>
      <c r="I4602" s="121">
        <f t="shared" si="1616"/>
        <v>1.1575200000000001</v>
      </c>
      <c r="J4602" s="121">
        <f t="shared" si="1617"/>
        <v>1.1575200000000001</v>
      </c>
      <c r="K4602" s="120">
        <f t="shared" si="1618"/>
        <v>0</v>
      </c>
      <c r="L4602" s="120">
        <f t="shared" si="1619"/>
        <v>0</v>
      </c>
      <c r="M4602" s="246">
        <f t="shared" si="1620"/>
        <v>0</v>
      </c>
      <c r="N4602" s="121">
        <f t="shared" si="1621"/>
        <v>1.1575200000000001</v>
      </c>
      <c r="P4602" s="121">
        <f t="shared" si="1622"/>
        <v>0</v>
      </c>
      <c r="Q4602" s="121">
        <f t="shared" si="1623"/>
        <v>4.1666666666666664E-2</v>
      </c>
      <c r="R4602" s="121">
        <f t="shared" si="1624"/>
        <v>0.95833333333333337</v>
      </c>
    </row>
    <row r="4603" spans="1:18" x14ac:dyDescent="0.3">
      <c r="A4603" s="187">
        <v>37</v>
      </c>
      <c r="B4603" s="242">
        <f t="shared" si="1625"/>
        <v>46753</v>
      </c>
      <c r="C4603" s="243">
        <f t="shared" si="1610"/>
        <v>46783</v>
      </c>
      <c r="D4603" s="120">
        <f t="shared" si="1611"/>
        <v>31</v>
      </c>
      <c r="E4603" s="120">
        <f t="shared" si="1612"/>
        <v>1</v>
      </c>
      <c r="F4603" s="275">
        <f t="shared" si="1613"/>
        <v>46768.5</v>
      </c>
      <c r="G4603" s="120">
        <f t="shared" si="1614"/>
        <v>24336</v>
      </c>
      <c r="H4603" s="245">
        <f t="shared" si="1615"/>
        <v>1</v>
      </c>
      <c r="I4603" s="121">
        <f t="shared" si="1616"/>
        <v>1.1575200000000001</v>
      </c>
      <c r="J4603" s="121">
        <f t="shared" si="1617"/>
        <v>1.1575200000000001</v>
      </c>
      <c r="K4603" s="120">
        <f t="shared" si="1618"/>
        <v>0</v>
      </c>
      <c r="L4603" s="120">
        <f t="shared" si="1619"/>
        <v>0</v>
      </c>
      <c r="M4603" s="246">
        <f t="shared" si="1620"/>
        <v>0</v>
      </c>
      <c r="N4603" s="121">
        <f t="shared" si="1621"/>
        <v>1.1575200000000001</v>
      </c>
      <c r="P4603" s="121">
        <f t="shared" si="1622"/>
        <v>0</v>
      </c>
      <c r="Q4603" s="121">
        <f t="shared" si="1623"/>
        <v>0</v>
      </c>
      <c r="R4603" s="121">
        <f t="shared" si="1624"/>
        <v>0.95833333333333337</v>
      </c>
    </row>
    <row r="4604" spans="1:18" x14ac:dyDescent="0.3">
      <c r="A4604" s="187">
        <v>38</v>
      </c>
      <c r="B4604" s="242">
        <f t="shared" si="1625"/>
        <v>46784</v>
      </c>
      <c r="C4604" s="243">
        <f t="shared" si="1610"/>
        <v>46812</v>
      </c>
      <c r="D4604" s="120">
        <f t="shared" si="1611"/>
        <v>29</v>
      </c>
      <c r="E4604" s="120">
        <f t="shared" si="1612"/>
        <v>2</v>
      </c>
      <c r="F4604" s="275">
        <f t="shared" si="1613"/>
        <v>46798.5</v>
      </c>
      <c r="G4604" s="120">
        <f t="shared" si="1614"/>
        <v>24337</v>
      </c>
      <c r="H4604" s="245">
        <f t="shared" si="1615"/>
        <v>1</v>
      </c>
      <c r="I4604" s="121">
        <f t="shared" si="1616"/>
        <v>1.1575200000000001</v>
      </c>
      <c r="J4604" s="121">
        <f t="shared" si="1617"/>
        <v>1.1575200000000001</v>
      </c>
      <c r="K4604" s="120">
        <f t="shared" si="1618"/>
        <v>0</v>
      </c>
      <c r="L4604" s="120">
        <f t="shared" si="1619"/>
        <v>0</v>
      </c>
      <c r="M4604" s="246">
        <f t="shared" si="1620"/>
        <v>0</v>
      </c>
      <c r="N4604" s="121">
        <f t="shared" si="1621"/>
        <v>1.1575200000000001</v>
      </c>
      <c r="P4604" s="121">
        <f t="shared" si="1622"/>
        <v>0</v>
      </c>
      <c r="Q4604" s="121">
        <f t="shared" si="1623"/>
        <v>0</v>
      </c>
      <c r="R4604" s="121">
        <f t="shared" si="1624"/>
        <v>0.875</v>
      </c>
    </row>
    <row r="4605" spans="1:18" x14ac:dyDescent="0.3">
      <c r="A4605" s="187">
        <v>39</v>
      </c>
      <c r="B4605" s="242">
        <f t="shared" si="1625"/>
        <v>46813</v>
      </c>
      <c r="C4605" s="243">
        <f t="shared" si="1610"/>
        <v>46843</v>
      </c>
      <c r="D4605" s="120">
        <f t="shared" si="1611"/>
        <v>31</v>
      </c>
      <c r="E4605" s="120">
        <f t="shared" si="1612"/>
        <v>3</v>
      </c>
      <c r="F4605" s="275">
        <f t="shared" si="1613"/>
        <v>46828.5</v>
      </c>
      <c r="G4605" s="120">
        <f t="shared" si="1614"/>
        <v>24338</v>
      </c>
      <c r="H4605" s="245">
        <f t="shared" si="1615"/>
        <v>1</v>
      </c>
      <c r="I4605" s="121">
        <f t="shared" si="1616"/>
        <v>1.1575200000000001</v>
      </c>
      <c r="J4605" s="121">
        <f t="shared" si="1617"/>
        <v>1.1575200000000001</v>
      </c>
      <c r="K4605" s="120">
        <f t="shared" si="1618"/>
        <v>0</v>
      </c>
      <c r="L4605" s="120">
        <f t="shared" si="1619"/>
        <v>0</v>
      </c>
      <c r="M4605" s="246">
        <f t="shared" si="1620"/>
        <v>0</v>
      </c>
      <c r="N4605" s="121">
        <f t="shared" si="1621"/>
        <v>1.1575200000000001</v>
      </c>
      <c r="P4605" s="121">
        <f t="shared" si="1622"/>
        <v>0</v>
      </c>
      <c r="Q4605" s="121">
        <f t="shared" si="1623"/>
        <v>0</v>
      </c>
      <c r="R4605" s="121">
        <f t="shared" si="1624"/>
        <v>0.79166666666666663</v>
      </c>
    </row>
    <row r="4606" spans="1:18" x14ac:dyDescent="0.3">
      <c r="A4606" s="187">
        <v>40</v>
      </c>
      <c r="B4606" s="242">
        <f t="shared" si="1625"/>
        <v>46844</v>
      </c>
      <c r="C4606" s="243">
        <f t="shared" si="1610"/>
        <v>46873</v>
      </c>
      <c r="D4606" s="120">
        <f t="shared" si="1611"/>
        <v>30</v>
      </c>
      <c r="E4606" s="120">
        <f t="shared" si="1612"/>
        <v>4</v>
      </c>
      <c r="F4606" s="275">
        <f t="shared" si="1613"/>
        <v>46859</v>
      </c>
      <c r="G4606" s="120">
        <f t="shared" si="1614"/>
        <v>24339</v>
      </c>
      <c r="H4606" s="245">
        <f t="shared" si="1615"/>
        <v>1</v>
      </c>
      <c r="I4606" s="121">
        <f t="shared" si="1616"/>
        <v>1.1575200000000001</v>
      </c>
      <c r="J4606" s="121">
        <f t="shared" si="1617"/>
        <v>1.1575200000000001</v>
      </c>
      <c r="K4606" s="120">
        <f t="shared" si="1618"/>
        <v>0</v>
      </c>
      <c r="L4606" s="120">
        <f t="shared" si="1619"/>
        <v>0</v>
      </c>
      <c r="M4606" s="246">
        <f t="shared" si="1620"/>
        <v>0</v>
      </c>
      <c r="N4606" s="121">
        <f t="shared" si="1621"/>
        <v>1.1575200000000001</v>
      </c>
      <c r="P4606" s="121">
        <f t="shared" si="1622"/>
        <v>0</v>
      </c>
      <c r="Q4606" s="121">
        <f t="shared" si="1623"/>
        <v>0</v>
      </c>
      <c r="R4606" s="121">
        <f t="shared" si="1624"/>
        <v>0.70833333333333337</v>
      </c>
    </row>
    <row r="4607" spans="1:18" x14ac:dyDescent="0.3">
      <c r="A4607" s="187">
        <v>41</v>
      </c>
      <c r="B4607" s="242">
        <f t="shared" si="1625"/>
        <v>46874</v>
      </c>
      <c r="C4607" s="243">
        <f t="shared" si="1610"/>
        <v>46904</v>
      </c>
      <c r="D4607" s="120">
        <f t="shared" si="1611"/>
        <v>31</v>
      </c>
      <c r="E4607" s="120">
        <f t="shared" si="1612"/>
        <v>5</v>
      </c>
      <c r="F4607" s="275">
        <f t="shared" si="1613"/>
        <v>46889.5</v>
      </c>
      <c r="G4607" s="120">
        <f t="shared" si="1614"/>
        <v>24340</v>
      </c>
      <c r="H4607" s="245">
        <f t="shared" si="1615"/>
        <v>1</v>
      </c>
      <c r="I4607" s="121">
        <f t="shared" si="1616"/>
        <v>1.1575200000000001</v>
      </c>
      <c r="J4607" s="121">
        <f t="shared" si="1617"/>
        <v>1.1575200000000001</v>
      </c>
      <c r="K4607" s="120">
        <f t="shared" si="1618"/>
        <v>0</v>
      </c>
      <c r="L4607" s="120">
        <f t="shared" si="1619"/>
        <v>0</v>
      </c>
      <c r="M4607" s="246">
        <f t="shared" si="1620"/>
        <v>0</v>
      </c>
      <c r="N4607" s="121">
        <f t="shared" si="1621"/>
        <v>1.1575200000000001</v>
      </c>
      <c r="P4607" s="121">
        <f t="shared" si="1622"/>
        <v>0</v>
      </c>
      <c r="Q4607" s="121">
        <f t="shared" si="1623"/>
        <v>0</v>
      </c>
      <c r="R4607" s="121">
        <f t="shared" si="1624"/>
        <v>0.625</v>
      </c>
    </row>
    <row r="4608" spans="1:18" x14ac:dyDescent="0.3">
      <c r="A4608" s="187">
        <v>42</v>
      </c>
      <c r="B4608" s="242">
        <f t="shared" si="1625"/>
        <v>46905</v>
      </c>
      <c r="C4608" s="243">
        <f t="shared" si="1610"/>
        <v>46934</v>
      </c>
      <c r="D4608" s="120">
        <f t="shared" si="1611"/>
        <v>30</v>
      </c>
      <c r="E4608" s="120">
        <f t="shared" si="1612"/>
        <v>6</v>
      </c>
      <c r="F4608" s="275">
        <f t="shared" si="1613"/>
        <v>46920</v>
      </c>
      <c r="G4608" s="120">
        <f t="shared" si="1614"/>
        <v>24341</v>
      </c>
      <c r="H4608" s="245">
        <f t="shared" si="1615"/>
        <v>1</v>
      </c>
      <c r="I4608" s="121">
        <f t="shared" si="1616"/>
        <v>1.1575200000000001</v>
      </c>
      <c r="J4608" s="121">
        <f t="shared" si="1617"/>
        <v>1.1575200000000001</v>
      </c>
      <c r="K4608" s="120">
        <f t="shared" si="1618"/>
        <v>0</v>
      </c>
      <c r="L4608" s="120">
        <f t="shared" si="1619"/>
        <v>0</v>
      </c>
      <c r="M4608" s="246">
        <f t="shared" si="1620"/>
        <v>0</v>
      </c>
      <c r="N4608" s="121">
        <f t="shared" si="1621"/>
        <v>1.1575200000000001</v>
      </c>
      <c r="P4608" s="121">
        <f t="shared" si="1622"/>
        <v>0</v>
      </c>
      <c r="Q4608" s="121">
        <f t="shared" si="1623"/>
        <v>0</v>
      </c>
      <c r="R4608" s="121">
        <f t="shared" si="1624"/>
        <v>0.54166666666666663</v>
      </c>
    </row>
    <row r="4609" spans="1:21" x14ac:dyDescent="0.3">
      <c r="A4609" s="187">
        <v>43</v>
      </c>
      <c r="B4609" s="242">
        <f t="shared" si="1625"/>
        <v>46935</v>
      </c>
      <c r="C4609" s="243">
        <f t="shared" si="1610"/>
        <v>46965</v>
      </c>
      <c r="D4609" s="120">
        <f t="shared" si="1611"/>
        <v>31</v>
      </c>
      <c r="E4609" s="120">
        <f t="shared" si="1612"/>
        <v>7</v>
      </c>
      <c r="F4609" s="275">
        <f t="shared" si="1613"/>
        <v>46950.5</v>
      </c>
      <c r="G4609" s="120">
        <f t="shared" si="1614"/>
        <v>24342</v>
      </c>
      <c r="H4609" s="245">
        <f t="shared" si="1615"/>
        <v>1</v>
      </c>
      <c r="I4609" s="121">
        <f t="shared" si="1616"/>
        <v>1.1575200000000001</v>
      </c>
      <c r="J4609" s="121">
        <f t="shared" si="1617"/>
        <v>1.1575200000000001</v>
      </c>
      <c r="K4609" s="120">
        <f t="shared" si="1618"/>
        <v>0</v>
      </c>
      <c r="L4609" s="120">
        <f t="shared" si="1619"/>
        <v>0</v>
      </c>
      <c r="M4609" s="246">
        <f t="shared" si="1620"/>
        <v>0</v>
      </c>
      <c r="N4609" s="121">
        <f t="shared" si="1621"/>
        <v>1.1575200000000001</v>
      </c>
      <c r="P4609" s="121">
        <f t="shared" si="1622"/>
        <v>0</v>
      </c>
      <c r="Q4609" s="121">
        <f t="shared" si="1623"/>
        <v>0</v>
      </c>
      <c r="R4609" s="121">
        <f t="shared" si="1624"/>
        <v>0.45833333333333331</v>
      </c>
    </row>
    <row r="4610" spans="1:21" x14ac:dyDescent="0.3">
      <c r="A4610" s="187">
        <v>44</v>
      </c>
      <c r="B4610" s="242">
        <f t="shared" si="1625"/>
        <v>46966</v>
      </c>
      <c r="C4610" s="243">
        <f t="shared" si="1610"/>
        <v>46996</v>
      </c>
      <c r="D4610" s="120">
        <f t="shared" si="1611"/>
        <v>31</v>
      </c>
      <c r="E4610" s="120">
        <f t="shared" si="1612"/>
        <v>8</v>
      </c>
      <c r="F4610" s="275">
        <f t="shared" si="1613"/>
        <v>46981.5</v>
      </c>
      <c r="G4610" s="120">
        <f t="shared" si="1614"/>
        <v>24343</v>
      </c>
      <c r="H4610" s="245">
        <f t="shared" si="1615"/>
        <v>1</v>
      </c>
      <c r="I4610" s="121">
        <f t="shared" si="1616"/>
        <v>1.1575200000000001</v>
      </c>
      <c r="J4610" s="121">
        <f t="shared" si="1617"/>
        <v>1.1575200000000001</v>
      </c>
      <c r="K4610" s="120">
        <f t="shared" si="1618"/>
        <v>0</v>
      </c>
      <c r="L4610" s="120">
        <f t="shared" si="1619"/>
        <v>0</v>
      </c>
      <c r="M4610" s="246">
        <f t="shared" si="1620"/>
        <v>0</v>
      </c>
      <c r="N4610" s="121">
        <f t="shared" si="1621"/>
        <v>1.1575200000000001</v>
      </c>
      <c r="P4610" s="121">
        <f t="shared" si="1622"/>
        <v>0</v>
      </c>
      <c r="Q4610" s="121">
        <f t="shared" si="1623"/>
        <v>0</v>
      </c>
      <c r="R4610" s="121">
        <f t="shared" si="1624"/>
        <v>0.375</v>
      </c>
    </row>
    <row r="4611" spans="1:21" x14ac:dyDescent="0.3">
      <c r="A4611" s="187">
        <v>45</v>
      </c>
      <c r="B4611" s="242">
        <f t="shared" si="1625"/>
        <v>46997</v>
      </c>
      <c r="C4611" s="243">
        <f t="shared" si="1610"/>
        <v>47026</v>
      </c>
      <c r="D4611" s="120">
        <f t="shared" si="1611"/>
        <v>30</v>
      </c>
      <c r="E4611" s="120">
        <f t="shared" si="1612"/>
        <v>9</v>
      </c>
      <c r="F4611" s="275">
        <f t="shared" si="1613"/>
        <v>47012</v>
      </c>
      <c r="G4611" s="120">
        <f t="shared" si="1614"/>
        <v>24344</v>
      </c>
      <c r="H4611" s="245">
        <f t="shared" si="1615"/>
        <v>1</v>
      </c>
      <c r="I4611" s="121">
        <f t="shared" si="1616"/>
        <v>1.1575200000000001</v>
      </c>
      <c r="J4611" s="121">
        <f t="shared" si="1617"/>
        <v>1.1575200000000001</v>
      </c>
      <c r="K4611" s="120">
        <f t="shared" si="1618"/>
        <v>0</v>
      </c>
      <c r="L4611" s="120">
        <f t="shared" si="1619"/>
        <v>0</v>
      </c>
      <c r="M4611" s="246">
        <f t="shared" si="1620"/>
        <v>0</v>
      </c>
      <c r="N4611" s="121">
        <f t="shared" si="1621"/>
        <v>1.1575200000000001</v>
      </c>
      <c r="P4611" s="121">
        <f t="shared" si="1622"/>
        <v>0</v>
      </c>
      <c r="Q4611" s="121">
        <f t="shared" si="1623"/>
        <v>0</v>
      </c>
      <c r="R4611" s="121">
        <f t="shared" si="1624"/>
        <v>0.29166666666666669</v>
      </c>
    </row>
    <row r="4612" spans="1:21" x14ac:dyDescent="0.3">
      <c r="A4612" s="187">
        <v>46</v>
      </c>
      <c r="B4612" s="242">
        <f t="shared" si="1625"/>
        <v>47027</v>
      </c>
      <c r="C4612" s="243">
        <f t="shared" si="1610"/>
        <v>47057</v>
      </c>
      <c r="D4612" s="120">
        <f t="shared" si="1611"/>
        <v>31</v>
      </c>
      <c r="E4612" s="120">
        <f t="shared" si="1612"/>
        <v>10</v>
      </c>
      <c r="F4612" s="275">
        <f t="shared" si="1613"/>
        <v>47042.5</v>
      </c>
      <c r="G4612" s="120">
        <f t="shared" si="1614"/>
        <v>24345</v>
      </c>
      <c r="H4612" s="245">
        <f t="shared" si="1615"/>
        <v>1</v>
      </c>
      <c r="I4612" s="121">
        <f t="shared" si="1616"/>
        <v>1.1575200000000001</v>
      </c>
      <c r="J4612" s="121">
        <f t="shared" si="1617"/>
        <v>1.1575200000000001</v>
      </c>
      <c r="K4612" s="120">
        <f t="shared" si="1618"/>
        <v>0</v>
      </c>
      <c r="L4612" s="120">
        <f t="shared" si="1619"/>
        <v>0</v>
      </c>
      <c r="M4612" s="246">
        <f t="shared" si="1620"/>
        <v>0</v>
      </c>
      <c r="N4612" s="121">
        <f t="shared" si="1621"/>
        <v>1.1575200000000001</v>
      </c>
      <c r="P4612" s="121">
        <f t="shared" si="1622"/>
        <v>0</v>
      </c>
      <c r="Q4612" s="121">
        <f t="shared" si="1623"/>
        <v>0</v>
      </c>
      <c r="R4612" s="121">
        <f t="shared" si="1624"/>
        <v>0.20833333333333334</v>
      </c>
    </row>
    <row r="4613" spans="1:21" x14ac:dyDescent="0.3">
      <c r="A4613" s="187">
        <v>47</v>
      </c>
      <c r="B4613" s="242">
        <f t="shared" si="1625"/>
        <v>47058</v>
      </c>
      <c r="C4613" s="243">
        <f t="shared" si="1610"/>
        <v>47087</v>
      </c>
      <c r="D4613" s="120">
        <f t="shared" si="1611"/>
        <v>30</v>
      </c>
      <c r="E4613" s="120">
        <f t="shared" si="1612"/>
        <v>11</v>
      </c>
      <c r="F4613" s="275">
        <f t="shared" si="1613"/>
        <v>47073</v>
      </c>
      <c r="G4613" s="120">
        <f t="shared" si="1614"/>
        <v>24346</v>
      </c>
      <c r="H4613" s="245">
        <f t="shared" si="1615"/>
        <v>1</v>
      </c>
      <c r="I4613" s="121">
        <f t="shared" si="1616"/>
        <v>1.1575200000000001</v>
      </c>
      <c r="J4613" s="121">
        <f t="shared" si="1617"/>
        <v>1.1575200000000001</v>
      </c>
      <c r="K4613" s="120">
        <f t="shared" si="1618"/>
        <v>0</v>
      </c>
      <c r="L4613" s="120">
        <f t="shared" si="1619"/>
        <v>0</v>
      </c>
      <c r="M4613" s="246">
        <f t="shared" si="1620"/>
        <v>0</v>
      </c>
      <c r="N4613" s="121">
        <f t="shared" si="1621"/>
        <v>1.1575200000000001</v>
      </c>
      <c r="P4613" s="121">
        <f t="shared" si="1622"/>
        <v>0</v>
      </c>
      <c r="Q4613" s="121">
        <f t="shared" si="1623"/>
        <v>0</v>
      </c>
      <c r="R4613" s="121">
        <f t="shared" si="1624"/>
        <v>0.125</v>
      </c>
    </row>
    <row r="4614" spans="1:21" x14ac:dyDescent="0.3">
      <c r="A4614" s="187">
        <v>48</v>
      </c>
      <c r="B4614" s="242">
        <f t="shared" si="1625"/>
        <v>47088</v>
      </c>
      <c r="C4614" s="243">
        <f t="shared" si="1610"/>
        <v>47118</v>
      </c>
      <c r="D4614" s="120">
        <f t="shared" si="1611"/>
        <v>31</v>
      </c>
      <c r="E4614" s="120">
        <f t="shared" si="1612"/>
        <v>12</v>
      </c>
      <c r="F4614" s="275">
        <f t="shared" si="1613"/>
        <v>47103.5</v>
      </c>
      <c r="G4614" s="120">
        <f t="shared" si="1614"/>
        <v>24347</v>
      </c>
      <c r="H4614" s="245">
        <f t="shared" si="1615"/>
        <v>1</v>
      </c>
      <c r="I4614" s="121">
        <f t="shared" si="1616"/>
        <v>1.1575200000000001</v>
      </c>
      <c r="J4614" s="121">
        <f t="shared" si="1617"/>
        <v>1.1575200000000001</v>
      </c>
      <c r="K4614" s="120">
        <f t="shared" si="1618"/>
        <v>0</v>
      </c>
      <c r="L4614" s="120">
        <f t="shared" si="1619"/>
        <v>0</v>
      </c>
      <c r="M4614" s="246">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0" t="s">
        <v>1709</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626">EOMONTH($B4621,0)</f>
        <v>45688</v>
      </c>
      <c r="D4621" s="120">
        <f t="shared" ref="D4621:D4668" si="1627">$C4621-$B4621+1</f>
        <v>31</v>
      </c>
      <c r="E4621" s="120">
        <f t="shared" ref="E4621:E4668" si="1628">MONTH($B4621)</f>
        <v>1</v>
      </c>
      <c r="F4621" s="275">
        <f t="shared" ref="F4621:F4668" si="1629">($B4621+$C4621+1)/2</f>
        <v>45673.5</v>
      </c>
      <c r="G4621" s="120">
        <f t="shared" ref="G4621:G4668" si="1630">YEAR($B4621)*12+MONTH($B4621)-1</f>
        <v>24300</v>
      </c>
      <c r="H4621" s="245">
        <f t="shared" ref="H4621:H4668" si="1631">IF(OR(nr_SeasonOn="OFF",re_srow=0,re_ssum=0),1,12*INDEX(se_block,re_srow,$E4621)/re_ssum)</f>
        <v>1</v>
      </c>
      <c r="O4621" s="246">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87">
        <v>2</v>
      </c>
      <c r="B4622" s="242">
        <f t="shared" ref="B4622:B4668" si="1636">EDATE($B4621,1)</f>
        <v>45689</v>
      </c>
      <c r="C4622" s="243">
        <f t="shared" si="1626"/>
        <v>45716</v>
      </c>
      <c r="D4622" s="120">
        <f t="shared" si="1627"/>
        <v>28</v>
      </c>
      <c r="E4622" s="120">
        <f t="shared" si="1628"/>
        <v>2</v>
      </c>
      <c r="F4622" s="275">
        <f t="shared" si="1629"/>
        <v>45703</v>
      </c>
      <c r="G4622" s="120">
        <f t="shared" si="1630"/>
        <v>24301</v>
      </c>
      <c r="H4622" s="245">
        <f t="shared" si="1631"/>
        <v>1</v>
      </c>
      <c r="O4622" s="246">
        <f t="shared" si="1632"/>
        <v>0.82107221006564546</v>
      </c>
      <c r="P4622" s="121">
        <f t="shared" si="1633"/>
        <v>0.125</v>
      </c>
      <c r="Q4622" s="121">
        <f t="shared" si="1634"/>
        <v>0</v>
      </c>
      <c r="R4622" s="121">
        <f t="shared" si="1635"/>
        <v>0</v>
      </c>
    </row>
    <row r="4623" spans="1:21" x14ac:dyDescent="0.3">
      <c r="A4623" s="187">
        <v>3</v>
      </c>
      <c r="B4623" s="242">
        <f t="shared" si="1636"/>
        <v>45717</v>
      </c>
      <c r="C4623" s="243">
        <f t="shared" si="1626"/>
        <v>45747</v>
      </c>
      <c r="D4623" s="120">
        <f t="shared" si="1627"/>
        <v>31</v>
      </c>
      <c r="E4623" s="120">
        <f t="shared" si="1628"/>
        <v>3</v>
      </c>
      <c r="F4623" s="275">
        <f t="shared" si="1629"/>
        <v>45732.5</v>
      </c>
      <c r="G4623" s="120">
        <f t="shared" si="1630"/>
        <v>24302</v>
      </c>
      <c r="H4623" s="245">
        <f t="shared" si="1631"/>
        <v>1</v>
      </c>
      <c r="O4623" s="246">
        <f t="shared" si="1632"/>
        <v>0.82300875273522978</v>
      </c>
      <c r="P4623" s="121">
        <f t="shared" si="1633"/>
        <v>0.20833333333333337</v>
      </c>
      <c r="Q4623" s="121">
        <f t="shared" si="1634"/>
        <v>0</v>
      </c>
      <c r="R4623" s="121">
        <f t="shared" si="1635"/>
        <v>0</v>
      </c>
    </row>
    <row r="4624" spans="1:21" x14ac:dyDescent="0.3">
      <c r="A4624" s="187">
        <v>4</v>
      </c>
      <c r="B4624" s="242">
        <f t="shared" si="1636"/>
        <v>45748</v>
      </c>
      <c r="C4624" s="243">
        <f t="shared" si="1626"/>
        <v>45777</v>
      </c>
      <c r="D4624" s="120">
        <f t="shared" si="1627"/>
        <v>30</v>
      </c>
      <c r="E4624" s="120">
        <f t="shared" si="1628"/>
        <v>4</v>
      </c>
      <c r="F4624" s="275">
        <f t="shared" si="1629"/>
        <v>45763</v>
      </c>
      <c r="G4624" s="120">
        <f t="shared" si="1630"/>
        <v>24303</v>
      </c>
      <c r="H4624" s="245">
        <f t="shared" si="1631"/>
        <v>1</v>
      </c>
      <c r="O4624" s="246">
        <f t="shared" si="1632"/>
        <v>0.82501094091903715</v>
      </c>
      <c r="P4624" s="121">
        <f t="shared" si="1633"/>
        <v>0.29166666666666663</v>
      </c>
      <c r="Q4624" s="121">
        <f t="shared" si="1634"/>
        <v>0</v>
      </c>
      <c r="R4624" s="121">
        <f t="shared" si="1635"/>
        <v>0</v>
      </c>
    </row>
    <row r="4625" spans="1:18" x14ac:dyDescent="0.3">
      <c r="A4625" s="187">
        <v>5</v>
      </c>
      <c r="B4625" s="242">
        <f t="shared" si="1636"/>
        <v>45778</v>
      </c>
      <c r="C4625" s="243">
        <f t="shared" si="1626"/>
        <v>45808</v>
      </c>
      <c r="D4625" s="120">
        <f t="shared" si="1627"/>
        <v>31</v>
      </c>
      <c r="E4625" s="120">
        <f t="shared" si="1628"/>
        <v>5</v>
      </c>
      <c r="F4625" s="275">
        <f t="shared" si="1629"/>
        <v>45793.5</v>
      </c>
      <c r="G4625" s="120">
        <f t="shared" si="1630"/>
        <v>24304</v>
      </c>
      <c r="H4625" s="245">
        <f t="shared" si="1631"/>
        <v>1</v>
      </c>
      <c r="O4625" s="246">
        <f t="shared" si="1632"/>
        <v>0.82701312910284464</v>
      </c>
      <c r="P4625" s="121">
        <f t="shared" si="1633"/>
        <v>0.375</v>
      </c>
      <c r="Q4625" s="121">
        <f t="shared" si="1634"/>
        <v>0</v>
      </c>
      <c r="R4625" s="121">
        <f t="shared" si="1635"/>
        <v>0</v>
      </c>
    </row>
    <row r="4626" spans="1:18" x14ac:dyDescent="0.3">
      <c r="A4626" s="187">
        <v>6</v>
      </c>
      <c r="B4626" s="242">
        <f t="shared" si="1636"/>
        <v>45809</v>
      </c>
      <c r="C4626" s="243">
        <f t="shared" si="1626"/>
        <v>45838</v>
      </c>
      <c r="D4626" s="120">
        <f t="shared" si="1627"/>
        <v>30</v>
      </c>
      <c r="E4626" s="120">
        <f t="shared" si="1628"/>
        <v>6</v>
      </c>
      <c r="F4626" s="275">
        <f t="shared" si="1629"/>
        <v>45824</v>
      </c>
      <c r="G4626" s="120">
        <f t="shared" si="1630"/>
        <v>24305</v>
      </c>
      <c r="H4626" s="245">
        <f t="shared" si="1631"/>
        <v>1</v>
      </c>
      <c r="O4626" s="246">
        <f t="shared" si="1632"/>
        <v>0.82901531728665201</v>
      </c>
      <c r="P4626" s="121">
        <f t="shared" si="1633"/>
        <v>0.45833333333333337</v>
      </c>
      <c r="Q4626" s="121">
        <f t="shared" si="1634"/>
        <v>0</v>
      </c>
      <c r="R4626" s="121">
        <f t="shared" si="1635"/>
        <v>0</v>
      </c>
    </row>
    <row r="4627" spans="1:18" x14ac:dyDescent="0.3">
      <c r="A4627" s="187">
        <v>7</v>
      </c>
      <c r="B4627" s="242">
        <f t="shared" si="1636"/>
        <v>45839</v>
      </c>
      <c r="C4627" s="243">
        <f t="shared" si="1626"/>
        <v>45869</v>
      </c>
      <c r="D4627" s="120">
        <f t="shared" si="1627"/>
        <v>31</v>
      </c>
      <c r="E4627" s="120">
        <f t="shared" si="1628"/>
        <v>7</v>
      </c>
      <c r="F4627" s="275">
        <f t="shared" si="1629"/>
        <v>45854.5</v>
      </c>
      <c r="G4627" s="120">
        <f t="shared" si="1630"/>
        <v>24306</v>
      </c>
      <c r="H4627" s="245">
        <f t="shared" si="1631"/>
        <v>1</v>
      </c>
      <c r="O4627" s="246">
        <f t="shared" si="1632"/>
        <v>0.83101750547045949</v>
      </c>
      <c r="P4627" s="121">
        <f t="shared" si="1633"/>
        <v>0.54166666666666674</v>
      </c>
      <c r="Q4627" s="121">
        <f t="shared" si="1634"/>
        <v>0</v>
      </c>
      <c r="R4627" s="121">
        <f t="shared" si="1635"/>
        <v>0</v>
      </c>
    </row>
    <row r="4628" spans="1:18" x14ac:dyDescent="0.3">
      <c r="A4628" s="187">
        <v>8</v>
      </c>
      <c r="B4628" s="242">
        <f t="shared" si="1636"/>
        <v>45870</v>
      </c>
      <c r="C4628" s="243">
        <f t="shared" si="1626"/>
        <v>45900</v>
      </c>
      <c r="D4628" s="120">
        <f t="shared" si="1627"/>
        <v>31</v>
      </c>
      <c r="E4628" s="120">
        <f t="shared" si="1628"/>
        <v>8</v>
      </c>
      <c r="F4628" s="275">
        <f t="shared" si="1629"/>
        <v>45885.5</v>
      </c>
      <c r="G4628" s="120">
        <f t="shared" si="1630"/>
        <v>24307</v>
      </c>
      <c r="H4628" s="245">
        <f t="shared" si="1631"/>
        <v>1</v>
      </c>
      <c r="O4628" s="246">
        <f t="shared" si="1632"/>
        <v>0.83305251641137856</v>
      </c>
      <c r="P4628" s="121">
        <f t="shared" si="1633"/>
        <v>0.625</v>
      </c>
      <c r="Q4628" s="121">
        <f t="shared" si="1634"/>
        <v>0</v>
      </c>
      <c r="R4628" s="121">
        <f t="shared" si="1635"/>
        <v>0</v>
      </c>
    </row>
    <row r="4629" spans="1:18" x14ac:dyDescent="0.3">
      <c r="A4629" s="187">
        <v>9</v>
      </c>
      <c r="B4629" s="242">
        <f t="shared" si="1636"/>
        <v>45901</v>
      </c>
      <c r="C4629" s="243">
        <f t="shared" si="1626"/>
        <v>45930</v>
      </c>
      <c r="D4629" s="120">
        <f t="shared" si="1627"/>
        <v>30</v>
      </c>
      <c r="E4629" s="120">
        <f t="shared" si="1628"/>
        <v>9</v>
      </c>
      <c r="F4629" s="275">
        <f t="shared" si="1629"/>
        <v>45916</v>
      </c>
      <c r="G4629" s="120">
        <f t="shared" si="1630"/>
        <v>24308</v>
      </c>
      <c r="H4629" s="245">
        <f t="shared" si="1631"/>
        <v>1</v>
      </c>
      <c r="O4629" s="246">
        <f t="shared" si="1632"/>
        <v>0.83505470459518594</v>
      </c>
      <c r="P4629" s="121">
        <f t="shared" si="1633"/>
        <v>0.70833333333333326</v>
      </c>
      <c r="Q4629" s="121">
        <f t="shared" si="1634"/>
        <v>0</v>
      </c>
      <c r="R4629" s="121">
        <f t="shared" si="1635"/>
        <v>0</v>
      </c>
    </row>
    <row r="4630" spans="1:18" x14ac:dyDescent="0.3">
      <c r="A4630" s="187">
        <v>10</v>
      </c>
      <c r="B4630" s="242">
        <f t="shared" si="1636"/>
        <v>45931</v>
      </c>
      <c r="C4630" s="243">
        <f t="shared" si="1626"/>
        <v>45961</v>
      </c>
      <c r="D4630" s="120">
        <f t="shared" si="1627"/>
        <v>31</v>
      </c>
      <c r="E4630" s="120">
        <f t="shared" si="1628"/>
        <v>10</v>
      </c>
      <c r="F4630" s="275">
        <f t="shared" si="1629"/>
        <v>45946.5</v>
      </c>
      <c r="G4630" s="120">
        <f t="shared" si="1630"/>
        <v>24309</v>
      </c>
      <c r="H4630" s="245">
        <f t="shared" si="1631"/>
        <v>1</v>
      </c>
      <c r="O4630" s="246">
        <f t="shared" si="1632"/>
        <v>0.83705689277899342</v>
      </c>
      <c r="P4630" s="121">
        <f t="shared" si="1633"/>
        <v>0.79166666666666663</v>
      </c>
      <c r="Q4630" s="121">
        <f t="shared" si="1634"/>
        <v>0</v>
      </c>
      <c r="R4630" s="121">
        <f t="shared" si="1635"/>
        <v>0</v>
      </c>
    </row>
    <row r="4631" spans="1:18" x14ac:dyDescent="0.3">
      <c r="A4631" s="187">
        <v>11</v>
      </c>
      <c r="B4631" s="242">
        <f t="shared" si="1636"/>
        <v>45962</v>
      </c>
      <c r="C4631" s="243">
        <f t="shared" si="1626"/>
        <v>45991</v>
      </c>
      <c r="D4631" s="120">
        <f t="shared" si="1627"/>
        <v>30</v>
      </c>
      <c r="E4631" s="120">
        <f t="shared" si="1628"/>
        <v>11</v>
      </c>
      <c r="F4631" s="275">
        <f t="shared" si="1629"/>
        <v>45977</v>
      </c>
      <c r="G4631" s="120">
        <f t="shared" si="1630"/>
        <v>24310</v>
      </c>
      <c r="H4631" s="245">
        <f t="shared" si="1631"/>
        <v>1</v>
      </c>
      <c r="O4631" s="246">
        <f t="shared" si="1632"/>
        <v>0.8390590809628008</v>
      </c>
      <c r="P4631" s="121">
        <f t="shared" si="1633"/>
        <v>0.875</v>
      </c>
      <c r="Q4631" s="121">
        <f t="shared" si="1634"/>
        <v>0</v>
      </c>
      <c r="R4631" s="121">
        <f t="shared" si="1635"/>
        <v>0</v>
      </c>
    </row>
    <row r="4632" spans="1:18" x14ac:dyDescent="0.3">
      <c r="A4632" s="187">
        <v>12</v>
      </c>
      <c r="B4632" s="242">
        <f t="shared" si="1636"/>
        <v>45992</v>
      </c>
      <c r="C4632" s="243">
        <f t="shared" si="1626"/>
        <v>46022</v>
      </c>
      <c r="D4632" s="120">
        <f t="shared" si="1627"/>
        <v>31</v>
      </c>
      <c r="E4632" s="120">
        <f t="shared" si="1628"/>
        <v>12</v>
      </c>
      <c r="F4632" s="275">
        <f t="shared" si="1629"/>
        <v>46007.5</v>
      </c>
      <c r="G4632" s="120">
        <f t="shared" si="1630"/>
        <v>24311</v>
      </c>
      <c r="H4632" s="245">
        <f t="shared" si="1631"/>
        <v>1</v>
      </c>
      <c r="O4632" s="246">
        <f t="shared" si="1632"/>
        <v>0.84106126914660828</v>
      </c>
      <c r="P4632" s="121">
        <f t="shared" si="1633"/>
        <v>0.95833333333333337</v>
      </c>
      <c r="Q4632" s="121">
        <f t="shared" si="1634"/>
        <v>0</v>
      </c>
      <c r="R4632" s="121">
        <f t="shared" si="1635"/>
        <v>0</v>
      </c>
    </row>
    <row r="4633" spans="1:18" x14ac:dyDescent="0.3">
      <c r="A4633" s="187">
        <v>13</v>
      </c>
      <c r="B4633" s="242">
        <f t="shared" si="1636"/>
        <v>46023</v>
      </c>
      <c r="C4633" s="243">
        <f t="shared" si="1626"/>
        <v>46053</v>
      </c>
      <c r="D4633" s="120">
        <f t="shared" si="1627"/>
        <v>31</v>
      </c>
      <c r="E4633" s="120">
        <f t="shared" si="1628"/>
        <v>1</v>
      </c>
      <c r="F4633" s="275">
        <f t="shared" si="1629"/>
        <v>46038.5</v>
      </c>
      <c r="G4633" s="120">
        <f t="shared" si="1630"/>
        <v>24312</v>
      </c>
      <c r="H4633" s="245">
        <f t="shared" si="1631"/>
        <v>1</v>
      </c>
      <c r="O4633" s="246">
        <f t="shared" si="1632"/>
        <v>0.84309628008752735</v>
      </c>
      <c r="P4633" s="121">
        <f t="shared" si="1633"/>
        <v>0.95833333333333337</v>
      </c>
      <c r="Q4633" s="121">
        <f t="shared" si="1634"/>
        <v>4.166666666666663E-2</v>
      </c>
      <c r="R4633" s="121">
        <f t="shared" si="1635"/>
        <v>0</v>
      </c>
    </row>
    <row r="4634" spans="1:18" x14ac:dyDescent="0.3">
      <c r="A4634" s="187">
        <v>14</v>
      </c>
      <c r="B4634" s="242">
        <f t="shared" si="1636"/>
        <v>46054</v>
      </c>
      <c r="C4634" s="243">
        <f t="shared" si="1626"/>
        <v>46081</v>
      </c>
      <c r="D4634" s="120">
        <f t="shared" si="1627"/>
        <v>28</v>
      </c>
      <c r="E4634" s="120">
        <f t="shared" si="1628"/>
        <v>2</v>
      </c>
      <c r="F4634" s="275">
        <f t="shared" si="1629"/>
        <v>46068</v>
      </c>
      <c r="G4634" s="120">
        <f t="shared" si="1630"/>
        <v>24313</v>
      </c>
      <c r="H4634" s="245">
        <f t="shared" si="1631"/>
        <v>1</v>
      </c>
      <c r="O4634" s="246">
        <f t="shared" si="1632"/>
        <v>0.84503282275711156</v>
      </c>
      <c r="P4634" s="121">
        <f t="shared" si="1633"/>
        <v>0.875</v>
      </c>
      <c r="Q4634" s="121">
        <f t="shared" si="1634"/>
        <v>0.125</v>
      </c>
      <c r="R4634" s="121">
        <f t="shared" si="1635"/>
        <v>0</v>
      </c>
    </row>
    <row r="4635" spans="1:18" x14ac:dyDescent="0.3">
      <c r="A4635" s="187">
        <v>15</v>
      </c>
      <c r="B4635" s="242">
        <f t="shared" si="1636"/>
        <v>46082</v>
      </c>
      <c r="C4635" s="243">
        <f t="shared" si="1626"/>
        <v>46112</v>
      </c>
      <c r="D4635" s="120">
        <f t="shared" si="1627"/>
        <v>31</v>
      </c>
      <c r="E4635" s="120">
        <f t="shared" si="1628"/>
        <v>3</v>
      </c>
      <c r="F4635" s="275">
        <f t="shared" si="1629"/>
        <v>46097.5</v>
      </c>
      <c r="G4635" s="120">
        <f t="shared" si="1630"/>
        <v>24314</v>
      </c>
      <c r="H4635" s="245">
        <f t="shared" si="1631"/>
        <v>1</v>
      </c>
      <c r="O4635" s="246">
        <f t="shared" si="1632"/>
        <v>0.84696936542669587</v>
      </c>
      <c r="P4635" s="121">
        <f t="shared" si="1633"/>
        <v>0.79166666666666663</v>
      </c>
      <c r="Q4635" s="121">
        <f t="shared" si="1634"/>
        <v>0.20833333333333337</v>
      </c>
      <c r="R4635" s="121">
        <f t="shared" si="1635"/>
        <v>0</v>
      </c>
    </row>
    <row r="4636" spans="1:18" x14ac:dyDescent="0.3">
      <c r="A4636" s="187">
        <v>16</v>
      </c>
      <c r="B4636" s="242">
        <f t="shared" si="1636"/>
        <v>46113</v>
      </c>
      <c r="C4636" s="243">
        <f t="shared" si="1626"/>
        <v>46142</v>
      </c>
      <c r="D4636" s="120">
        <f t="shared" si="1627"/>
        <v>30</v>
      </c>
      <c r="E4636" s="120">
        <f t="shared" si="1628"/>
        <v>4</v>
      </c>
      <c r="F4636" s="275">
        <f t="shared" si="1629"/>
        <v>46128</v>
      </c>
      <c r="G4636" s="120">
        <f t="shared" si="1630"/>
        <v>24315</v>
      </c>
      <c r="H4636" s="245">
        <f t="shared" si="1631"/>
        <v>1</v>
      </c>
      <c r="O4636" s="246">
        <f t="shared" si="1632"/>
        <v>0.84897155361050325</v>
      </c>
      <c r="P4636" s="121">
        <f t="shared" si="1633"/>
        <v>0.70833333333333337</v>
      </c>
      <c r="Q4636" s="121">
        <f t="shared" si="1634"/>
        <v>0.29166666666666663</v>
      </c>
      <c r="R4636" s="121">
        <f t="shared" si="1635"/>
        <v>0</v>
      </c>
    </row>
    <row r="4637" spans="1:18" x14ac:dyDescent="0.3">
      <c r="A4637" s="187">
        <v>17</v>
      </c>
      <c r="B4637" s="242">
        <f t="shared" si="1636"/>
        <v>46143</v>
      </c>
      <c r="C4637" s="243">
        <f t="shared" si="1626"/>
        <v>46173</v>
      </c>
      <c r="D4637" s="120">
        <f t="shared" si="1627"/>
        <v>31</v>
      </c>
      <c r="E4637" s="120">
        <f t="shared" si="1628"/>
        <v>5</v>
      </c>
      <c r="F4637" s="275">
        <f t="shared" si="1629"/>
        <v>46158.5</v>
      </c>
      <c r="G4637" s="120">
        <f t="shared" si="1630"/>
        <v>24316</v>
      </c>
      <c r="H4637" s="245">
        <f t="shared" si="1631"/>
        <v>1</v>
      </c>
      <c r="O4637" s="246">
        <f t="shared" si="1632"/>
        <v>0.85097374179431073</v>
      </c>
      <c r="P4637" s="121">
        <f t="shared" si="1633"/>
        <v>0.625</v>
      </c>
      <c r="Q4637" s="121">
        <f t="shared" si="1634"/>
        <v>0.375</v>
      </c>
      <c r="R4637" s="121">
        <f t="shared" si="1635"/>
        <v>0</v>
      </c>
    </row>
    <row r="4638" spans="1:18" x14ac:dyDescent="0.3">
      <c r="A4638" s="187">
        <v>18</v>
      </c>
      <c r="B4638" s="242">
        <f t="shared" si="1636"/>
        <v>46174</v>
      </c>
      <c r="C4638" s="243">
        <f t="shared" si="1626"/>
        <v>46203</v>
      </c>
      <c r="D4638" s="120">
        <f t="shared" si="1627"/>
        <v>30</v>
      </c>
      <c r="E4638" s="120">
        <f t="shared" si="1628"/>
        <v>6</v>
      </c>
      <c r="F4638" s="275">
        <f t="shared" si="1629"/>
        <v>46189</v>
      </c>
      <c r="G4638" s="120">
        <f t="shared" si="1630"/>
        <v>24317</v>
      </c>
      <c r="H4638" s="245">
        <f t="shared" si="1631"/>
        <v>1</v>
      </c>
      <c r="O4638" s="246">
        <f t="shared" si="1632"/>
        <v>0.85297592997811811</v>
      </c>
      <c r="P4638" s="121">
        <f t="shared" si="1633"/>
        <v>0.54166666666666663</v>
      </c>
      <c r="Q4638" s="121">
        <f t="shared" si="1634"/>
        <v>0.45833333333333337</v>
      </c>
      <c r="R4638" s="121">
        <f t="shared" si="1635"/>
        <v>0</v>
      </c>
    </row>
    <row r="4639" spans="1:18" x14ac:dyDescent="0.3">
      <c r="A4639" s="187">
        <v>19</v>
      </c>
      <c r="B4639" s="242">
        <f t="shared" si="1636"/>
        <v>46204</v>
      </c>
      <c r="C4639" s="243">
        <f t="shared" si="1626"/>
        <v>46234</v>
      </c>
      <c r="D4639" s="120">
        <f t="shared" si="1627"/>
        <v>31</v>
      </c>
      <c r="E4639" s="120">
        <f t="shared" si="1628"/>
        <v>7</v>
      </c>
      <c r="F4639" s="275">
        <f t="shared" si="1629"/>
        <v>46219.5</v>
      </c>
      <c r="G4639" s="120">
        <f t="shared" si="1630"/>
        <v>24318</v>
      </c>
      <c r="H4639" s="245">
        <f t="shared" si="1631"/>
        <v>1</v>
      </c>
      <c r="O4639" s="246">
        <f t="shared" si="1632"/>
        <v>0.85497811816192559</v>
      </c>
      <c r="P4639" s="121">
        <f t="shared" si="1633"/>
        <v>0.45833333333333331</v>
      </c>
      <c r="Q4639" s="121">
        <f t="shared" si="1634"/>
        <v>0.54166666666666674</v>
      </c>
      <c r="R4639" s="121">
        <f t="shared" si="1635"/>
        <v>0</v>
      </c>
    </row>
    <row r="4640" spans="1:18" x14ac:dyDescent="0.3">
      <c r="A4640" s="187">
        <v>20</v>
      </c>
      <c r="B4640" s="242">
        <f t="shared" si="1636"/>
        <v>46235</v>
      </c>
      <c r="C4640" s="243">
        <f t="shared" si="1626"/>
        <v>46265</v>
      </c>
      <c r="D4640" s="120">
        <f t="shared" si="1627"/>
        <v>31</v>
      </c>
      <c r="E4640" s="120">
        <f t="shared" si="1628"/>
        <v>8</v>
      </c>
      <c r="F4640" s="275">
        <f t="shared" si="1629"/>
        <v>46250.5</v>
      </c>
      <c r="G4640" s="120">
        <f t="shared" si="1630"/>
        <v>24319</v>
      </c>
      <c r="H4640" s="245">
        <f t="shared" si="1631"/>
        <v>1</v>
      </c>
      <c r="O4640" s="246">
        <f t="shared" si="1632"/>
        <v>0.85701312910284466</v>
      </c>
      <c r="P4640" s="121">
        <f t="shared" si="1633"/>
        <v>0.375</v>
      </c>
      <c r="Q4640" s="121">
        <f t="shared" si="1634"/>
        <v>0.625</v>
      </c>
      <c r="R4640" s="121">
        <f t="shared" si="1635"/>
        <v>0</v>
      </c>
    </row>
    <row r="4641" spans="1:18" x14ac:dyDescent="0.3">
      <c r="A4641" s="187">
        <v>21</v>
      </c>
      <c r="B4641" s="242">
        <f t="shared" si="1636"/>
        <v>46266</v>
      </c>
      <c r="C4641" s="243">
        <f t="shared" si="1626"/>
        <v>46295</v>
      </c>
      <c r="D4641" s="120">
        <f t="shared" si="1627"/>
        <v>30</v>
      </c>
      <c r="E4641" s="120">
        <f t="shared" si="1628"/>
        <v>9</v>
      </c>
      <c r="F4641" s="275">
        <f t="shared" si="1629"/>
        <v>46281</v>
      </c>
      <c r="G4641" s="120">
        <f t="shared" si="1630"/>
        <v>24320</v>
      </c>
      <c r="H4641" s="245">
        <f t="shared" si="1631"/>
        <v>1</v>
      </c>
      <c r="O4641" s="246">
        <f t="shared" si="1632"/>
        <v>0.85901531728665204</v>
      </c>
      <c r="P4641" s="121">
        <f t="shared" si="1633"/>
        <v>0.29166666666666669</v>
      </c>
      <c r="Q4641" s="121">
        <f t="shared" si="1634"/>
        <v>0.70833333333333326</v>
      </c>
      <c r="R4641" s="121">
        <f t="shared" si="1635"/>
        <v>0</v>
      </c>
    </row>
    <row r="4642" spans="1:18" x14ac:dyDescent="0.3">
      <c r="A4642" s="187">
        <v>22</v>
      </c>
      <c r="B4642" s="242">
        <f t="shared" si="1636"/>
        <v>46296</v>
      </c>
      <c r="C4642" s="243">
        <f t="shared" si="1626"/>
        <v>46326</v>
      </c>
      <c r="D4642" s="120">
        <f t="shared" si="1627"/>
        <v>31</v>
      </c>
      <c r="E4642" s="120">
        <f t="shared" si="1628"/>
        <v>10</v>
      </c>
      <c r="F4642" s="275">
        <f t="shared" si="1629"/>
        <v>46311.5</v>
      </c>
      <c r="G4642" s="120">
        <f t="shared" si="1630"/>
        <v>24321</v>
      </c>
      <c r="H4642" s="245">
        <f t="shared" si="1631"/>
        <v>1</v>
      </c>
      <c r="O4642" s="246">
        <f t="shared" si="1632"/>
        <v>0.86101750547045952</v>
      </c>
      <c r="P4642" s="121">
        <f t="shared" si="1633"/>
        <v>0.20833333333333334</v>
      </c>
      <c r="Q4642" s="121">
        <f t="shared" si="1634"/>
        <v>0.79166666666666663</v>
      </c>
      <c r="R4642" s="121">
        <f t="shared" si="1635"/>
        <v>0</v>
      </c>
    </row>
    <row r="4643" spans="1:18" x14ac:dyDescent="0.3">
      <c r="A4643" s="187">
        <v>23</v>
      </c>
      <c r="B4643" s="242">
        <f t="shared" si="1636"/>
        <v>46327</v>
      </c>
      <c r="C4643" s="243">
        <f t="shared" si="1626"/>
        <v>46356</v>
      </c>
      <c r="D4643" s="120">
        <f t="shared" si="1627"/>
        <v>30</v>
      </c>
      <c r="E4643" s="120">
        <f t="shared" si="1628"/>
        <v>11</v>
      </c>
      <c r="F4643" s="275">
        <f t="shared" si="1629"/>
        <v>46342</v>
      </c>
      <c r="G4643" s="120">
        <f t="shared" si="1630"/>
        <v>24322</v>
      </c>
      <c r="H4643" s="245">
        <f t="shared" si="1631"/>
        <v>1</v>
      </c>
      <c r="O4643" s="246">
        <f t="shared" si="1632"/>
        <v>0.8630196936542669</v>
      </c>
      <c r="P4643" s="121">
        <f t="shared" si="1633"/>
        <v>0.125</v>
      </c>
      <c r="Q4643" s="121">
        <f t="shared" si="1634"/>
        <v>0.875</v>
      </c>
      <c r="R4643" s="121">
        <f t="shared" si="1635"/>
        <v>0</v>
      </c>
    </row>
    <row r="4644" spans="1:18" x14ac:dyDescent="0.3">
      <c r="A4644" s="187">
        <v>24</v>
      </c>
      <c r="B4644" s="242">
        <f t="shared" si="1636"/>
        <v>46357</v>
      </c>
      <c r="C4644" s="243">
        <f t="shared" si="1626"/>
        <v>46387</v>
      </c>
      <c r="D4644" s="120">
        <f t="shared" si="1627"/>
        <v>31</v>
      </c>
      <c r="E4644" s="120">
        <f t="shared" si="1628"/>
        <v>12</v>
      </c>
      <c r="F4644" s="275">
        <f t="shared" si="1629"/>
        <v>46372.5</v>
      </c>
      <c r="G4644" s="120">
        <f t="shared" si="1630"/>
        <v>24323</v>
      </c>
      <c r="H4644" s="245">
        <f t="shared" si="1631"/>
        <v>1</v>
      </c>
      <c r="O4644" s="246">
        <f t="shared" si="1632"/>
        <v>0.86502188183807438</v>
      </c>
      <c r="P4644" s="121">
        <f t="shared" si="1633"/>
        <v>4.1666666666666664E-2</v>
      </c>
      <c r="Q4644" s="121">
        <f t="shared" si="1634"/>
        <v>0.95833333333333337</v>
      </c>
      <c r="R4644" s="121">
        <f t="shared" si="1635"/>
        <v>0</v>
      </c>
    </row>
    <row r="4645" spans="1:18" x14ac:dyDescent="0.3">
      <c r="A4645" s="187">
        <v>25</v>
      </c>
      <c r="B4645" s="242">
        <f t="shared" si="1636"/>
        <v>46388</v>
      </c>
      <c r="C4645" s="243">
        <f t="shared" si="1626"/>
        <v>46418</v>
      </c>
      <c r="D4645" s="120">
        <f t="shared" si="1627"/>
        <v>31</v>
      </c>
      <c r="E4645" s="120">
        <f t="shared" si="1628"/>
        <v>1</v>
      </c>
      <c r="F4645" s="275">
        <f t="shared" si="1629"/>
        <v>46403.5</v>
      </c>
      <c r="G4645" s="120">
        <f t="shared" si="1630"/>
        <v>24324</v>
      </c>
      <c r="H4645" s="245">
        <f t="shared" si="1631"/>
        <v>1</v>
      </c>
      <c r="O4645" s="246">
        <f t="shared" si="1632"/>
        <v>0.86705689277899345</v>
      </c>
      <c r="P4645" s="121">
        <f t="shared" si="1633"/>
        <v>0</v>
      </c>
      <c r="Q4645" s="121">
        <f t="shared" si="1634"/>
        <v>0.95833333333333337</v>
      </c>
      <c r="R4645" s="121">
        <f t="shared" si="1635"/>
        <v>4.166666666666663E-2</v>
      </c>
    </row>
    <row r="4646" spans="1:18" x14ac:dyDescent="0.3">
      <c r="A4646" s="187">
        <v>26</v>
      </c>
      <c r="B4646" s="242">
        <f t="shared" si="1636"/>
        <v>46419</v>
      </c>
      <c r="C4646" s="243">
        <f t="shared" si="1626"/>
        <v>46446</v>
      </c>
      <c r="D4646" s="120">
        <f t="shared" si="1627"/>
        <v>28</v>
      </c>
      <c r="E4646" s="120">
        <f t="shared" si="1628"/>
        <v>2</v>
      </c>
      <c r="F4646" s="275">
        <f t="shared" si="1629"/>
        <v>46433</v>
      </c>
      <c r="G4646" s="120">
        <f t="shared" si="1630"/>
        <v>24325</v>
      </c>
      <c r="H4646" s="245">
        <f t="shared" si="1631"/>
        <v>1</v>
      </c>
      <c r="O4646" s="246">
        <f t="shared" si="1632"/>
        <v>0.86899343544857766</v>
      </c>
      <c r="P4646" s="121">
        <f t="shared" si="1633"/>
        <v>0</v>
      </c>
      <c r="Q4646" s="121">
        <f t="shared" si="1634"/>
        <v>0.875</v>
      </c>
      <c r="R4646" s="121">
        <f t="shared" si="1635"/>
        <v>0.125</v>
      </c>
    </row>
    <row r="4647" spans="1:18" x14ac:dyDescent="0.3">
      <c r="A4647" s="187">
        <v>27</v>
      </c>
      <c r="B4647" s="242">
        <f t="shared" si="1636"/>
        <v>46447</v>
      </c>
      <c r="C4647" s="243">
        <f t="shared" si="1626"/>
        <v>46477</v>
      </c>
      <c r="D4647" s="120">
        <f t="shared" si="1627"/>
        <v>31</v>
      </c>
      <c r="E4647" s="120">
        <f t="shared" si="1628"/>
        <v>3</v>
      </c>
      <c r="F4647" s="275">
        <f t="shared" si="1629"/>
        <v>46462.5</v>
      </c>
      <c r="G4647" s="120">
        <f t="shared" si="1630"/>
        <v>24326</v>
      </c>
      <c r="H4647" s="245">
        <f t="shared" si="1631"/>
        <v>1</v>
      </c>
      <c r="O4647" s="246">
        <f t="shared" si="1632"/>
        <v>0.87092997811816197</v>
      </c>
      <c r="P4647" s="121">
        <f t="shared" si="1633"/>
        <v>0</v>
      </c>
      <c r="Q4647" s="121">
        <f t="shared" si="1634"/>
        <v>0.79166666666666663</v>
      </c>
      <c r="R4647" s="121">
        <f t="shared" si="1635"/>
        <v>0.20833333333333337</v>
      </c>
    </row>
    <row r="4648" spans="1:18" x14ac:dyDescent="0.3">
      <c r="A4648" s="187">
        <v>28</v>
      </c>
      <c r="B4648" s="242">
        <f t="shared" si="1636"/>
        <v>46478</v>
      </c>
      <c r="C4648" s="243">
        <f t="shared" si="1626"/>
        <v>46507</v>
      </c>
      <c r="D4648" s="120">
        <f t="shared" si="1627"/>
        <v>30</v>
      </c>
      <c r="E4648" s="120">
        <f t="shared" si="1628"/>
        <v>4</v>
      </c>
      <c r="F4648" s="275">
        <f t="shared" si="1629"/>
        <v>46493</v>
      </c>
      <c r="G4648" s="120">
        <f t="shared" si="1630"/>
        <v>24327</v>
      </c>
      <c r="H4648" s="245">
        <f t="shared" si="1631"/>
        <v>1</v>
      </c>
      <c r="O4648" s="246">
        <f t="shared" si="1632"/>
        <v>0.87293216630196935</v>
      </c>
      <c r="P4648" s="121">
        <f t="shared" si="1633"/>
        <v>0</v>
      </c>
      <c r="Q4648" s="121">
        <f t="shared" si="1634"/>
        <v>0.70833333333333337</v>
      </c>
      <c r="R4648" s="121">
        <f t="shared" si="1635"/>
        <v>0.29166666666666663</v>
      </c>
    </row>
    <row r="4649" spans="1:18" x14ac:dyDescent="0.3">
      <c r="A4649" s="187">
        <v>29</v>
      </c>
      <c r="B4649" s="242">
        <f t="shared" si="1636"/>
        <v>46508</v>
      </c>
      <c r="C4649" s="243">
        <f t="shared" si="1626"/>
        <v>46538</v>
      </c>
      <c r="D4649" s="120">
        <f t="shared" si="1627"/>
        <v>31</v>
      </c>
      <c r="E4649" s="120">
        <f t="shared" si="1628"/>
        <v>5</v>
      </c>
      <c r="F4649" s="275">
        <f t="shared" si="1629"/>
        <v>46523.5</v>
      </c>
      <c r="G4649" s="120">
        <f t="shared" si="1630"/>
        <v>24328</v>
      </c>
      <c r="H4649" s="245">
        <f t="shared" si="1631"/>
        <v>1</v>
      </c>
      <c r="O4649" s="246">
        <f t="shared" si="1632"/>
        <v>0.87493435448577683</v>
      </c>
      <c r="P4649" s="121">
        <f t="shared" si="1633"/>
        <v>0</v>
      </c>
      <c r="Q4649" s="121">
        <f t="shared" si="1634"/>
        <v>0.625</v>
      </c>
      <c r="R4649" s="121">
        <f t="shared" si="1635"/>
        <v>0.375</v>
      </c>
    </row>
    <row r="4650" spans="1:18" x14ac:dyDescent="0.3">
      <c r="A4650" s="187">
        <v>30</v>
      </c>
      <c r="B4650" s="242">
        <f t="shared" si="1636"/>
        <v>46539</v>
      </c>
      <c r="C4650" s="243">
        <f t="shared" si="1626"/>
        <v>46568</v>
      </c>
      <c r="D4650" s="120">
        <f t="shared" si="1627"/>
        <v>30</v>
      </c>
      <c r="E4650" s="120">
        <f t="shared" si="1628"/>
        <v>6</v>
      </c>
      <c r="F4650" s="275">
        <f t="shared" si="1629"/>
        <v>46554</v>
      </c>
      <c r="G4650" s="120">
        <f t="shared" si="1630"/>
        <v>24329</v>
      </c>
      <c r="H4650" s="245">
        <f t="shared" si="1631"/>
        <v>1</v>
      </c>
      <c r="O4650" s="246">
        <f t="shared" si="1632"/>
        <v>0.87693654266958421</v>
      </c>
      <c r="P4650" s="121">
        <f t="shared" si="1633"/>
        <v>0</v>
      </c>
      <c r="Q4650" s="121">
        <f t="shared" si="1634"/>
        <v>0.54166666666666663</v>
      </c>
      <c r="R4650" s="121">
        <f t="shared" si="1635"/>
        <v>0.45833333333333337</v>
      </c>
    </row>
    <row r="4651" spans="1:18" x14ac:dyDescent="0.3">
      <c r="A4651" s="187">
        <v>31</v>
      </c>
      <c r="B4651" s="242">
        <f t="shared" si="1636"/>
        <v>46569</v>
      </c>
      <c r="C4651" s="243">
        <f t="shared" si="1626"/>
        <v>46599</v>
      </c>
      <c r="D4651" s="120">
        <f t="shared" si="1627"/>
        <v>31</v>
      </c>
      <c r="E4651" s="120">
        <f t="shared" si="1628"/>
        <v>7</v>
      </c>
      <c r="F4651" s="275">
        <f t="shared" si="1629"/>
        <v>46584.5</v>
      </c>
      <c r="G4651" s="120">
        <f t="shared" si="1630"/>
        <v>24330</v>
      </c>
      <c r="H4651" s="245">
        <f t="shared" si="1631"/>
        <v>1</v>
      </c>
      <c r="O4651" s="246">
        <f t="shared" si="1632"/>
        <v>0.87893873085339169</v>
      </c>
      <c r="P4651" s="121">
        <f t="shared" si="1633"/>
        <v>0</v>
      </c>
      <c r="Q4651" s="121">
        <f t="shared" si="1634"/>
        <v>0.45833333333333331</v>
      </c>
      <c r="R4651" s="121">
        <f t="shared" si="1635"/>
        <v>0.54166666666666674</v>
      </c>
    </row>
    <row r="4652" spans="1:18" x14ac:dyDescent="0.3">
      <c r="A4652" s="187">
        <v>32</v>
      </c>
      <c r="B4652" s="242">
        <f t="shared" si="1636"/>
        <v>46600</v>
      </c>
      <c r="C4652" s="243">
        <f t="shared" si="1626"/>
        <v>46630</v>
      </c>
      <c r="D4652" s="120">
        <f t="shared" si="1627"/>
        <v>31</v>
      </c>
      <c r="E4652" s="120">
        <f t="shared" si="1628"/>
        <v>8</v>
      </c>
      <c r="F4652" s="275">
        <f t="shared" si="1629"/>
        <v>46615.5</v>
      </c>
      <c r="G4652" s="120">
        <f t="shared" si="1630"/>
        <v>24331</v>
      </c>
      <c r="H4652" s="245">
        <f t="shared" si="1631"/>
        <v>1</v>
      </c>
      <c r="O4652" s="246">
        <f t="shared" si="1632"/>
        <v>0.88097374179431076</v>
      </c>
      <c r="P4652" s="121">
        <f t="shared" si="1633"/>
        <v>0</v>
      </c>
      <c r="Q4652" s="121">
        <f t="shared" si="1634"/>
        <v>0.375</v>
      </c>
      <c r="R4652" s="121">
        <f t="shared" si="1635"/>
        <v>0.625</v>
      </c>
    </row>
    <row r="4653" spans="1:18" x14ac:dyDescent="0.3">
      <c r="A4653" s="187">
        <v>33</v>
      </c>
      <c r="B4653" s="242">
        <f t="shared" si="1636"/>
        <v>46631</v>
      </c>
      <c r="C4653" s="243">
        <f t="shared" si="1626"/>
        <v>46660</v>
      </c>
      <c r="D4653" s="120">
        <f t="shared" si="1627"/>
        <v>30</v>
      </c>
      <c r="E4653" s="120">
        <f t="shared" si="1628"/>
        <v>9</v>
      </c>
      <c r="F4653" s="275">
        <f t="shared" si="1629"/>
        <v>46646</v>
      </c>
      <c r="G4653" s="120">
        <f t="shared" si="1630"/>
        <v>24332</v>
      </c>
      <c r="H4653" s="245">
        <f t="shared" si="1631"/>
        <v>1</v>
      </c>
      <c r="O4653" s="246">
        <f t="shared" si="1632"/>
        <v>0.88297592997811813</v>
      </c>
      <c r="P4653" s="121">
        <f t="shared" si="1633"/>
        <v>0</v>
      </c>
      <c r="Q4653" s="121">
        <f t="shared" si="1634"/>
        <v>0.29166666666666669</v>
      </c>
      <c r="R4653" s="121">
        <f t="shared" si="1635"/>
        <v>0.70833333333333326</v>
      </c>
    </row>
    <row r="4654" spans="1:18" x14ac:dyDescent="0.3">
      <c r="A4654" s="187">
        <v>34</v>
      </c>
      <c r="B4654" s="242">
        <f t="shared" si="1636"/>
        <v>46661</v>
      </c>
      <c r="C4654" s="243">
        <f t="shared" si="1626"/>
        <v>46691</v>
      </c>
      <c r="D4654" s="120">
        <f t="shared" si="1627"/>
        <v>31</v>
      </c>
      <c r="E4654" s="120">
        <f t="shared" si="1628"/>
        <v>10</v>
      </c>
      <c r="F4654" s="275">
        <f t="shared" si="1629"/>
        <v>46676.5</v>
      </c>
      <c r="G4654" s="120">
        <f t="shared" si="1630"/>
        <v>24333</v>
      </c>
      <c r="H4654" s="245">
        <f t="shared" si="1631"/>
        <v>1</v>
      </c>
      <c r="O4654" s="246">
        <f t="shared" si="1632"/>
        <v>0.88497811816192562</v>
      </c>
      <c r="P4654" s="121">
        <f t="shared" si="1633"/>
        <v>0</v>
      </c>
      <c r="Q4654" s="121">
        <f t="shared" si="1634"/>
        <v>0.20833333333333334</v>
      </c>
      <c r="R4654" s="121">
        <f t="shared" si="1635"/>
        <v>0.79166666666666663</v>
      </c>
    </row>
    <row r="4655" spans="1:18" x14ac:dyDescent="0.3">
      <c r="A4655" s="187">
        <v>35</v>
      </c>
      <c r="B4655" s="242">
        <f t="shared" si="1636"/>
        <v>46692</v>
      </c>
      <c r="C4655" s="243">
        <f t="shared" si="1626"/>
        <v>46721</v>
      </c>
      <c r="D4655" s="120">
        <f t="shared" si="1627"/>
        <v>30</v>
      </c>
      <c r="E4655" s="120">
        <f t="shared" si="1628"/>
        <v>11</v>
      </c>
      <c r="F4655" s="275">
        <f t="shared" si="1629"/>
        <v>46707</v>
      </c>
      <c r="G4655" s="120">
        <f t="shared" si="1630"/>
        <v>24334</v>
      </c>
      <c r="H4655" s="245">
        <f t="shared" si="1631"/>
        <v>1</v>
      </c>
      <c r="O4655" s="246">
        <f t="shared" si="1632"/>
        <v>0.8869803063457331</v>
      </c>
      <c r="P4655" s="121">
        <f t="shared" si="1633"/>
        <v>0</v>
      </c>
      <c r="Q4655" s="121">
        <f t="shared" si="1634"/>
        <v>0.125</v>
      </c>
      <c r="R4655" s="121">
        <f t="shared" si="1635"/>
        <v>0.875</v>
      </c>
    </row>
    <row r="4656" spans="1:18" x14ac:dyDescent="0.3">
      <c r="A4656" s="187">
        <v>36</v>
      </c>
      <c r="B4656" s="242">
        <f t="shared" si="1636"/>
        <v>46722</v>
      </c>
      <c r="C4656" s="243">
        <f t="shared" si="1626"/>
        <v>46752</v>
      </c>
      <c r="D4656" s="120">
        <f t="shared" si="1627"/>
        <v>31</v>
      </c>
      <c r="E4656" s="120">
        <f t="shared" si="1628"/>
        <v>12</v>
      </c>
      <c r="F4656" s="275">
        <f t="shared" si="1629"/>
        <v>46737.5</v>
      </c>
      <c r="G4656" s="120">
        <f t="shared" si="1630"/>
        <v>24335</v>
      </c>
      <c r="H4656" s="245">
        <f t="shared" si="1631"/>
        <v>1</v>
      </c>
      <c r="O4656" s="246">
        <f t="shared" si="1632"/>
        <v>0.88898249452954048</v>
      </c>
      <c r="P4656" s="121">
        <f t="shared" si="1633"/>
        <v>0</v>
      </c>
      <c r="Q4656" s="121">
        <f t="shared" si="1634"/>
        <v>4.1666666666666664E-2</v>
      </c>
      <c r="R4656" s="121">
        <f t="shared" si="1635"/>
        <v>0.95833333333333337</v>
      </c>
    </row>
    <row r="4657" spans="1:18" x14ac:dyDescent="0.3">
      <c r="A4657" s="187">
        <v>37</v>
      </c>
      <c r="B4657" s="242">
        <f t="shared" si="1636"/>
        <v>46753</v>
      </c>
      <c r="C4657" s="243">
        <f t="shared" si="1626"/>
        <v>46783</v>
      </c>
      <c r="D4657" s="120">
        <f t="shared" si="1627"/>
        <v>31</v>
      </c>
      <c r="E4657" s="120">
        <f t="shared" si="1628"/>
        <v>1</v>
      </c>
      <c r="F4657" s="275">
        <f t="shared" si="1629"/>
        <v>46768.5</v>
      </c>
      <c r="G4657" s="120">
        <f t="shared" si="1630"/>
        <v>24336</v>
      </c>
      <c r="H4657" s="245">
        <f t="shared" si="1631"/>
        <v>1</v>
      </c>
      <c r="O4657" s="246">
        <f t="shared" si="1632"/>
        <v>0.89</v>
      </c>
      <c r="P4657" s="121">
        <f t="shared" si="1633"/>
        <v>0</v>
      </c>
      <c r="Q4657" s="121">
        <f t="shared" si="1634"/>
        <v>0</v>
      </c>
      <c r="R4657" s="121">
        <f t="shared" si="1635"/>
        <v>0.95833333333333337</v>
      </c>
    </row>
    <row r="4658" spans="1:18" x14ac:dyDescent="0.3">
      <c r="A4658" s="187">
        <v>38</v>
      </c>
      <c r="B4658" s="242">
        <f t="shared" si="1636"/>
        <v>46784</v>
      </c>
      <c r="C4658" s="243">
        <f t="shared" si="1626"/>
        <v>46812</v>
      </c>
      <c r="D4658" s="120">
        <f t="shared" si="1627"/>
        <v>29</v>
      </c>
      <c r="E4658" s="120">
        <f t="shared" si="1628"/>
        <v>2</v>
      </c>
      <c r="F4658" s="275">
        <f t="shared" si="1629"/>
        <v>46798.5</v>
      </c>
      <c r="G4658" s="120">
        <f t="shared" si="1630"/>
        <v>24337</v>
      </c>
      <c r="H4658" s="245">
        <f t="shared" si="1631"/>
        <v>1</v>
      </c>
      <c r="O4658" s="246">
        <f t="shared" si="1632"/>
        <v>0.89</v>
      </c>
      <c r="P4658" s="121">
        <f t="shared" si="1633"/>
        <v>0</v>
      </c>
      <c r="Q4658" s="121">
        <f t="shared" si="1634"/>
        <v>0</v>
      </c>
      <c r="R4658" s="121">
        <f t="shared" si="1635"/>
        <v>0.875</v>
      </c>
    </row>
    <row r="4659" spans="1:18" x14ac:dyDescent="0.3">
      <c r="A4659" s="187">
        <v>39</v>
      </c>
      <c r="B4659" s="242">
        <f t="shared" si="1636"/>
        <v>46813</v>
      </c>
      <c r="C4659" s="243">
        <f t="shared" si="1626"/>
        <v>46843</v>
      </c>
      <c r="D4659" s="120">
        <f t="shared" si="1627"/>
        <v>31</v>
      </c>
      <c r="E4659" s="120">
        <f t="shared" si="1628"/>
        <v>3</v>
      </c>
      <c r="F4659" s="275">
        <f t="shared" si="1629"/>
        <v>46828.5</v>
      </c>
      <c r="G4659" s="120">
        <f t="shared" si="1630"/>
        <v>24338</v>
      </c>
      <c r="H4659" s="245">
        <f t="shared" si="1631"/>
        <v>1</v>
      </c>
      <c r="O4659" s="246">
        <f t="shared" si="1632"/>
        <v>0.89</v>
      </c>
      <c r="P4659" s="121">
        <f t="shared" si="1633"/>
        <v>0</v>
      </c>
      <c r="Q4659" s="121">
        <f t="shared" si="1634"/>
        <v>0</v>
      </c>
      <c r="R4659" s="121">
        <f t="shared" si="1635"/>
        <v>0.79166666666666663</v>
      </c>
    </row>
    <row r="4660" spans="1:18" x14ac:dyDescent="0.3">
      <c r="A4660" s="187">
        <v>40</v>
      </c>
      <c r="B4660" s="242">
        <f t="shared" si="1636"/>
        <v>46844</v>
      </c>
      <c r="C4660" s="243">
        <f t="shared" si="1626"/>
        <v>46873</v>
      </c>
      <c r="D4660" s="120">
        <f t="shared" si="1627"/>
        <v>30</v>
      </c>
      <c r="E4660" s="120">
        <f t="shared" si="1628"/>
        <v>4</v>
      </c>
      <c r="F4660" s="275">
        <f t="shared" si="1629"/>
        <v>46859</v>
      </c>
      <c r="G4660" s="120">
        <f t="shared" si="1630"/>
        <v>24339</v>
      </c>
      <c r="H4660" s="245">
        <f t="shared" si="1631"/>
        <v>1</v>
      </c>
      <c r="O4660" s="246">
        <f t="shared" si="1632"/>
        <v>0.89</v>
      </c>
      <c r="P4660" s="121">
        <f t="shared" si="1633"/>
        <v>0</v>
      </c>
      <c r="Q4660" s="121">
        <f t="shared" si="1634"/>
        <v>0</v>
      </c>
      <c r="R4660" s="121">
        <f t="shared" si="1635"/>
        <v>0.70833333333333337</v>
      </c>
    </row>
    <row r="4661" spans="1:18" x14ac:dyDescent="0.3">
      <c r="A4661" s="187">
        <v>41</v>
      </c>
      <c r="B4661" s="242">
        <f t="shared" si="1636"/>
        <v>46874</v>
      </c>
      <c r="C4661" s="243">
        <f t="shared" si="1626"/>
        <v>46904</v>
      </c>
      <c r="D4661" s="120">
        <f t="shared" si="1627"/>
        <v>31</v>
      </c>
      <c r="E4661" s="120">
        <f t="shared" si="1628"/>
        <v>5</v>
      </c>
      <c r="F4661" s="275">
        <f t="shared" si="1629"/>
        <v>46889.5</v>
      </c>
      <c r="G4661" s="120">
        <f t="shared" si="1630"/>
        <v>24340</v>
      </c>
      <c r="H4661" s="245">
        <f t="shared" si="1631"/>
        <v>1</v>
      </c>
      <c r="O4661" s="246">
        <f t="shared" si="1632"/>
        <v>0.89</v>
      </c>
      <c r="P4661" s="121">
        <f t="shared" si="1633"/>
        <v>0</v>
      </c>
      <c r="Q4661" s="121">
        <f t="shared" si="1634"/>
        <v>0</v>
      </c>
      <c r="R4661" s="121">
        <f t="shared" si="1635"/>
        <v>0.625</v>
      </c>
    </row>
    <row r="4662" spans="1:18" x14ac:dyDescent="0.3">
      <c r="A4662" s="187">
        <v>42</v>
      </c>
      <c r="B4662" s="242">
        <f t="shared" si="1636"/>
        <v>46905</v>
      </c>
      <c r="C4662" s="243">
        <f t="shared" si="1626"/>
        <v>46934</v>
      </c>
      <c r="D4662" s="120">
        <f t="shared" si="1627"/>
        <v>30</v>
      </c>
      <c r="E4662" s="120">
        <f t="shared" si="1628"/>
        <v>6</v>
      </c>
      <c r="F4662" s="275">
        <f t="shared" si="1629"/>
        <v>46920</v>
      </c>
      <c r="G4662" s="120">
        <f t="shared" si="1630"/>
        <v>24341</v>
      </c>
      <c r="H4662" s="245">
        <f t="shared" si="1631"/>
        <v>1</v>
      </c>
      <c r="O4662" s="246">
        <f t="shared" si="1632"/>
        <v>0.89</v>
      </c>
      <c r="P4662" s="121">
        <f t="shared" si="1633"/>
        <v>0</v>
      </c>
      <c r="Q4662" s="121">
        <f t="shared" si="1634"/>
        <v>0</v>
      </c>
      <c r="R4662" s="121">
        <f t="shared" si="1635"/>
        <v>0.54166666666666663</v>
      </c>
    </row>
    <row r="4663" spans="1:18" x14ac:dyDescent="0.3">
      <c r="A4663" s="187">
        <v>43</v>
      </c>
      <c r="B4663" s="242">
        <f t="shared" si="1636"/>
        <v>46935</v>
      </c>
      <c r="C4663" s="243">
        <f t="shared" si="1626"/>
        <v>46965</v>
      </c>
      <c r="D4663" s="120">
        <f t="shared" si="1627"/>
        <v>31</v>
      </c>
      <c r="E4663" s="120">
        <f t="shared" si="1628"/>
        <v>7</v>
      </c>
      <c r="F4663" s="275">
        <f t="shared" si="1629"/>
        <v>46950.5</v>
      </c>
      <c r="G4663" s="120">
        <f t="shared" si="1630"/>
        <v>24342</v>
      </c>
      <c r="H4663" s="245">
        <f t="shared" si="1631"/>
        <v>1</v>
      </c>
      <c r="O4663" s="246">
        <f t="shared" si="1632"/>
        <v>0.89</v>
      </c>
      <c r="P4663" s="121">
        <f t="shared" si="1633"/>
        <v>0</v>
      </c>
      <c r="Q4663" s="121">
        <f t="shared" si="1634"/>
        <v>0</v>
      </c>
      <c r="R4663" s="121">
        <f t="shared" si="1635"/>
        <v>0.45833333333333331</v>
      </c>
    </row>
    <row r="4664" spans="1:18" x14ac:dyDescent="0.3">
      <c r="A4664" s="187">
        <v>44</v>
      </c>
      <c r="B4664" s="242">
        <f t="shared" si="1636"/>
        <v>46966</v>
      </c>
      <c r="C4664" s="243">
        <f t="shared" si="1626"/>
        <v>46996</v>
      </c>
      <c r="D4664" s="120">
        <f t="shared" si="1627"/>
        <v>31</v>
      </c>
      <c r="E4664" s="120">
        <f t="shared" si="1628"/>
        <v>8</v>
      </c>
      <c r="F4664" s="275">
        <f t="shared" si="1629"/>
        <v>46981.5</v>
      </c>
      <c r="G4664" s="120">
        <f t="shared" si="1630"/>
        <v>24343</v>
      </c>
      <c r="H4664" s="245">
        <f t="shared" si="1631"/>
        <v>1</v>
      </c>
      <c r="O4664" s="246">
        <f t="shared" si="1632"/>
        <v>0.89</v>
      </c>
      <c r="P4664" s="121">
        <f t="shared" si="1633"/>
        <v>0</v>
      </c>
      <c r="Q4664" s="121">
        <f t="shared" si="1634"/>
        <v>0</v>
      </c>
      <c r="R4664" s="121">
        <f t="shared" si="1635"/>
        <v>0.375</v>
      </c>
    </row>
    <row r="4665" spans="1:18" x14ac:dyDescent="0.3">
      <c r="A4665" s="187">
        <v>45</v>
      </c>
      <c r="B4665" s="242">
        <f t="shared" si="1636"/>
        <v>46997</v>
      </c>
      <c r="C4665" s="243">
        <f t="shared" si="1626"/>
        <v>47026</v>
      </c>
      <c r="D4665" s="120">
        <f t="shared" si="1627"/>
        <v>30</v>
      </c>
      <c r="E4665" s="120">
        <f t="shared" si="1628"/>
        <v>9</v>
      </c>
      <c r="F4665" s="275">
        <f t="shared" si="1629"/>
        <v>47012</v>
      </c>
      <c r="G4665" s="120">
        <f t="shared" si="1630"/>
        <v>24344</v>
      </c>
      <c r="H4665" s="245">
        <f t="shared" si="1631"/>
        <v>1</v>
      </c>
      <c r="O4665" s="246">
        <f t="shared" si="1632"/>
        <v>0.89</v>
      </c>
      <c r="P4665" s="121">
        <f t="shared" si="1633"/>
        <v>0</v>
      </c>
      <c r="Q4665" s="121">
        <f t="shared" si="1634"/>
        <v>0</v>
      </c>
      <c r="R4665" s="121">
        <f t="shared" si="1635"/>
        <v>0.29166666666666669</v>
      </c>
    </row>
    <row r="4666" spans="1:18" x14ac:dyDescent="0.3">
      <c r="A4666" s="187">
        <v>46</v>
      </c>
      <c r="B4666" s="242">
        <f t="shared" si="1636"/>
        <v>47027</v>
      </c>
      <c r="C4666" s="243">
        <f t="shared" si="1626"/>
        <v>47057</v>
      </c>
      <c r="D4666" s="120">
        <f t="shared" si="1627"/>
        <v>31</v>
      </c>
      <c r="E4666" s="120">
        <f t="shared" si="1628"/>
        <v>10</v>
      </c>
      <c r="F4666" s="275">
        <f t="shared" si="1629"/>
        <v>47042.5</v>
      </c>
      <c r="G4666" s="120">
        <f t="shared" si="1630"/>
        <v>24345</v>
      </c>
      <c r="H4666" s="245">
        <f t="shared" si="1631"/>
        <v>1</v>
      </c>
      <c r="O4666" s="246">
        <f t="shared" si="1632"/>
        <v>0.89</v>
      </c>
      <c r="P4666" s="121">
        <f t="shared" si="1633"/>
        <v>0</v>
      </c>
      <c r="Q4666" s="121">
        <f t="shared" si="1634"/>
        <v>0</v>
      </c>
      <c r="R4666" s="121">
        <f t="shared" si="1635"/>
        <v>0.20833333333333334</v>
      </c>
    </row>
    <row r="4667" spans="1:18" x14ac:dyDescent="0.3">
      <c r="A4667" s="187">
        <v>47</v>
      </c>
      <c r="B4667" s="242">
        <f t="shared" si="1636"/>
        <v>47058</v>
      </c>
      <c r="C4667" s="243">
        <f t="shared" si="1626"/>
        <v>47087</v>
      </c>
      <c r="D4667" s="120">
        <f t="shared" si="1627"/>
        <v>30</v>
      </c>
      <c r="E4667" s="120">
        <f t="shared" si="1628"/>
        <v>11</v>
      </c>
      <c r="F4667" s="275">
        <f t="shared" si="1629"/>
        <v>47073</v>
      </c>
      <c r="G4667" s="120">
        <f t="shared" si="1630"/>
        <v>24346</v>
      </c>
      <c r="H4667" s="245">
        <f t="shared" si="1631"/>
        <v>1</v>
      </c>
      <c r="O4667" s="246">
        <f t="shared" si="1632"/>
        <v>0.89</v>
      </c>
      <c r="P4667" s="121">
        <f t="shared" si="1633"/>
        <v>0</v>
      </c>
      <c r="Q4667" s="121">
        <f t="shared" si="1634"/>
        <v>0</v>
      </c>
      <c r="R4667" s="121">
        <f t="shared" si="1635"/>
        <v>0.125</v>
      </c>
    </row>
    <row r="4668" spans="1:18" x14ac:dyDescent="0.3">
      <c r="A4668" s="187">
        <v>48</v>
      </c>
      <c r="B4668" s="242">
        <f t="shared" si="1636"/>
        <v>47088</v>
      </c>
      <c r="C4668" s="243">
        <f t="shared" si="1626"/>
        <v>47118</v>
      </c>
      <c r="D4668" s="120">
        <f t="shared" si="1627"/>
        <v>31</v>
      </c>
      <c r="E4668" s="120">
        <f t="shared" si="1628"/>
        <v>12</v>
      </c>
      <c r="F4668" s="275">
        <f t="shared" si="1629"/>
        <v>47103.5</v>
      </c>
      <c r="G4668" s="120">
        <f t="shared" si="1630"/>
        <v>24347</v>
      </c>
      <c r="H4668" s="245">
        <f t="shared" si="1631"/>
        <v>1</v>
      </c>
      <c r="O4668" s="246">
        <f t="shared" si="1632"/>
        <v>0.89</v>
      </c>
      <c r="P4668" s="121">
        <f t="shared" si="1633"/>
        <v>0</v>
      </c>
      <c r="Q4668" s="121">
        <f t="shared" si="1634"/>
        <v>0</v>
      </c>
      <c r="R4668" s="121">
        <f t="shared" si="1635"/>
        <v>4.1666666666666664E-2</v>
      </c>
    </row>
    <row r="4669" spans="1:18" x14ac:dyDescent="0.3">
      <c r="B4669" s="224">
        <f>SUMPRODUCT($H$4621:$H$4668,$Q$4621:$Q$4668,$O$4621:$O$4668)/SUMPRODUCT($H$4621:$H$4668,$Q$4621:$Q$4668)</f>
        <v>0.8659874179431073</v>
      </c>
    </row>
    <row r="4672" spans="1:18" x14ac:dyDescent="0.3">
      <c r="A4672" s="270" t="s">
        <v>1710</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6" t="s">
        <v>1711</v>
      </c>
      <c r="T4674" s="276" t="s">
        <v>1712</v>
      </c>
      <c r="U4674" s="276" t="s">
        <v>1713</v>
      </c>
    </row>
    <row r="4675" spans="1:21" x14ac:dyDescent="0.3">
      <c r="A4675" s="187">
        <v>1</v>
      </c>
      <c r="B4675" s="242">
        <f>DATE(nr_PlanYear-2,1,1)</f>
        <v>45658</v>
      </c>
      <c r="C4675" s="243">
        <f t="shared" ref="C4675:C4722" si="1637">EOMONTH($B4675,0)</f>
        <v>45688</v>
      </c>
      <c r="D4675" s="120">
        <f t="shared" ref="D4675:D4722" si="1638">$C4675-$B4675+1</f>
        <v>31</v>
      </c>
      <c r="E4675" s="120">
        <f t="shared" ref="E4675:E4722" si="1639">MONTH($B4675)</f>
        <v>1</v>
      </c>
      <c r="F4675" s="275">
        <f t="shared" ref="F4675:F4722" si="1640">($B4675+$C4675+1)/2</f>
        <v>45673.5</v>
      </c>
      <c r="G4675" s="120">
        <f t="shared" ref="G4675:G4722" si="1641">YEAR($B4675)*12+MONTH($B4675)-1</f>
        <v>24300</v>
      </c>
      <c r="H4675" s="245">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46">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87">
        <v>2</v>
      </c>
      <c r="B4676" s="242">
        <f t="shared" ref="B4676:B4722" si="1654">EDATE($B4675,1)</f>
        <v>45689</v>
      </c>
      <c r="C4676" s="243">
        <f t="shared" si="1637"/>
        <v>45716</v>
      </c>
      <c r="D4676" s="120">
        <f t="shared" si="1638"/>
        <v>28</v>
      </c>
      <c r="E4676" s="120">
        <f t="shared" si="1639"/>
        <v>2</v>
      </c>
      <c r="F4676" s="275">
        <f t="shared" si="1640"/>
        <v>45703</v>
      </c>
      <c r="G4676" s="120">
        <f t="shared" si="1641"/>
        <v>24301</v>
      </c>
      <c r="H4676" s="245">
        <f t="shared" si="1642"/>
        <v>1</v>
      </c>
      <c r="I4676" s="121">
        <f t="shared" si="1643"/>
        <v>1</v>
      </c>
      <c r="J4676" s="121">
        <f t="shared" si="1644"/>
        <v>1</v>
      </c>
      <c r="K4676" s="120">
        <f t="shared" si="1645"/>
        <v>0</v>
      </c>
      <c r="L4676" s="120">
        <f t="shared" si="1646"/>
        <v>0</v>
      </c>
      <c r="M4676" s="246">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87">
        <v>3</v>
      </c>
      <c r="B4677" s="242">
        <f t="shared" si="1654"/>
        <v>45717</v>
      </c>
      <c r="C4677" s="243">
        <f t="shared" si="1637"/>
        <v>45747</v>
      </c>
      <c r="D4677" s="120">
        <f t="shared" si="1638"/>
        <v>31</v>
      </c>
      <c r="E4677" s="120">
        <f t="shared" si="1639"/>
        <v>3</v>
      </c>
      <c r="F4677" s="275">
        <f t="shared" si="1640"/>
        <v>45732.5</v>
      </c>
      <c r="G4677" s="120">
        <f t="shared" si="1641"/>
        <v>24302</v>
      </c>
      <c r="H4677" s="245">
        <f t="shared" si="1642"/>
        <v>1</v>
      </c>
      <c r="I4677" s="121">
        <f t="shared" si="1643"/>
        <v>1</v>
      </c>
      <c r="J4677" s="121">
        <f t="shared" si="1644"/>
        <v>1</v>
      </c>
      <c r="K4677" s="120">
        <f t="shared" si="1645"/>
        <v>0</v>
      </c>
      <c r="L4677" s="120">
        <f t="shared" si="1646"/>
        <v>0</v>
      </c>
      <c r="M4677" s="246">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87">
        <v>4</v>
      </c>
      <c r="B4678" s="242">
        <f t="shared" si="1654"/>
        <v>45748</v>
      </c>
      <c r="C4678" s="243">
        <f t="shared" si="1637"/>
        <v>45777</v>
      </c>
      <c r="D4678" s="120">
        <f t="shared" si="1638"/>
        <v>30</v>
      </c>
      <c r="E4678" s="120">
        <f t="shared" si="1639"/>
        <v>4</v>
      </c>
      <c r="F4678" s="275">
        <f t="shared" si="1640"/>
        <v>45763</v>
      </c>
      <c r="G4678" s="120">
        <f t="shared" si="1641"/>
        <v>24303</v>
      </c>
      <c r="H4678" s="245">
        <f t="shared" si="1642"/>
        <v>1</v>
      </c>
      <c r="I4678" s="121">
        <f t="shared" si="1643"/>
        <v>1</v>
      </c>
      <c r="J4678" s="121">
        <f t="shared" si="1644"/>
        <v>1</v>
      </c>
      <c r="K4678" s="120">
        <f t="shared" si="1645"/>
        <v>0</v>
      </c>
      <c r="L4678" s="120">
        <f t="shared" si="1646"/>
        <v>0</v>
      </c>
      <c r="M4678" s="246">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87">
        <v>5</v>
      </c>
      <c r="B4679" s="242">
        <f t="shared" si="1654"/>
        <v>45778</v>
      </c>
      <c r="C4679" s="243">
        <f t="shared" si="1637"/>
        <v>45808</v>
      </c>
      <c r="D4679" s="120">
        <f t="shared" si="1638"/>
        <v>31</v>
      </c>
      <c r="E4679" s="120">
        <f t="shared" si="1639"/>
        <v>5</v>
      </c>
      <c r="F4679" s="275">
        <f t="shared" si="1640"/>
        <v>45793.5</v>
      </c>
      <c r="G4679" s="120">
        <f t="shared" si="1641"/>
        <v>24304</v>
      </c>
      <c r="H4679" s="245">
        <f t="shared" si="1642"/>
        <v>1</v>
      </c>
      <c r="I4679" s="121">
        <f t="shared" si="1643"/>
        <v>1</v>
      </c>
      <c r="J4679" s="121">
        <f t="shared" si="1644"/>
        <v>1</v>
      </c>
      <c r="K4679" s="120">
        <f t="shared" si="1645"/>
        <v>0</v>
      </c>
      <c r="L4679" s="120">
        <f t="shared" si="1646"/>
        <v>0</v>
      </c>
      <c r="M4679" s="246">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87">
        <v>6</v>
      </c>
      <c r="B4680" s="242">
        <f t="shared" si="1654"/>
        <v>45809</v>
      </c>
      <c r="C4680" s="243">
        <f t="shared" si="1637"/>
        <v>45838</v>
      </c>
      <c r="D4680" s="120">
        <f t="shared" si="1638"/>
        <v>30</v>
      </c>
      <c r="E4680" s="120">
        <f t="shared" si="1639"/>
        <v>6</v>
      </c>
      <c r="F4680" s="275">
        <f t="shared" si="1640"/>
        <v>45824</v>
      </c>
      <c r="G4680" s="120">
        <f t="shared" si="1641"/>
        <v>24305</v>
      </c>
      <c r="H4680" s="245">
        <f t="shared" si="1642"/>
        <v>1</v>
      </c>
      <c r="I4680" s="121">
        <f t="shared" si="1643"/>
        <v>1</v>
      </c>
      <c r="J4680" s="121">
        <f t="shared" si="1644"/>
        <v>1</v>
      </c>
      <c r="K4680" s="120">
        <f t="shared" si="1645"/>
        <v>0</v>
      </c>
      <c r="L4680" s="120">
        <f t="shared" si="1646"/>
        <v>0</v>
      </c>
      <c r="M4680" s="246">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87">
        <v>7</v>
      </c>
      <c r="B4681" s="242">
        <f t="shared" si="1654"/>
        <v>45839</v>
      </c>
      <c r="C4681" s="243">
        <f t="shared" si="1637"/>
        <v>45869</v>
      </c>
      <c r="D4681" s="120">
        <f t="shared" si="1638"/>
        <v>31</v>
      </c>
      <c r="E4681" s="120">
        <f t="shared" si="1639"/>
        <v>7</v>
      </c>
      <c r="F4681" s="275">
        <f t="shared" si="1640"/>
        <v>45854.5</v>
      </c>
      <c r="G4681" s="120">
        <f t="shared" si="1641"/>
        <v>24306</v>
      </c>
      <c r="H4681" s="245">
        <f t="shared" si="1642"/>
        <v>1</v>
      </c>
      <c r="I4681" s="121">
        <f t="shared" si="1643"/>
        <v>1</v>
      </c>
      <c r="J4681" s="121">
        <f t="shared" si="1644"/>
        <v>1.04</v>
      </c>
      <c r="K4681" s="120">
        <f t="shared" si="1645"/>
        <v>1</v>
      </c>
      <c r="L4681" s="120">
        <f t="shared" si="1646"/>
        <v>31</v>
      </c>
      <c r="M4681" s="246">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87">
        <v>8</v>
      </c>
      <c r="B4682" s="242">
        <f t="shared" si="1654"/>
        <v>45870</v>
      </c>
      <c r="C4682" s="243">
        <f t="shared" si="1637"/>
        <v>45900</v>
      </c>
      <c r="D4682" s="120">
        <f t="shared" si="1638"/>
        <v>31</v>
      </c>
      <c r="E4682" s="120">
        <f t="shared" si="1639"/>
        <v>8</v>
      </c>
      <c r="F4682" s="275">
        <f t="shared" si="1640"/>
        <v>45885.5</v>
      </c>
      <c r="G4682" s="120">
        <f t="shared" si="1641"/>
        <v>24307</v>
      </c>
      <c r="H4682" s="245">
        <f t="shared" si="1642"/>
        <v>1</v>
      </c>
      <c r="I4682" s="121">
        <f t="shared" si="1643"/>
        <v>1.04</v>
      </c>
      <c r="J4682" s="121">
        <f t="shared" si="1644"/>
        <v>1.04</v>
      </c>
      <c r="K4682" s="120">
        <f t="shared" si="1645"/>
        <v>0</v>
      </c>
      <c r="L4682" s="120">
        <f t="shared" si="1646"/>
        <v>0</v>
      </c>
      <c r="M4682" s="246">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87">
        <v>9</v>
      </c>
      <c r="B4683" s="242">
        <f t="shared" si="1654"/>
        <v>45901</v>
      </c>
      <c r="C4683" s="243">
        <f t="shared" si="1637"/>
        <v>45930</v>
      </c>
      <c r="D4683" s="120">
        <f t="shared" si="1638"/>
        <v>30</v>
      </c>
      <c r="E4683" s="120">
        <f t="shared" si="1639"/>
        <v>9</v>
      </c>
      <c r="F4683" s="275">
        <f t="shared" si="1640"/>
        <v>45916</v>
      </c>
      <c r="G4683" s="120">
        <f t="shared" si="1641"/>
        <v>24308</v>
      </c>
      <c r="H4683" s="245">
        <f t="shared" si="1642"/>
        <v>1</v>
      </c>
      <c r="I4683" s="121">
        <f t="shared" si="1643"/>
        <v>1.04</v>
      </c>
      <c r="J4683" s="121">
        <f t="shared" si="1644"/>
        <v>1.04</v>
      </c>
      <c r="K4683" s="120">
        <f t="shared" si="1645"/>
        <v>0</v>
      </c>
      <c r="L4683" s="120">
        <f t="shared" si="1646"/>
        <v>0</v>
      </c>
      <c r="M4683" s="246">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87">
        <v>10</v>
      </c>
      <c r="B4684" s="242">
        <f t="shared" si="1654"/>
        <v>45931</v>
      </c>
      <c r="C4684" s="243">
        <f t="shared" si="1637"/>
        <v>45961</v>
      </c>
      <c r="D4684" s="120">
        <f t="shared" si="1638"/>
        <v>31</v>
      </c>
      <c r="E4684" s="120">
        <f t="shared" si="1639"/>
        <v>10</v>
      </c>
      <c r="F4684" s="275">
        <f t="shared" si="1640"/>
        <v>45946.5</v>
      </c>
      <c r="G4684" s="120">
        <f t="shared" si="1641"/>
        <v>24309</v>
      </c>
      <c r="H4684" s="245">
        <f t="shared" si="1642"/>
        <v>1</v>
      </c>
      <c r="I4684" s="121">
        <f t="shared" si="1643"/>
        <v>1.04</v>
      </c>
      <c r="J4684" s="121">
        <f t="shared" si="1644"/>
        <v>1.04</v>
      </c>
      <c r="K4684" s="120">
        <f t="shared" si="1645"/>
        <v>0</v>
      </c>
      <c r="L4684" s="120">
        <f t="shared" si="1646"/>
        <v>0</v>
      </c>
      <c r="M4684" s="246">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87">
        <v>11</v>
      </c>
      <c r="B4685" s="242">
        <f t="shared" si="1654"/>
        <v>45962</v>
      </c>
      <c r="C4685" s="243">
        <f t="shared" si="1637"/>
        <v>45991</v>
      </c>
      <c r="D4685" s="120">
        <f t="shared" si="1638"/>
        <v>30</v>
      </c>
      <c r="E4685" s="120">
        <f t="shared" si="1639"/>
        <v>11</v>
      </c>
      <c r="F4685" s="275">
        <f t="shared" si="1640"/>
        <v>45977</v>
      </c>
      <c r="G4685" s="120">
        <f t="shared" si="1641"/>
        <v>24310</v>
      </c>
      <c r="H4685" s="245">
        <f t="shared" si="1642"/>
        <v>1</v>
      </c>
      <c r="I4685" s="121">
        <f t="shared" si="1643"/>
        <v>1.04</v>
      </c>
      <c r="J4685" s="121">
        <f t="shared" si="1644"/>
        <v>1.04</v>
      </c>
      <c r="K4685" s="120">
        <f t="shared" si="1645"/>
        <v>0</v>
      </c>
      <c r="L4685" s="120">
        <f t="shared" si="1646"/>
        <v>0</v>
      </c>
      <c r="M4685" s="246">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87">
        <v>12</v>
      </c>
      <c r="B4686" s="242">
        <f t="shared" si="1654"/>
        <v>45992</v>
      </c>
      <c r="C4686" s="243">
        <f t="shared" si="1637"/>
        <v>46022</v>
      </c>
      <c r="D4686" s="120">
        <f t="shared" si="1638"/>
        <v>31</v>
      </c>
      <c r="E4686" s="120">
        <f t="shared" si="1639"/>
        <v>12</v>
      </c>
      <c r="F4686" s="275">
        <f t="shared" si="1640"/>
        <v>46007.5</v>
      </c>
      <c r="G4686" s="120">
        <f t="shared" si="1641"/>
        <v>24311</v>
      </c>
      <c r="H4686" s="245">
        <f t="shared" si="1642"/>
        <v>1</v>
      </c>
      <c r="I4686" s="121">
        <f t="shared" si="1643"/>
        <v>1.04</v>
      </c>
      <c r="J4686" s="121">
        <f t="shared" si="1644"/>
        <v>1.04</v>
      </c>
      <c r="K4686" s="120">
        <f t="shared" si="1645"/>
        <v>0</v>
      </c>
      <c r="L4686" s="120">
        <f t="shared" si="1646"/>
        <v>0</v>
      </c>
      <c r="M4686" s="246">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87">
        <v>13</v>
      </c>
      <c r="B4687" s="242">
        <f t="shared" si="1654"/>
        <v>46023</v>
      </c>
      <c r="C4687" s="243">
        <f t="shared" si="1637"/>
        <v>46053</v>
      </c>
      <c r="D4687" s="120">
        <f t="shared" si="1638"/>
        <v>31</v>
      </c>
      <c r="E4687" s="120">
        <f t="shared" si="1639"/>
        <v>1</v>
      </c>
      <c r="F4687" s="275">
        <f t="shared" si="1640"/>
        <v>46038.5</v>
      </c>
      <c r="G4687" s="120">
        <f t="shared" si="1641"/>
        <v>24312</v>
      </c>
      <c r="H4687" s="245">
        <f t="shared" si="1642"/>
        <v>1</v>
      </c>
      <c r="I4687" s="121">
        <f t="shared" si="1643"/>
        <v>1.04</v>
      </c>
      <c r="J4687" s="121">
        <f t="shared" si="1644"/>
        <v>1.04</v>
      </c>
      <c r="K4687" s="120">
        <f t="shared" si="1645"/>
        <v>0</v>
      </c>
      <c r="L4687" s="120">
        <f t="shared" si="1646"/>
        <v>0</v>
      </c>
      <c r="M4687" s="246">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87">
        <v>14</v>
      </c>
      <c r="B4688" s="242">
        <f t="shared" si="1654"/>
        <v>46054</v>
      </c>
      <c r="C4688" s="243">
        <f t="shared" si="1637"/>
        <v>46081</v>
      </c>
      <c r="D4688" s="120">
        <f t="shared" si="1638"/>
        <v>28</v>
      </c>
      <c r="E4688" s="120">
        <f t="shared" si="1639"/>
        <v>2</v>
      </c>
      <c r="F4688" s="275">
        <f t="shared" si="1640"/>
        <v>46068</v>
      </c>
      <c r="G4688" s="120">
        <f t="shared" si="1641"/>
        <v>24313</v>
      </c>
      <c r="H4688" s="245">
        <f t="shared" si="1642"/>
        <v>1</v>
      </c>
      <c r="I4688" s="121">
        <f t="shared" si="1643"/>
        <v>1.04</v>
      </c>
      <c r="J4688" s="121">
        <f t="shared" si="1644"/>
        <v>1.04</v>
      </c>
      <c r="K4688" s="120">
        <f t="shared" si="1645"/>
        <v>0</v>
      </c>
      <c r="L4688" s="120">
        <f t="shared" si="1646"/>
        <v>0</v>
      </c>
      <c r="M4688" s="246">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87">
        <v>15</v>
      </c>
      <c r="B4689" s="242">
        <f t="shared" si="1654"/>
        <v>46082</v>
      </c>
      <c r="C4689" s="243">
        <f t="shared" si="1637"/>
        <v>46112</v>
      </c>
      <c r="D4689" s="120">
        <f t="shared" si="1638"/>
        <v>31</v>
      </c>
      <c r="E4689" s="120">
        <f t="shared" si="1639"/>
        <v>3</v>
      </c>
      <c r="F4689" s="275">
        <f t="shared" si="1640"/>
        <v>46097.5</v>
      </c>
      <c r="G4689" s="120">
        <f t="shared" si="1641"/>
        <v>24314</v>
      </c>
      <c r="H4689" s="245">
        <f t="shared" si="1642"/>
        <v>1</v>
      </c>
      <c r="I4689" s="121">
        <f t="shared" si="1643"/>
        <v>1.04</v>
      </c>
      <c r="J4689" s="121">
        <f t="shared" si="1644"/>
        <v>1.04</v>
      </c>
      <c r="K4689" s="120">
        <f t="shared" si="1645"/>
        <v>0</v>
      </c>
      <c r="L4689" s="120">
        <f t="shared" si="1646"/>
        <v>0</v>
      </c>
      <c r="M4689" s="246">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87">
        <v>16</v>
      </c>
      <c r="B4690" s="242">
        <f t="shared" si="1654"/>
        <v>46113</v>
      </c>
      <c r="C4690" s="243">
        <f t="shared" si="1637"/>
        <v>46142</v>
      </c>
      <c r="D4690" s="120">
        <f t="shared" si="1638"/>
        <v>30</v>
      </c>
      <c r="E4690" s="120">
        <f t="shared" si="1639"/>
        <v>4</v>
      </c>
      <c r="F4690" s="275">
        <f t="shared" si="1640"/>
        <v>46128</v>
      </c>
      <c r="G4690" s="120">
        <f t="shared" si="1641"/>
        <v>24315</v>
      </c>
      <c r="H4690" s="245">
        <f t="shared" si="1642"/>
        <v>1</v>
      </c>
      <c r="I4690" s="121">
        <f t="shared" si="1643"/>
        <v>1.04</v>
      </c>
      <c r="J4690" s="121">
        <f t="shared" si="1644"/>
        <v>1.04</v>
      </c>
      <c r="K4690" s="120">
        <f t="shared" si="1645"/>
        <v>0</v>
      </c>
      <c r="L4690" s="120">
        <f t="shared" si="1646"/>
        <v>0</v>
      </c>
      <c r="M4690" s="246">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87">
        <v>17</v>
      </c>
      <c r="B4691" s="242">
        <f t="shared" si="1654"/>
        <v>46143</v>
      </c>
      <c r="C4691" s="243">
        <f t="shared" si="1637"/>
        <v>46173</v>
      </c>
      <c r="D4691" s="120">
        <f t="shared" si="1638"/>
        <v>31</v>
      </c>
      <c r="E4691" s="120">
        <f t="shared" si="1639"/>
        <v>5</v>
      </c>
      <c r="F4691" s="275">
        <f t="shared" si="1640"/>
        <v>46158.5</v>
      </c>
      <c r="G4691" s="120">
        <f t="shared" si="1641"/>
        <v>24316</v>
      </c>
      <c r="H4691" s="245">
        <f t="shared" si="1642"/>
        <v>1</v>
      </c>
      <c r="I4691" s="121">
        <f t="shared" si="1643"/>
        <v>1.04</v>
      </c>
      <c r="J4691" s="121">
        <f t="shared" si="1644"/>
        <v>1.04</v>
      </c>
      <c r="K4691" s="120">
        <f t="shared" si="1645"/>
        <v>0</v>
      </c>
      <c r="L4691" s="120">
        <f t="shared" si="1646"/>
        <v>0</v>
      </c>
      <c r="M4691" s="246">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87">
        <v>18</v>
      </c>
      <c r="B4692" s="242">
        <f t="shared" si="1654"/>
        <v>46174</v>
      </c>
      <c r="C4692" s="243">
        <f t="shared" si="1637"/>
        <v>46203</v>
      </c>
      <c r="D4692" s="120">
        <f t="shared" si="1638"/>
        <v>30</v>
      </c>
      <c r="E4692" s="120">
        <f t="shared" si="1639"/>
        <v>6</v>
      </c>
      <c r="F4692" s="275">
        <f t="shared" si="1640"/>
        <v>46189</v>
      </c>
      <c r="G4692" s="120">
        <f t="shared" si="1641"/>
        <v>24317</v>
      </c>
      <c r="H4692" s="245">
        <f t="shared" si="1642"/>
        <v>1</v>
      </c>
      <c r="I4692" s="121">
        <f t="shared" si="1643"/>
        <v>1.04</v>
      </c>
      <c r="J4692" s="121">
        <f t="shared" si="1644"/>
        <v>1.04</v>
      </c>
      <c r="K4692" s="120">
        <f t="shared" si="1645"/>
        <v>0</v>
      </c>
      <c r="L4692" s="120">
        <f t="shared" si="1646"/>
        <v>0</v>
      </c>
      <c r="M4692" s="246">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87">
        <v>19</v>
      </c>
      <c r="B4693" s="242">
        <f t="shared" si="1654"/>
        <v>46204</v>
      </c>
      <c r="C4693" s="243">
        <f t="shared" si="1637"/>
        <v>46234</v>
      </c>
      <c r="D4693" s="120">
        <f t="shared" si="1638"/>
        <v>31</v>
      </c>
      <c r="E4693" s="120">
        <f t="shared" si="1639"/>
        <v>7</v>
      </c>
      <c r="F4693" s="275">
        <f t="shared" si="1640"/>
        <v>46219.5</v>
      </c>
      <c r="G4693" s="120">
        <f t="shared" si="1641"/>
        <v>24318</v>
      </c>
      <c r="H4693" s="245">
        <f t="shared" si="1642"/>
        <v>1</v>
      </c>
      <c r="I4693" s="121">
        <f t="shared" si="1643"/>
        <v>1.04</v>
      </c>
      <c r="J4693" s="121">
        <f t="shared" si="1644"/>
        <v>1.1024</v>
      </c>
      <c r="K4693" s="120">
        <f t="shared" si="1645"/>
        <v>1</v>
      </c>
      <c r="L4693" s="120">
        <f t="shared" si="1646"/>
        <v>31</v>
      </c>
      <c r="M4693" s="246">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87">
        <v>20</v>
      </c>
      <c r="B4694" s="242">
        <f t="shared" si="1654"/>
        <v>46235</v>
      </c>
      <c r="C4694" s="243">
        <f t="shared" si="1637"/>
        <v>46265</v>
      </c>
      <c r="D4694" s="120">
        <f t="shared" si="1638"/>
        <v>31</v>
      </c>
      <c r="E4694" s="120">
        <f t="shared" si="1639"/>
        <v>8</v>
      </c>
      <c r="F4694" s="275">
        <f t="shared" si="1640"/>
        <v>46250.5</v>
      </c>
      <c r="G4694" s="120">
        <f t="shared" si="1641"/>
        <v>24319</v>
      </c>
      <c r="H4694" s="245">
        <f t="shared" si="1642"/>
        <v>1</v>
      </c>
      <c r="I4694" s="121">
        <f t="shared" si="1643"/>
        <v>1.1024</v>
      </c>
      <c r="J4694" s="121">
        <f t="shared" si="1644"/>
        <v>1.1024</v>
      </c>
      <c r="K4694" s="120">
        <f t="shared" si="1645"/>
        <v>0</v>
      </c>
      <c r="L4694" s="120">
        <f t="shared" si="1646"/>
        <v>0</v>
      </c>
      <c r="M4694" s="246">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87">
        <v>21</v>
      </c>
      <c r="B4695" s="242">
        <f t="shared" si="1654"/>
        <v>46266</v>
      </c>
      <c r="C4695" s="243">
        <f t="shared" si="1637"/>
        <v>46295</v>
      </c>
      <c r="D4695" s="120">
        <f t="shared" si="1638"/>
        <v>30</v>
      </c>
      <c r="E4695" s="120">
        <f t="shared" si="1639"/>
        <v>9</v>
      </c>
      <c r="F4695" s="275">
        <f t="shared" si="1640"/>
        <v>46281</v>
      </c>
      <c r="G4695" s="120">
        <f t="shared" si="1641"/>
        <v>24320</v>
      </c>
      <c r="H4695" s="245">
        <f t="shared" si="1642"/>
        <v>1</v>
      </c>
      <c r="I4695" s="121">
        <f t="shared" si="1643"/>
        <v>1.1024</v>
      </c>
      <c r="J4695" s="121">
        <f t="shared" si="1644"/>
        <v>1.1024</v>
      </c>
      <c r="K4695" s="120">
        <f t="shared" si="1645"/>
        <v>0</v>
      </c>
      <c r="L4695" s="120">
        <f t="shared" si="1646"/>
        <v>0</v>
      </c>
      <c r="M4695" s="246">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87">
        <v>22</v>
      </c>
      <c r="B4696" s="242">
        <f t="shared" si="1654"/>
        <v>46296</v>
      </c>
      <c r="C4696" s="243">
        <f t="shared" si="1637"/>
        <v>46326</v>
      </c>
      <c r="D4696" s="120">
        <f t="shared" si="1638"/>
        <v>31</v>
      </c>
      <c r="E4696" s="120">
        <f t="shared" si="1639"/>
        <v>10</v>
      </c>
      <c r="F4696" s="275">
        <f t="shared" si="1640"/>
        <v>46311.5</v>
      </c>
      <c r="G4696" s="120">
        <f t="shared" si="1641"/>
        <v>24321</v>
      </c>
      <c r="H4696" s="245">
        <f t="shared" si="1642"/>
        <v>1</v>
      </c>
      <c r="I4696" s="121">
        <f t="shared" si="1643"/>
        <v>1.1024</v>
      </c>
      <c r="J4696" s="121">
        <f t="shared" si="1644"/>
        <v>1.1024</v>
      </c>
      <c r="K4696" s="120">
        <f t="shared" si="1645"/>
        <v>0</v>
      </c>
      <c r="L4696" s="120">
        <f t="shared" si="1646"/>
        <v>0</v>
      </c>
      <c r="M4696" s="246">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87">
        <v>23</v>
      </c>
      <c r="B4697" s="242">
        <f t="shared" si="1654"/>
        <v>46327</v>
      </c>
      <c r="C4697" s="243">
        <f t="shared" si="1637"/>
        <v>46356</v>
      </c>
      <c r="D4697" s="120">
        <f t="shared" si="1638"/>
        <v>30</v>
      </c>
      <c r="E4697" s="120">
        <f t="shared" si="1639"/>
        <v>11</v>
      </c>
      <c r="F4697" s="275">
        <f t="shared" si="1640"/>
        <v>46342</v>
      </c>
      <c r="G4697" s="120">
        <f t="shared" si="1641"/>
        <v>24322</v>
      </c>
      <c r="H4697" s="245">
        <f t="shared" si="1642"/>
        <v>1</v>
      </c>
      <c r="I4697" s="121">
        <f t="shared" si="1643"/>
        <v>1.1024</v>
      </c>
      <c r="J4697" s="121">
        <f t="shared" si="1644"/>
        <v>1.1024</v>
      </c>
      <c r="K4697" s="120">
        <f t="shared" si="1645"/>
        <v>0</v>
      </c>
      <c r="L4697" s="120">
        <f t="shared" si="1646"/>
        <v>0</v>
      </c>
      <c r="M4697" s="246">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87">
        <v>24</v>
      </c>
      <c r="B4698" s="242">
        <f t="shared" si="1654"/>
        <v>46357</v>
      </c>
      <c r="C4698" s="243">
        <f t="shared" si="1637"/>
        <v>46387</v>
      </c>
      <c r="D4698" s="120">
        <f t="shared" si="1638"/>
        <v>31</v>
      </c>
      <c r="E4698" s="120">
        <f t="shared" si="1639"/>
        <v>12</v>
      </c>
      <c r="F4698" s="275">
        <f t="shared" si="1640"/>
        <v>46372.5</v>
      </c>
      <c r="G4698" s="120">
        <f t="shared" si="1641"/>
        <v>24323</v>
      </c>
      <c r="H4698" s="245">
        <f t="shared" si="1642"/>
        <v>1</v>
      </c>
      <c r="I4698" s="121">
        <f t="shared" si="1643"/>
        <v>1.1024</v>
      </c>
      <c r="J4698" s="121">
        <f t="shared" si="1644"/>
        <v>1.1024</v>
      </c>
      <c r="K4698" s="120">
        <f t="shared" si="1645"/>
        <v>0</v>
      </c>
      <c r="L4698" s="120">
        <f t="shared" si="1646"/>
        <v>0</v>
      </c>
      <c r="M4698" s="246">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87">
        <v>25</v>
      </c>
      <c r="B4699" s="242">
        <f t="shared" si="1654"/>
        <v>46388</v>
      </c>
      <c r="C4699" s="243">
        <f t="shared" si="1637"/>
        <v>46418</v>
      </c>
      <c r="D4699" s="120">
        <f t="shared" si="1638"/>
        <v>31</v>
      </c>
      <c r="E4699" s="120">
        <f t="shared" si="1639"/>
        <v>1</v>
      </c>
      <c r="F4699" s="275">
        <f t="shared" si="1640"/>
        <v>46403.5</v>
      </c>
      <c r="G4699" s="120">
        <f t="shared" si="1641"/>
        <v>24324</v>
      </c>
      <c r="H4699" s="245">
        <f t="shared" si="1642"/>
        <v>1</v>
      </c>
      <c r="I4699" s="121">
        <f t="shared" si="1643"/>
        <v>1.1024</v>
      </c>
      <c r="J4699" s="121">
        <f t="shared" si="1644"/>
        <v>1.1024</v>
      </c>
      <c r="K4699" s="120">
        <f t="shared" si="1645"/>
        <v>0</v>
      </c>
      <c r="L4699" s="120">
        <f t="shared" si="1646"/>
        <v>0</v>
      </c>
      <c r="M4699" s="246">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87">
        <v>26</v>
      </c>
      <c r="B4700" s="242">
        <f t="shared" si="1654"/>
        <v>46419</v>
      </c>
      <c r="C4700" s="243">
        <f t="shared" si="1637"/>
        <v>46446</v>
      </c>
      <c r="D4700" s="120">
        <f t="shared" si="1638"/>
        <v>28</v>
      </c>
      <c r="E4700" s="120">
        <f t="shared" si="1639"/>
        <v>2</v>
      </c>
      <c r="F4700" s="275">
        <f t="shared" si="1640"/>
        <v>46433</v>
      </c>
      <c r="G4700" s="120">
        <f t="shared" si="1641"/>
        <v>24325</v>
      </c>
      <c r="H4700" s="245">
        <f t="shared" si="1642"/>
        <v>1</v>
      </c>
      <c r="I4700" s="121">
        <f t="shared" si="1643"/>
        <v>1.1024</v>
      </c>
      <c r="J4700" s="121">
        <f t="shared" si="1644"/>
        <v>1.1024</v>
      </c>
      <c r="K4700" s="120">
        <f t="shared" si="1645"/>
        <v>0</v>
      </c>
      <c r="L4700" s="120">
        <f t="shared" si="1646"/>
        <v>0</v>
      </c>
      <c r="M4700" s="246">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87">
        <v>27</v>
      </c>
      <c r="B4701" s="242">
        <f t="shared" si="1654"/>
        <v>46447</v>
      </c>
      <c r="C4701" s="243">
        <f t="shared" si="1637"/>
        <v>46477</v>
      </c>
      <c r="D4701" s="120">
        <f t="shared" si="1638"/>
        <v>31</v>
      </c>
      <c r="E4701" s="120">
        <f t="shared" si="1639"/>
        <v>3</v>
      </c>
      <c r="F4701" s="275">
        <f t="shared" si="1640"/>
        <v>46462.5</v>
      </c>
      <c r="G4701" s="120">
        <f t="shared" si="1641"/>
        <v>24326</v>
      </c>
      <c r="H4701" s="245">
        <f t="shared" si="1642"/>
        <v>1</v>
      </c>
      <c r="I4701" s="121">
        <f t="shared" si="1643"/>
        <v>1.1024</v>
      </c>
      <c r="J4701" s="121">
        <f t="shared" si="1644"/>
        <v>1.1024</v>
      </c>
      <c r="K4701" s="120">
        <f t="shared" si="1645"/>
        <v>0</v>
      </c>
      <c r="L4701" s="120">
        <f t="shared" si="1646"/>
        <v>0</v>
      </c>
      <c r="M4701" s="246">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87">
        <v>28</v>
      </c>
      <c r="B4702" s="242">
        <f t="shared" si="1654"/>
        <v>46478</v>
      </c>
      <c r="C4702" s="243">
        <f t="shared" si="1637"/>
        <v>46507</v>
      </c>
      <c r="D4702" s="120">
        <f t="shared" si="1638"/>
        <v>30</v>
      </c>
      <c r="E4702" s="120">
        <f t="shared" si="1639"/>
        <v>4</v>
      </c>
      <c r="F4702" s="275">
        <f t="shared" si="1640"/>
        <v>46493</v>
      </c>
      <c r="G4702" s="120">
        <f t="shared" si="1641"/>
        <v>24327</v>
      </c>
      <c r="H4702" s="245">
        <f t="shared" si="1642"/>
        <v>1</v>
      </c>
      <c r="I4702" s="121">
        <f t="shared" si="1643"/>
        <v>1.1024</v>
      </c>
      <c r="J4702" s="121">
        <f t="shared" si="1644"/>
        <v>1.1024</v>
      </c>
      <c r="K4702" s="120">
        <f t="shared" si="1645"/>
        <v>0</v>
      </c>
      <c r="L4702" s="120">
        <f t="shared" si="1646"/>
        <v>0</v>
      </c>
      <c r="M4702" s="246">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87">
        <v>29</v>
      </c>
      <c r="B4703" s="242">
        <f t="shared" si="1654"/>
        <v>46508</v>
      </c>
      <c r="C4703" s="243">
        <f t="shared" si="1637"/>
        <v>46538</v>
      </c>
      <c r="D4703" s="120">
        <f t="shared" si="1638"/>
        <v>31</v>
      </c>
      <c r="E4703" s="120">
        <f t="shared" si="1639"/>
        <v>5</v>
      </c>
      <c r="F4703" s="275">
        <f t="shared" si="1640"/>
        <v>46523.5</v>
      </c>
      <c r="G4703" s="120">
        <f t="shared" si="1641"/>
        <v>24328</v>
      </c>
      <c r="H4703" s="245">
        <f t="shared" si="1642"/>
        <v>1</v>
      </c>
      <c r="I4703" s="121">
        <f t="shared" si="1643"/>
        <v>1.1024</v>
      </c>
      <c r="J4703" s="121">
        <f t="shared" si="1644"/>
        <v>1.1024</v>
      </c>
      <c r="K4703" s="120">
        <f t="shared" si="1645"/>
        <v>0</v>
      </c>
      <c r="L4703" s="120">
        <f t="shared" si="1646"/>
        <v>0</v>
      </c>
      <c r="M4703" s="246">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87">
        <v>30</v>
      </c>
      <c r="B4704" s="242">
        <f t="shared" si="1654"/>
        <v>46539</v>
      </c>
      <c r="C4704" s="243">
        <f t="shared" si="1637"/>
        <v>46568</v>
      </c>
      <c r="D4704" s="120">
        <f t="shared" si="1638"/>
        <v>30</v>
      </c>
      <c r="E4704" s="120">
        <f t="shared" si="1639"/>
        <v>6</v>
      </c>
      <c r="F4704" s="275">
        <f t="shared" si="1640"/>
        <v>46554</v>
      </c>
      <c r="G4704" s="120">
        <f t="shared" si="1641"/>
        <v>24329</v>
      </c>
      <c r="H4704" s="245">
        <f t="shared" si="1642"/>
        <v>1</v>
      </c>
      <c r="I4704" s="121">
        <f t="shared" si="1643"/>
        <v>1.1024</v>
      </c>
      <c r="J4704" s="121">
        <f t="shared" si="1644"/>
        <v>1.1024</v>
      </c>
      <c r="K4704" s="120">
        <f t="shared" si="1645"/>
        <v>0</v>
      </c>
      <c r="L4704" s="120">
        <f t="shared" si="1646"/>
        <v>0</v>
      </c>
      <c r="M4704" s="246">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87">
        <v>31</v>
      </c>
      <c r="B4705" s="242">
        <f t="shared" si="1654"/>
        <v>46569</v>
      </c>
      <c r="C4705" s="243">
        <f t="shared" si="1637"/>
        <v>46599</v>
      </c>
      <c r="D4705" s="120">
        <f t="shared" si="1638"/>
        <v>31</v>
      </c>
      <c r="E4705" s="120">
        <f t="shared" si="1639"/>
        <v>7</v>
      </c>
      <c r="F4705" s="275">
        <f t="shared" si="1640"/>
        <v>46584.5</v>
      </c>
      <c r="G4705" s="120">
        <f t="shared" si="1641"/>
        <v>24330</v>
      </c>
      <c r="H4705" s="245">
        <f t="shared" si="1642"/>
        <v>1</v>
      </c>
      <c r="I4705" s="121">
        <f t="shared" si="1643"/>
        <v>1.1024</v>
      </c>
      <c r="J4705" s="121">
        <f t="shared" si="1644"/>
        <v>1.1024</v>
      </c>
      <c r="K4705" s="120">
        <f t="shared" si="1645"/>
        <v>0</v>
      </c>
      <c r="L4705" s="120">
        <f t="shared" si="1646"/>
        <v>0</v>
      </c>
      <c r="M4705" s="246">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87">
        <v>32</v>
      </c>
      <c r="B4706" s="242">
        <f t="shared" si="1654"/>
        <v>46600</v>
      </c>
      <c r="C4706" s="243">
        <f t="shared" si="1637"/>
        <v>46630</v>
      </c>
      <c r="D4706" s="120">
        <f t="shared" si="1638"/>
        <v>31</v>
      </c>
      <c r="E4706" s="120">
        <f t="shared" si="1639"/>
        <v>8</v>
      </c>
      <c r="F4706" s="275">
        <f t="shared" si="1640"/>
        <v>46615.5</v>
      </c>
      <c r="G4706" s="120">
        <f t="shared" si="1641"/>
        <v>24331</v>
      </c>
      <c r="H4706" s="245">
        <f t="shared" si="1642"/>
        <v>1</v>
      </c>
      <c r="I4706" s="121">
        <f t="shared" si="1643"/>
        <v>1.1024</v>
      </c>
      <c r="J4706" s="121">
        <f t="shared" si="1644"/>
        <v>1.1024</v>
      </c>
      <c r="K4706" s="120">
        <f t="shared" si="1645"/>
        <v>0</v>
      </c>
      <c r="L4706" s="120">
        <f t="shared" si="1646"/>
        <v>0</v>
      </c>
      <c r="M4706" s="246">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87">
        <v>33</v>
      </c>
      <c r="B4707" s="242">
        <f t="shared" si="1654"/>
        <v>46631</v>
      </c>
      <c r="C4707" s="243">
        <f t="shared" si="1637"/>
        <v>46660</v>
      </c>
      <c r="D4707" s="120">
        <f t="shared" si="1638"/>
        <v>30</v>
      </c>
      <c r="E4707" s="120">
        <f t="shared" si="1639"/>
        <v>9</v>
      </c>
      <c r="F4707" s="275">
        <f t="shared" si="1640"/>
        <v>46646</v>
      </c>
      <c r="G4707" s="120">
        <f t="shared" si="1641"/>
        <v>24332</v>
      </c>
      <c r="H4707" s="245">
        <f t="shared" si="1642"/>
        <v>1</v>
      </c>
      <c r="I4707" s="121">
        <f t="shared" si="1643"/>
        <v>1.1024</v>
      </c>
      <c r="J4707" s="121">
        <f t="shared" si="1644"/>
        <v>1.1024</v>
      </c>
      <c r="K4707" s="120">
        <f t="shared" si="1645"/>
        <v>0</v>
      </c>
      <c r="L4707" s="120">
        <f t="shared" si="1646"/>
        <v>0</v>
      </c>
      <c r="M4707" s="246">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87">
        <v>34</v>
      </c>
      <c r="B4708" s="242">
        <f t="shared" si="1654"/>
        <v>46661</v>
      </c>
      <c r="C4708" s="243">
        <f t="shared" si="1637"/>
        <v>46691</v>
      </c>
      <c r="D4708" s="120">
        <f t="shared" si="1638"/>
        <v>31</v>
      </c>
      <c r="E4708" s="120">
        <f t="shared" si="1639"/>
        <v>10</v>
      </c>
      <c r="F4708" s="275">
        <f t="shared" si="1640"/>
        <v>46676.5</v>
      </c>
      <c r="G4708" s="120">
        <f t="shared" si="1641"/>
        <v>24333</v>
      </c>
      <c r="H4708" s="245">
        <f t="shared" si="1642"/>
        <v>1</v>
      </c>
      <c r="I4708" s="121">
        <f t="shared" si="1643"/>
        <v>1.1024</v>
      </c>
      <c r="J4708" s="121">
        <f t="shared" si="1644"/>
        <v>1.1024</v>
      </c>
      <c r="K4708" s="120">
        <f t="shared" si="1645"/>
        <v>0</v>
      </c>
      <c r="L4708" s="120">
        <f t="shared" si="1646"/>
        <v>0</v>
      </c>
      <c r="M4708" s="246">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87">
        <v>35</v>
      </c>
      <c r="B4709" s="242">
        <f t="shared" si="1654"/>
        <v>46692</v>
      </c>
      <c r="C4709" s="243">
        <f t="shared" si="1637"/>
        <v>46721</v>
      </c>
      <c r="D4709" s="120">
        <f t="shared" si="1638"/>
        <v>30</v>
      </c>
      <c r="E4709" s="120">
        <f t="shared" si="1639"/>
        <v>11</v>
      </c>
      <c r="F4709" s="275">
        <f t="shared" si="1640"/>
        <v>46707</v>
      </c>
      <c r="G4709" s="120">
        <f t="shared" si="1641"/>
        <v>24334</v>
      </c>
      <c r="H4709" s="245">
        <f t="shared" si="1642"/>
        <v>1</v>
      </c>
      <c r="I4709" s="121">
        <f t="shared" si="1643"/>
        <v>1.1024</v>
      </c>
      <c r="J4709" s="121">
        <f t="shared" si="1644"/>
        <v>1.1024</v>
      </c>
      <c r="K4709" s="120">
        <f t="shared" si="1645"/>
        <v>0</v>
      </c>
      <c r="L4709" s="120">
        <f t="shared" si="1646"/>
        <v>0</v>
      </c>
      <c r="M4709" s="246">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87">
        <v>36</v>
      </c>
      <c r="B4710" s="242">
        <f t="shared" si="1654"/>
        <v>46722</v>
      </c>
      <c r="C4710" s="243">
        <f t="shared" si="1637"/>
        <v>46752</v>
      </c>
      <c r="D4710" s="120">
        <f t="shared" si="1638"/>
        <v>31</v>
      </c>
      <c r="E4710" s="120">
        <f t="shared" si="1639"/>
        <v>12</v>
      </c>
      <c r="F4710" s="275">
        <f t="shared" si="1640"/>
        <v>46737.5</v>
      </c>
      <c r="G4710" s="120">
        <f t="shared" si="1641"/>
        <v>24335</v>
      </c>
      <c r="H4710" s="245">
        <f t="shared" si="1642"/>
        <v>1</v>
      </c>
      <c r="I4710" s="121">
        <f t="shared" si="1643"/>
        <v>1.1024</v>
      </c>
      <c r="J4710" s="121">
        <f t="shared" si="1644"/>
        <v>1.1024</v>
      </c>
      <c r="K4710" s="120">
        <f t="shared" si="1645"/>
        <v>0</v>
      </c>
      <c r="L4710" s="120">
        <f t="shared" si="1646"/>
        <v>0</v>
      </c>
      <c r="M4710" s="246">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87">
        <v>37</v>
      </c>
      <c r="B4711" s="242">
        <f t="shared" si="1654"/>
        <v>46753</v>
      </c>
      <c r="C4711" s="243">
        <f t="shared" si="1637"/>
        <v>46783</v>
      </c>
      <c r="D4711" s="120">
        <f t="shared" si="1638"/>
        <v>31</v>
      </c>
      <c r="E4711" s="120">
        <f t="shared" si="1639"/>
        <v>1</v>
      </c>
      <c r="F4711" s="275">
        <f t="shared" si="1640"/>
        <v>46768.5</v>
      </c>
      <c r="G4711" s="120">
        <f t="shared" si="1641"/>
        <v>24336</v>
      </c>
      <c r="H4711" s="245">
        <f t="shared" si="1642"/>
        <v>1</v>
      </c>
      <c r="I4711" s="121">
        <f t="shared" si="1643"/>
        <v>1.1024</v>
      </c>
      <c r="J4711" s="121">
        <f t="shared" si="1644"/>
        <v>1.1024</v>
      </c>
      <c r="K4711" s="120">
        <f t="shared" si="1645"/>
        <v>0</v>
      </c>
      <c r="L4711" s="120">
        <f t="shared" si="1646"/>
        <v>0</v>
      </c>
      <c r="M4711" s="246">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87">
        <v>38</v>
      </c>
      <c r="B4712" s="242">
        <f t="shared" si="1654"/>
        <v>46784</v>
      </c>
      <c r="C4712" s="243">
        <f t="shared" si="1637"/>
        <v>46812</v>
      </c>
      <c r="D4712" s="120">
        <f t="shared" si="1638"/>
        <v>29</v>
      </c>
      <c r="E4712" s="120">
        <f t="shared" si="1639"/>
        <v>2</v>
      </c>
      <c r="F4712" s="275">
        <f t="shared" si="1640"/>
        <v>46798.5</v>
      </c>
      <c r="G4712" s="120">
        <f t="shared" si="1641"/>
        <v>24337</v>
      </c>
      <c r="H4712" s="245">
        <f t="shared" si="1642"/>
        <v>1</v>
      </c>
      <c r="I4712" s="121">
        <f t="shared" si="1643"/>
        <v>1.1024</v>
      </c>
      <c r="J4712" s="121">
        <f t="shared" si="1644"/>
        <v>1.1024</v>
      </c>
      <c r="K4712" s="120">
        <f t="shared" si="1645"/>
        <v>0</v>
      </c>
      <c r="L4712" s="120">
        <f t="shared" si="1646"/>
        <v>0</v>
      </c>
      <c r="M4712" s="246">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87">
        <v>39</v>
      </c>
      <c r="B4713" s="242">
        <f t="shared" si="1654"/>
        <v>46813</v>
      </c>
      <c r="C4713" s="243">
        <f t="shared" si="1637"/>
        <v>46843</v>
      </c>
      <c r="D4713" s="120">
        <f t="shared" si="1638"/>
        <v>31</v>
      </c>
      <c r="E4713" s="120">
        <f t="shared" si="1639"/>
        <v>3</v>
      </c>
      <c r="F4713" s="275">
        <f t="shared" si="1640"/>
        <v>46828.5</v>
      </c>
      <c r="G4713" s="120">
        <f t="shared" si="1641"/>
        <v>24338</v>
      </c>
      <c r="H4713" s="245">
        <f t="shared" si="1642"/>
        <v>1</v>
      </c>
      <c r="I4713" s="121">
        <f t="shared" si="1643"/>
        <v>1.1024</v>
      </c>
      <c r="J4713" s="121">
        <f t="shared" si="1644"/>
        <v>1.1024</v>
      </c>
      <c r="K4713" s="120">
        <f t="shared" si="1645"/>
        <v>0</v>
      </c>
      <c r="L4713" s="120">
        <f t="shared" si="1646"/>
        <v>0</v>
      </c>
      <c r="M4713" s="246">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87">
        <v>40</v>
      </c>
      <c r="B4714" s="242">
        <f t="shared" si="1654"/>
        <v>46844</v>
      </c>
      <c r="C4714" s="243">
        <f t="shared" si="1637"/>
        <v>46873</v>
      </c>
      <c r="D4714" s="120">
        <f t="shared" si="1638"/>
        <v>30</v>
      </c>
      <c r="E4714" s="120">
        <f t="shared" si="1639"/>
        <v>4</v>
      </c>
      <c r="F4714" s="275">
        <f t="shared" si="1640"/>
        <v>46859</v>
      </c>
      <c r="G4714" s="120">
        <f t="shared" si="1641"/>
        <v>24339</v>
      </c>
      <c r="H4714" s="245">
        <f t="shared" si="1642"/>
        <v>1</v>
      </c>
      <c r="I4714" s="121">
        <f t="shared" si="1643"/>
        <v>1.1024</v>
      </c>
      <c r="J4714" s="121">
        <f t="shared" si="1644"/>
        <v>1.1024</v>
      </c>
      <c r="K4714" s="120">
        <f t="shared" si="1645"/>
        <v>0</v>
      </c>
      <c r="L4714" s="120">
        <f t="shared" si="1646"/>
        <v>0</v>
      </c>
      <c r="M4714" s="246">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87">
        <v>41</v>
      </c>
      <c r="B4715" s="242">
        <f t="shared" si="1654"/>
        <v>46874</v>
      </c>
      <c r="C4715" s="243">
        <f t="shared" si="1637"/>
        <v>46904</v>
      </c>
      <c r="D4715" s="120">
        <f t="shared" si="1638"/>
        <v>31</v>
      </c>
      <c r="E4715" s="120">
        <f t="shared" si="1639"/>
        <v>5</v>
      </c>
      <c r="F4715" s="275">
        <f t="shared" si="1640"/>
        <v>46889.5</v>
      </c>
      <c r="G4715" s="120">
        <f t="shared" si="1641"/>
        <v>24340</v>
      </c>
      <c r="H4715" s="245">
        <f t="shared" si="1642"/>
        <v>1</v>
      </c>
      <c r="I4715" s="121">
        <f t="shared" si="1643"/>
        <v>1.1024</v>
      </c>
      <c r="J4715" s="121">
        <f t="shared" si="1644"/>
        <v>1.1024</v>
      </c>
      <c r="K4715" s="120">
        <f t="shared" si="1645"/>
        <v>0</v>
      </c>
      <c r="L4715" s="120">
        <f t="shared" si="1646"/>
        <v>0</v>
      </c>
      <c r="M4715" s="246">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87">
        <v>42</v>
      </c>
      <c r="B4716" s="242">
        <f t="shared" si="1654"/>
        <v>46905</v>
      </c>
      <c r="C4716" s="243">
        <f t="shared" si="1637"/>
        <v>46934</v>
      </c>
      <c r="D4716" s="120">
        <f t="shared" si="1638"/>
        <v>30</v>
      </c>
      <c r="E4716" s="120">
        <f t="shared" si="1639"/>
        <v>6</v>
      </c>
      <c r="F4716" s="275">
        <f t="shared" si="1640"/>
        <v>46920</v>
      </c>
      <c r="G4716" s="120">
        <f t="shared" si="1641"/>
        <v>24341</v>
      </c>
      <c r="H4716" s="245">
        <f t="shared" si="1642"/>
        <v>1</v>
      </c>
      <c r="I4716" s="121">
        <f t="shared" si="1643"/>
        <v>1.1024</v>
      </c>
      <c r="J4716" s="121">
        <f t="shared" si="1644"/>
        <v>1.1024</v>
      </c>
      <c r="K4716" s="120">
        <f t="shared" si="1645"/>
        <v>0</v>
      </c>
      <c r="L4716" s="120">
        <f t="shared" si="1646"/>
        <v>0</v>
      </c>
      <c r="M4716" s="246">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87">
        <v>43</v>
      </c>
      <c r="B4717" s="242">
        <f t="shared" si="1654"/>
        <v>46935</v>
      </c>
      <c r="C4717" s="243">
        <f t="shared" si="1637"/>
        <v>46965</v>
      </c>
      <c r="D4717" s="120">
        <f t="shared" si="1638"/>
        <v>31</v>
      </c>
      <c r="E4717" s="120">
        <f t="shared" si="1639"/>
        <v>7</v>
      </c>
      <c r="F4717" s="275">
        <f t="shared" si="1640"/>
        <v>46950.5</v>
      </c>
      <c r="G4717" s="120">
        <f t="shared" si="1641"/>
        <v>24342</v>
      </c>
      <c r="H4717" s="245">
        <f t="shared" si="1642"/>
        <v>1</v>
      </c>
      <c r="I4717" s="121">
        <f t="shared" si="1643"/>
        <v>1.1024</v>
      </c>
      <c r="J4717" s="121">
        <f t="shared" si="1644"/>
        <v>1.1024</v>
      </c>
      <c r="K4717" s="120">
        <f t="shared" si="1645"/>
        <v>0</v>
      </c>
      <c r="L4717" s="120">
        <f t="shared" si="1646"/>
        <v>0</v>
      </c>
      <c r="M4717" s="246">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87">
        <v>44</v>
      </c>
      <c r="B4718" s="242">
        <f t="shared" si="1654"/>
        <v>46966</v>
      </c>
      <c r="C4718" s="243">
        <f t="shared" si="1637"/>
        <v>46996</v>
      </c>
      <c r="D4718" s="120">
        <f t="shared" si="1638"/>
        <v>31</v>
      </c>
      <c r="E4718" s="120">
        <f t="shared" si="1639"/>
        <v>8</v>
      </c>
      <c r="F4718" s="275">
        <f t="shared" si="1640"/>
        <v>46981.5</v>
      </c>
      <c r="G4718" s="120">
        <f t="shared" si="1641"/>
        <v>24343</v>
      </c>
      <c r="H4718" s="245">
        <f t="shared" si="1642"/>
        <v>1</v>
      </c>
      <c r="I4718" s="121">
        <f t="shared" si="1643"/>
        <v>1.1024</v>
      </c>
      <c r="J4718" s="121">
        <f t="shared" si="1644"/>
        <v>1.1024</v>
      </c>
      <c r="K4718" s="120">
        <f t="shared" si="1645"/>
        <v>0</v>
      </c>
      <c r="L4718" s="120">
        <f t="shared" si="1646"/>
        <v>0</v>
      </c>
      <c r="M4718" s="246">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87">
        <v>45</v>
      </c>
      <c r="B4719" s="242">
        <f t="shared" si="1654"/>
        <v>46997</v>
      </c>
      <c r="C4719" s="243">
        <f t="shared" si="1637"/>
        <v>47026</v>
      </c>
      <c r="D4719" s="120">
        <f t="shared" si="1638"/>
        <v>30</v>
      </c>
      <c r="E4719" s="120">
        <f t="shared" si="1639"/>
        <v>9</v>
      </c>
      <c r="F4719" s="275">
        <f t="shared" si="1640"/>
        <v>47012</v>
      </c>
      <c r="G4719" s="120">
        <f t="shared" si="1641"/>
        <v>24344</v>
      </c>
      <c r="H4719" s="245">
        <f t="shared" si="1642"/>
        <v>1</v>
      </c>
      <c r="I4719" s="121">
        <f t="shared" si="1643"/>
        <v>1.1024</v>
      </c>
      <c r="J4719" s="121">
        <f t="shared" si="1644"/>
        <v>1.1024</v>
      </c>
      <c r="K4719" s="120">
        <f t="shared" si="1645"/>
        <v>0</v>
      </c>
      <c r="L4719" s="120">
        <f t="shared" si="1646"/>
        <v>0</v>
      </c>
      <c r="M4719" s="246">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87">
        <v>46</v>
      </c>
      <c r="B4720" s="242">
        <f t="shared" si="1654"/>
        <v>47027</v>
      </c>
      <c r="C4720" s="243">
        <f t="shared" si="1637"/>
        <v>47057</v>
      </c>
      <c r="D4720" s="120">
        <f t="shared" si="1638"/>
        <v>31</v>
      </c>
      <c r="E4720" s="120">
        <f t="shared" si="1639"/>
        <v>10</v>
      </c>
      <c r="F4720" s="275">
        <f t="shared" si="1640"/>
        <v>47042.5</v>
      </c>
      <c r="G4720" s="120">
        <f t="shared" si="1641"/>
        <v>24345</v>
      </c>
      <c r="H4720" s="245">
        <f t="shared" si="1642"/>
        <v>1</v>
      </c>
      <c r="I4720" s="121">
        <f t="shared" si="1643"/>
        <v>1.1024</v>
      </c>
      <c r="J4720" s="121">
        <f t="shared" si="1644"/>
        <v>1.1024</v>
      </c>
      <c r="K4720" s="120">
        <f t="shared" si="1645"/>
        <v>0</v>
      </c>
      <c r="L4720" s="120">
        <f t="shared" si="1646"/>
        <v>0</v>
      </c>
      <c r="M4720" s="246">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87">
        <v>47</v>
      </c>
      <c r="B4721" s="242">
        <f t="shared" si="1654"/>
        <v>47058</v>
      </c>
      <c r="C4721" s="243">
        <f t="shared" si="1637"/>
        <v>47087</v>
      </c>
      <c r="D4721" s="120">
        <f t="shared" si="1638"/>
        <v>30</v>
      </c>
      <c r="E4721" s="120">
        <f t="shared" si="1639"/>
        <v>11</v>
      </c>
      <c r="F4721" s="275">
        <f t="shared" si="1640"/>
        <v>47073</v>
      </c>
      <c r="G4721" s="120">
        <f t="shared" si="1641"/>
        <v>24346</v>
      </c>
      <c r="H4721" s="245">
        <f t="shared" si="1642"/>
        <v>1</v>
      </c>
      <c r="I4721" s="121">
        <f t="shared" si="1643"/>
        <v>1.1024</v>
      </c>
      <c r="J4721" s="121">
        <f t="shared" si="1644"/>
        <v>1.1024</v>
      </c>
      <c r="K4721" s="120">
        <f t="shared" si="1645"/>
        <v>0</v>
      </c>
      <c r="L4721" s="120">
        <f t="shared" si="1646"/>
        <v>0</v>
      </c>
      <c r="M4721" s="246">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87">
        <v>48</v>
      </c>
      <c r="B4722" s="242">
        <f t="shared" si="1654"/>
        <v>47088</v>
      </c>
      <c r="C4722" s="243">
        <f t="shared" si="1637"/>
        <v>47118</v>
      </c>
      <c r="D4722" s="120">
        <f t="shared" si="1638"/>
        <v>31</v>
      </c>
      <c r="E4722" s="120">
        <f t="shared" si="1639"/>
        <v>12</v>
      </c>
      <c r="F4722" s="275">
        <f t="shared" si="1640"/>
        <v>47103.5</v>
      </c>
      <c r="G4722" s="120">
        <f t="shared" si="1641"/>
        <v>24347</v>
      </c>
      <c r="H4722" s="245">
        <f t="shared" si="1642"/>
        <v>1</v>
      </c>
      <c r="I4722" s="121">
        <f t="shared" si="1643"/>
        <v>1.1024</v>
      </c>
      <c r="J4722" s="121">
        <f t="shared" si="1644"/>
        <v>1.1024</v>
      </c>
      <c r="K4722" s="120">
        <f t="shared" si="1645"/>
        <v>0</v>
      </c>
      <c r="L4722" s="120">
        <f t="shared" si="1646"/>
        <v>0</v>
      </c>
      <c r="M4722" s="246">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1714</v>
      </c>
      <c r="B4723" s="73">
        <f>SUMPRODUCT($H$4675:$H$4722,$Q$4675:$Q$4722)</f>
        <v>12</v>
      </c>
      <c r="C4723" s="73">
        <f>SUM($S$4675:$S$4722)</f>
        <v>13.135200000000003</v>
      </c>
    </row>
    <row r="4726" spans="1:21" x14ac:dyDescent="0.3">
      <c r="A4726" s="270" t="s">
        <v>1715</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55">EOMONTH($B4729,0)</f>
        <v>45688</v>
      </c>
      <c r="D4729" s="120">
        <f t="shared" ref="D4729:D4776" si="1656">$C4729-$B4729+1</f>
        <v>31</v>
      </c>
      <c r="E4729" s="120">
        <f t="shared" ref="E4729:E4776" si="1657">MONTH($B4729)</f>
        <v>1</v>
      </c>
      <c r="F4729" s="275">
        <f t="shared" ref="F4729:F4776" si="1658">($B4729+$C4729+1)/2</f>
        <v>45673.5</v>
      </c>
      <c r="G4729" s="120">
        <f t="shared" ref="G4729:G4776" si="1659">YEAR($B4729)*12+MONTH($B4729)-1</f>
        <v>24300</v>
      </c>
      <c r="H4729" s="245">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46">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87">
        <v>2</v>
      </c>
      <c r="B4730" s="242">
        <f t="shared" ref="B4730:B4776" si="1670">EDATE($B4729,1)</f>
        <v>45689</v>
      </c>
      <c r="C4730" s="243">
        <f t="shared" si="1655"/>
        <v>45716</v>
      </c>
      <c r="D4730" s="120">
        <f t="shared" si="1656"/>
        <v>28</v>
      </c>
      <c r="E4730" s="120">
        <f t="shared" si="1657"/>
        <v>2</v>
      </c>
      <c r="F4730" s="275">
        <f t="shared" si="1658"/>
        <v>45703</v>
      </c>
      <c r="G4730" s="120">
        <f t="shared" si="1659"/>
        <v>24301</v>
      </c>
      <c r="H4730" s="245">
        <f t="shared" si="1660"/>
        <v>1</v>
      </c>
      <c r="I4730" s="121">
        <f t="shared" si="1661"/>
        <v>1</v>
      </c>
      <c r="J4730" s="121">
        <f t="shared" si="1662"/>
        <v>1</v>
      </c>
      <c r="K4730" s="120">
        <f t="shared" si="1663"/>
        <v>0</v>
      </c>
      <c r="L4730" s="120">
        <f t="shared" si="1664"/>
        <v>0</v>
      </c>
      <c r="M4730" s="246">
        <f t="shared" si="1665"/>
        <v>0</v>
      </c>
      <c r="N4730" s="121">
        <f t="shared" si="1666"/>
        <v>1</v>
      </c>
      <c r="P4730" s="121">
        <f t="shared" si="1667"/>
        <v>0.125</v>
      </c>
      <c r="Q4730" s="121">
        <f t="shared" si="1668"/>
        <v>0</v>
      </c>
      <c r="R4730" s="121">
        <f t="shared" si="1669"/>
        <v>0</v>
      </c>
    </row>
    <row r="4731" spans="1:21" x14ac:dyDescent="0.3">
      <c r="A4731" s="187">
        <v>3</v>
      </c>
      <c r="B4731" s="242">
        <f t="shared" si="1670"/>
        <v>45717</v>
      </c>
      <c r="C4731" s="243">
        <f t="shared" si="1655"/>
        <v>45747</v>
      </c>
      <c r="D4731" s="120">
        <f t="shared" si="1656"/>
        <v>31</v>
      </c>
      <c r="E4731" s="120">
        <f t="shared" si="1657"/>
        <v>3</v>
      </c>
      <c r="F4731" s="275">
        <f t="shared" si="1658"/>
        <v>45732.5</v>
      </c>
      <c r="G4731" s="120">
        <f t="shared" si="1659"/>
        <v>24302</v>
      </c>
      <c r="H4731" s="245">
        <f t="shared" si="1660"/>
        <v>1</v>
      </c>
      <c r="I4731" s="121">
        <f t="shared" si="1661"/>
        <v>1</v>
      </c>
      <c r="J4731" s="121">
        <f t="shared" si="1662"/>
        <v>1</v>
      </c>
      <c r="K4731" s="120">
        <f t="shared" si="1663"/>
        <v>0</v>
      </c>
      <c r="L4731" s="120">
        <f t="shared" si="1664"/>
        <v>0</v>
      </c>
      <c r="M4731" s="246">
        <f t="shared" si="1665"/>
        <v>0</v>
      </c>
      <c r="N4731" s="121">
        <f t="shared" si="1666"/>
        <v>1</v>
      </c>
      <c r="P4731" s="121">
        <f t="shared" si="1667"/>
        <v>0.20833333333333337</v>
      </c>
      <c r="Q4731" s="121">
        <f t="shared" si="1668"/>
        <v>0</v>
      </c>
      <c r="R4731" s="121">
        <f t="shared" si="1669"/>
        <v>0</v>
      </c>
    </row>
    <row r="4732" spans="1:21" x14ac:dyDescent="0.3">
      <c r="A4732" s="187">
        <v>4</v>
      </c>
      <c r="B4732" s="242">
        <f t="shared" si="1670"/>
        <v>45748</v>
      </c>
      <c r="C4732" s="243">
        <f t="shared" si="1655"/>
        <v>45777</v>
      </c>
      <c r="D4732" s="120">
        <f t="shared" si="1656"/>
        <v>30</v>
      </c>
      <c r="E4732" s="120">
        <f t="shared" si="1657"/>
        <v>4</v>
      </c>
      <c r="F4732" s="275">
        <f t="shared" si="1658"/>
        <v>45763</v>
      </c>
      <c r="G4732" s="120">
        <f t="shared" si="1659"/>
        <v>24303</v>
      </c>
      <c r="H4732" s="245">
        <f t="shared" si="1660"/>
        <v>1</v>
      </c>
      <c r="I4732" s="121">
        <f t="shared" si="1661"/>
        <v>1</v>
      </c>
      <c r="J4732" s="121">
        <f t="shared" si="1662"/>
        <v>1</v>
      </c>
      <c r="K4732" s="120">
        <f t="shared" si="1663"/>
        <v>0</v>
      </c>
      <c r="L4732" s="120">
        <f t="shared" si="1664"/>
        <v>0</v>
      </c>
      <c r="M4732" s="246">
        <f t="shared" si="1665"/>
        <v>0</v>
      </c>
      <c r="N4732" s="121">
        <f t="shared" si="1666"/>
        <v>1</v>
      </c>
      <c r="P4732" s="121">
        <f t="shared" si="1667"/>
        <v>0.29166666666666663</v>
      </c>
      <c r="Q4732" s="121">
        <f t="shared" si="1668"/>
        <v>0</v>
      </c>
      <c r="R4732" s="121">
        <f t="shared" si="1669"/>
        <v>0</v>
      </c>
    </row>
    <row r="4733" spans="1:21" x14ac:dyDescent="0.3">
      <c r="A4733" s="187">
        <v>5</v>
      </c>
      <c r="B4733" s="242">
        <f t="shared" si="1670"/>
        <v>45778</v>
      </c>
      <c r="C4733" s="243">
        <f t="shared" si="1655"/>
        <v>45808</v>
      </c>
      <c r="D4733" s="120">
        <f t="shared" si="1656"/>
        <v>31</v>
      </c>
      <c r="E4733" s="120">
        <f t="shared" si="1657"/>
        <v>5</v>
      </c>
      <c r="F4733" s="275">
        <f t="shared" si="1658"/>
        <v>45793.5</v>
      </c>
      <c r="G4733" s="120">
        <f t="shared" si="1659"/>
        <v>24304</v>
      </c>
      <c r="H4733" s="245">
        <f t="shared" si="1660"/>
        <v>1</v>
      </c>
      <c r="I4733" s="121">
        <f t="shared" si="1661"/>
        <v>1</v>
      </c>
      <c r="J4733" s="121">
        <f t="shared" si="1662"/>
        <v>1</v>
      </c>
      <c r="K4733" s="120">
        <f t="shared" si="1663"/>
        <v>0</v>
      </c>
      <c r="L4733" s="120">
        <f t="shared" si="1664"/>
        <v>0</v>
      </c>
      <c r="M4733" s="246">
        <f t="shared" si="1665"/>
        <v>0</v>
      </c>
      <c r="N4733" s="121">
        <f t="shared" si="1666"/>
        <v>1</v>
      </c>
      <c r="P4733" s="121">
        <f t="shared" si="1667"/>
        <v>0.375</v>
      </c>
      <c r="Q4733" s="121">
        <f t="shared" si="1668"/>
        <v>0</v>
      </c>
      <c r="R4733" s="121">
        <f t="shared" si="1669"/>
        <v>0</v>
      </c>
    </row>
    <row r="4734" spans="1:21" x14ac:dyDescent="0.3">
      <c r="A4734" s="187">
        <v>6</v>
      </c>
      <c r="B4734" s="242">
        <f t="shared" si="1670"/>
        <v>45809</v>
      </c>
      <c r="C4734" s="243">
        <f t="shared" si="1655"/>
        <v>45838</v>
      </c>
      <c r="D4734" s="120">
        <f t="shared" si="1656"/>
        <v>30</v>
      </c>
      <c r="E4734" s="120">
        <f t="shared" si="1657"/>
        <v>6</v>
      </c>
      <c r="F4734" s="275">
        <f t="shared" si="1658"/>
        <v>45824</v>
      </c>
      <c r="G4734" s="120">
        <f t="shared" si="1659"/>
        <v>24305</v>
      </c>
      <c r="H4734" s="245">
        <f t="shared" si="1660"/>
        <v>1</v>
      </c>
      <c r="I4734" s="121">
        <f t="shared" si="1661"/>
        <v>1</v>
      </c>
      <c r="J4734" s="121">
        <f t="shared" si="1662"/>
        <v>1</v>
      </c>
      <c r="K4734" s="120">
        <f t="shared" si="1663"/>
        <v>0</v>
      </c>
      <c r="L4734" s="120">
        <f t="shared" si="1664"/>
        <v>0</v>
      </c>
      <c r="M4734" s="246">
        <f t="shared" si="1665"/>
        <v>0</v>
      </c>
      <c r="N4734" s="121">
        <f t="shared" si="1666"/>
        <v>1</v>
      </c>
      <c r="P4734" s="121">
        <f t="shared" si="1667"/>
        <v>0.45833333333333337</v>
      </c>
      <c r="Q4734" s="121">
        <f t="shared" si="1668"/>
        <v>0</v>
      </c>
      <c r="R4734" s="121">
        <f t="shared" si="1669"/>
        <v>0</v>
      </c>
    </row>
    <row r="4735" spans="1:21" x14ac:dyDescent="0.3">
      <c r="A4735" s="187">
        <v>7</v>
      </c>
      <c r="B4735" s="242">
        <f t="shared" si="1670"/>
        <v>45839</v>
      </c>
      <c r="C4735" s="243">
        <f t="shared" si="1655"/>
        <v>45869</v>
      </c>
      <c r="D4735" s="120">
        <f t="shared" si="1656"/>
        <v>31</v>
      </c>
      <c r="E4735" s="120">
        <f t="shared" si="1657"/>
        <v>7</v>
      </c>
      <c r="F4735" s="275">
        <f t="shared" si="1658"/>
        <v>45854.5</v>
      </c>
      <c r="G4735" s="120">
        <f t="shared" si="1659"/>
        <v>24306</v>
      </c>
      <c r="H4735" s="245">
        <f t="shared" si="1660"/>
        <v>1</v>
      </c>
      <c r="I4735" s="121">
        <f t="shared" si="1661"/>
        <v>1</v>
      </c>
      <c r="J4735" s="121">
        <f t="shared" si="1662"/>
        <v>1.04</v>
      </c>
      <c r="K4735" s="120">
        <f t="shared" si="1663"/>
        <v>1</v>
      </c>
      <c r="L4735" s="120">
        <f t="shared" si="1664"/>
        <v>31</v>
      </c>
      <c r="M4735" s="246">
        <f t="shared" si="1665"/>
        <v>1</v>
      </c>
      <c r="N4735" s="121">
        <f t="shared" si="1666"/>
        <v>1.04</v>
      </c>
      <c r="P4735" s="121">
        <f t="shared" si="1667"/>
        <v>0.54166666666666674</v>
      </c>
      <c r="Q4735" s="121">
        <f t="shared" si="1668"/>
        <v>0</v>
      </c>
      <c r="R4735" s="121">
        <f t="shared" si="1669"/>
        <v>0</v>
      </c>
    </row>
    <row r="4736" spans="1:21" x14ac:dyDescent="0.3">
      <c r="A4736" s="187">
        <v>8</v>
      </c>
      <c r="B4736" s="242">
        <f t="shared" si="1670"/>
        <v>45870</v>
      </c>
      <c r="C4736" s="243">
        <f t="shared" si="1655"/>
        <v>45900</v>
      </c>
      <c r="D4736" s="120">
        <f t="shared" si="1656"/>
        <v>31</v>
      </c>
      <c r="E4736" s="120">
        <f t="shared" si="1657"/>
        <v>8</v>
      </c>
      <c r="F4736" s="275">
        <f t="shared" si="1658"/>
        <v>45885.5</v>
      </c>
      <c r="G4736" s="120">
        <f t="shared" si="1659"/>
        <v>24307</v>
      </c>
      <c r="H4736" s="245">
        <f t="shared" si="1660"/>
        <v>1</v>
      </c>
      <c r="I4736" s="121">
        <f t="shared" si="1661"/>
        <v>1.04</v>
      </c>
      <c r="J4736" s="121">
        <f t="shared" si="1662"/>
        <v>1.04</v>
      </c>
      <c r="K4736" s="120">
        <f t="shared" si="1663"/>
        <v>0</v>
      </c>
      <c r="L4736" s="120">
        <f t="shared" si="1664"/>
        <v>0</v>
      </c>
      <c r="M4736" s="246">
        <f t="shared" si="1665"/>
        <v>0</v>
      </c>
      <c r="N4736" s="121">
        <f t="shared" si="1666"/>
        <v>1.04</v>
      </c>
      <c r="P4736" s="121">
        <f t="shared" si="1667"/>
        <v>0.625</v>
      </c>
      <c r="Q4736" s="121">
        <f t="shared" si="1668"/>
        <v>0</v>
      </c>
      <c r="R4736" s="121">
        <f t="shared" si="1669"/>
        <v>0</v>
      </c>
    </row>
    <row r="4737" spans="1:18" x14ac:dyDescent="0.3">
      <c r="A4737" s="187">
        <v>9</v>
      </c>
      <c r="B4737" s="242">
        <f t="shared" si="1670"/>
        <v>45901</v>
      </c>
      <c r="C4737" s="243">
        <f t="shared" si="1655"/>
        <v>45930</v>
      </c>
      <c r="D4737" s="120">
        <f t="shared" si="1656"/>
        <v>30</v>
      </c>
      <c r="E4737" s="120">
        <f t="shared" si="1657"/>
        <v>9</v>
      </c>
      <c r="F4737" s="275">
        <f t="shared" si="1658"/>
        <v>45916</v>
      </c>
      <c r="G4737" s="120">
        <f t="shared" si="1659"/>
        <v>24308</v>
      </c>
      <c r="H4737" s="245">
        <f t="shared" si="1660"/>
        <v>1</v>
      </c>
      <c r="I4737" s="121">
        <f t="shared" si="1661"/>
        <v>1.04</v>
      </c>
      <c r="J4737" s="121">
        <f t="shared" si="1662"/>
        <v>1.04</v>
      </c>
      <c r="K4737" s="120">
        <f t="shared" si="1663"/>
        <v>0</v>
      </c>
      <c r="L4737" s="120">
        <f t="shared" si="1664"/>
        <v>0</v>
      </c>
      <c r="M4737" s="246">
        <f t="shared" si="1665"/>
        <v>0</v>
      </c>
      <c r="N4737" s="121">
        <f t="shared" si="1666"/>
        <v>1.04</v>
      </c>
      <c r="P4737" s="121">
        <f t="shared" si="1667"/>
        <v>0.70833333333333326</v>
      </c>
      <c r="Q4737" s="121">
        <f t="shared" si="1668"/>
        <v>0</v>
      </c>
      <c r="R4737" s="121">
        <f t="shared" si="1669"/>
        <v>0</v>
      </c>
    </row>
    <row r="4738" spans="1:18" x14ac:dyDescent="0.3">
      <c r="A4738" s="187">
        <v>10</v>
      </c>
      <c r="B4738" s="242">
        <f t="shared" si="1670"/>
        <v>45931</v>
      </c>
      <c r="C4738" s="243">
        <f t="shared" si="1655"/>
        <v>45961</v>
      </c>
      <c r="D4738" s="120">
        <f t="shared" si="1656"/>
        <v>31</v>
      </c>
      <c r="E4738" s="120">
        <f t="shared" si="1657"/>
        <v>10</v>
      </c>
      <c r="F4738" s="275">
        <f t="shared" si="1658"/>
        <v>45946.5</v>
      </c>
      <c r="G4738" s="120">
        <f t="shared" si="1659"/>
        <v>24309</v>
      </c>
      <c r="H4738" s="245">
        <f t="shared" si="1660"/>
        <v>1</v>
      </c>
      <c r="I4738" s="121">
        <f t="shared" si="1661"/>
        <v>1.04</v>
      </c>
      <c r="J4738" s="121">
        <f t="shared" si="1662"/>
        <v>1.04</v>
      </c>
      <c r="K4738" s="120">
        <f t="shared" si="1663"/>
        <v>0</v>
      </c>
      <c r="L4738" s="120">
        <f t="shared" si="1664"/>
        <v>0</v>
      </c>
      <c r="M4738" s="246">
        <f t="shared" si="1665"/>
        <v>0</v>
      </c>
      <c r="N4738" s="121">
        <f t="shared" si="1666"/>
        <v>1.04</v>
      </c>
      <c r="P4738" s="121">
        <f t="shared" si="1667"/>
        <v>0.79166666666666663</v>
      </c>
      <c r="Q4738" s="121">
        <f t="shared" si="1668"/>
        <v>0</v>
      </c>
      <c r="R4738" s="121">
        <f t="shared" si="1669"/>
        <v>0</v>
      </c>
    </row>
    <row r="4739" spans="1:18" x14ac:dyDescent="0.3">
      <c r="A4739" s="187">
        <v>11</v>
      </c>
      <c r="B4739" s="242">
        <f t="shared" si="1670"/>
        <v>45962</v>
      </c>
      <c r="C4739" s="243">
        <f t="shared" si="1655"/>
        <v>45991</v>
      </c>
      <c r="D4739" s="120">
        <f t="shared" si="1656"/>
        <v>30</v>
      </c>
      <c r="E4739" s="120">
        <f t="shared" si="1657"/>
        <v>11</v>
      </c>
      <c r="F4739" s="275">
        <f t="shared" si="1658"/>
        <v>45977</v>
      </c>
      <c r="G4739" s="120">
        <f t="shared" si="1659"/>
        <v>24310</v>
      </c>
      <c r="H4739" s="245">
        <f t="shared" si="1660"/>
        <v>1</v>
      </c>
      <c r="I4739" s="121">
        <f t="shared" si="1661"/>
        <v>1.04</v>
      </c>
      <c r="J4739" s="121">
        <f t="shared" si="1662"/>
        <v>1.04</v>
      </c>
      <c r="K4739" s="120">
        <f t="shared" si="1663"/>
        <v>0</v>
      </c>
      <c r="L4739" s="120">
        <f t="shared" si="1664"/>
        <v>0</v>
      </c>
      <c r="M4739" s="246">
        <f t="shared" si="1665"/>
        <v>0</v>
      </c>
      <c r="N4739" s="121">
        <f t="shared" si="1666"/>
        <v>1.04</v>
      </c>
      <c r="P4739" s="121">
        <f t="shared" si="1667"/>
        <v>0.875</v>
      </c>
      <c r="Q4739" s="121">
        <f t="shared" si="1668"/>
        <v>0</v>
      </c>
      <c r="R4739" s="121">
        <f t="shared" si="1669"/>
        <v>0</v>
      </c>
    </row>
    <row r="4740" spans="1:18" x14ac:dyDescent="0.3">
      <c r="A4740" s="187">
        <v>12</v>
      </c>
      <c r="B4740" s="242">
        <f t="shared" si="1670"/>
        <v>45992</v>
      </c>
      <c r="C4740" s="243">
        <f t="shared" si="1655"/>
        <v>46022</v>
      </c>
      <c r="D4740" s="120">
        <f t="shared" si="1656"/>
        <v>31</v>
      </c>
      <c r="E4740" s="120">
        <f t="shared" si="1657"/>
        <v>12</v>
      </c>
      <c r="F4740" s="275">
        <f t="shared" si="1658"/>
        <v>46007.5</v>
      </c>
      <c r="G4740" s="120">
        <f t="shared" si="1659"/>
        <v>24311</v>
      </c>
      <c r="H4740" s="245">
        <f t="shared" si="1660"/>
        <v>1</v>
      </c>
      <c r="I4740" s="121">
        <f t="shared" si="1661"/>
        <v>1.04</v>
      </c>
      <c r="J4740" s="121">
        <f t="shared" si="1662"/>
        <v>1.04</v>
      </c>
      <c r="K4740" s="120">
        <f t="shared" si="1663"/>
        <v>0</v>
      </c>
      <c r="L4740" s="120">
        <f t="shared" si="1664"/>
        <v>0</v>
      </c>
      <c r="M4740" s="246">
        <f t="shared" si="1665"/>
        <v>0</v>
      </c>
      <c r="N4740" s="121">
        <f t="shared" si="1666"/>
        <v>1.04</v>
      </c>
      <c r="P4740" s="121">
        <f t="shared" si="1667"/>
        <v>0.95833333333333337</v>
      </c>
      <c r="Q4740" s="121">
        <f t="shared" si="1668"/>
        <v>0</v>
      </c>
      <c r="R4740" s="121">
        <f t="shared" si="1669"/>
        <v>0</v>
      </c>
    </row>
    <row r="4741" spans="1:18" x14ac:dyDescent="0.3">
      <c r="A4741" s="187">
        <v>13</v>
      </c>
      <c r="B4741" s="242">
        <f t="shared" si="1670"/>
        <v>46023</v>
      </c>
      <c r="C4741" s="243">
        <f t="shared" si="1655"/>
        <v>46053</v>
      </c>
      <c r="D4741" s="120">
        <f t="shared" si="1656"/>
        <v>31</v>
      </c>
      <c r="E4741" s="120">
        <f t="shared" si="1657"/>
        <v>1</v>
      </c>
      <c r="F4741" s="275">
        <f t="shared" si="1658"/>
        <v>46038.5</v>
      </c>
      <c r="G4741" s="120">
        <f t="shared" si="1659"/>
        <v>24312</v>
      </c>
      <c r="H4741" s="245">
        <f t="shared" si="1660"/>
        <v>1</v>
      </c>
      <c r="I4741" s="121">
        <f t="shared" si="1661"/>
        <v>1.04</v>
      </c>
      <c r="J4741" s="121">
        <f t="shared" si="1662"/>
        <v>1.04</v>
      </c>
      <c r="K4741" s="120">
        <f t="shared" si="1663"/>
        <v>0</v>
      </c>
      <c r="L4741" s="120">
        <f t="shared" si="1664"/>
        <v>0</v>
      </c>
      <c r="M4741" s="246">
        <f t="shared" si="1665"/>
        <v>0</v>
      </c>
      <c r="N4741" s="121">
        <f t="shared" si="1666"/>
        <v>1.04</v>
      </c>
      <c r="P4741" s="121">
        <f t="shared" si="1667"/>
        <v>0.95833333333333337</v>
      </c>
      <c r="Q4741" s="121">
        <f t="shared" si="1668"/>
        <v>4.166666666666663E-2</v>
      </c>
      <c r="R4741" s="121">
        <f t="shared" si="1669"/>
        <v>0</v>
      </c>
    </row>
    <row r="4742" spans="1:18" x14ac:dyDescent="0.3">
      <c r="A4742" s="187">
        <v>14</v>
      </c>
      <c r="B4742" s="242">
        <f t="shared" si="1670"/>
        <v>46054</v>
      </c>
      <c r="C4742" s="243">
        <f t="shared" si="1655"/>
        <v>46081</v>
      </c>
      <c r="D4742" s="120">
        <f t="shared" si="1656"/>
        <v>28</v>
      </c>
      <c r="E4742" s="120">
        <f t="shared" si="1657"/>
        <v>2</v>
      </c>
      <c r="F4742" s="275">
        <f t="shared" si="1658"/>
        <v>46068</v>
      </c>
      <c r="G4742" s="120">
        <f t="shared" si="1659"/>
        <v>24313</v>
      </c>
      <c r="H4742" s="245">
        <f t="shared" si="1660"/>
        <v>1</v>
      </c>
      <c r="I4742" s="121">
        <f t="shared" si="1661"/>
        <v>1.04</v>
      </c>
      <c r="J4742" s="121">
        <f t="shared" si="1662"/>
        <v>1.04</v>
      </c>
      <c r="K4742" s="120">
        <f t="shared" si="1663"/>
        <v>0</v>
      </c>
      <c r="L4742" s="120">
        <f t="shared" si="1664"/>
        <v>0</v>
      </c>
      <c r="M4742" s="246">
        <f t="shared" si="1665"/>
        <v>0</v>
      </c>
      <c r="N4742" s="121">
        <f t="shared" si="1666"/>
        <v>1.04</v>
      </c>
      <c r="P4742" s="121">
        <f t="shared" si="1667"/>
        <v>0.875</v>
      </c>
      <c r="Q4742" s="121">
        <f t="shared" si="1668"/>
        <v>0.125</v>
      </c>
      <c r="R4742" s="121">
        <f t="shared" si="1669"/>
        <v>0</v>
      </c>
    </row>
    <row r="4743" spans="1:18" x14ac:dyDescent="0.3">
      <c r="A4743" s="187">
        <v>15</v>
      </c>
      <c r="B4743" s="242">
        <f t="shared" si="1670"/>
        <v>46082</v>
      </c>
      <c r="C4743" s="243">
        <f t="shared" si="1655"/>
        <v>46112</v>
      </c>
      <c r="D4743" s="120">
        <f t="shared" si="1656"/>
        <v>31</v>
      </c>
      <c r="E4743" s="120">
        <f t="shared" si="1657"/>
        <v>3</v>
      </c>
      <c r="F4743" s="275">
        <f t="shared" si="1658"/>
        <v>46097.5</v>
      </c>
      <c r="G4743" s="120">
        <f t="shared" si="1659"/>
        <v>24314</v>
      </c>
      <c r="H4743" s="245">
        <f t="shared" si="1660"/>
        <v>1</v>
      </c>
      <c r="I4743" s="121">
        <f t="shared" si="1661"/>
        <v>1.04</v>
      </c>
      <c r="J4743" s="121">
        <f t="shared" si="1662"/>
        <v>1.04</v>
      </c>
      <c r="K4743" s="120">
        <f t="shared" si="1663"/>
        <v>0</v>
      </c>
      <c r="L4743" s="120">
        <f t="shared" si="1664"/>
        <v>0</v>
      </c>
      <c r="M4743" s="246">
        <f t="shared" si="1665"/>
        <v>0</v>
      </c>
      <c r="N4743" s="121">
        <f t="shared" si="1666"/>
        <v>1.04</v>
      </c>
      <c r="P4743" s="121">
        <f t="shared" si="1667"/>
        <v>0.79166666666666663</v>
      </c>
      <c r="Q4743" s="121">
        <f t="shared" si="1668"/>
        <v>0.20833333333333337</v>
      </c>
      <c r="R4743" s="121">
        <f t="shared" si="1669"/>
        <v>0</v>
      </c>
    </row>
    <row r="4744" spans="1:18" x14ac:dyDescent="0.3">
      <c r="A4744" s="187">
        <v>16</v>
      </c>
      <c r="B4744" s="242">
        <f t="shared" si="1670"/>
        <v>46113</v>
      </c>
      <c r="C4744" s="243">
        <f t="shared" si="1655"/>
        <v>46142</v>
      </c>
      <c r="D4744" s="120">
        <f t="shared" si="1656"/>
        <v>30</v>
      </c>
      <c r="E4744" s="120">
        <f t="shared" si="1657"/>
        <v>4</v>
      </c>
      <c r="F4744" s="275">
        <f t="shared" si="1658"/>
        <v>46128</v>
      </c>
      <c r="G4744" s="120">
        <f t="shared" si="1659"/>
        <v>24315</v>
      </c>
      <c r="H4744" s="245">
        <f t="shared" si="1660"/>
        <v>1</v>
      </c>
      <c r="I4744" s="121">
        <f t="shared" si="1661"/>
        <v>1.04</v>
      </c>
      <c r="J4744" s="121">
        <f t="shared" si="1662"/>
        <v>1.04</v>
      </c>
      <c r="K4744" s="120">
        <f t="shared" si="1663"/>
        <v>0</v>
      </c>
      <c r="L4744" s="120">
        <f t="shared" si="1664"/>
        <v>0</v>
      </c>
      <c r="M4744" s="246">
        <f t="shared" si="1665"/>
        <v>0</v>
      </c>
      <c r="N4744" s="121">
        <f t="shared" si="1666"/>
        <v>1.04</v>
      </c>
      <c r="P4744" s="121">
        <f t="shared" si="1667"/>
        <v>0.70833333333333337</v>
      </c>
      <c r="Q4744" s="121">
        <f t="shared" si="1668"/>
        <v>0.29166666666666663</v>
      </c>
      <c r="R4744" s="121">
        <f t="shared" si="1669"/>
        <v>0</v>
      </c>
    </row>
    <row r="4745" spans="1:18" x14ac:dyDescent="0.3">
      <c r="A4745" s="187">
        <v>17</v>
      </c>
      <c r="B4745" s="242">
        <f t="shared" si="1670"/>
        <v>46143</v>
      </c>
      <c r="C4745" s="243">
        <f t="shared" si="1655"/>
        <v>46173</v>
      </c>
      <c r="D4745" s="120">
        <f t="shared" si="1656"/>
        <v>31</v>
      </c>
      <c r="E4745" s="120">
        <f t="shared" si="1657"/>
        <v>5</v>
      </c>
      <c r="F4745" s="275">
        <f t="shared" si="1658"/>
        <v>46158.5</v>
      </c>
      <c r="G4745" s="120">
        <f t="shared" si="1659"/>
        <v>24316</v>
      </c>
      <c r="H4745" s="245">
        <f t="shared" si="1660"/>
        <v>1</v>
      </c>
      <c r="I4745" s="121">
        <f t="shared" si="1661"/>
        <v>1.04</v>
      </c>
      <c r="J4745" s="121">
        <f t="shared" si="1662"/>
        <v>1.04</v>
      </c>
      <c r="K4745" s="120">
        <f t="shared" si="1663"/>
        <v>0</v>
      </c>
      <c r="L4745" s="120">
        <f t="shared" si="1664"/>
        <v>0</v>
      </c>
      <c r="M4745" s="246">
        <f t="shared" si="1665"/>
        <v>0</v>
      </c>
      <c r="N4745" s="121">
        <f t="shared" si="1666"/>
        <v>1.04</v>
      </c>
      <c r="P4745" s="121">
        <f t="shared" si="1667"/>
        <v>0.625</v>
      </c>
      <c r="Q4745" s="121">
        <f t="shared" si="1668"/>
        <v>0.375</v>
      </c>
      <c r="R4745" s="121">
        <f t="shared" si="1669"/>
        <v>0</v>
      </c>
    </row>
    <row r="4746" spans="1:18" x14ac:dyDescent="0.3">
      <c r="A4746" s="187">
        <v>18</v>
      </c>
      <c r="B4746" s="242">
        <f t="shared" si="1670"/>
        <v>46174</v>
      </c>
      <c r="C4746" s="243">
        <f t="shared" si="1655"/>
        <v>46203</v>
      </c>
      <c r="D4746" s="120">
        <f t="shared" si="1656"/>
        <v>30</v>
      </c>
      <c r="E4746" s="120">
        <f t="shared" si="1657"/>
        <v>6</v>
      </c>
      <c r="F4746" s="275">
        <f t="shared" si="1658"/>
        <v>46189</v>
      </c>
      <c r="G4746" s="120">
        <f t="shared" si="1659"/>
        <v>24317</v>
      </c>
      <c r="H4746" s="245">
        <f t="shared" si="1660"/>
        <v>1</v>
      </c>
      <c r="I4746" s="121">
        <f t="shared" si="1661"/>
        <v>1.04</v>
      </c>
      <c r="J4746" s="121">
        <f t="shared" si="1662"/>
        <v>1.04</v>
      </c>
      <c r="K4746" s="120">
        <f t="shared" si="1663"/>
        <v>0</v>
      </c>
      <c r="L4746" s="120">
        <f t="shared" si="1664"/>
        <v>0</v>
      </c>
      <c r="M4746" s="246">
        <f t="shared" si="1665"/>
        <v>0</v>
      </c>
      <c r="N4746" s="121">
        <f t="shared" si="1666"/>
        <v>1.04</v>
      </c>
      <c r="P4746" s="121">
        <f t="shared" si="1667"/>
        <v>0.54166666666666663</v>
      </c>
      <c r="Q4746" s="121">
        <f t="shared" si="1668"/>
        <v>0.45833333333333337</v>
      </c>
      <c r="R4746" s="121">
        <f t="shared" si="1669"/>
        <v>0</v>
      </c>
    </row>
    <row r="4747" spans="1:18" x14ac:dyDescent="0.3">
      <c r="A4747" s="187">
        <v>19</v>
      </c>
      <c r="B4747" s="242">
        <f t="shared" si="1670"/>
        <v>46204</v>
      </c>
      <c r="C4747" s="243">
        <f t="shared" si="1655"/>
        <v>46234</v>
      </c>
      <c r="D4747" s="120">
        <f t="shared" si="1656"/>
        <v>31</v>
      </c>
      <c r="E4747" s="120">
        <f t="shared" si="1657"/>
        <v>7</v>
      </c>
      <c r="F4747" s="275">
        <f t="shared" si="1658"/>
        <v>46219.5</v>
      </c>
      <c r="G4747" s="120">
        <f t="shared" si="1659"/>
        <v>24318</v>
      </c>
      <c r="H4747" s="245">
        <f t="shared" si="1660"/>
        <v>1</v>
      </c>
      <c r="I4747" s="121">
        <f t="shared" si="1661"/>
        <v>1.04</v>
      </c>
      <c r="J4747" s="121">
        <f t="shared" si="1662"/>
        <v>1.1024</v>
      </c>
      <c r="K4747" s="120">
        <f t="shared" si="1663"/>
        <v>1</v>
      </c>
      <c r="L4747" s="120">
        <f t="shared" si="1664"/>
        <v>31</v>
      </c>
      <c r="M4747" s="246">
        <f t="shared" si="1665"/>
        <v>1</v>
      </c>
      <c r="N4747" s="121">
        <f t="shared" si="1666"/>
        <v>1.1024</v>
      </c>
      <c r="P4747" s="121">
        <f t="shared" si="1667"/>
        <v>0.45833333333333331</v>
      </c>
      <c r="Q4747" s="121">
        <f t="shared" si="1668"/>
        <v>0.54166666666666674</v>
      </c>
      <c r="R4747" s="121">
        <f t="shared" si="1669"/>
        <v>0</v>
      </c>
    </row>
    <row r="4748" spans="1:18" x14ac:dyDescent="0.3">
      <c r="A4748" s="187">
        <v>20</v>
      </c>
      <c r="B4748" s="242">
        <f t="shared" si="1670"/>
        <v>46235</v>
      </c>
      <c r="C4748" s="243">
        <f t="shared" si="1655"/>
        <v>46265</v>
      </c>
      <c r="D4748" s="120">
        <f t="shared" si="1656"/>
        <v>31</v>
      </c>
      <c r="E4748" s="120">
        <f t="shared" si="1657"/>
        <v>8</v>
      </c>
      <c r="F4748" s="275">
        <f t="shared" si="1658"/>
        <v>46250.5</v>
      </c>
      <c r="G4748" s="120">
        <f t="shared" si="1659"/>
        <v>24319</v>
      </c>
      <c r="H4748" s="245">
        <f t="shared" si="1660"/>
        <v>1</v>
      </c>
      <c r="I4748" s="121">
        <f t="shared" si="1661"/>
        <v>1.1024</v>
      </c>
      <c r="J4748" s="121">
        <f t="shared" si="1662"/>
        <v>1.1024</v>
      </c>
      <c r="K4748" s="120">
        <f t="shared" si="1663"/>
        <v>0</v>
      </c>
      <c r="L4748" s="120">
        <f t="shared" si="1664"/>
        <v>0</v>
      </c>
      <c r="M4748" s="246">
        <f t="shared" si="1665"/>
        <v>0</v>
      </c>
      <c r="N4748" s="121">
        <f t="shared" si="1666"/>
        <v>1.1024</v>
      </c>
      <c r="P4748" s="121">
        <f t="shared" si="1667"/>
        <v>0.375</v>
      </c>
      <c r="Q4748" s="121">
        <f t="shared" si="1668"/>
        <v>0.625</v>
      </c>
      <c r="R4748" s="121">
        <f t="shared" si="1669"/>
        <v>0</v>
      </c>
    </row>
    <row r="4749" spans="1:18" x14ac:dyDescent="0.3">
      <c r="A4749" s="187">
        <v>21</v>
      </c>
      <c r="B4749" s="242">
        <f t="shared" si="1670"/>
        <v>46266</v>
      </c>
      <c r="C4749" s="243">
        <f t="shared" si="1655"/>
        <v>46295</v>
      </c>
      <c r="D4749" s="120">
        <f t="shared" si="1656"/>
        <v>30</v>
      </c>
      <c r="E4749" s="120">
        <f t="shared" si="1657"/>
        <v>9</v>
      </c>
      <c r="F4749" s="275">
        <f t="shared" si="1658"/>
        <v>46281</v>
      </c>
      <c r="G4749" s="120">
        <f t="shared" si="1659"/>
        <v>24320</v>
      </c>
      <c r="H4749" s="245">
        <f t="shared" si="1660"/>
        <v>1</v>
      </c>
      <c r="I4749" s="121">
        <f t="shared" si="1661"/>
        <v>1.1024</v>
      </c>
      <c r="J4749" s="121">
        <f t="shared" si="1662"/>
        <v>1.1024</v>
      </c>
      <c r="K4749" s="120">
        <f t="shared" si="1663"/>
        <v>0</v>
      </c>
      <c r="L4749" s="120">
        <f t="shared" si="1664"/>
        <v>0</v>
      </c>
      <c r="M4749" s="246">
        <f t="shared" si="1665"/>
        <v>0</v>
      </c>
      <c r="N4749" s="121">
        <f t="shared" si="1666"/>
        <v>1.1024</v>
      </c>
      <c r="P4749" s="121">
        <f t="shared" si="1667"/>
        <v>0.29166666666666669</v>
      </c>
      <c r="Q4749" s="121">
        <f t="shared" si="1668"/>
        <v>0.70833333333333326</v>
      </c>
      <c r="R4749" s="121">
        <f t="shared" si="1669"/>
        <v>0</v>
      </c>
    </row>
    <row r="4750" spans="1:18" x14ac:dyDescent="0.3">
      <c r="A4750" s="187">
        <v>22</v>
      </c>
      <c r="B4750" s="242">
        <f t="shared" si="1670"/>
        <v>46296</v>
      </c>
      <c r="C4750" s="243">
        <f t="shared" si="1655"/>
        <v>46326</v>
      </c>
      <c r="D4750" s="120">
        <f t="shared" si="1656"/>
        <v>31</v>
      </c>
      <c r="E4750" s="120">
        <f t="shared" si="1657"/>
        <v>10</v>
      </c>
      <c r="F4750" s="275">
        <f t="shared" si="1658"/>
        <v>46311.5</v>
      </c>
      <c r="G4750" s="120">
        <f t="shared" si="1659"/>
        <v>24321</v>
      </c>
      <c r="H4750" s="245">
        <f t="shared" si="1660"/>
        <v>1</v>
      </c>
      <c r="I4750" s="121">
        <f t="shared" si="1661"/>
        <v>1.1024</v>
      </c>
      <c r="J4750" s="121">
        <f t="shared" si="1662"/>
        <v>1.1024</v>
      </c>
      <c r="K4750" s="120">
        <f t="shared" si="1663"/>
        <v>0</v>
      </c>
      <c r="L4750" s="120">
        <f t="shared" si="1664"/>
        <v>0</v>
      </c>
      <c r="M4750" s="246">
        <f t="shared" si="1665"/>
        <v>0</v>
      </c>
      <c r="N4750" s="121">
        <f t="shared" si="1666"/>
        <v>1.1024</v>
      </c>
      <c r="P4750" s="121">
        <f t="shared" si="1667"/>
        <v>0.20833333333333334</v>
      </c>
      <c r="Q4750" s="121">
        <f t="shared" si="1668"/>
        <v>0.79166666666666663</v>
      </c>
      <c r="R4750" s="121">
        <f t="shared" si="1669"/>
        <v>0</v>
      </c>
    </row>
    <row r="4751" spans="1:18" x14ac:dyDescent="0.3">
      <c r="A4751" s="187">
        <v>23</v>
      </c>
      <c r="B4751" s="242">
        <f t="shared" si="1670"/>
        <v>46327</v>
      </c>
      <c r="C4751" s="243">
        <f t="shared" si="1655"/>
        <v>46356</v>
      </c>
      <c r="D4751" s="120">
        <f t="shared" si="1656"/>
        <v>30</v>
      </c>
      <c r="E4751" s="120">
        <f t="shared" si="1657"/>
        <v>11</v>
      </c>
      <c r="F4751" s="275">
        <f t="shared" si="1658"/>
        <v>46342</v>
      </c>
      <c r="G4751" s="120">
        <f t="shared" si="1659"/>
        <v>24322</v>
      </c>
      <c r="H4751" s="245">
        <f t="shared" si="1660"/>
        <v>1</v>
      </c>
      <c r="I4751" s="121">
        <f t="shared" si="1661"/>
        <v>1.1024</v>
      </c>
      <c r="J4751" s="121">
        <f t="shared" si="1662"/>
        <v>1.1024</v>
      </c>
      <c r="K4751" s="120">
        <f t="shared" si="1663"/>
        <v>0</v>
      </c>
      <c r="L4751" s="120">
        <f t="shared" si="1664"/>
        <v>0</v>
      </c>
      <c r="M4751" s="246">
        <f t="shared" si="1665"/>
        <v>0</v>
      </c>
      <c r="N4751" s="121">
        <f t="shared" si="1666"/>
        <v>1.1024</v>
      </c>
      <c r="P4751" s="121">
        <f t="shared" si="1667"/>
        <v>0.125</v>
      </c>
      <c r="Q4751" s="121">
        <f t="shared" si="1668"/>
        <v>0.875</v>
      </c>
      <c r="R4751" s="121">
        <f t="shared" si="1669"/>
        <v>0</v>
      </c>
    </row>
    <row r="4752" spans="1:18" x14ac:dyDescent="0.3">
      <c r="A4752" s="187">
        <v>24</v>
      </c>
      <c r="B4752" s="242">
        <f t="shared" si="1670"/>
        <v>46357</v>
      </c>
      <c r="C4752" s="243">
        <f t="shared" si="1655"/>
        <v>46387</v>
      </c>
      <c r="D4752" s="120">
        <f t="shared" si="1656"/>
        <v>31</v>
      </c>
      <c r="E4752" s="120">
        <f t="shared" si="1657"/>
        <v>12</v>
      </c>
      <c r="F4752" s="275">
        <f t="shared" si="1658"/>
        <v>46372.5</v>
      </c>
      <c r="G4752" s="120">
        <f t="shared" si="1659"/>
        <v>24323</v>
      </c>
      <c r="H4752" s="245">
        <f t="shared" si="1660"/>
        <v>1</v>
      </c>
      <c r="I4752" s="121">
        <f t="shared" si="1661"/>
        <v>1.1024</v>
      </c>
      <c r="J4752" s="121">
        <f t="shared" si="1662"/>
        <v>1.1024</v>
      </c>
      <c r="K4752" s="120">
        <f t="shared" si="1663"/>
        <v>0</v>
      </c>
      <c r="L4752" s="120">
        <f t="shared" si="1664"/>
        <v>0</v>
      </c>
      <c r="M4752" s="246">
        <f t="shared" si="1665"/>
        <v>0</v>
      </c>
      <c r="N4752" s="121">
        <f t="shared" si="1666"/>
        <v>1.1024</v>
      </c>
      <c r="P4752" s="121">
        <f t="shared" si="1667"/>
        <v>4.1666666666666664E-2</v>
      </c>
      <c r="Q4752" s="121">
        <f t="shared" si="1668"/>
        <v>0.95833333333333337</v>
      </c>
      <c r="R4752" s="121">
        <f t="shared" si="1669"/>
        <v>0</v>
      </c>
    </row>
    <row r="4753" spans="1:18" x14ac:dyDescent="0.3">
      <c r="A4753" s="187">
        <v>25</v>
      </c>
      <c r="B4753" s="242">
        <f t="shared" si="1670"/>
        <v>46388</v>
      </c>
      <c r="C4753" s="243">
        <f t="shared" si="1655"/>
        <v>46418</v>
      </c>
      <c r="D4753" s="120">
        <f t="shared" si="1656"/>
        <v>31</v>
      </c>
      <c r="E4753" s="120">
        <f t="shared" si="1657"/>
        <v>1</v>
      </c>
      <c r="F4753" s="275">
        <f t="shared" si="1658"/>
        <v>46403.5</v>
      </c>
      <c r="G4753" s="120">
        <f t="shared" si="1659"/>
        <v>24324</v>
      </c>
      <c r="H4753" s="245">
        <f t="shared" si="1660"/>
        <v>1</v>
      </c>
      <c r="I4753" s="121">
        <f t="shared" si="1661"/>
        <v>1.1024</v>
      </c>
      <c r="J4753" s="121">
        <f t="shared" si="1662"/>
        <v>1.1024</v>
      </c>
      <c r="K4753" s="120">
        <f t="shared" si="1663"/>
        <v>0</v>
      </c>
      <c r="L4753" s="120">
        <f t="shared" si="1664"/>
        <v>0</v>
      </c>
      <c r="M4753" s="246">
        <f t="shared" si="1665"/>
        <v>0</v>
      </c>
      <c r="N4753" s="121">
        <f t="shared" si="1666"/>
        <v>1.1024</v>
      </c>
      <c r="P4753" s="121">
        <f t="shared" si="1667"/>
        <v>0</v>
      </c>
      <c r="Q4753" s="121">
        <f t="shared" si="1668"/>
        <v>0.95833333333333337</v>
      </c>
      <c r="R4753" s="121">
        <f t="shared" si="1669"/>
        <v>4.166666666666663E-2</v>
      </c>
    </row>
    <row r="4754" spans="1:18" x14ac:dyDescent="0.3">
      <c r="A4754" s="187">
        <v>26</v>
      </c>
      <c r="B4754" s="242">
        <f t="shared" si="1670"/>
        <v>46419</v>
      </c>
      <c r="C4754" s="243">
        <f t="shared" si="1655"/>
        <v>46446</v>
      </c>
      <c r="D4754" s="120">
        <f t="shared" si="1656"/>
        <v>28</v>
      </c>
      <c r="E4754" s="120">
        <f t="shared" si="1657"/>
        <v>2</v>
      </c>
      <c r="F4754" s="275">
        <f t="shared" si="1658"/>
        <v>46433</v>
      </c>
      <c r="G4754" s="120">
        <f t="shared" si="1659"/>
        <v>24325</v>
      </c>
      <c r="H4754" s="245">
        <f t="shared" si="1660"/>
        <v>1</v>
      </c>
      <c r="I4754" s="121">
        <f t="shared" si="1661"/>
        <v>1.1024</v>
      </c>
      <c r="J4754" s="121">
        <f t="shared" si="1662"/>
        <v>1.1024</v>
      </c>
      <c r="K4754" s="120">
        <f t="shared" si="1663"/>
        <v>0</v>
      </c>
      <c r="L4754" s="120">
        <f t="shared" si="1664"/>
        <v>0</v>
      </c>
      <c r="M4754" s="246">
        <f t="shared" si="1665"/>
        <v>0</v>
      </c>
      <c r="N4754" s="121">
        <f t="shared" si="1666"/>
        <v>1.1024</v>
      </c>
      <c r="P4754" s="121">
        <f t="shared" si="1667"/>
        <v>0</v>
      </c>
      <c r="Q4754" s="121">
        <f t="shared" si="1668"/>
        <v>0.875</v>
      </c>
      <c r="R4754" s="121">
        <f t="shared" si="1669"/>
        <v>0.125</v>
      </c>
    </row>
    <row r="4755" spans="1:18" x14ac:dyDescent="0.3">
      <c r="A4755" s="187">
        <v>27</v>
      </c>
      <c r="B4755" s="242">
        <f t="shared" si="1670"/>
        <v>46447</v>
      </c>
      <c r="C4755" s="243">
        <f t="shared" si="1655"/>
        <v>46477</v>
      </c>
      <c r="D4755" s="120">
        <f t="shared" si="1656"/>
        <v>31</v>
      </c>
      <c r="E4755" s="120">
        <f t="shared" si="1657"/>
        <v>3</v>
      </c>
      <c r="F4755" s="275">
        <f t="shared" si="1658"/>
        <v>46462.5</v>
      </c>
      <c r="G4755" s="120">
        <f t="shared" si="1659"/>
        <v>24326</v>
      </c>
      <c r="H4755" s="245">
        <f t="shared" si="1660"/>
        <v>1</v>
      </c>
      <c r="I4755" s="121">
        <f t="shared" si="1661"/>
        <v>1.1024</v>
      </c>
      <c r="J4755" s="121">
        <f t="shared" si="1662"/>
        <v>1.1024</v>
      </c>
      <c r="K4755" s="120">
        <f t="shared" si="1663"/>
        <v>0</v>
      </c>
      <c r="L4755" s="120">
        <f t="shared" si="1664"/>
        <v>0</v>
      </c>
      <c r="M4755" s="246">
        <f t="shared" si="1665"/>
        <v>0</v>
      </c>
      <c r="N4755" s="121">
        <f t="shared" si="1666"/>
        <v>1.1024</v>
      </c>
      <c r="P4755" s="121">
        <f t="shared" si="1667"/>
        <v>0</v>
      </c>
      <c r="Q4755" s="121">
        <f t="shared" si="1668"/>
        <v>0.79166666666666663</v>
      </c>
      <c r="R4755" s="121">
        <f t="shared" si="1669"/>
        <v>0.20833333333333337</v>
      </c>
    </row>
    <row r="4756" spans="1:18" x14ac:dyDescent="0.3">
      <c r="A4756" s="187">
        <v>28</v>
      </c>
      <c r="B4756" s="242">
        <f t="shared" si="1670"/>
        <v>46478</v>
      </c>
      <c r="C4756" s="243">
        <f t="shared" si="1655"/>
        <v>46507</v>
      </c>
      <c r="D4756" s="120">
        <f t="shared" si="1656"/>
        <v>30</v>
      </c>
      <c r="E4756" s="120">
        <f t="shared" si="1657"/>
        <v>4</v>
      </c>
      <c r="F4756" s="275">
        <f t="shared" si="1658"/>
        <v>46493</v>
      </c>
      <c r="G4756" s="120">
        <f t="shared" si="1659"/>
        <v>24327</v>
      </c>
      <c r="H4756" s="245">
        <f t="shared" si="1660"/>
        <v>1</v>
      </c>
      <c r="I4756" s="121">
        <f t="shared" si="1661"/>
        <v>1.1024</v>
      </c>
      <c r="J4756" s="121">
        <f t="shared" si="1662"/>
        <v>1.1024</v>
      </c>
      <c r="K4756" s="120">
        <f t="shared" si="1663"/>
        <v>0</v>
      </c>
      <c r="L4756" s="120">
        <f t="shared" si="1664"/>
        <v>0</v>
      </c>
      <c r="M4756" s="246">
        <f t="shared" si="1665"/>
        <v>0</v>
      </c>
      <c r="N4756" s="121">
        <f t="shared" si="1666"/>
        <v>1.1024</v>
      </c>
      <c r="P4756" s="121">
        <f t="shared" si="1667"/>
        <v>0</v>
      </c>
      <c r="Q4756" s="121">
        <f t="shared" si="1668"/>
        <v>0.70833333333333337</v>
      </c>
      <c r="R4756" s="121">
        <f t="shared" si="1669"/>
        <v>0.29166666666666663</v>
      </c>
    </row>
    <row r="4757" spans="1:18" x14ac:dyDescent="0.3">
      <c r="A4757" s="187">
        <v>29</v>
      </c>
      <c r="B4757" s="242">
        <f t="shared" si="1670"/>
        <v>46508</v>
      </c>
      <c r="C4757" s="243">
        <f t="shared" si="1655"/>
        <v>46538</v>
      </c>
      <c r="D4757" s="120">
        <f t="shared" si="1656"/>
        <v>31</v>
      </c>
      <c r="E4757" s="120">
        <f t="shared" si="1657"/>
        <v>5</v>
      </c>
      <c r="F4757" s="275">
        <f t="shared" si="1658"/>
        <v>46523.5</v>
      </c>
      <c r="G4757" s="120">
        <f t="shared" si="1659"/>
        <v>24328</v>
      </c>
      <c r="H4757" s="245">
        <f t="shared" si="1660"/>
        <v>1</v>
      </c>
      <c r="I4757" s="121">
        <f t="shared" si="1661"/>
        <v>1.1024</v>
      </c>
      <c r="J4757" s="121">
        <f t="shared" si="1662"/>
        <v>1.1024</v>
      </c>
      <c r="K4757" s="120">
        <f t="shared" si="1663"/>
        <v>0</v>
      </c>
      <c r="L4757" s="120">
        <f t="shared" si="1664"/>
        <v>0</v>
      </c>
      <c r="M4757" s="246">
        <f t="shared" si="1665"/>
        <v>0</v>
      </c>
      <c r="N4757" s="121">
        <f t="shared" si="1666"/>
        <v>1.1024</v>
      </c>
      <c r="P4757" s="121">
        <f t="shared" si="1667"/>
        <v>0</v>
      </c>
      <c r="Q4757" s="121">
        <f t="shared" si="1668"/>
        <v>0.625</v>
      </c>
      <c r="R4757" s="121">
        <f t="shared" si="1669"/>
        <v>0.375</v>
      </c>
    </row>
    <row r="4758" spans="1:18" x14ac:dyDescent="0.3">
      <c r="A4758" s="187">
        <v>30</v>
      </c>
      <c r="B4758" s="242">
        <f t="shared" si="1670"/>
        <v>46539</v>
      </c>
      <c r="C4758" s="243">
        <f t="shared" si="1655"/>
        <v>46568</v>
      </c>
      <c r="D4758" s="120">
        <f t="shared" si="1656"/>
        <v>30</v>
      </c>
      <c r="E4758" s="120">
        <f t="shared" si="1657"/>
        <v>6</v>
      </c>
      <c r="F4758" s="275">
        <f t="shared" si="1658"/>
        <v>46554</v>
      </c>
      <c r="G4758" s="120">
        <f t="shared" si="1659"/>
        <v>24329</v>
      </c>
      <c r="H4758" s="245">
        <f t="shared" si="1660"/>
        <v>1</v>
      </c>
      <c r="I4758" s="121">
        <f t="shared" si="1661"/>
        <v>1.1024</v>
      </c>
      <c r="J4758" s="121">
        <f t="shared" si="1662"/>
        <v>1.1024</v>
      </c>
      <c r="K4758" s="120">
        <f t="shared" si="1663"/>
        <v>0</v>
      </c>
      <c r="L4758" s="120">
        <f t="shared" si="1664"/>
        <v>0</v>
      </c>
      <c r="M4758" s="246">
        <f t="shared" si="1665"/>
        <v>0</v>
      </c>
      <c r="N4758" s="121">
        <f t="shared" si="1666"/>
        <v>1.1024</v>
      </c>
      <c r="P4758" s="121">
        <f t="shared" si="1667"/>
        <v>0</v>
      </c>
      <c r="Q4758" s="121">
        <f t="shared" si="1668"/>
        <v>0.54166666666666663</v>
      </c>
      <c r="R4758" s="121">
        <f t="shared" si="1669"/>
        <v>0.45833333333333337</v>
      </c>
    </row>
    <row r="4759" spans="1:18" x14ac:dyDescent="0.3">
      <c r="A4759" s="187">
        <v>31</v>
      </c>
      <c r="B4759" s="242">
        <f t="shared" si="1670"/>
        <v>46569</v>
      </c>
      <c r="C4759" s="243">
        <f t="shared" si="1655"/>
        <v>46599</v>
      </c>
      <c r="D4759" s="120">
        <f t="shared" si="1656"/>
        <v>31</v>
      </c>
      <c r="E4759" s="120">
        <f t="shared" si="1657"/>
        <v>7</v>
      </c>
      <c r="F4759" s="275">
        <f t="shared" si="1658"/>
        <v>46584.5</v>
      </c>
      <c r="G4759" s="120">
        <f t="shared" si="1659"/>
        <v>24330</v>
      </c>
      <c r="H4759" s="245">
        <f t="shared" si="1660"/>
        <v>1</v>
      </c>
      <c r="I4759" s="121">
        <f t="shared" si="1661"/>
        <v>1.1024</v>
      </c>
      <c r="J4759" s="121">
        <f t="shared" si="1662"/>
        <v>1.1024</v>
      </c>
      <c r="K4759" s="120">
        <f t="shared" si="1663"/>
        <v>0</v>
      </c>
      <c r="L4759" s="120">
        <f t="shared" si="1664"/>
        <v>0</v>
      </c>
      <c r="M4759" s="246">
        <f t="shared" si="1665"/>
        <v>0</v>
      </c>
      <c r="N4759" s="121">
        <f t="shared" si="1666"/>
        <v>1.1024</v>
      </c>
      <c r="P4759" s="121">
        <f t="shared" si="1667"/>
        <v>0</v>
      </c>
      <c r="Q4759" s="121">
        <f t="shared" si="1668"/>
        <v>0.45833333333333331</v>
      </c>
      <c r="R4759" s="121">
        <f t="shared" si="1669"/>
        <v>0.54166666666666674</v>
      </c>
    </row>
    <row r="4760" spans="1:18" x14ac:dyDescent="0.3">
      <c r="A4760" s="187">
        <v>32</v>
      </c>
      <c r="B4760" s="242">
        <f t="shared" si="1670"/>
        <v>46600</v>
      </c>
      <c r="C4760" s="243">
        <f t="shared" si="1655"/>
        <v>46630</v>
      </c>
      <c r="D4760" s="120">
        <f t="shared" si="1656"/>
        <v>31</v>
      </c>
      <c r="E4760" s="120">
        <f t="shared" si="1657"/>
        <v>8</v>
      </c>
      <c r="F4760" s="275">
        <f t="shared" si="1658"/>
        <v>46615.5</v>
      </c>
      <c r="G4760" s="120">
        <f t="shared" si="1659"/>
        <v>24331</v>
      </c>
      <c r="H4760" s="245">
        <f t="shared" si="1660"/>
        <v>1</v>
      </c>
      <c r="I4760" s="121">
        <f t="shared" si="1661"/>
        <v>1.1024</v>
      </c>
      <c r="J4760" s="121">
        <f t="shared" si="1662"/>
        <v>1.1024</v>
      </c>
      <c r="K4760" s="120">
        <f t="shared" si="1663"/>
        <v>0</v>
      </c>
      <c r="L4760" s="120">
        <f t="shared" si="1664"/>
        <v>0</v>
      </c>
      <c r="M4760" s="246">
        <f t="shared" si="1665"/>
        <v>0</v>
      </c>
      <c r="N4760" s="121">
        <f t="shared" si="1666"/>
        <v>1.1024</v>
      </c>
      <c r="P4760" s="121">
        <f t="shared" si="1667"/>
        <v>0</v>
      </c>
      <c r="Q4760" s="121">
        <f t="shared" si="1668"/>
        <v>0.375</v>
      </c>
      <c r="R4760" s="121">
        <f t="shared" si="1669"/>
        <v>0.625</v>
      </c>
    </row>
    <row r="4761" spans="1:18" x14ac:dyDescent="0.3">
      <c r="A4761" s="187">
        <v>33</v>
      </c>
      <c r="B4761" s="242">
        <f t="shared" si="1670"/>
        <v>46631</v>
      </c>
      <c r="C4761" s="243">
        <f t="shared" si="1655"/>
        <v>46660</v>
      </c>
      <c r="D4761" s="120">
        <f t="shared" si="1656"/>
        <v>30</v>
      </c>
      <c r="E4761" s="120">
        <f t="shared" si="1657"/>
        <v>9</v>
      </c>
      <c r="F4761" s="275">
        <f t="shared" si="1658"/>
        <v>46646</v>
      </c>
      <c r="G4761" s="120">
        <f t="shared" si="1659"/>
        <v>24332</v>
      </c>
      <c r="H4761" s="245">
        <f t="shared" si="1660"/>
        <v>1</v>
      </c>
      <c r="I4761" s="121">
        <f t="shared" si="1661"/>
        <v>1.1024</v>
      </c>
      <c r="J4761" s="121">
        <f t="shared" si="1662"/>
        <v>1.1024</v>
      </c>
      <c r="K4761" s="120">
        <f t="shared" si="1663"/>
        <v>0</v>
      </c>
      <c r="L4761" s="120">
        <f t="shared" si="1664"/>
        <v>0</v>
      </c>
      <c r="M4761" s="246">
        <f t="shared" si="1665"/>
        <v>0</v>
      </c>
      <c r="N4761" s="121">
        <f t="shared" si="1666"/>
        <v>1.1024</v>
      </c>
      <c r="P4761" s="121">
        <f t="shared" si="1667"/>
        <v>0</v>
      </c>
      <c r="Q4761" s="121">
        <f t="shared" si="1668"/>
        <v>0.29166666666666669</v>
      </c>
      <c r="R4761" s="121">
        <f t="shared" si="1669"/>
        <v>0.70833333333333326</v>
      </c>
    </row>
    <row r="4762" spans="1:18" x14ac:dyDescent="0.3">
      <c r="A4762" s="187">
        <v>34</v>
      </c>
      <c r="B4762" s="242">
        <f t="shared" si="1670"/>
        <v>46661</v>
      </c>
      <c r="C4762" s="243">
        <f t="shared" si="1655"/>
        <v>46691</v>
      </c>
      <c r="D4762" s="120">
        <f t="shared" si="1656"/>
        <v>31</v>
      </c>
      <c r="E4762" s="120">
        <f t="shared" si="1657"/>
        <v>10</v>
      </c>
      <c r="F4762" s="275">
        <f t="shared" si="1658"/>
        <v>46676.5</v>
      </c>
      <c r="G4762" s="120">
        <f t="shared" si="1659"/>
        <v>24333</v>
      </c>
      <c r="H4762" s="245">
        <f t="shared" si="1660"/>
        <v>1</v>
      </c>
      <c r="I4762" s="121">
        <f t="shared" si="1661"/>
        <v>1.1024</v>
      </c>
      <c r="J4762" s="121">
        <f t="shared" si="1662"/>
        <v>1.1024</v>
      </c>
      <c r="K4762" s="120">
        <f t="shared" si="1663"/>
        <v>0</v>
      </c>
      <c r="L4762" s="120">
        <f t="shared" si="1664"/>
        <v>0</v>
      </c>
      <c r="M4762" s="246">
        <f t="shared" si="1665"/>
        <v>0</v>
      </c>
      <c r="N4762" s="121">
        <f t="shared" si="1666"/>
        <v>1.1024</v>
      </c>
      <c r="P4762" s="121">
        <f t="shared" si="1667"/>
        <v>0</v>
      </c>
      <c r="Q4762" s="121">
        <f t="shared" si="1668"/>
        <v>0.20833333333333334</v>
      </c>
      <c r="R4762" s="121">
        <f t="shared" si="1669"/>
        <v>0.79166666666666663</v>
      </c>
    </row>
    <row r="4763" spans="1:18" x14ac:dyDescent="0.3">
      <c r="A4763" s="187">
        <v>35</v>
      </c>
      <c r="B4763" s="242">
        <f t="shared" si="1670"/>
        <v>46692</v>
      </c>
      <c r="C4763" s="243">
        <f t="shared" si="1655"/>
        <v>46721</v>
      </c>
      <c r="D4763" s="120">
        <f t="shared" si="1656"/>
        <v>30</v>
      </c>
      <c r="E4763" s="120">
        <f t="shared" si="1657"/>
        <v>11</v>
      </c>
      <c r="F4763" s="275">
        <f t="shared" si="1658"/>
        <v>46707</v>
      </c>
      <c r="G4763" s="120">
        <f t="shared" si="1659"/>
        <v>24334</v>
      </c>
      <c r="H4763" s="245">
        <f t="shared" si="1660"/>
        <v>1</v>
      </c>
      <c r="I4763" s="121">
        <f t="shared" si="1661"/>
        <v>1.1024</v>
      </c>
      <c r="J4763" s="121">
        <f t="shared" si="1662"/>
        <v>1.1024</v>
      </c>
      <c r="K4763" s="120">
        <f t="shared" si="1663"/>
        <v>0</v>
      </c>
      <c r="L4763" s="120">
        <f t="shared" si="1664"/>
        <v>0</v>
      </c>
      <c r="M4763" s="246">
        <f t="shared" si="1665"/>
        <v>0</v>
      </c>
      <c r="N4763" s="121">
        <f t="shared" si="1666"/>
        <v>1.1024</v>
      </c>
      <c r="P4763" s="121">
        <f t="shared" si="1667"/>
        <v>0</v>
      </c>
      <c r="Q4763" s="121">
        <f t="shared" si="1668"/>
        <v>0.125</v>
      </c>
      <c r="R4763" s="121">
        <f t="shared" si="1669"/>
        <v>0.875</v>
      </c>
    </row>
    <row r="4764" spans="1:18" x14ac:dyDescent="0.3">
      <c r="A4764" s="187">
        <v>36</v>
      </c>
      <c r="B4764" s="242">
        <f t="shared" si="1670"/>
        <v>46722</v>
      </c>
      <c r="C4764" s="243">
        <f t="shared" si="1655"/>
        <v>46752</v>
      </c>
      <c r="D4764" s="120">
        <f t="shared" si="1656"/>
        <v>31</v>
      </c>
      <c r="E4764" s="120">
        <f t="shared" si="1657"/>
        <v>12</v>
      </c>
      <c r="F4764" s="275">
        <f t="shared" si="1658"/>
        <v>46737.5</v>
      </c>
      <c r="G4764" s="120">
        <f t="shared" si="1659"/>
        <v>24335</v>
      </c>
      <c r="H4764" s="245">
        <f t="shared" si="1660"/>
        <v>1</v>
      </c>
      <c r="I4764" s="121">
        <f t="shared" si="1661"/>
        <v>1.1024</v>
      </c>
      <c r="J4764" s="121">
        <f t="shared" si="1662"/>
        <v>1.1024</v>
      </c>
      <c r="K4764" s="120">
        <f t="shared" si="1663"/>
        <v>0</v>
      </c>
      <c r="L4764" s="120">
        <f t="shared" si="1664"/>
        <v>0</v>
      </c>
      <c r="M4764" s="246">
        <f t="shared" si="1665"/>
        <v>0</v>
      </c>
      <c r="N4764" s="121">
        <f t="shared" si="1666"/>
        <v>1.1024</v>
      </c>
      <c r="P4764" s="121">
        <f t="shared" si="1667"/>
        <v>0</v>
      </c>
      <c r="Q4764" s="121">
        <f t="shared" si="1668"/>
        <v>4.1666666666666664E-2</v>
      </c>
      <c r="R4764" s="121">
        <f t="shared" si="1669"/>
        <v>0.95833333333333337</v>
      </c>
    </row>
    <row r="4765" spans="1:18" x14ac:dyDescent="0.3">
      <c r="A4765" s="187">
        <v>37</v>
      </c>
      <c r="B4765" s="242">
        <f t="shared" si="1670"/>
        <v>46753</v>
      </c>
      <c r="C4765" s="243">
        <f t="shared" si="1655"/>
        <v>46783</v>
      </c>
      <c r="D4765" s="120">
        <f t="shared" si="1656"/>
        <v>31</v>
      </c>
      <c r="E4765" s="120">
        <f t="shared" si="1657"/>
        <v>1</v>
      </c>
      <c r="F4765" s="275">
        <f t="shared" si="1658"/>
        <v>46768.5</v>
      </c>
      <c r="G4765" s="120">
        <f t="shared" si="1659"/>
        <v>24336</v>
      </c>
      <c r="H4765" s="245">
        <f t="shared" si="1660"/>
        <v>1</v>
      </c>
      <c r="I4765" s="121">
        <f t="shared" si="1661"/>
        <v>1.1024</v>
      </c>
      <c r="J4765" s="121">
        <f t="shared" si="1662"/>
        <v>1.1024</v>
      </c>
      <c r="K4765" s="120">
        <f t="shared" si="1663"/>
        <v>0</v>
      </c>
      <c r="L4765" s="120">
        <f t="shared" si="1664"/>
        <v>0</v>
      </c>
      <c r="M4765" s="246">
        <f t="shared" si="1665"/>
        <v>0</v>
      </c>
      <c r="N4765" s="121">
        <f t="shared" si="1666"/>
        <v>1.1024</v>
      </c>
      <c r="P4765" s="121">
        <f t="shared" si="1667"/>
        <v>0</v>
      </c>
      <c r="Q4765" s="121">
        <f t="shared" si="1668"/>
        <v>0</v>
      </c>
      <c r="R4765" s="121">
        <f t="shared" si="1669"/>
        <v>0.95833333333333337</v>
      </c>
    </row>
    <row r="4766" spans="1:18" x14ac:dyDescent="0.3">
      <c r="A4766" s="187">
        <v>38</v>
      </c>
      <c r="B4766" s="242">
        <f t="shared" si="1670"/>
        <v>46784</v>
      </c>
      <c r="C4766" s="243">
        <f t="shared" si="1655"/>
        <v>46812</v>
      </c>
      <c r="D4766" s="120">
        <f t="shared" si="1656"/>
        <v>29</v>
      </c>
      <c r="E4766" s="120">
        <f t="shared" si="1657"/>
        <v>2</v>
      </c>
      <c r="F4766" s="275">
        <f t="shared" si="1658"/>
        <v>46798.5</v>
      </c>
      <c r="G4766" s="120">
        <f t="shared" si="1659"/>
        <v>24337</v>
      </c>
      <c r="H4766" s="245">
        <f t="shared" si="1660"/>
        <v>1</v>
      </c>
      <c r="I4766" s="121">
        <f t="shared" si="1661"/>
        <v>1.1024</v>
      </c>
      <c r="J4766" s="121">
        <f t="shared" si="1662"/>
        <v>1.1024</v>
      </c>
      <c r="K4766" s="120">
        <f t="shared" si="1663"/>
        <v>0</v>
      </c>
      <c r="L4766" s="120">
        <f t="shared" si="1664"/>
        <v>0</v>
      </c>
      <c r="M4766" s="246">
        <f t="shared" si="1665"/>
        <v>0</v>
      </c>
      <c r="N4766" s="121">
        <f t="shared" si="1666"/>
        <v>1.1024</v>
      </c>
      <c r="P4766" s="121">
        <f t="shared" si="1667"/>
        <v>0</v>
      </c>
      <c r="Q4766" s="121">
        <f t="shared" si="1668"/>
        <v>0</v>
      </c>
      <c r="R4766" s="121">
        <f t="shared" si="1669"/>
        <v>0.875</v>
      </c>
    </row>
    <row r="4767" spans="1:18" x14ac:dyDescent="0.3">
      <c r="A4767" s="187">
        <v>39</v>
      </c>
      <c r="B4767" s="242">
        <f t="shared" si="1670"/>
        <v>46813</v>
      </c>
      <c r="C4767" s="243">
        <f t="shared" si="1655"/>
        <v>46843</v>
      </c>
      <c r="D4767" s="120">
        <f t="shared" si="1656"/>
        <v>31</v>
      </c>
      <c r="E4767" s="120">
        <f t="shared" si="1657"/>
        <v>3</v>
      </c>
      <c r="F4767" s="275">
        <f t="shared" si="1658"/>
        <v>46828.5</v>
      </c>
      <c r="G4767" s="120">
        <f t="shared" si="1659"/>
        <v>24338</v>
      </c>
      <c r="H4767" s="245">
        <f t="shared" si="1660"/>
        <v>1</v>
      </c>
      <c r="I4767" s="121">
        <f t="shared" si="1661"/>
        <v>1.1024</v>
      </c>
      <c r="J4767" s="121">
        <f t="shared" si="1662"/>
        <v>1.1024</v>
      </c>
      <c r="K4767" s="120">
        <f t="shared" si="1663"/>
        <v>0</v>
      </c>
      <c r="L4767" s="120">
        <f t="shared" si="1664"/>
        <v>0</v>
      </c>
      <c r="M4767" s="246">
        <f t="shared" si="1665"/>
        <v>0</v>
      </c>
      <c r="N4767" s="121">
        <f t="shared" si="1666"/>
        <v>1.1024</v>
      </c>
      <c r="P4767" s="121">
        <f t="shared" si="1667"/>
        <v>0</v>
      </c>
      <c r="Q4767" s="121">
        <f t="shared" si="1668"/>
        <v>0</v>
      </c>
      <c r="R4767" s="121">
        <f t="shared" si="1669"/>
        <v>0.79166666666666663</v>
      </c>
    </row>
    <row r="4768" spans="1:18" x14ac:dyDescent="0.3">
      <c r="A4768" s="187">
        <v>40</v>
      </c>
      <c r="B4768" s="242">
        <f t="shared" si="1670"/>
        <v>46844</v>
      </c>
      <c r="C4768" s="243">
        <f t="shared" si="1655"/>
        <v>46873</v>
      </c>
      <c r="D4768" s="120">
        <f t="shared" si="1656"/>
        <v>30</v>
      </c>
      <c r="E4768" s="120">
        <f t="shared" si="1657"/>
        <v>4</v>
      </c>
      <c r="F4768" s="275">
        <f t="shared" si="1658"/>
        <v>46859</v>
      </c>
      <c r="G4768" s="120">
        <f t="shared" si="1659"/>
        <v>24339</v>
      </c>
      <c r="H4768" s="245">
        <f t="shared" si="1660"/>
        <v>1</v>
      </c>
      <c r="I4768" s="121">
        <f t="shared" si="1661"/>
        <v>1.1024</v>
      </c>
      <c r="J4768" s="121">
        <f t="shared" si="1662"/>
        <v>1.1024</v>
      </c>
      <c r="K4768" s="120">
        <f t="shared" si="1663"/>
        <v>0</v>
      </c>
      <c r="L4768" s="120">
        <f t="shared" si="1664"/>
        <v>0</v>
      </c>
      <c r="M4768" s="246">
        <f t="shared" si="1665"/>
        <v>0</v>
      </c>
      <c r="N4768" s="121">
        <f t="shared" si="1666"/>
        <v>1.1024</v>
      </c>
      <c r="P4768" s="121">
        <f t="shared" si="1667"/>
        <v>0</v>
      </c>
      <c r="Q4768" s="121">
        <f t="shared" si="1668"/>
        <v>0</v>
      </c>
      <c r="R4768" s="121">
        <f t="shared" si="1669"/>
        <v>0.70833333333333337</v>
      </c>
    </row>
    <row r="4769" spans="1:18" x14ac:dyDescent="0.3">
      <c r="A4769" s="187">
        <v>41</v>
      </c>
      <c r="B4769" s="242">
        <f t="shared" si="1670"/>
        <v>46874</v>
      </c>
      <c r="C4769" s="243">
        <f t="shared" si="1655"/>
        <v>46904</v>
      </c>
      <c r="D4769" s="120">
        <f t="shared" si="1656"/>
        <v>31</v>
      </c>
      <c r="E4769" s="120">
        <f t="shared" si="1657"/>
        <v>5</v>
      </c>
      <c r="F4769" s="275">
        <f t="shared" si="1658"/>
        <v>46889.5</v>
      </c>
      <c r="G4769" s="120">
        <f t="shared" si="1659"/>
        <v>24340</v>
      </c>
      <c r="H4769" s="245">
        <f t="shared" si="1660"/>
        <v>1</v>
      </c>
      <c r="I4769" s="121">
        <f t="shared" si="1661"/>
        <v>1.1024</v>
      </c>
      <c r="J4769" s="121">
        <f t="shared" si="1662"/>
        <v>1.1024</v>
      </c>
      <c r="K4769" s="120">
        <f t="shared" si="1663"/>
        <v>0</v>
      </c>
      <c r="L4769" s="120">
        <f t="shared" si="1664"/>
        <v>0</v>
      </c>
      <c r="M4769" s="246">
        <f t="shared" si="1665"/>
        <v>0</v>
      </c>
      <c r="N4769" s="121">
        <f t="shared" si="1666"/>
        <v>1.1024</v>
      </c>
      <c r="P4769" s="121">
        <f t="shared" si="1667"/>
        <v>0</v>
      </c>
      <c r="Q4769" s="121">
        <f t="shared" si="1668"/>
        <v>0</v>
      </c>
      <c r="R4769" s="121">
        <f t="shared" si="1669"/>
        <v>0.625</v>
      </c>
    </row>
    <row r="4770" spans="1:18" x14ac:dyDescent="0.3">
      <c r="A4770" s="187">
        <v>42</v>
      </c>
      <c r="B4770" s="242">
        <f t="shared" si="1670"/>
        <v>46905</v>
      </c>
      <c r="C4770" s="243">
        <f t="shared" si="1655"/>
        <v>46934</v>
      </c>
      <c r="D4770" s="120">
        <f t="shared" si="1656"/>
        <v>30</v>
      </c>
      <c r="E4770" s="120">
        <f t="shared" si="1657"/>
        <v>6</v>
      </c>
      <c r="F4770" s="275">
        <f t="shared" si="1658"/>
        <v>46920</v>
      </c>
      <c r="G4770" s="120">
        <f t="shared" si="1659"/>
        <v>24341</v>
      </c>
      <c r="H4770" s="245">
        <f t="shared" si="1660"/>
        <v>1</v>
      </c>
      <c r="I4770" s="121">
        <f t="shared" si="1661"/>
        <v>1.1024</v>
      </c>
      <c r="J4770" s="121">
        <f t="shared" si="1662"/>
        <v>1.1024</v>
      </c>
      <c r="K4770" s="120">
        <f t="shared" si="1663"/>
        <v>0</v>
      </c>
      <c r="L4770" s="120">
        <f t="shared" si="1664"/>
        <v>0</v>
      </c>
      <c r="M4770" s="246">
        <f t="shared" si="1665"/>
        <v>0</v>
      </c>
      <c r="N4770" s="121">
        <f t="shared" si="1666"/>
        <v>1.1024</v>
      </c>
      <c r="P4770" s="121">
        <f t="shared" si="1667"/>
        <v>0</v>
      </c>
      <c r="Q4770" s="121">
        <f t="shared" si="1668"/>
        <v>0</v>
      </c>
      <c r="R4770" s="121">
        <f t="shared" si="1669"/>
        <v>0.54166666666666663</v>
      </c>
    </row>
    <row r="4771" spans="1:18" x14ac:dyDescent="0.3">
      <c r="A4771" s="187">
        <v>43</v>
      </c>
      <c r="B4771" s="242">
        <f t="shared" si="1670"/>
        <v>46935</v>
      </c>
      <c r="C4771" s="243">
        <f t="shared" si="1655"/>
        <v>46965</v>
      </c>
      <c r="D4771" s="120">
        <f t="shared" si="1656"/>
        <v>31</v>
      </c>
      <c r="E4771" s="120">
        <f t="shared" si="1657"/>
        <v>7</v>
      </c>
      <c r="F4771" s="275">
        <f t="shared" si="1658"/>
        <v>46950.5</v>
      </c>
      <c r="G4771" s="120">
        <f t="shared" si="1659"/>
        <v>24342</v>
      </c>
      <c r="H4771" s="245">
        <f t="shared" si="1660"/>
        <v>1</v>
      </c>
      <c r="I4771" s="121">
        <f t="shared" si="1661"/>
        <v>1.1024</v>
      </c>
      <c r="J4771" s="121">
        <f t="shared" si="1662"/>
        <v>1.1024</v>
      </c>
      <c r="K4771" s="120">
        <f t="shared" si="1663"/>
        <v>0</v>
      </c>
      <c r="L4771" s="120">
        <f t="shared" si="1664"/>
        <v>0</v>
      </c>
      <c r="M4771" s="246">
        <f t="shared" si="1665"/>
        <v>0</v>
      </c>
      <c r="N4771" s="121">
        <f t="shared" si="1666"/>
        <v>1.1024</v>
      </c>
      <c r="P4771" s="121">
        <f t="shared" si="1667"/>
        <v>0</v>
      </c>
      <c r="Q4771" s="121">
        <f t="shared" si="1668"/>
        <v>0</v>
      </c>
      <c r="R4771" s="121">
        <f t="shared" si="1669"/>
        <v>0.45833333333333331</v>
      </c>
    </row>
    <row r="4772" spans="1:18" x14ac:dyDescent="0.3">
      <c r="A4772" s="187">
        <v>44</v>
      </c>
      <c r="B4772" s="242">
        <f t="shared" si="1670"/>
        <v>46966</v>
      </c>
      <c r="C4772" s="243">
        <f t="shared" si="1655"/>
        <v>46996</v>
      </c>
      <c r="D4772" s="120">
        <f t="shared" si="1656"/>
        <v>31</v>
      </c>
      <c r="E4772" s="120">
        <f t="shared" si="1657"/>
        <v>8</v>
      </c>
      <c r="F4772" s="275">
        <f t="shared" si="1658"/>
        <v>46981.5</v>
      </c>
      <c r="G4772" s="120">
        <f t="shared" si="1659"/>
        <v>24343</v>
      </c>
      <c r="H4772" s="245">
        <f t="shared" si="1660"/>
        <v>1</v>
      </c>
      <c r="I4772" s="121">
        <f t="shared" si="1661"/>
        <v>1.1024</v>
      </c>
      <c r="J4772" s="121">
        <f t="shared" si="1662"/>
        <v>1.1024</v>
      </c>
      <c r="K4772" s="120">
        <f t="shared" si="1663"/>
        <v>0</v>
      </c>
      <c r="L4772" s="120">
        <f t="shared" si="1664"/>
        <v>0</v>
      </c>
      <c r="M4772" s="246">
        <f t="shared" si="1665"/>
        <v>0</v>
      </c>
      <c r="N4772" s="121">
        <f t="shared" si="1666"/>
        <v>1.1024</v>
      </c>
      <c r="P4772" s="121">
        <f t="shared" si="1667"/>
        <v>0</v>
      </c>
      <c r="Q4772" s="121">
        <f t="shared" si="1668"/>
        <v>0</v>
      </c>
      <c r="R4772" s="121">
        <f t="shared" si="1669"/>
        <v>0.375</v>
      </c>
    </row>
    <row r="4773" spans="1:18" x14ac:dyDescent="0.3">
      <c r="A4773" s="187">
        <v>45</v>
      </c>
      <c r="B4773" s="242">
        <f t="shared" si="1670"/>
        <v>46997</v>
      </c>
      <c r="C4773" s="243">
        <f t="shared" si="1655"/>
        <v>47026</v>
      </c>
      <c r="D4773" s="120">
        <f t="shared" si="1656"/>
        <v>30</v>
      </c>
      <c r="E4773" s="120">
        <f t="shared" si="1657"/>
        <v>9</v>
      </c>
      <c r="F4773" s="275">
        <f t="shared" si="1658"/>
        <v>47012</v>
      </c>
      <c r="G4773" s="120">
        <f t="shared" si="1659"/>
        <v>24344</v>
      </c>
      <c r="H4773" s="245">
        <f t="shared" si="1660"/>
        <v>1</v>
      </c>
      <c r="I4773" s="121">
        <f t="shared" si="1661"/>
        <v>1.1024</v>
      </c>
      <c r="J4773" s="121">
        <f t="shared" si="1662"/>
        <v>1.1024</v>
      </c>
      <c r="K4773" s="120">
        <f t="shared" si="1663"/>
        <v>0</v>
      </c>
      <c r="L4773" s="120">
        <f t="shared" si="1664"/>
        <v>0</v>
      </c>
      <c r="M4773" s="246">
        <f t="shared" si="1665"/>
        <v>0</v>
      </c>
      <c r="N4773" s="121">
        <f t="shared" si="1666"/>
        <v>1.1024</v>
      </c>
      <c r="P4773" s="121">
        <f t="shared" si="1667"/>
        <v>0</v>
      </c>
      <c r="Q4773" s="121">
        <f t="shared" si="1668"/>
        <v>0</v>
      </c>
      <c r="R4773" s="121">
        <f t="shared" si="1669"/>
        <v>0.29166666666666669</v>
      </c>
    </row>
    <row r="4774" spans="1:18" x14ac:dyDescent="0.3">
      <c r="A4774" s="187">
        <v>46</v>
      </c>
      <c r="B4774" s="242">
        <f t="shared" si="1670"/>
        <v>47027</v>
      </c>
      <c r="C4774" s="243">
        <f t="shared" si="1655"/>
        <v>47057</v>
      </c>
      <c r="D4774" s="120">
        <f t="shared" si="1656"/>
        <v>31</v>
      </c>
      <c r="E4774" s="120">
        <f t="shared" si="1657"/>
        <v>10</v>
      </c>
      <c r="F4774" s="275">
        <f t="shared" si="1658"/>
        <v>47042.5</v>
      </c>
      <c r="G4774" s="120">
        <f t="shared" si="1659"/>
        <v>24345</v>
      </c>
      <c r="H4774" s="245">
        <f t="shared" si="1660"/>
        <v>1</v>
      </c>
      <c r="I4774" s="121">
        <f t="shared" si="1661"/>
        <v>1.1024</v>
      </c>
      <c r="J4774" s="121">
        <f t="shared" si="1662"/>
        <v>1.1024</v>
      </c>
      <c r="K4774" s="120">
        <f t="shared" si="1663"/>
        <v>0</v>
      </c>
      <c r="L4774" s="120">
        <f t="shared" si="1664"/>
        <v>0</v>
      </c>
      <c r="M4774" s="246">
        <f t="shared" si="1665"/>
        <v>0</v>
      </c>
      <c r="N4774" s="121">
        <f t="shared" si="1666"/>
        <v>1.1024</v>
      </c>
      <c r="P4774" s="121">
        <f t="shared" si="1667"/>
        <v>0</v>
      </c>
      <c r="Q4774" s="121">
        <f t="shared" si="1668"/>
        <v>0</v>
      </c>
      <c r="R4774" s="121">
        <f t="shared" si="1669"/>
        <v>0.20833333333333334</v>
      </c>
    </row>
    <row r="4775" spans="1:18" x14ac:dyDescent="0.3">
      <c r="A4775" s="187">
        <v>47</v>
      </c>
      <c r="B4775" s="242">
        <f t="shared" si="1670"/>
        <v>47058</v>
      </c>
      <c r="C4775" s="243">
        <f t="shared" si="1655"/>
        <v>47087</v>
      </c>
      <c r="D4775" s="120">
        <f t="shared" si="1656"/>
        <v>30</v>
      </c>
      <c r="E4775" s="120">
        <f t="shared" si="1657"/>
        <v>11</v>
      </c>
      <c r="F4775" s="275">
        <f t="shared" si="1658"/>
        <v>47073</v>
      </c>
      <c r="G4775" s="120">
        <f t="shared" si="1659"/>
        <v>24346</v>
      </c>
      <c r="H4775" s="245">
        <f t="shared" si="1660"/>
        <v>1</v>
      </c>
      <c r="I4775" s="121">
        <f t="shared" si="1661"/>
        <v>1.1024</v>
      </c>
      <c r="J4775" s="121">
        <f t="shared" si="1662"/>
        <v>1.1024</v>
      </c>
      <c r="K4775" s="120">
        <f t="shared" si="1663"/>
        <v>0</v>
      </c>
      <c r="L4775" s="120">
        <f t="shared" si="1664"/>
        <v>0</v>
      </c>
      <c r="M4775" s="246">
        <f t="shared" si="1665"/>
        <v>0</v>
      </c>
      <c r="N4775" s="121">
        <f t="shared" si="1666"/>
        <v>1.1024</v>
      </c>
      <c r="P4775" s="121">
        <f t="shared" si="1667"/>
        <v>0</v>
      </c>
      <c r="Q4775" s="121">
        <f t="shared" si="1668"/>
        <v>0</v>
      </c>
      <c r="R4775" s="121">
        <f t="shared" si="1669"/>
        <v>0.125</v>
      </c>
    </row>
    <row r="4776" spans="1:18" x14ac:dyDescent="0.3">
      <c r="A4776" s="187">
        <v>48</v>
      </c>
      <c r="B4776" s="242">
        <f t="shared" si="1670"/>
        <v>47088</v>
      </c>
      <c r="C4776" s="243">
        <f t="shared" si="1655"/>
        <v>47118</v>
      </c>
      <c r="D4776" s="120">
        <f t="shared" si="1656"/>
        <v>31</v>
      </c>
      <c r="E4776" s="120">
        <f t="shared" si="1657"/>
        <v>12</v>
      </c>
      <c r="F4776" s="275">
        <f t="shared" si="1658"/>
        <v>47103.5</v>
      </c>
      <c r="G4776" s="120">
        <f t="shared" si="1659"/>
        <v>24347</v>
      </c>
      <c r="H4776" s="245">
        <f t="shared" si="1660"/>
        <v>1</v>
      </c>
      <c r="I4776" s="121">
        <f t="shared" si="1661"/>
        <v>1.1024</v>
      </c>
      <c r="J4776" s="121">
        <f t="shared" si="1662"/>
        <v>1.1024</v>
      </c>
      <c r="K4776" s="120">
        <f t="shared" si="1663"/>
        <v>0</v>
      </c>
      <c r="L4776" s="120">
        <f t="shared" si="1664"/>
        <v>0</v>
      </c>
      <c r="M4776" s="246">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1716</v>
      </c>
      <c r="J1" s="277">
        <f>MAX($P$298,$P$354,$P$410,$P$466,$P$522,$P$578,$P$634,$P$690,$P$746,$P$802,$P$858,$P$914,$P$970,$P$1026,$P$1082,$P$1138,$P$1194,$P$1250,$P$1306,$P$1362,$P$1418,$P$1474,$P$1530,$P$1586,$P$1642)</f>
        <v>0</v>
      </c>
    </row>
    <row r="3" spans="1:10" x14ac:dyDescent="0.3">
      <c r="A3" s="23" t="s">
        <v>1717</v>
      </c>
      <c r="B3" s="23" t="s">
        <v>1718</v>
      </c>
      <c r="C3" s="23" t="s">
        <v>1719</v>
      </c>
      <c r="D3" s="23" t="s">
        <v>1720</v>
      </c>
      <c r="E3" s="23" t="s">
        <v>1721</v>
      </c>
      <c r="F3" s="23" t="s">
        <v>1704</v>
      </c>
      <c r="G3" s="23" t="s">
        <v>1705</v>
      </c>
      <c r="H3" s="23" t="s">
        <v>1722</v>
      </c>
    </row>
    <row r="4" spans="1:10" x14ac:dyDescent="0.3">
      <c r="A4" s="43">
        <f>IF('Rate Log'!$C$7="",0,IF(OR('Rate Log'!$E$7="taken",'Rate Log'!$C$7&lt;DATE(nr_PlanYear,1,1)),1,0))</f>
        <v>1</v>
      </c>
      <c r="B4" s="278">
        <f>IF($A4=0,"",'Rate Log'!$C$7)</f>
        <v>45839</v>
      </c>
      <c r="C4" s="278">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8">
        <f>IF($A5=0,"",'Rate Log'!$C$8)</f>
        <v>46204</v>
      </c>
      <c r="C5" s="278">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8" t="str">
        <f>IF($A6=0,"",'Rate Log'!$C$9)</f>
        <v/>
      </c>
      <c r="C6" s="278"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8">
        <f>IF($A7=0,"",'Rate Log'!$C$10)</f>
        <v>46204</v>
      </c>
      <c r="C7" s="278">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8">
        <f>IF($A8=0,"",'Rate Log'!$C$11)</f>
        <v>46113</v>
      </c>
      <c r="C8" s="278">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8" t="str">
        <f>IF($A9=0,"",'Rate Log'!$C$12)</f>
        <v/>
      </c>
      <c r="C9" s="278"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8">
        <f>IF($A10=0,"",'Rate Log'!$C$13)</f>
        <v>46296</v>
      </c>
      <c r="C10" s="278">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8" t="str">
        <f>IF($A11=0,"",'Rate Log'!$C$14)</f>
        <v/>
      </c>
      <c r="C11" s="278"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8">
        <f>IF($A12=0,"",'Rate Log'!$C$15)</f>
        <v>46174</v>
      </c>
      <c r="C12" s="278">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8">
        <f>IF($A13=0,"",'Rate Log'!$C$16)</f>
        <v>46296</v>
      </c>
      <c r="C13" s="278">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8" t="str">
        <f>IF($A14=0,"",'Rate Log'!$C$17)</f>
        <v/>
      </c>
      <c r="C14" s="278"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8">
        <f>IF($A15=0,"",'Rate Log'!$C$18)</f>
        <v>46054</v>
      </c>
      <c r="C15" s="278">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8" t="str">
        <f>IF($A16=0,"",'Rate Log'!$C$19)</f>
        <v/>
      </c>
      <c r="C16" s="278"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8">
        <f>IF($A17=0,"",'Rate Log'!$C$20)</f>
        <v>46113</v>
      </c>
      <c r="C17" s="278">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8">
        <f>IF($A18=0,"",'Rate Log'!$C$21)</f>
        <v>46143</v>
      </c>
      <c r="C18" s="278">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8" t="str">
        <f>IF($A19=0,"",'Rate Log'!$C$22)</f>
        <v/>
      </c>
      <c r="C19" s="278"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8">
        <f>IF($A20=0,"",'Rate Log'!$C$23)</f>
        <v>46204</v>
      </c>
      <c r="C20" s="278">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8">
        <f>IF($A21=0,"",'Rate Log'!$C$24)</f>
        <v>46235</v>
      </c>
      <c r="C21" s="278">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8">
        <f>IF($A22=0,"",'Rate Log'!$C$25)</f>
        <v>46296</v>
      </c>
      <c r="C22" s="278">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8" t="str">
        <f>IF($A23=0,"",'Rate Log'!$C$26)</f>
        <v/>
      </c>
      <c r="C23" s="278"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8">
        <f>IF($A24=0,"",'Rate Log'!$C$27)</f>
        <v>46327</v>
      </c>
      <c r="C24" s="278">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8">
        <f>IF($A25=0,"",'Rate Log'!$C$28)</f>
        <v>46023</v>
      </c>
      <c r="C25" s="278">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8">
        <f>IF($A26=0,"",'Rate Log'!$C$29)</f>
        <v>46054</v>
      </c>
      <c r="C26" s="278">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8" t="str">
        <f>IF($A27=0,"",'Rate Log'!$C$30)</f>
        <v/>
      </c>
      <c r="C27" s="278"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8">
        <f>IF($A28=0,"",'Rate Log'!$C$31)</f>
        <v>46113</v>
      </c>
      <c r="C28" s="278">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8">
        <f>IF($A29=0,"",'Rate Log'!$C$32)</f>
        <v>46143</v>
      </c>
      <c r="C29" s="278">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8" t="str">
        <f>IF($A30=0,"",'Rate Log'!$C$33)</f>
        <v/>
      </c>
      <c r="C30" s="278"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8">
        <f>IF($A31=0,"",'Rate Log'!$C$34)</f>
        <v>46204</v>
      </c>
      <c r="C31" s="278">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8">
        <f>IF($A32=0,"",'Rate Log'!$C$35)</f>
        <v>46235</v>
      </c>
      <c r="C32" s="278">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8">
        <f>IF($A33=0,"",'Rate Log'!$C$36)</f>
        <v>46296</v>
      </c>
      <c r="C33" s="278">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8" t="str">
        <f>IF($A34=0,"",'Rate Log'!$C$37)</f>
        <v/>
      </c>
      <c r="C34" s="278"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8">
        <f>IF($A35=0,"",'Rate Log'!$C$38)</f>
        <v>46327</v>
      </c>
      <c r="C35" s="278">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8">
        <f>IF($A36=0,"",'Rate Log'!$C$39)</f>
        <v>46054</v>
      </c>
      <c r="C36" s="278">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8" t="str">
        <f>IF($A37=0,"",'Rate Log'!$C$40)</f>
        <v/>
      </c>
      <c r="C37" s="278"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8">
        <f>IF($A38=0,"",'Rate Log'!$C$41)</f>
        <v>46113</v>
      </c>
      <c r="C38" s="278">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8">
        <f>IF($A39=0,"",'Rate Log'!$C$42)</f>
        <v>46143</v>
      </c>
      <c r="C39" s="278">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8" t="str">
        <f>IF($A40=0,"",'Rate Log'!$C$43)</f>
        <v/>
      </c>
      <c r="C40" s="278"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8">
        <f>IF($A41=0,"",'Rate Log'!$C$44)</f>
        <v>46204</v>
      </c>
      <c r="C41" s="278">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8">
        <f>IF($A42=0,"",'Rate Log'!$C$45)</f>
        <v>46235</v>
      </c>
      <c r="C42" s="278">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8">
        <f>IF($A43=0,"",'Rate Log'!$C$46)</f>
        <v>46296</v>
      </c>
      <c r="C43" s="278">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8" t="str">
        <f>IF($A44=0,"",'Rate Log'!$C$47)</f>
        <v/>
      </c>
      <c r="C44" s="278"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8">
        <f>IF($A45=0,"",'Rate Log'!$C$48)</f>
        <v>46327</v>
      </c>
      <c r="C45" s="278">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8">
        <f>IF($A46=0,"",'Rate Log'!$C$49)</f>
        <v>46023</v>
      </c>
      <c r="C46" s="278">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8">
        <f>IF($A47=0,"",'Rate Log'!$C$50)</f>
        <v>46054</v>
      </c>
      <c r="C47" s="278">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8" t="str">
        <f>IF($A48=0,"",'Rate Log'!$C$51)</f>
        <v/>
      </c>
      <c r="C48" s="278"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8">
        <f>IF($A49=0,"",'Rate Log'!$C$52)</f>
        <v>46113</v>
      </c>
      <c r="C49" s="278">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8">
        <f>IF($A50=0,"",'Rate Log'!$C$53)</f>
        <v>46143</v>
      </c>
      <c r="C50" s="278">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8" t="str">
        <f>IF($A51=0,"",'Rate Log'!$C$54)</f>
        <v/>
      </c>
      <c r="C51" s="278"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8">
        <f>IF($A52=0,"",'Rate Log'!$C$55)</f>
        <v>46204</v>
      </c>
      <c r="C52" s="278">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8">
        <f>IF($A53=0,"",'Rate Log'!$C$56)</f>
        <v>46235</v>
      </c>
      <c r="C53" s="278">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8">
        <f>IF($A54=0,"",'Rate Log'!$C$57)</f>
        <v>46296</v>
      </c>
      <c r="C54" s="278">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8" t="str">
        <f>IF($A55=0,"",'Rate Log'!$C$58)</f>
        <v/>
      </c>
      <c r="C55" s="278"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8">
        <f>IF($A56=0,"",'Rate Log'!$C$59)</f>
        <v>46054</v>
      </c>
      <c r="C56" s="278">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8" t="str">
        <f>IF($A57=0,"",'Rate Log'!$C$60)</f>
        <v/>
      </c>
      <c r="C57" s="278"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8">
        <f>IF($A58=0,"",'Rate Log'!$C$61)</f>
        <v>46113</v>
      </c>
      <c r="C58" s="278">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8">
        <f>IF($A59=0,"",'Rate Log'!$C$62)</f>
        <v>46143</v>
      </c>
      <c r="C59" s="278">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8" t="str">
        <f>IF($A60=0,"",'Rate Log'!$C$63)</f>
        <v/>
      </c>
      <c r="C60" s="278"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8">
        <f>IF($A61=0,"",'Rate Log'!$C$64)</f>
        <v>46204</v>
      </c>
      <c r="C61" s="278">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8">
        <f>IF($A62=0,"",'Rate Log'!$C$65)</f>
        <v>46235</v>
      </c>
      <c r="C62" s="278">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8">
        <f>IF($A63=0,"",'Rate Log'!$C$66)</f>
        <v>46296</v>
      </c>
      <c r="C63" s="278">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8" t="str">
        <f>IF($A64=0,"",'Rate Log'!$C$67)</f>
        <v/>
      </c>
      <c r="C64" s="278"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8">
        <f>IF($A65=0,"",'Rate Log'!$C$68)</f>
        <v>46327</v>
      </c>
      <c r="C65" s="278">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8">
        <f>IF($A66=0,"",'Rate Log'!$C$69)</f>
        <v>46023</v>
      </c>
      <c r="C66" s="278">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8">
        <f>IF($A67=0,"",'Rate Log'!$C$70)</f>
        <v>46054</v>
      </c>
      <c r="C67" s="278">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8" t="str">
        <f>IF($A68=0,"",'Rate Log'!$C$71)</f>
        <v/>
      </c>
      <c r="C68" s="278"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8" t="str">
        <f>IF($A69=0,"",'Rate Log'!$C$72)</f>
        <v/>
      </c>
      <c r="C69" s="278"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8" t="str">
        <f>IF($A70=0,"",'Rate Log'!$C$73)</f>
        <v/>
      </c>
      <c r="C70" s="278"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8" t="str">
        <f>IF($A71=0,"",'Rate Log'!$C$74)</f>
        <v/>
      </c>
      <c r="C71" s="278"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8" t="str">
        <f>IF($A72=0,"",'Rate Log'!$C$75)</f>
        <v/>
      </c>
      <c r="C72" s="278"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8" t="str">
        <f>IF($A73=0,"",'Rate Log'!$C$76)</f>
        <v/>
      </c>
      <c r="C73" s="278"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8" t="str">
        <f>IF($A74=0,"",'Rate Log'!$C$77)</f>
        <v/>
      </c>
      <c r="C74" s="278"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8" t="str">
        <f>IF($A75=0,"",'Rate Log'!$C$78)</f>
        <v/>
      </c>
      <c r="C75" s="278"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8" t="str">
        <f>IF($A76=0,"",'Rate Log'!$C$79)</f>
        <v/>
      </c>
      <c r="C76" s="278"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8" t="str">
        <f>IF($A77=0,"",'Rate Log'!$C$80)</f>
        <v/>
      </c>
      <c r="C77" s="278"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8" t="str">
        <f>IF($A78=0,"",'Rate Log'!$C$81)</f>
        <v/>
      </c>
      <c r="C78" s="278"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8" t="str">
        <f>IF($A79=0,"",'Rate Log'!$C$82)</f>
        <v/>
      </c>
      <c r="C79" s="278"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8" t="str">
        <f>IF($A80=0,"",'Rate Log'!$C$83)</f>
        <v/>
      </c>
      <c r="C80" s="278"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8" t="str">
        <f>IF($A81=0,"",'Rate Log'!$C$84)</f>
        <v/>
      </c>
      <c r="C81" s="278"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8" t="str">
        <f>IF($A82=0,"",'Rate Log'!$C$85)</f>
        <v/>
      </c>
      <c r="C82" s="278"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8" t="str">
        <f>IF($A83=0,"",'Rate Log'!$C$86)</f>
        <v/>
      </c>
      <c r="C83" s="278"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8" t="str">
        <f>IF($A84=0,"",'Rate Log'!$C$87)</f>
        <v/>
      </c>
      <c r="C84" s="278"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8" t="str">
        <f>IF($A85=0,"",'Rate Log'!$C$88)</f>
        <v/>
      </c>
      <c r="C85" s="278"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8" t="str">
        <f>IF($A86=0,"",'Rate Log'!$C$89)</f>
        <v/>
      </c>
      <c r="C86" s="278"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8" t="str">
        <f>IF($A87=0,"",'Rate Log'!$C$90)</f>
        <v/>
      </c>
      <c r="C87" s="278"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8" t="str">
        <f>IF($A88=0,"",'Rate Log'!$C$91)</f>
        <v/>
      </c>
      <c r="C88" s="278"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8" t="str">
        <f>IF($A89=0,"",'Rate Log'!$C$92)</f>
        <v/>
      </c>
      <c r="C89" s="278"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8" t="str">
        <f>IF($A90=0,"",'Rate Log'!$C$93)</f>
        <v/>
      </c>
      <c r="C90" s="278"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8" t="str">
        <f>IF($A91=0,"",'Rate Log'!$C$94)</f>
        <v/>
      </c>
      <c r="C91" s="278"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8" t="str">
        <f>IF($A92=0,"",'Rate Log'!$C$95)</f>
        <v/>
      </c>
      <c r="C92" s="278"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8" t="str">
        <f>IF($A93=0,"",'Rate Log'!$C$96)</f>
        <v/>
      </c>
      <c r="C93" s="278"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8" t="str">
        <f>IF($A94=0,"",'Rate Log'!$C$97)</f>
        <v/>
      </c>
      <c r="C94" s="278"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8" t="str">
        <f>IF($A95=0,"",'Rate Log'!$C$98)</f>
        <v/>
      </c>
      <c r="C95" s="278"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8" t="str">
        <f>IF($A96=0,"",'Rate Log'!$C$99)</f>
        <v/>
      </c>
      <c r="C96" s="278"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8" t="str">
        <f>IF($A97=0,"",'Rate Log'!$C$100)</f>
        <v/>
      </c>
      <c r="C97" s="278"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8" t="str">
        <f>IF($A98=0,"",'Rate Log'!$C$101)</f>
        <v/>
      </c>
      <c r="C98" s="278"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8" t="str">
        <f>IF($A99=0,"",'Rate Log'!$C$102)</f>
        <v/>
      </c>
      <c r="C99" s="278"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8" t="str">
        <f>IF($A100=0,"",'Rate Log'!$C$103)</f>
        <v/>
      </c>
      <c r="C100" s="278"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8" t="str">
        <f>IF($A101=0,"",'Rate Log'!$C$104)</f>
        <v/>
      </c>
      <c r="C101" s="278"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8" t="str">
        <f>IF($A102=0,"",'Rate Log'!$C$105)</f>
        <v/>
      </c>
      <c r="C102" s="278"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8" t="str">
        <f>IF($A103=0,"",'Rate Log'!$C$106)</f>
        <v/>
      </c>
      <c r="C103" s="278"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8" t="str">
        <f>IF($A104=0,"",'Rate Log'!$C$107)</f>
        <v/>
      </c>
      <c r="C104" s="278"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8" t="str">
        <f>IF($A105=0,"",'Rate Log'!$C$108)</f>
        <v/>
      </c>
      <c r="C105" s="278"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8" t="str">
        <f>IF($A106=0,"",'Rate Log'!$C$109)</f>
        <v/>
      </c>
      <c r="C106" s="278"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8" t="str">
        <f>IF($A107=0,"",'Rate Log'!$C$110)</f>
        <v/>
      </c>
      <c r="C107" s="278"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8" t="str">
        <f>IF($A108=0,"",'Rate Log'!$C$111)</f>
        <v/>
      </c>
      <c r="C108" s="278"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8" t="str">
        <f>IF($A109=0,"",'Rate Log'!$C$112)</f>
        <v/>
      </c>
      <c r="C109" s="278"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8" t="str">
        <f>IF($A110=0,"",'Rate Log'!$C$113)</f>
        <v/>
      </c>
      <c r="C110" s="278"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8" t="str">
        <f>IF($A111=0,"",'Rate Log'!$C$114)</f>
        <v/>
      </c>
      <c r="C111" s="278"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8" t="str">
        <f>IF($A112=0,"",'Rate Log'!$C$115)</f>
        <v/>
      </c>
      <c r="C112" s="278"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8" t="str">
        <f>IF($A113=0,"",'Rate Log'!$C$116)</f>
        <v/>
      </c>
      <c r="C113" s="278"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8" t="str">
        <f>IF($A114=0,"",'Rate Log'!$C$117)</f>
        <v/>
      </c>
      <c r="C114" s="278"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8" t="str">
        <f>IF($A115=0,"",'Rate Log'!$C$118)</f>
        <v/>
      </c>
      <c r="C115" s="278"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8" t="str">
        <f>IF($A116=0,"",'Rate Log'!$C$119)</f>
        <v/>
      </c>
      <c r="C116" s="278"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8" t="str">
        <f>IF($A117=0,"",'Rate Log'!$C$120)</f>
        <v/>
      </c>
      <c r="C117" s="278"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8" t="str">
        <f>IF($A118=0,"",'Rate Log'!$C$121)</f>
        <v/>
      </c>
      <c r="C118" s="278"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8" t="str">
        <f>IF($A119=0,"",'Rate Log'!$C$122)</f>
        <v/>
      </c>
      <c r="C119" s="278"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8" t="str">
        <f>IF($A120=0,"",'Rate Log'!$C$123)</f>
        <v/>
      </c>
      <c r="C120" s="278"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8" t="str">
        <f>IF($A121=0,"",'Rate Log'!$C$124)</f>
        <v/>
      </c>
      <c r="C121" s="278"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8" t="str">
        <f>IF($A122=0,"",'Rate Log'!$C$125)</f>
        <v/>
      </c>
      <c r="C122" s="278"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8" t="str">
        <f>IF($A123=0,"",'Rate Log'!$C$126)</f>
        <v/>
      </c>
      <c r="C123" s="278"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8" t="str">
        <f>IF($A124=0,"",'Rate Log'!$C$127)</f>
        <v/>
      </c>
      <c r="C124" s="278"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8" t="str">
        <f>IF($A125=0,"",'Rate Log'!$C$128)</f>
        <v/>
      </c>
      <c r="C125" s="278"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8" t="str">
        <f>IF($A126=0,"",'Rate Log'!$C$129)</f>
        <v/>
      </c>
      <c r="C126" s="278"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8" t="str">
        <f>IF($A127=0,"",'Rate Log'!$C$130)</f>
        <v/>
      </c>
      <c r="C127" s="278"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8" t="str">
        <f>IF($A128=0,"",'Rate Log'!$C$131)</f>
        <v/>
      </c>
      <c r="C128" s="278"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8" t="str">
        <f>IF($A129=0,"",'Rate Log'!$C$132)</f>
        <v/>
      </c>
      <c r="C129" s="278"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8" t="str">
        <f>IF($A130=0,"",'Rate Log'!$C$133)</f>
        <v/>
      </c>
      <c r="C130" s="278"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8" t="str">
        <f>IF($A131=0,"",'Rate Log'!$C$134)</f>
        <v/>
      </c>
      <c r="C131" s="278"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8" t="str">
        <f>IF($A132=0,"",'Rate Log'!$C$135)</f>
        <v/>
      </c>
      <c r="C132" s="278"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8" t="str">
        <f>IF($A133=0,"",'Rate Log'!$C$136)</f>
        <v/>
      </c>
      <c r="C133" s="278"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8" t="str">
        <f>IF($A134=0,"",'Rate Log'!$C$137)</f>
        <v/>
      </c>
      <c r="C134" s="278"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8" t="str">
        <f>IF($A135=0,"",'Rate Log'!$C$138)</f>
        <v/>
      </c>
      <c r="C135" s="278"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8" t="str">
        <f>IF($A136=0,"",'Rate Log'!$C$139)</f>
        <v/>
      </c>
      <c r="C136" s="278"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8" t="str">
        <f>IF($A137=0,"",'Rate Log'!$C$140)</f>
        <v/>
      </c>
      <c r="C137" s="278"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8" t="str">
        <f>IF($A138=0,"",'Rate Log'!$C$141)</f>
        <v/>
      </c>
      <c r="C138" s="278"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8" t="str">
        <f>IF($A139=0,"",'Rate Log'!$C$142)</f>
        <v/>
      </c>
      <c r="C139" s="278"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8" t="str">
        <f>IF($A140=0,"",'Rate Log'!$C$143)</f>
        <v/>
      </c>
      <c r="C140" s="278"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8" t="str">
        <f>IF($A141=0,"",'Rate Log'!$C$144)</f>
        <v/>
      </c>
      <c r="C141" s="278"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8" t="str">
        <f>IF($A142=0,"",'Rate Log'!$C$145)</f>
        <v/>
      </c>
      <c r="C142" s="278"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8" t="str">
        <f>IF($A143=0,"",'Rate Log'!$C$146)</f>
        <v/>
      </c>
      <c r="C143" s="278"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8" t="str">
        <f>IF($A144=0,"",'Rate Log'!$C$147)</f>
        <v/>
      </c>
      <c r="C144" s="278"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8" t="str">
        <f>IF($A145=0,"",'Rate Log'!$C$148)</f>
        <v/>
      </c>
      <c r="C145" s="278"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8" t="str">
        <f>IF($A146=0,"",'Rate Log'!$C$149)</f>
        <v/>
      </c>
      <c r="C146" s="278"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8" t="str">
        <f>IF($A147=0,"",'Rate Log'!$C$150)</f>
        <v/>
      </c>
      <c r="C147" s="278"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8" t="str">
        <f>IF($A148=0,"",'Rate Log'!$C$151)</f>
        <v/>
      </c>
      <c r="C148" s="278"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8" t="str">
        <f>IF($A149=0,"",'Rate Log'!$C$152)</f>
        <v/>
      </c>
      <c r="C149" s="278"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8" t="str">
        <f>IF($A150=0,"",'Rate Log'!$C$153)</f>
        <v/>
      </c>
      <c r="C150" s="278"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8" t="str">
        <f>IF($A151=0,"",'Rate Log'!$C$154)</f>
        <v/>
      </c>
      <c r="C151" s="278"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8" t="str">
        <f>IF($A152=0,"",'Rate Log'!$C$155)</f>
        <v/>
      </c>
      <c r="C152" s="278"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8" t="str">
        <f>IF($A153=0,"",'Rate Log'!$C$156)</f>
        <v/>
      </c>
      <c r="C153" s="278"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8" t="str">
        <f>IF($A154=0,"",'Rate Log'!$C$157)</f>
        <v/>
      </c>
      <c r="C154" s="278"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8" t="str">
        <f>IF($A155=0,"",'Rate Log'!$C$158)</f>
        <v/>
      </c>
      <c r="C155" s="278"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8" t="str">
        <f>IF($A156=0,"",'Rate Log'!$C$159)</f>
        <v/>
      </c>
      <c r="C156" s="278"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8" t="str">
        <f>IF($A157=0,"",'Rate Log'!$C$160)</f>
        <v/>
      </c>
      <c r="C157" s="278"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8" t="str">
        <f>IF($A158=0,"",'Rate Log'!$C$161)</f>
        <v/>
      </c>
      <c r="C158" s="278"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8" t="str">
        <f>IF($A159=0,"",'Rate Log'!$C$162)</f>
        <v/>
      </c>
      <c r="C159" s="278"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8" t="str">
        <f>IF($A160=0,"",'Rate Log'!$C$163)</f>
        <v/>
      </c>
      <c r="C160" s="278"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8" t="str">
        <f>IF($A161=0,"",'Rate Log'!$C$164)</f>
        <v/>
      </c>
      <c r="C161" s="278"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8" t="str">
        <f>IF($A162=0,"",'Rate Log'!$C$165)</f>
        <v/>
      </c>
      <c r="C162" s="278"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8" t="str">
        <f>IF($A163=0,"",'Rate Log'!$C$166)</f>
        <v/>
      </c>
      <c r="C163" s="278"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8" t="str">
        <f>IF($A164=0,"",'Rate Log'!$C$167)</f>
        <v/>
      </c>
      <c r="C164" s="278"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8" t="str">
        <f>IF($A165=0,"",'Rate Log'!$C$168)</f>
        <v/>
      </c>
      <c r="C165" s="278"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8" t="str">
        <f>IF($A166=0,"",'Rate Log'!$C$169)</f>
        <v/>
      </c>
      <c r="C166" s="278"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8" t="str">
        <f>IF($A167=0,"",'Rate Log'!$C$170)</f>
        <v/>
      </c>
      <c r="C167" s="278"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8" t="str">
        <f>IF($A168=0,"",'Rate Log'!$C$171)</f>
        <v/>
      </c>
      <c r="C168" s="278"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8" t="str">
        <f>IF($A169=0,"",'Rate Log'!$C$172)</f>
        <v/>
      </c>
      <c r="C169" s="278"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8" t="str">
        <f>IF($A170=0,"",'Rate Log'!$C$173)</f>
        <v/>
      </c>
      <c r="C170" s="278"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8" t="str">
        <f>IF($A171=0,"",'Rate Log'!$C$174)</f>
        <v/>
      </c>
      <c r="C171" s="278"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8" t="str">
        <f>IF($A172=0,"",'Rate Log'!$C$175)</f>
        <v/>
      </c>
      <c r="C172" s="278"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8" t="str">
        <f>IF($A173=0,"",'Rate Log'!$C$176)</f>
        <v/>
      </c>
      <c r="C173" s="278"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8" t="str">
        <f>IF($A174=0,"",'Rate Log'!$C$177)</f>
        <v/>
      </c>
      <c r="C174" s="278"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8" t="str">
        <f>IF($A175=0,"",'Rate Log'!$C$178)</f>
        <v/>
      </c>
      <c r="C175" s="278"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8" t="str">
        <f>IF($A176=0,"",'Rate Log'!$C$179)</f>
        <v/>
      </c>
      <c r="C176" s="278"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8" t="str">
        <f>IF($A177=0,"",'Rate Log'!$C$180)</f>
        <v/>
      </c>
      <c r="C177" s="278"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8" t="str">
        <f>IF($A178=0,"",'Rate Log'!$C$181)</f>
        <v/>
      </c>
      <c r="C178" s="278"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8" t="str">
        <f>IF($A179=0,"",'Rate Log'!$C$182)</f>
        <v/>
      </c>
      <c r="C179" s="278"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8" t="str">
        <f>IF($A180=0,"",'Rate Log'!$C$183)</f>
        <v/>
      </c>
      <c r="C180" s="278"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8" t="str">
        <f>IF($A181=0,"",'Rate Log'!$C$184)</f>
        <v/>
      </c>
      <c r="C181" s="278"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8" t="str">
        <f>IF($A182=0,"",'Rate Log'!$C$185)</f>
        <v/>
      </c>
      <c r="C182" s="278"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8" t="str">
        <f>IF($A183=0,"",'Rate Log'!$C$186)</f>
        <v/>
      </c>
      <c r="C183" s="278"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8" t="str">
        <f>IF($A184=0,"",'Rate Log'!$C$187)</f>
        <v/>
      </c>
      <c r="C184" s="278"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8" t="str">
        <f>IF($A185=0,"",'Rate Log'!$C$188)</f>
        <v/>
      </c>
      <c r="C185" s="278"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8" t="str">
        <f>IF($A186=0,"",'Rate Log'!$C$189)</f>
        <v/>
      </c>
      <c r="C186" s="278"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8" t="str">
        <f>IF($A187=0,"",'Rate Log'!$C$190)</f>
        <v/>
      </c>
      <c r="C187" s="278"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8" t="str">
        <f>IF($A188=0,"",'Rate Log'!$C$191)</f>
        <v/>
      </c>
      <c r="C188" s="278"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8" t="str">
        <f>IF($A189=0,"",'Rate Log'!$C$192)</f>
        <v/>
      </c>
      <c r="C189" s="278"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8" t="str">
        <f>IF($A190=0,"",'Rate Log'!$C$193)</f>
        <v/>
      </c>
      <c r="C190" s="278"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8" t="str">
        <f>IF($A191=0,"",'Rate Log'!$C$194)</f>
        <v/>
      </c>
      <c r="C191" s="278"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8" t="str">
        <f>IF($A192=0,"",'Rate Log'!$C$195)</f>
        <v/>
      </c>
      <c r="C192" s="278"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8" t="str">
        <f>IF($A193=0,"",'Rate Log'!$C$196)</f>
        <v/>
      </c>
      <c r="C193" s="278"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8" t="str">
        <f>IF($A194=0,"",'Rate Log'!$C$197)</f>
        <v/>
      </c>
      <c r="C194" s="278"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8" t="str">
        <f>IF($A195=0,"",'Rate Log'!$C$198)</f>
        <v/>
      </c>
      <c r="C195" s="278"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8" t="str">
        <f>IF($A196=0,"",'Rate Log'!$C$199)</f>
        <v/>
      </c>
      <c r="C196" s="278"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8" t="str">
        <f>IF($A197=0,"",'Rate Log'!$C$200)</f>
        <v/>
      </c>
      <c r="C197" s="278"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8" t="str">
        <f>IF($A198=0,"",'Rate Log'!$C$201)</f>
        <v/>
      </c>
      <c r="C198" s="278"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8" t="str">
        <f>IF($A199=0,"",'Rate Log'!$C$202)</f>
        <v/>
      </c>
      <c r="C199" s="278"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8" t="str">
        <f>IF($A200=0,"",'Rate Log'!$C$203)</f>
        <v/>
      </c>
      <c r="C200" s="278"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8" t="str">
        <f>IF($A201=0,"",'Rate Log'!$C$204)</f>
        <v/>
      </c>
      <c r="C201" s="278"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8" t="str">
        <f>IF($A202=0,"",'Rate Log'!$C$205)</f>
        <v/>
      </c>
      <c r="C202" s="278"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8" t="str">
        <f>IF($A203=0,"",'Rate Log'!$C$206)</f>
        <v/>
      </c>
      <c r="C203" s="278"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8" t="str">
        <f>IF($A204=0,"",'Rate Log'!$C$207)</f>
        <v/>
      </c>
      <c r="C204" s="278"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8" t="str">
        <f>IF($A205=0,"",'Rate Log'!$C$208)</f>
        <v/>
      </c>
      <c r="C205" s="278"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8" t="str">
        <f>IF($A206=0,"",'Rate Log'!$C$209)</f>
        <v/>
      </c>
      <c r="C206" s="278"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8" t="str">
        <f>IF($A207=0,"",'Rate Log'!$C$210)</f>
        <v/>
      </c>
      <c r="C207" s="278"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8" t="str">
        <f>IF($A208=0,"",'Rate Log'!$C$211)</f>
        <v/>
      </c>
      <c r="C208" s="278"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8" t="str">
        <f>IF($A209=0,"",'Rate Log'!$C$212)</f>
        <v/>
      </c>
      <c r="C209" s="278"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8" t="str">
        <f>IF($A210=0,"",'Rate Log'!$C$213)</f>
        <v/>
      </c>
      <c r="C210" s="278"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8" t="str">
        <f>IF($A211=0,"",'Rate Log'!$C$214)</f>
        <v/>
      </c>
      <c r="C211" s="278"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8" t="str">
        <f>IF($A212=0,"",'Rate Log'!$C$215)</f>
        <v/>
      </c>
      <c r="C212" s="278"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8" t="str">
        <f>IF($A213=0,"",'Rate Log'!$C$216)</f>
        <v/>
      </c>
      <c r="C213" s="278"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8" t="str">
        <f>IF($A214=0,"",'Rate Log'!$C$217)</f>
        <v/>
      </c>
      <c r="C214" s="278"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8" t="str">
        <f>IF($A215=0,"",'Rate Log'!$C$218)</f>
        <v/>
      </c>
      <c r="C215" s="278"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8" t="str">
        <f>IF($A216=0,"",'Rate Log'!$C$219)</f>
        <v/>
      </c>
      <c r="C216" s="278"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8" t="str">
        <f>IF($A217=0,"",'Rate Log'!$C$220)</f>
        <v/>
      </c>
      <c r="C217" s="278"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8" t="str">
        <f>IF($A218=0,"",'Rate Log'!$C$221)</f>
        <v/>
      </c>
      <c r="C218" s="278"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8" t="str">
        <f>IF($A219=0,"",'Rate Log'!$C$222)</f>
        <v/>
      </c>
      <c r="C219" s="278"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8" t="str">
        <f>IF($A220=0,"",'Rate Log'!$C$223)</f>
        <v/>
      </c>
      <c r="C220" s="278"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8" t="str">
        <f>IF($A221=0,"",'Rate Log'!$C$224)</f>
        <v/>
      </c>
      <c r="C221" s="278"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8" t="str">
        <f>IF($A222=0,"",'Rate Log'!$C$225)</f>
        <v/>
      </c>
      <c r="C222" s="278"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8" t="str">
        <f>IF($A223=0,"",'Rate Log'!$C$226)</f>
        <v/>
      </c>
      <c r="C223" s="278"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8" t="str">
        <f>IF($A224=0,"",'Rate Log'!$C$227)</f>
        <v/>
      </c>
      <c r="C224" s="278"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8" t="str">
        <f>IF($A225=0,"",'Rate Log'!$C$228)</f>
        <v/>
      </c>
      <c r="C225" s="278"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8" t="str">
        <f>IF($A226=0,"",'Rate Log'!$C$229)</f>
        <v/>
      </c>
      <c r="C226" s="278"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8" t="str">
        <f>IF($A227=0,"",'Rate Log'!$C$230)</f>
        <v/>
      </c>
      <c r="C227" s="278"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8" t="str">
        <f>IF($A228=0,"",'Rate Log'!$C$231)</f>
        <v/>
      </c>
      <c r="C228" s="278"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8" t="str">
        <f>IF($A229=0,"",'Rate Log'!$C$232)</f>
        <v/>
      </c>
      <c r="C229" s="278"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8" t="str">
        <f>IF($A230=0,"",'Rate Log'!$C$233)</f>
        <v/>
      </c>
      <c r="C230" s="278"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8" t="str">
        <f>IF($A231=0,"",'Rate Log'!$C$234)</f>
        <v/>
      </c>
      <c r="C231" s="278"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8" t="str">
        <f>IF($A232=0,"",'Rate Log'!$C$235)</f>
        <v/>
      </c>
      <c r="C232" s="278"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8" t="str">
        <f>IF($A233=0,"",'Rate Log'!$C$236)</f>
        <v/>
      </c>
      <c r="C233" s="278"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8" t="str">
        <f>IF($A234=0,"",'Rate Log'!$C$237)</f>
        <v/>
      </c>
      <c r="C234" s="278"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8" t="str">
        <f>IF($A235=0,"",'Rate Log'!$C$238)</f>
        <v/>
      </c>
      <c r="C235" s="278"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8" t="str">
        <f>IF($A236=0,"",'Rate Log'!$C$239)</f>
        <v/>
      </c>
      <c r="C236" s="278"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8" t="str">
        <f>IF($A237=0,"",'Rate Log'!$C$240)</f>
        <v/>
      </c>
      <c r="C237" s="278"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8" t="str">
        <f>IF($A238=0,"",'Rate Log'!$C$241)</f>
        <v/>
      </c>
      <c r="C238" s="278"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8" t="str">
        <f>IF($A239=0,"",'Rate Log'!$C$242)</f>
        <v/>
      </c>
      <c r="C239" s="278"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8" t="str">
        <f>IF($A240=0,"",'Rate Log'!$C$243)</f>
        <v/>
      </c>
      <c r="C240" s="278"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8" t="str">
        <f>IF($A241=0,"",'Rate Log'!$C$244)</f>
        <v/>
      </c>
      <c r="C241" s="278"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8" t="str">
        <f>IF($A242=0,"",'Rate Log'!$C$245)</f>
        <v/>
      </c>
      <c r="C242" s="278"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8" t="str">
        <f>IF($A243=0,"",'Rate Log'!$C$246)</f>
        <v/>
      </c>
      <c r="C243" s="278"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1</v>
      </c>
      <c r="H247" s="220">
        <f>IF($C247=0,1,IF(N(INDEX(lr_m0,$C247))=0,1,INDEX(lr_m0,$C247)))</f>
        <v>0.99</v>
      </c>
      <c r="I247" s="278">
        <f>IF($C247=0,DATE(nr_PlanYear-1,10,1),IF(N(INDEX(lr_m0asof,$C247))=0,DATE(nr_PlanYear-1,10,1),INDEX(lr_m0asof,$C247)))</f>
        <v>46295</v>
      </c>
      <c r="J247" s="220">
        <f>IF($C247=0,1,IF(N(INDEX(lr_m1,$C247))=0,1,INDEX(lr_m1,$C247)))</f>
        <v>0.98</v>
      </c>
      <c r="K247" s="220">
        <f>IF($C247=0,0,N(INDEX(lr_mprior,$C247)))</f>
        <v>0</v>
      </c>
      <c r="L247" s="220">
        <f>IF($C247=0,0,N(INDEX(lr_m2,$C247)))</f>
        <v>0</v>
      </c>
      <c r="M247" s="43">
        <f>IF(OR($A247="",COUNTIF(se_state,$A247)=0),0,MATCH($A247,se_state,0))</f>
        <v>0</v>
      </c>
      <c r="N247" s="279">
        <f>IF($M247=0,0,INDEX(se_sum,$M247))</f>
        <v>0</v>
      </c>
      <c r="O247" s="278">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80" t="str">
        <f>IF(ISBLANK('Net Delivery'!$E$9),$Y247,'Net Delivery'!$E$9)</f>
        <v/>
      </c>
      <c r="W247" s="43">
        <f>IF($B247="",0,COUNTIFS(rl_key,$B247,rl_status,"planned",rl_eff,"&gt;="&amp;DATE(nr_PlanYear,1,1),rl_eff,"&lt;="&amp;DATE(nr_PlanYear,12,31)))</f>
        <v>0</v>
      </c>
      <c r="X247" s="278">
        <f>IF($W247=0,nd_DefaultDate,SUMIFS(rl_eff,rl_key,$B247,rl_firstplanned,1))</f>
        <v>46478</v>
      </c>
      <c r="Y247" s="280" t="str">
        <f>IF($W247=0,"",SUMIFS(rl_reff,rl_key,$B247,rl_firstplanned,1))</f>
        <v/>
      </c>
      <c r="Z247" s="280"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5">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1.0036214442013129</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1.0036214442013129</v>
      </c>
    </row>
    <row r="251" spans="1:31" x14ac:dyDescent="0.3">
      <c r="A251" s="187">
        <v>2</v>
      </c>
      <c r="B251" s="242">
        <f t="shared" ref="B251:B297" si="25">EDATE($B250,1)</f>
        <v>45689</v>
      </c>
      <c r="C251" s="243">
        <f t="shared" si="8"/>
        <v>45716</v>
      </c>
      <c r="D251" s="120">
        <f t="shared" si="9"/>
        <v>28</v>
      </c>
      <c r="E251" s="120">
        <f t="shared" si="10"/>
        <v>2</v>
      </c>
      <c r="F251" s="275">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1.002975929978118</v>
      </c>
      <c r="P251" s="121">
        <f t="shared" si="21"/>
        <v>0.125</v>
      </c>
      <c r="Q251" s="121">
        <f t="shared" si="22"/>
        <v>0</v>
      </c>
      <c r="R251" s="121">
        <f t="shared" si="23"/>
        <v>0</v>
      </c>
      <c r="AE251" s="160">
        <f t="shared" si="24"/>
        <v>1.002975929978118</v>
      </c>
    </row>
    <row r="252" spans="1:31" x14ac:dyDescent="0.3">
      <c r="A252" s="187">
        <v>3</v>
      </c>
      <c r="B252" s="242">
        <f t="shared" si="25"/>
        <v>45717</v>
      </c>
      <c r="C252" s="243">
        <f t="shared" si="8"/>
        <v>45747</v>
      </c>
      <c r="D252" s="120">
        <f t="shared" si="9"/>
        <v>31</v>
      </c>
      <c r="E252" s="120">
        <f t="shared" si="10"/>
        <v>3</v>
      </c>
      <c r="F252" s="275">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1.0023304157549233</v>
      </c>
      <c r="P252" s="121">
        <f t="shared" si="21"/>
        <v>0.20833333333333337</v>
      </c>
      <c r="Q252" s="121">
        <f t="shared" si="22"/>
        <v>0</v>
      </c>
      <c r="R252" s="121">
        <f t="shared" si="23"/>
        <v>0</v>
      </c>
      <c r="AE252" s="160">
        <f t="shared" si="24"/>
        <v>1.0023304157549233</v>
      </c>
    </row>
    <row r="253" spans="1:31" x14ac:dyDescent="0.3">
      <c r="A253" s="187">
        <v>4</v>
      </c>
      <c r="B253" s="242">
        <f t="shared" si="25"/>
        <v>45748</v>
      </c>
      <c r="C253" s="243">
        <f t="shared" si="8"/>
        <v>45777</v>
      </c>
      <c r="D253" s="120">
        <f t="shared" si="9"/>
        <v>30</v>
      </c>
      <c r="E253" s="120">
        <f t="shared" si="10"/>
        <v>4</v>
      </c>
      <c r="F253" s="275">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1.0016630196936542</v>
      </c>
      <c r="P253" s="121">
        <f t="shared" si="21"/>
        <v>0.29166666666666663</v>
      </c>
      <c r="Q253" s="121">
        <f t="shared" si="22"/>
        <v>0</v>
      </c>
      <c r="R253" s="121">
        <f t="shared" si="23"/>
        <v>0</v>
      </c>
      <c r="AE253" s="160">
        <f t="shared" si="24"/>
        <v>1.0016630196936542</v>
      </c>
    </row>
    <row r="254" spans="1:31" x14ac:dyDescent="0.3">
      <c r="A254" s="187">
        <v>5</v>
      </c>
      <c r="B254" s="242">
        <f t="shared" si="25"/>
        <v>45778</v>
      </c>
      <c r="C254" s="243">
        <f t="shared" si="8"/>
        <v>45808</v>
      </c>
      <c r="D254" s="120">
        <f t="shared" si="9"/>
        <v>31</v>
      </c>
      <c r="E254" s="120">
        <f t="shared" si="10"/>
        <v>5</v>
      </c>
      <c r="F254" s="275">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1.0009956236323851</v>
      </c>
      <c r="P254" s="121">
        <f t="shared" si="21"/>
        <v>0.375</v>
      </c>
      <c r="Q254" s="121">
        <f t="shared" si="22"/>
        <v>0</v>
      </c>
      <c r="R254" s="121">
        <f t="shared" si="23"/>
        <v>0</v>
      </c>
      <c r="AE254" s="160">
        <f t="shared" si="24"/>
        <v>1.0009956236323851</v>
      </c>
    </row>
    <row r="255" spans="1:31" x14ac:dyDescent="0.3">
      <c r="A255" s="187">
        <v>6</v>
      </c>
      <c r="B255" s="242">
        <f t="shared" si="25"/>
        <v>45809</v>
      </c>
      <c r="C255" s="243">
        <f t="shared" si="8"/>
        <v>45838</v>
      </c>
      <c r="D255" s="120">
        <f t="shared" si="9"/>
        <v>30</v>
      </c>
      <c r="E255" s="120">
        <f t="shared" si="10"/>
        <v>6</v>
      </c>
      <c r="F255" s="275">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1.0003282275711158</v>
      </c>
      <c r="P255" s="121">
        <f t="shared" si="21"/>
        <v>0.45833333333333337</v>
      </c>
      <c r="Q255" s="121">
        <f t="shared" si="22"/>
        <v>0</v>
      </c>
      <c r="R255" s="121">
        <f t="shared" si="23"/>
        <v>0</v>
      </c>
      <c r="AE255" s="160">
        <f t="shared" si="24"/>
        <v>1.0003282275711158</v>
      </c>
    </row>
    <row r="256" spans="1:31" x14ac:dyDescent="0.3">
      <c r="A256" s="187">
        <v>7</v>
      </c>
      <c r="B256" s="242">
        <f t="shared" si="25"/>
        <v>45839</v>
      </c>
      <c r="C256" s="243">
        <f t="shared" si="8"/>
        <v>45869</v>
      </c>
      <c r="D256" s="120">
        <f t="shared" si="9"/>
        <v>31</v>
      </c>
      <c r="E256" s="120">
        <f t="shared" si="10"/>
        <v>7</v>
      </c>
      <c r="F256" s="275">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0.99966083150984675</v>
      </c>
      <c r="P256" s="121">
        <f t="shared" si="21"/>
        <v>0.54166666666666674</v>
      </c>
      <c r="Q256" s="121">
        <f t="shared" si="22"/>
        <v>0</v>
      </c>
      <c r="R256" s="121">
        <f t="shared" si="23"/>
        <v>0</v>
      </c>
      <c r="AE256" s="160">
        <f t="shared" si="24"/>
        <v>0.99966083150984675</v>
      </c>
    </row>
    <row r="257" spans="1:31" x14ac:dyDescent="0.3">
      <c r="A257" s="187">
        <v>8</v>
      </c>
      <c r="B257" s="242">
        <f t="shared" si="25"/>
        <v>45870</v>
      </c>
      <c r="C257" s="243">
        <f t="shared" si="8"/>
        <v>45900</v>
      </c>
      <c r="D257" s="120">
        <f t="shared" si="9"/>
        <v>31</v>
      </c>
      <c r="E257" s="120">
        <f t="shared" si="10"/>
        <v>8</v>
      </c>
      <c r="F257" s="275">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0.99898249452954047</v>
      </c>
      <c r="P257" s="121">
        <f t="shared" si="21"/>
        <v>0.625</v>
      </c>
      <c r="Q257" s="121">
        <f t="shared" si="22"/>
        <v>0</v>
      </c>
      <c r="R257" s="121">
        <f t="shared" si="23"/>
        <v>0</v>
      </c>
      <c r="AE257" s="160">
        <f t="shared" si="24"/>
        <v>0.99898249452954047</v>
      </c>
    </row>
    <row r="258" spans="1:31" x14ac:dyDescent="0.3">
      <c r="A258" s="187">
        <v>9</v>
      </c>
      <c r="B258" s="242">
        <f t="shared" si="25"/>
        <v>45901</v>
      </c>
      <c r="C258" s="243">
        <f t="shared" si="8"/>
        <v>45930</v>
      </c>
      <c r="D258" s="120">
        <f t="shared" si="9"/>
        <v>30</v>
      </c>
      <c r="E258" s="120">
        <f t="shared" si="10"/>
        <v>9</v>
      </c>
      <c r="F258" s="275">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0.99831509846827127</v>
      </c>
      <c r="P258" s="121">
        <f t="shared" si="21"/>
        <v>0.70833333333333326</v>
      </c>
      <c r="Q258" s="121">
        <f t="shared" si="22"/>
        <v>0</v>
      </c>
      <c r="R258" s="121">
        <f t="shared" si="23"/>
        <v>0</v>
      </c>
      <c r="AE258" s="160">
        <f t="shared" si="24"/>
        <v>0.99831509846827127</v>
      </c>
    </row>
    <row r="259" spans="1:31" x14ac:dyDescent="0.3">
      <c r="A259" s="187">
        <v>10</v>
      </c>
      <c r="B259" s="242">
        <f t="shared" si="25"/>
        <v>45931</v>
      </c>
      <c r="C259" s="243">
        <f t="shared" si="8"/>
        <v>45961</v>
      </c>
      <c r="D259" s="120">
        <f t="shared" si="9"/>
        <v>31</v>
      </c>
      <c r="E259" s="120">
        <f t="shared" si="10"/>
        <v>10</v>
      </c>
      <c r="F259" s="275">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0.99764770240700218</v>
      </c>
      <c r="P259" s="121">
        <f t="shared" si="21"/>
        <v>0.79166666666666663</v>
      </c>
      <c r="Q259" s="121">
        <f t="shared" si="22"/>
        <v>0</v>
      </c>
      <c r="R259" s="121">
        <f t="shared" si="23"/>
        <v>0</v>
      </c>
      <c r="AE259" s="160">
        <f t="shared" si="24"/>
        <v>0.99764770240700218</v>
      </c>
    </row>
    <row r="260" spans="1:31" x14ac:dyDescent="0.3">
      <c r="A260" s="187">
        <v>11</v>
      </c>
      <c r="B260" s="242">
        <f t="shared" si="25"/>
        <v>45962</v>
      </c>
      <c r="C260" s="243">
        <f t="shared" si="8"/>
        <v>45991</v>
      </c>
      <c r="D260" s="120">
        <f t="shared" si="9"/>
        <v>30</v>
      </c>
      <c r="E260" s="120">
        <f t="shared" si="10"/>
        <v>11</v>
      </c>
      <c r="F260" s="275">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0.99698030634573298</v>
      </c>
      <c r="P260" s="121">
        <f t="shared" si="21"/>
        <v>0.875</v>
      </c>
      <c r="Q260" s="121">
        <f t="shared" si="22"/>
        <v>0</v>
      </c>
      <c r="R260" s="121">
        <f t="shared" si="23"/>
        <v>0</v>
      </c>
      <c r="AE260" s="160">
        <f t="shared" si="24"/>
        <v>0.99698030634573298</v>
      </c>
    </row>
    <row r="261" spans="1:31" x14ac:dyDescent="0.3">
      <c r="A261" s="187">
        <v>12</v>
      </c>
      <c r="B261" s="242">
        <f t="shared" si="25"/>
        <v>45992</v>
      </c>
      <c r="C261" s="243">
        <f t="shared" si="8"/>
        <v>46022</v>
      </c>
      <c r="D261" s="120">
        <f t="shared" si="9"/>
        <v>31</v>
      </c>
      <c r="E261" s="120">
        <f t="shared" si="10"/>
        <v>12</v>
      </c>
      <c r="F261" s="275">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0.99631291028446389</v>
      </c>
      <c r="P261" s="121">
        <f t="shared" si="21"/>
        <v>0.95833333333333337</v>
      </c>
      <c r="Q261" s="121">
        <f t="shared" si="22"/>
        <v>0</v>
      </c>
      <c r="R261" s="121">
        <f t="shared" si="23"/>
        <v>0</v>
      </c>
      <c r="AE261" s="160">
        <f t="shared" si="24"/>
        <v>0.99631291028446389</v>
      </c>
    </row>
    <row r="262" spans="1:31" x14ac:dyDescent="0.3">
      <c r="A262" s="187">
        <v>13</v>
      </c>
      <c r="B262" s="242">
        <f t="shared" si="25"/>
        <v>46023</v>
      </c>
      <c r="C262" s="243">
        <f t="shared" si="8"/>
        <v>46053</v>
      </c>
      <c r="D262" s="120">
        <f t="shared" si="9"/>
        <v>31</v>
      </c>
      <c r="E262" s="120">
        <f t="shared" si="10"/>
        <v>1</v>
      </c>
      <c r="F262" s="275">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0.9956345733041575</v>
      </c>
      <c r="P262" s="121">
        <f t="shared" si="21"/>
        <v>0.95833333333333337</v>
      </c>
      <c r="Q262" s="121">
        <f t="shared" si="22"/>
        <v>4.166666666666663E-2</v>
      </c>
      <c r="R262" s="121">
        <f t="shared" si="23"/>
        <v>0</v>
      </c>
      <c r="AE262" s="160">
        <f t="shared" si="24"/>
        <v>0.9956345733041575</v>
      </c>
    </row>
    <row r="263" spans="1:31" x14ac:dyDescent="0.3">
      <c r="A263" s="187">
        <v>14</v>
      </c>
      <c r="B263" s="242">
        <f t="shared" si="25"/>
        <v>46054</v>
      </c>
      <c r="C263" s="243">
        <f t="shared" si="8"/>
        <v>46081</v>
      </c>
      <c r="D263" s="120">
        <f t="shared" si="9"/>
        <v>28</v>
      </c>
      <c r="E263" s="120">
        <f t="shared" si="10"/>
        <v>2</v>
      </c>
      <c r="F263" s="275">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0.9949890590809628</v>
      </c>
      <c r="P263" s="121">
        <f t="shared" si="21"/>
        <v>0.875</v>
      </c>
      <c r="Q263" s="121">
        <f t="shared" si="22"/>
        <v>0.125</v>
      </c>
      <c r="R263" s="121">
        <f t="shared" si="23"/>
        <v>0</v>
      </c>
      <c r="AE263" s="160">
        <f t="shared" si="24"/>
        <v>0.9949890590809628</v>
      </c>
    </row>
    <row r="264" spans="1:31" x14ac:dyDescent="0.3">
      <c r="A264" s="187">
        <v>15</v>
      </c>
      <c r="B264" s="242">
        <f t="shared" si="25"/>
        <v>46082</v>
      </c>
      <c r="C264" s="243">
        <f t="shared" si="8"/>
        <v>46112</v>
      </c>
      <c r="D264" s="120">
        <f t="shared" si="9"/>
        <v>31</v>
      </c>
      <c r="E264" s="120">
        <f t="shared" si="10"/>
        <v>3</v>
      </c>
      <c r="F264" s="275">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0.99434354485776799</v>
      </c>
      <c r="P264" s="121">
        <f t="shared" si="21"/>
        <v>0.79166666666666663</v>
      </c>
      <c r="Q264" s="121">
        <f t="shared" si="22"/>
        <v>0.20833333333333337</v>
      </c>
      <c r="R264" s="121">
        <f t="shared" si="23"/>
        <v>0</v>
      </c>
      <c r="AE264" s="160">
        <f t="shared" si="24"/>
        <v>0.99434354485776799</v>
      </c>
    </row>
    <row r="265" spans="1:31" x14ac:dyDescent="0.3">
      <c r="A265" s="187">
        <v>16</v>
      </c>
      <c r="B265" s="242">
        <f t="shared" si="25"/>
        <v>46113</v>
      </c>
      <c r="C265" s="243">
        <f t="shared" si="8"/>
        <v>46142</v>
      </c>
      <c r="D265" s="120">
        <f t="shared" si="9"/>
        <v>30</v>
      </c>
      <c r="E265" s="120">
        <f t="shared" si="10"/>
        <v>4</v>
      </c>
      <c r="F265" s="275">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0.9936761487964989</v>
      </c>
      <c r="P265" s="121">
        <f t="shared" si="21"/>
        <v>0.70833333333333337</v>
      </c>
      <c r="Q265" s="121">
        <f t="shared" si="22"/>
        <v>0.29166666666666663</v>
      </c>
      <c r="R265" s="121">
        <f t="shared" si="23"/>
        <v>0</v>
      </c>
      <c r="AE265" s="160">
        <f t="shared" si="24"/>
        <v>0.9936761487964989</v>
      </c>
    </row>
    <row r="266" spans="1:31" x14ac:dyDescent="0.3">
      <c r="A266" s="187">
        <v>17</v>
      </c>
      <c r="B266" s="242">
        <f t="shared" si="25"/>
        <v>46143</v>
      </c>
      <c r="C266" s="243">
        <f t="shared" si="8"/>
        <v>46173</v>
      </c>
      <c r="D266" s="120">
        <f t="shared" si="9"/>
        <v>31</v>
      </c>
      <c r="E266" s="120">
        <f t="shared" si="10"/>
        <v>5</v>
      </c>
      <c r="F266" s="275">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0.9930087527352297</v>
      </c>
      <c r="P266" s="121">
        <f t="shared" si="21"/>
        <v>0.625</v>
      </c>
      <c r="Q266" s="121">
        <f t="shared" si="22"/>
        <v>0.375</v>
      </c>
      <c r="R266" s="121">
        <f t="shared" si="23"/>
        <v>0</v>
      </c>
      <c r="AE266" s="160">
        <f t="shared" si="24"/>
        <v>0.9930087527352297</v>
      </c>
    </row>
    <row r="267" spans="1:31" x14ac:dyDescent="0.3">
      <c r="A267" s="187">
        <v>18</v>
      </c>
      <c r="B267" s="242">
        <f t="shared" si="25"/>
        <v>46174</v>
      </c>
      <c r="C267" s="243">
        <f t="shared" si="8"/>
        <v>46203</v>
      </c>
      <c r="D267" s="120">
        <f t="shared" si="9"/>
        <v>30</v>
      </c>
      <c r="E267" s="120">
        <f t="shared" si="10"/>
        <v>6</v>
      </c>
      <c r="F267" s="275">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0.99234135667396062</v>
      </c>
      <c r="P267" s="121">
        <f t="shared" si="21"/>
        <v>0.54166666666666663</v>
      </c>
      <c r="Q267" s="121">
        <f t="shared" si="22"/>
        <v>0.45833333333333337</v>
      </c>
      <c r="R267" s="121">
        <f t="shared" si="23"/>
        <v>0</v>
      </c>
      <c r="AE267" s="160">
        <f t="shared" si="24"/>
        <v>0.99234135667396062</v>
      </c>
    </row>
    <row r="268" spans="1:31" x14ac:dyDescent="0.3">
      <c r="A268" s="187">
        <v>19</v>
      </c>
      <c r="B268" s="242">
        <f t="shared" si="25"/>
        <v>46204</v>
      </c>
      <c r="C268" s="243">
        <f t="shared" si="8"/>
        <v>46234</v>
      </c>
      <c r="D268" s="120">
        <f t="shared" si="9"/>
        <v>31</v>
      </c>
      <c r="E268" s="120">
        <f t="shared" si="10"/>
        <v>7</v>
      </c>
      <c r="F268" s="275">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0.99167396061269142</v>
      </c>
      <c r="P268" s="121">
        <f t="shared" si="21"/>
        <v>0.45833333333333331</v>
      </c>
      <c r="Q268" s="121">
        <f t="shared" si="22"/>
        <v>0.54166666666666674</v>
      </c>
      <c r="R268" s="121">
        <f t="shared" si="23"/>
        <v>0</v>
      </c>
      <c r="AE268" s="160">
        <f t="shared" si="24"/>
        <v>1.0313409190371992</v>
      </c>
    </row>
    <row r="269" spans="1:31" x14ac:dyDescent="0.3">
      <c r="A269" s="187">
        <v>20</v>
      </c>
      <c r="B269" s="242">
        <f t="shared" si="25"/>
        <v>46235</v>
      </c>
      <c r="C269" s="243">
        <f t="shared" si="8"/>
        <v>46265</v>
      </c>
      <c r="D269" s="120">
        <f t="shared" si="9"/>
        <v>31</v>
      </c>
      <c r="E269" s="120">
        <f t="shared" si="10"/>
        <v>8</v>
      </c>
      <c r="F269" s="275">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0.99099562363238514</v>
      </c>
      <c r="P269" s="121">
        <f t="shared" si="21"/>
        <v>0.375</v>
      </c>
      <c r="Q269" s="121">
        <f t="shared" si="22"/>
        <v>0.625</v>
      </c>
      <c r="R269" s="121">
        <f t="shared" si="23"/>
        <v>0</v>
      </c>
      <c r="AE269" s="160">
        <f t="shared" si="24"/>
        <v>1.0306354485776805</v>
      </c>
    </row>
    <row r="270" spans="1:31" x14ac:dyDescent="0.3">
      <c r="A270" s="187">
        <v>21</v>
      </c>
      <c r="B270" s="242">
        <f t="shared" si="25"/>
        <v>46266</v>
      </c>
      <c r="C270" s="243">
        <f t="shared" si="8"/>
        <v>46295</v>
      </c>
      <c r="D270" s="120">
        <f t="shared" si="9"/>
        <v>30</v>
      </c>
      <c r="E270" s="120">
        <f t="shared" si="10"/>
        <v>9</v>
      </c>
      <c r="F270" s="275">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0.99032822757111594</v>
      </c>
      <c r="P270" s="121">
        <f t="shared" si="21"/>
        <v>0.29166666666666669</v>
      </c>
      <c r="Q270" s="121">
        <f t="shared" si="22"/>
        <v>0.70833333333333326</v>
      </c>
      <c r="R270" s="121">
        <f t="shared" si="23"/>
        <v>0</v>
      </c>
      <c r="AE270" s="160">
        <f t="shared" si="24"/>
        <v>1.0299413566739606</v>
      </c>
    </row>
    <row r="271" spans="1:31" x14ac:dyDescent="0.3">
      <c r="A271" s="187">
        <v>22</v>
      </c>
      <c r="B271" s="242">
        <f t="shared" si="25"/>
        <v>46296</v>
      </c>
      <c r="C271" s="243">
        <f t="shared" si="8"/>
        <v>46326</v>
      </c>
      <c r="D271" s="120">
        <f t="shared" si="9"/>
        <v>31</v>
      </c>
      <c r="E271" s="120">
        <f t="shared" si="10"/>
        <v>10</v>
      </c>
      <c r="F271" s="275">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0.98966083150984685</v>
      </c>
      <c r="P271" s="121">
        <f t="shared" si="21"/>
        <v>0.20833333333333334</v>
      </c>
      <c r="Q271" s="121">
        <f t="shared" si="22"/>
        <v>0.79166666666666663</v>
      </c>
      <c r="R271" s="121">
        <f t="shared" si="23"/>
        <v>0</v>
      </c>
      <c r="AE271" s="160">
        <f t="shared" si="24"/>
        <v>1.0292472647702409</v>
      </c>
    </row>
    <row r="272" spans="1:31" x14ac:dyDescent="0.3">
      <c r="A272" s="187">
        <v>23</v>
      </c>
      <c r="B272" s="242">
        <f t="shared" si="25"/>
        <v>46327</v>
      </c>
      <c r="C272" s="243">
        <f t="shared" si="8"/>
        <v>46356</v>
      </c>
      <c r="D272" s="120">
        <f t="shared" si="9"/>
        <v>30</v>
      </c>
      <c r="E272" s="120">
        <f t="shared" si="10"/>
        <v>11</v>
      </c>
      <c r="F272" s="275">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0.98899343544857765</v>
      </c>
      <c r="P272" s="121">
        <f t="shared" si="21"/>
        <v>0.125</v>
      </c>
      <c r="Q272" s="121">
        <f t="shared" si="22"/>
        <v>0.875</v>
      </c>
      <c r="R272" s="121">
        <f t="shared" si="23"/>
        <v>0</v>
      </c>
      <c r="AE272" s="160">
        <f t="shared" si="24"/>
        <v>1.0285531728665207</v>
      </c>
    </row>
    <row r="273" spans="1:35" x14ac:dyDescent="0.3">
      <c r="A273" s="187">
        <v>24</v>
      </c>
      <c r="B273" s="242">
        <f t="shared" si="25"/>
        <v>46357</v>
      </c>
      <c r="C273" s="243">
        <f t="shared" si="8"/>
        <v>46387</v>
      </c>
      <c r="D273" s="120">
        <f t="shared" si="9"/>
        <v>31</v>
      </c>
      <c r="E273" s="120">
        <f t="shared" si="10"/>
        <v>12</v>
      </c>
      <c r="F273" s="275">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0.98832603938730856</v>
      </c>
      <c r="P273" s="121">
        <f t="shared" si="21"/>
        <v>4.1666666666666664E-2</v>
      </c>
      <c r="Q273" s="121">
        <f t="shared" si="22"/>
        <v>0.95833333333333337</v>
      </c>
      <c r="R273" s="121">
        <f t="shared" si="23"/>
        <v>0</v>
      </c>
      <c r="AE273" s="160">
        <f t="shared" si="24"/>
        <v>1.027859080962801</v>
      </c>
    </row>
    <row r="274" spans="1:35" x14ac:dyDescent="0.3">
      <c r="A274" s="187">
        <v>25</v>
      </c>
      <c r="B274" s="242">
        <f t="shared" si="25"/>
        <v>46388</v>
      </c>
      <c r="C274" s="243">
        <f t="shared" si="8"/>
        <v>46418</v>
      </c>
      <c r="D274" s="120">
        <f t="shared" si="9"/>
        <v>31</v>
      </c>
      <c r="E274" s="120">
        <f t="shared" si="10"/>
        <v>1</v>
      </c>
      <c r="F274" s="275">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0.98764770240700217</v>
      </c>
      <c r="P274" s="121">
        <f t="shared" si="21"/>
        <v>0</v>
      </c>
      <c r="Q274" s="121">
        <f t="shared" si="22"/>
        <v>0.95833333333333337</v>
      </c>
      <c r="R274" s="121">
        <f t="shared" si="23"/>
        <v>4.166666666666663E-2</v>
      </c>
      <c r="W274" s="160">
        <f t="shared" ref="W274:W285" si="26">IF($G274&lt;&gt;$Q$247,$N274,(1-$U$247)*$I274+$U$247*$J274)</f>
        <v>1.04</v>
      </c>
      <c r="X274" s="160">
        <f t="shared" ref="X274:X285" si="27">IF($G274&lt;$Q$247,0,IF($G274&gt;$Q$247,$N274,$U$247*$J274))</f>
        <v>0</v>
      </c>
      <c r="Y274" s="160">
        <f t="shared" ref="Y274:Y285" si="28">IF($F$247=1,$O274/$O262,1)</f>
        <v>0.99197811013065795</v>
      </c>
      <c r="AB274" s="160">
        <f t="shared" ref="AB274:AB285" si="29">IF(AND(N($K$247)&lt;&gt;0,$F274&lt;=$B$248),0,($F274-$B$248)/($C$248-$B$248))</f>
        <v>0.23522975929978118</v>
      </c>
      <c r="AC274" s="220">
        <f t="shared" ref="AC274:AC285" si="30">IF(AND(N($K$247)&lt;&gt;0,$F274&lt;=$B$248),$O274,$F$248*(1-$AB274))</f>
        <v>0.75712253829321663</v>
      </c>
      <c r="AD274" s="160">
        <f t="shared" ref="AD274:AD285" si="31">$H274*($W274+$X274*IF(ISNUMBER($F$298),$F$298,0))/($N262*$O262)</f>
        <v>1.0445599498906606</v>
      </c>
      <c r="AE274" s="160">
        <f t="shared" si="24"/>
        <v>1.0271536105032824</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5">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0.98700218818380747</v>
      </c>
      <c r="P275" s="121">
        <f t="shared" si="21"/>
        <v>0</v>
      </c>
      <c r="Q275" s="121">
        <f t="shared" si="22"/>
        <v>0.875</v>
      </c>
      <c r="R275" s="121">
        <f t="shared" si="23"/>
        <v>0.125</v>
      </c>
      <c r="W275" s="160">
        <f t="shared" si="26"/>
        <v>1.04</v>
      </c>
      <c r="X275" s="160">
        <f t="shared" si="27"/>
        <v>0</v>
      </c>
      <c r="Y275" s="160">
        <f t="shared" si="28"/>
        <v>0.99197290580809749</v>
      </c>
      <c r="AB275" s="160">
        <f t="shared" si="29"/>
        <v>0.29978118161925604</v>
      </c>
      <c r="AC275" s="220">
        <f t="shared" si="30"/>
        <v>0.69321663019693647</v>
      </c>
      <c r="AD275" s="160">
        <f t="shared" si="31"/>
        <v>1.0452376239801193</v>
      </c>
      <c r="AE275" s="160">
        <f t="shared" si="24"/>
        <v>1.0264822757111598</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5">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0.98635667396061266</v>
      </c>
      <c r="P276" s="121">
        <f t="shared" si="21"/>
        <v>0</v>
      </c>
      <c r="Q276" s="121">
        <f t="shared" si="22"/>
        <v>0.79166666666666663</v>
      </c>
      <c r="R276" s="121">
        <f t="shared" si="23"/>
        <v>0.20833333333333337</v>
      </c>
      <c r="W276" s="160">
        <f t="shared" si="26"/>
        <v>1.04</v>
      </c>
      <c r="X276" s="160">
        <f t="shared" si="27"/>
        <v>0</v>
      </c>
      <c r="Y276" s="160">
        <f t="shared" si="28"/>
        <v>0.99196769472838708</v>
      </c>
      <c r="AB276" s="160">
        <f t="shared" si="29"/>
        <v>0.36433260393873085</v>
      </c>
      <c r="AC276" s="220">
        <f t="shared" si="30"/>
        <v>0.62931072210065642</v>
      </c>
      <c r="AD276" s="160">
        <f t="shared" si="31"/>
        <v>1.0459161779430697</v>
      </c>
      <c r="AE276" s="160">
        <f t="shared" si="24"/>
        <v>1.0258109409190372</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5">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0.98568927789934357</v>
      </c>
      <c r="P277" s="121">
        <f t="shared" si="21"/>
        <v>0</v>
      </c>
      <c r="Q277" s="121">
        <f t="shared" si="22"/>
        <v>0.70833333333333337</v>
      </c>
      <c r="R277" s="121">
        <f t="shared" si="23"/>
        <v>0.29166666666666663</v>
      </c>
      <c r="W277" s="160">
        <f t="shared" si="26"/>
        <v>1.04</v>
      </c>
      <c r="X277" s="160">
        <f t="shared" si="27"/>
        <v>1.04</v>
      </c>
      <c r="Y277" s="160">
        <f t="shared" si="28"/>
        <v>0.99196229988328821</v>
      </c>
      <c r="AB277" s="160">
        <f t="shared" si="29"/>
        <v>0.4310722100656455</v>
      </c>
      <c r="AC277" s="220">
        <f t="shared" si="30"/>
        <v>0.56323851203501096</v>
      </c>
      <c r="AD277" s="160">
        <f t="shared" si="31"/>
        <v>1.0466186606769285</v>
      </c>
      <c r="AE277" s="160">
        <f t="shared" si="24"/>
        <v>1.0251168490153173</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5">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0.98502188183807438</v>
      </c>
      <c r="P278" s="121">
        <f t="shared" si="21"/>
        <v>0</v>
      </c>
      <c r="Q278" s="121">
        <f t="shared" si="22"/>
        <v>0.625</v>
      </c>
      <c r="R278" s="121">
        <f t="shared" si="23"/>
        <v>0.375</v>
      </c>
      <c r="W278" s="160">
        <f t="shared" si="26"/>
        <v>1.04</v>
      </c>
      <c r="X278" s="160">
        <f t="shared" si="27"/>
        <v>1.04</v>
      </c>
      <c r="Y278" s="160">
        <f t="shared" si="28"/>
        <v>0.99195689778649421</v>
      </c>
      <c r="AB278" s="160">
        <f t="shared" si="29"/>
        <v>0.49781181619256015</v>
      </c>
      <c r="AC278" s="220">
        <f t="shared" si="30"/>
        <v>0.4971663019693654</v>
      </c>
      <c r="AD278" s="160">
        <f t="shared" si="31"/>
        <v>1.0473220876808322</v>
      </c>
      <c r="AE278" s="160">
        <f t="shared" si="24"/>
        <v>1.0244227571115974</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5">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0.98435448577680529</v>
      </c>
      <c r="P279" s="121">
        <f t="shared" si="21"/>
        <v>0</v>
      </c>
      <c r="Q279" s="121">
        <f t="shared" si="22"/>
        <v>0.54166666666666663</v>
      </c>
      <c r="R279" s="121">
        <f t="shared" si="23"/>
        <v>0.45833333333333337</v>
      </c>
      <c r="W279" s="160">
        <f t="shared" si="26"/>
        <v>1.04</v>
      </c>
      <c r="X279" s="160">
        <f t="shared" si="27"/>
        <v>1.04</v>
      </c>
      <c r="Y279" s="160">
        <f t="shared" si="28"/>
        <v>0.99195148842337377</v>
      </c>
      <c r="AB279" s="160">
        <f t="shared" si="29"/>
        <v>0.56455142231947486</v>
      </c>
      <c r="AC279" s="220">
        <f t="shared" si="30"/>
        <v>0.43109409190371989</v>
      </c>
      <c r="AD279" s="160">
        <f t="shared" si="31"/>
        <v>1.0480264608599781</v>
      </c>
      <c r="AE279" s="160">
        <f t="shared" si="24"/>
        <v>1.0237286652078774</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5">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0.98368708971553609</v>
      </c>
      <c r="P280" s="121">
        <f t="shared" si="21"/>
        <v>0</v>
      </c>
      <c r="Q280" s="121">
        <f t="shared" si="22"/>
        <v>0.45833333333333331</v>
      </c>
      <c r="R280" s="121">
        <f t="shared" si="23"/>
        <v>0.54166666666666674</v>
      </c>
      <c r="W280" s="160">
        <f t="shared" si="26"/>
        <v>1.04</v>
      </c>
      <c r="X280" s="160">
        <f t="shared" si="27"/>
        <v>1.04</v>
      </c>
      <c r="Y280" s="160">
        <f t="shared" si="28"/>
        <v>0.9919460717792562</v>
      </c>
      <c r="AB280" s="160">
        <f t="shared" si="29"/>
        <v>0.63129102844638951</v>
      </c>
      <c r="AC280" s="220">
        <f t="shared" si="30"/>
        <v>0.36502188183807438</v>
      </c>
      <c r="AD280" s="160">
        <f t="shared" si="31"/>
        <v>1.0083959443506658</v>
      </c>
      <c r="AE280" s="160">
        <f t="shared" si="24"/>
        <v>1.0230345733041575</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5">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0.9830087527352297</v>
      </c>
      <c r="P281" s="121">
        <f t="shared" si="21"/>
        <v>0</v>
      </c>
      <c r="Q281" s="121">
        <f t="shared" si="22"/>
        <v>0.375</v>
      </c>
      <c r="R281" s="121">
        <f t="shared" si="23"/>
        <v>0.625</v>
      </c>
      <c r="W281" s="160">
        <f t="shared" si="26"/>
        <v>1.04</v>
      </c>
      <c r="X281" s="160">
        <f t="shared" si="27"/>
        <v>1.04</v>
      </c>
      <c r="Y281" s="160">
        <f t="shared" si="28"/>
        <v>0.9919405588615211</v>
      </c>
      <c r="AB281" s="160">
        <f t="shared" si="29"/>
        <v>0.69912472647702406</v>
      </c>
      <c r="AC281" s="220">
        <f t="shared" si="30"/>
        <v>0.29786652078774617</v>
      </c>
      <c r="AD281" s="160">
        <f t="shared" si="31"/>
        <v>1.0090861918588605</v>
      </c>
      <c r="AE281" s="160">
        <f t="shared" si="24"/>
        <v>1.0223291028446391</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5">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0.98234135667396061</v>
      </c>
      <c r="P282" s="121">
        <f t="shared" si="21"/>
        <v>0</v>
      </c>
      <c r="Q282" s="121">
        <f t="shared" si="22"/>
        <v>0.29166666666666669</v>
      </c>
      <c r="R282" s="121">
        <f t="shared" si="23"/>
        <v>0.70833333333333326</v>
      </c>
      <c r="W282" s="160">
        <f t="shared" si="26"/>
        <v>1.04</v>
      </c>
      <c r="X282" s="160">
        <f t="shared" si="27"/>
        <v>1.04</v>
      </c>
      <c r="Y282" s="160">
        <f t="shared" si="28"/>
        <v>0.99193512749127233</v>
      </c>
      <c r="AB282" s="160">
        <f t="shared" si="29"/>
        <v>0.76586433260393871</v>
      </c>
      <c r="AC282" s="220">
        <f t="shared" si="30"/>
        <v>0.23179431072210066</v>
      </c>
      <c r="AD282" s="160">
        <f t="shared" si="31"/>
        <v>1.0097662291749525</v>
      </c>
      <c r="AE282" s="160">
        <f t="shared" si="24"/>
        <v>1.0216350109409191</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5">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0.98167396061269141</v>
      </c>
      <c r="P283" s="121">
        <f t="shared" si="21"/>
        <v>0</v>
      </c>
      <c r="Q283" s="121">
        <f t="shared" si="22"/>
        <v>0.20833333333333334</v>
      </c>
      <c r="R283" s="121">
        <f t="shared" si="23"/>
        <v>0.79166666666666663</v>
      </c>
      <c r="W283" s="160">
        <f t="shared" si="26"/>
        <v>1.04</v>
      </c>
      <c r="X283" s="160">
        <f t="shared" si="27"/>
        <v>1.04</v>
      </c>
      <c r="Y283" s="160">
        <f t="shared" si="28"/>
        <v>0.99192968879553356</v>
      </c>
      <c r="AB283" s="160">
        <f t="shared" si="29"/>
        <v>0.83260393873085337</v>
      </c>
      <c r="AC283" s="220">
        <f t="shared" si="30"/>
        <v>0.16572210065645518</v>
      </c>
      <c r="AD283" s="160">
        <f t="shared" si="31"/>
        <v>1.010447183682494</v>
      </c>
      <c r="AE283" s="160">
        <f t="shared" si="24"/>
        <v>1.0209409190371992</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5">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0.98100656455142232</v>
      </c>
      <c r="P284" s="121">
        <f t="shared" si="21"/>
        <v>0</v>
      </c>
      <c r="Q284" s="121">
        <f t="shared" si="22"/>
        <v>0.125</v>
      </c>
      <c r="R284" s="121">
        <f t="shared" si="23"/>
        <v>0.875</v>
      </c>
      <c r="W284" s="160">
        <f t="shared" si="26"/>
        <v>1.04</v>
      </c>
      <c r="X284" s="160">
        <f t="shared" si="27"/>
        <v>1.04</v>
      </c>
      <c r="Y284" s="160">
        <f t="shared" si="28"/>
        <v>0.99192424275947522</v>
      </c>
      <c r="AB284" s="160">
        <f t="shared" si="29"/>
        <v>0.89934354485776802</v>
      </c>
      <c r="AC284" s="220">
        <f t="shared" si="30"/>
        <v>9.9649890590809656E-2</v>
      </c>
      <c r="AD284" s="160">
        <f t="shared" si="31"/>
        <v>1.0111290572383125</v>
      </c>
      <c r="AE284" s="160">
        <f t="shared" si="24"/>
        <v>1.0202468271334793</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5">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0.98033916849015312</v>
      </c>
      <c r="P285" s="121">
        <f t="shared" si="21"/>
        <v>0</v>
      </c>
      <c r="Q285" s="121">
        <f t="shared" si="22"/>
        <v>4.1666666666666664E-2</v>
      </c>
      <c r="R285" s="121">
        <f t="shared" si="23"/>
        <v>0.95833333333333337</v>
      </c>
      <c r="W285" s="160">
        <f t="shared" si="26"/>
        <v>1.04</v>
      </c>
      <c r="X285" s="160">
        <f t="shared" si="27"/>
        <v>1.04</v>
      </c>
      <c r="Y285" s="160">
        <f t="shared" si="28"/>
        <v>0.99191878936822642</v>
      </c>
      <c r="AB285" s="160">
        <f t="shared" si="29"/>
        <v>0.96608315098468267</v>
      </c>
      <c r="AC285" s="220">
        <f t="shared" si="30"/>
        <v>3.3577680525164154E-2</v>
      </c>
      <c r="AD285" s="160">
        <f t="shared" si="31"/>
        <v>1.0118118517042498</v>
      </c>
      <c r="AE285" s="160">
        <f t="shared" si="24"/>
        <v>1.0195527352297593</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5">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0.98</v>
      </c>
      <c r="P286" s="121">
        <f t="shared" si="21"/>
        <v>0</v>
      </c>
      <c r="Q286" s="121">
        <f t="shared" si="22"/>
        <v>0</v>
      </c>
      <c r="R286" s="121">
        <f t="shared" si="23"/>
        <v>0.95833333333333337</v>
      </c>
      <c r="AE286" s="160">
        <f t="shared" si="24"/>
        <v>1.0192000000000001</v>
      </c>
    </row>
    <row r="287" spans="1:35" x14ac:dyDescent="0.3">
      <c r="A287" s="187">
        <v>38</v>
      </c>
      <c r="B287" s="242">
        <f t="shared" si="25"/>
        <v>46784</v>
      </c>
      <c r="C287" s="243">
        <f t="shared" si="8"/>
        <v>46812</v>
      </c>
      <c r="D287" s="120">
        <f t="shared" si="9"/>
        <v>29</v>
      </c>
      <c r="E287" s="120">
        <f t="shared" si="10"/>
        <v>2</v>
      </c>
      <c r="F287" s="275">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0.98</v>
      </c>
      <c r="P287" s="121">
        <f t="shared" si="21"/>
        <v>0</v>
      </c>
      <c r="Q287" s="121">
        <f t="shared" si="22"/>
        <v>0</v>
      </c>
      <c r="R287" s="121">
        <f t="shared" si="23"/>
        <v>0.875</v>
      </c>
      <c r="AE287" s="160">
        <f t="shared" si="24"/>
        <v>1.0192000000000001</v>
      </c>
    </row>
    <row r="288" spans="1:35" x14ac:dyDescent="0.3">
      <c r="A288" s="187">
        <v>39</v>
      </c>
      <c r="B288" s="242">
        <f t="shared" si="25"/>
        <v>46813</v>
      </c>
      <c r="C288" s="243">
        <f t="shared" si="8"/>
        <v>46843</v>
      </c>
      <c r="D288" s="120">
        <f t="shared" si="9"/>
        <v>31</v>
      </c>
      <c r="E288" s="120">
        <f t="shared" si="10"/>
        <v>3</v>
      </c>
      <c r="F288" s="275">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0.98</v>
      </c>
      <c r="P288" s="121">
        <f t="shared" si="21"/>
        <v>0</v>
      </c>
      <c r="Q288" s="121">
        <f t="shared" si="22"/>
        <v>0</v>
      </c>
      <c r="R288" s="121">
        <f t="shared" si="23"/>
        <v>0.79166666666666663</v>
      </c>
      <c r="AE288" s="160">
        <f t="shared" si="24"/>
        <v>1.0192000000000001</v>
      </c>
    </row>
    <row r="289" spans="1:31" x14ac:dyDescent="0.3">
      <c r="A289" s="187">
        <v>40</v>
      </c>
      <c r="B289" s="242">
        <f t="shared" si="25"/>
        <v>46844</v>
      </c>
      <c r="C289" s="243">
        <f t="shared" si="8"/>
        <v>46873</v>
      </c>
      <c r="D289" s="120">
        <f t="shared" si="9"/>
        <v>30</v>
      </c>
      <c r="E289" s="120">
        <f t="shared" si="10"/>
        <v>4</v>
      </c>
      <c r="F289" s="275">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0.98</v>
      </c>
      <c r="P289" s="121">
        <f t="shared" si="21"/>
        <v>0</v>
      </c>
      <c r="Q289" s="121">
        <f t="shared" si="22"/>
        <v>0</v>
      </c>
      <c r="R289" s="121">
        <f t="shared" si="23"/>
        <v>0.70833333333333337</v>
      </c>
      <c r="AE289" s="160">
        <f t="shared" si="24"/>
        <v>1.0192000000000001</v>
      </c>
    </row>
    <row r="290" spans="1:31" x14ac:dyDescent="0.3">
      <c r="A290" s="187">
        <v>41</v>
      </c>
      <c r="B290" s="242">
        <f t="shared" si="25"/>
        <v>46874</v>
      </c>
      <c r="C290" s="243">
        <f t="shared" si="8"/>
        <v>46904</v>
      </c>
      <c r="D290" s="120">
        <f t="shared" si="9"/>
        <v>31</v>
      </c>
      <c r="E290" s="120">
        <f t="shared" si="10"/>
        <v>5</v>
      </c>
      <c r="F290" s="275">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0.98</v>
      </c>
      <c r="P290" s="121">
        <f t="shared" si="21"/>
        <v>0</v>
      </c>
      <c r="Q290" s="121">
        <f t="shared" si="22"/>
        <v>0</v>
      </c>
      <c r="R290" s="121">
        <f t="shared" si="23"/>
        <v>0.625</v>
      </c>
      <c r="AE290" s="160">
        <f t="shared" si="24"/>
        <v>1.0192000000000001</v>
      </c>
    </row>
    <row r="291" spans="1:31" x14ac:dyDescent="0.3">
      <c r="A291" s="187">
        <v>42</v>
      </c>
      <c r="B291" s="242">
        <f t="shared" si="25"/>
        <v>46905</v>
      </c>
      <c r="C291" s="243">
        <f t="shared" si="8"/>
        <v>46934</v>
      </c>
      <c r="D291" s="120">
        <f t="shared" si="9"/>
        <v>30</v>
      </c>
      <c r="E291" s="120">
        <f t="shared" si="10"/>
        <v>6</v>
      </c>
      <c r="F291" s="275">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0.98</v>
      </c>
      <c r="P291" s="121">
        <f t="shared" si="21"/>
        <v>0</v>
      </c>
      <c r="Q291" s="121">
        <f t="shared" si="22"/>
        <v>0</v>
      </c>
      <c r="R291" s="121">
        <f t="shared" si="23"/>
        <v>0.54166666666666663</v>
      </c>
      <c r="AE291" s="160">
        <f t="shared" si="24"/>
        <v>1.0192000000000001</v>
      </c>
    </row>
    <row r="292" spans="1:31" x14ac:dyDescent="0.3">
      <c r="A292" s="187">
        <v>43</v>
      </c>
      <c r="B292" s="242">
        <f t="shared" si="25"/>
        <v>46935</v>
      </c>
      <c r="C292" s="243">
        <f t="shared" si="8"/>
        <v>46965</v>
      </c>
      <c r="D292" s="120">
        <f t="shared" si="9"/>
        <v>31</v>
      </c>
      <c r="E292" s="120">
        <f t="shared" si="10"/>
        <v>7</v>
      </c>
      <c r="F292" s="275">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0.98</v>
      </c>
      <c r="P292" s="121">
        <f t="shared" si="21"/>
        <v>0</v>
      </c>
      <c r="Q292" s="121">
        <f t="shared" si="22"/>
        <v>0</v>
      </c>
      <c r="R292" s="121">
        <f t="shared" si="23"/>
        <v>0.45833333333333331</v>
      </c>
      <c r="AE292" s="160">
        <f t="shared" si="24"/>
        <v>1.0192000000000001</v>
      </c>
    </row>
    <row r="293" spans="1:31" x14ac:dyDescent="0.3">
      <c r="A293" s="187">
        <v>44</v>
      </c>
      <c r="B293" s="242">
        <f t="shared" si="25"/>
        <v>46966</v>
      </c>
      <c r="C293" s="243">
        <f t="shared" si="8"/>
        <v>46996</v>
      </c>
      <c r="D293" s="120">
        <f t="shared" si="9"/>
        <v>31</v>
      </c>
      <c r="E293" s="120">
        <f t="shared" si="10"/>
        <v>8</v>
      </c>
      <c r="F293" s="275">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0.98</v>
      </c>
      <c r="P293" s="121">
        <f t="shared" si="21"/>
        <v>0</v>
      </c>
      <c r="Q293" s="121">
        <f t="shared" si="22"/>
        <v>0</v>
      </c>
      <c r="R293" s="121">
        <f t="shared" si="23"/>
        <v>0.375</v>
      </c>
      <c r="AE293" s="160">
        <f t="shared" si="24"/>
        <v>1.0192000000000001</v>
      </c>
    </row>
    <row r="294" spans="1:31" x14ac:dyDescent="0.3">
      <c r="A294" s="187">
        <v>45</v>
      </c>
      <c r="B294" s="242">
        <f t="shared" si="25"/>
        <v>46997</v>
      </c>
      <c r="C294" s="243">
        <f t="shared" si="8"/>
        <v>47026</v>
      </c>
      <c r="D294" s="120">
        <f t="shared" si="9"/>
        <v>30</v>
      </c>
      <c r="E294" s="120">
        <f t="shared" si="10"/>
        <v>9</v>
      </c>
      <c r="F294" s="275">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0.98</v>
      </c>
      <c r="P294" s="121">
        <f t="shared" si="21"/>
        <v>0</v>
      </c>
      <c r="Q294" s="121">
        <f t="shared" si="22"/>
        <v>0</v>
      </c>
      <c r="R294" s="121">
        <f t="shared" si="23"/>
        <v>0.29166666666666669</v>
      </c>
      <c r="AE294" s="160">
        <f t="shared" si="24"/>
        <v>1.0192000000000001</v>
      </c>
    </row>
    <row r="295" spans="1:31" x14ac:dyDescent="0.3">
      <c r="A295" s="187">
        <v>46</v>
      </c>
      <c r="B295" s="242">
        <f t="shared" si="25"/>
        <v>47027</v>
      </c>
      <c r="C295" s="243">
        <f t="shared" si="8"/>
        <v>47057</v>
      </c>
      <c r="D295" s="120">
        <f t="shared" si="9"/>
        <v>31</v>
      </c>
      <c r="E295" s="120">
        <f t="shared" si="10"/>
        <v>10</v>
      </c>
      <c r="F295" s="275">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0.98</v>
      </c>
      <c r="P295" s="121">
        <f t="shared" si="21"/>
        <v>0</v>
      </c>
      <c r="Q295" s="121">
        <f t="shared" si="22"/>
        <v>0</v>
      </c>
      <c r="R295" s="121">
        <f t="shared" si="23"/>
        <v>0.20833333333333334</v>
      </c>
      <c r="AE295" s="160">
        <f t="shared" si="24"/>
        <v>1.0192000000000001</v>
      </c>
    </row>
    <row r="296" spans="1:31" x14ac:dyDescent="0.3">
      <c r="A296" s="187">
        <v>47</v>
      </c>
      <c r="B296" s="242">
        <f t="shared" si="25"/>
        <v>47058</v>
      </c>
      <c r="C296" s="243">
        <f t="shared" si="8"/>
        <v>47087</v>
      </c>
      <c r="D296" s="120">
        <f t="shared" si="9"/>
        <v>30</v>
      </c>
      <c r="E296" s="120">
        <f t="shared" si="10"/>
        <v>11</v>
      </c>
      <c r="F296" s="275">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0.98</v>
      </c>
      <c r="P296" s="121">
        <f t="shared" si="21"/>
        <v>0</v>
      </c>
      <c r="Q296" s="121">
        <f t="shared" si="22"/>
        <v>0</v>
      </c>
      <c r="R296" s="121">
        <f t="shared" si="23"/>
        <v>0.125</v>
      </c>
      <c r="AE296" s="160">
        <f t="shared" si="24"/>
        <v>1.0192000000000001</v>
      </c>
    </row>
    <row r="297" spans="1:31" x14ac:dyDescent="0.3">
      <c r="A297" s="187">
        <v>48</v>
      </c>
      <c r="B297" s="242">
        <f t="shared" si="25"/>
        <v>47088</v>
      </c>
      <c r="C297" s="243">
        <f t="shared" si="8"/>
        <v>47118</v>
      </c>
      <c r="D297" s="120">
        <f t="shared" si="9"/>
        <v>31</v>
      </c>
      <c r="E297" s="120">
        <f t="shared" si="10"/>
        <v>12</v>
      </c>
      <c r="F297" s="275">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0.98</v>
      </c>
      <c r="P297" s="121">
        <f t="shared" si="21"/>
        <v>0</v>
      </c>
      <c r="Q297" s="121">
        <f t="shared" si="22"/>
        <v>0</v>
      </c>
      <c r="R297" s="121">
        <f t="shared" si="23"/>
        <v>4.1666666666666664E-2</v>
      </c>
      <c r="AE297" s="160">
        <f t="shared" si="24"/>
        <v>1.0192000000000001</v>
      </c>
    </row>
    <row r="298" spans="1:31" x14ac:dyDescent="0.3">
      <c r="A298" s="23" t="s">
        <v>1723</v>
      </c>
      <c r="B298" s="279">
        <f>SUM($H$274:$H$285)</f>
        <v>12</v>
      </c>
      <c r="C298" s="160">
        <f>SUMPRODUCT($H$274:$H$285,$W$274:$W$285/$N$262:$N$273,$Y$274:$Y$285)</f>
        <v>12.141455451685996</v>
      </c>
      <c r="D298" s="160">
        <f>SUMPRODUCT($H$274:$H$285,$X$274:$X$285/$N$262:$N$273,$Y$274:$Y$285)</f>
        <v>9.0464999925921674</v>
      </c>
      <c r="E298" s="281" t="str">
        <f>IF(OR($D$247=0,$P$247=0,$D298=0),"n/a",((1+$E$247)*$B298-$C298)/$D298)</f>
        <v>n/a</v>
      </c>
      <c r="F298" s="281" t="str">
        <f>IF($V$247&lt;&gt;"",$V$247,$E298)</f>
        <v>n/a</v>
      </c>
      <c r="G298" s="281"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2">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1</v>
      </c>
      <c r="H303" s="220">
        <f>IF($C303=0,1,IF(N(INDEX(lr_m0,$C303))=0,1,INDEX(lr_m0,$C303)))</f>
        <v>0.99</v>
      </c>
      <c r="I303" s="278">
        <f>IF($C303=0,DATE(nr_PlanYear-1,10,1),IF(N(INDEX(lr_m0asof,$C303))=0,DATE(nr_PlanYear-1,10,1),INDEX(lr_m0asof,$C303)))</f>
        <v>46295</v>
      </c>
      <c r="J303" s="220">
        <f>IF($C303=0,1,IF(N(INDEX(lr_m1,$C303))=0,1,INDEX(lr_m1,$C303)))</f>
        <v>0.995</v>
      </c>
      <c r="K303" s="220">
        <f>IF($C303=0,0,N(INDEX(lr_mprior,$C303)))</f>
        <v>0</v>
      </c>
      <c r="L303" s="220">
        <f>IF($C303=0,0,N(INDEX(lr_m2,$C303)))</f>
        <v>0</v>
      </c>
      <c r="M303" s="43">
        <f>IF(OR($A303="",COUNTIF(se_state,$A303)=0),0,MATCH($A303,se_state,0))</f>
        <v>0</v>
      </c>
      <c r="N303" s="279">
        <f>IF($M303=0,0,INDEX(se_sum,$M303))</f>
        <v>0</v>
      </c>
      <c r="O303" s="278">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80" t="str">
        <f>IF(ISBLANK('Net Delivery'!$E$10),$Y303,'Net Delivery'!$E$10)</f>
        <v/>
      </c>
      <c r="W303" s="43">
        <f>IF($B303="",0,COUNTIFS(rl_key,$B303,rl_status,"planned",rl_eff,"&gt;="&amp;DATE(nr_PlanYear,1,1),rl_eff,"&lt;="&amp;DATE(nr_PlanYear,12,31)))</f>
        <v>0</v>
      </c>
      <c r="X303" s="278">
        <f>IF($W303=0,nd_DefaultDate,SUMIFS(rl_eff,rl_key,$B303,rl_firstplanned,1))</f>
        <v>46478</v>
      </c>
      <c r="Y303" s="280" t="str">
        <f>IF($W303=0,"",SUMIFS(rl_reff,rl_key,$B303,rl_firstplanned,1))</f>
        <v/>
      </c>
      <c r="Z303" s="280"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5">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0.98318927789934352</v>
      </c>
      <c r="P306" s="121">
        <f t="shared" ref="P306:P353" si="49">MIN(1,MAX(0,(nr_MEndPm1-$G306+0.5)/nr_TermMonths))-MIN(1,MAX(0,(nr_MStartPm1-1-$G306+0.5)/nr_TermMonths))</f>
        <v>4.166666666666663E-2</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0.98318927789934352</v>
      </c>
    </row>
    <row r="307" spans="1:31" x14ac:dyDescent="0.3">
      <c r="A307" s="187">
        <v>2</v>
      </c>
      <c r="B307" s="242">
        <f t="shared" ref="B307:B353" si="53">EDATE($B306,1)</f>
        <v>45689</v>
      </c>
      <c r="C307" s="243">
        <f t="shared" si="36"/>
        <v>45716</v>
      </c>
      <c r="D307" s="120">
        <f t="shared" si="37"/>
        <v>28</v>
      </c>
      <c r="E307" s="120">
        <f t="shared" si="38"/>
        <v>2</v>
      </c>
      <c r="F307" s="275">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0.98351203501094098</v>
      </c>
      <c r="P307" s="121">
        <f t="shared" si="49"/>
        <v>0.125</v>
      </c>
      <c r="Q307" s="121">
        <f t="shared" si="50"/>
        <v>0</v>
      </c>
      <c r="R307" s="121">
        <f t="shared" si="51"/>
        <v>0</v>
      </c>
      <c r="AE307" s="160">
        <f t="shared" si="52"/>
        <v>0.98351203501094098</v>
      </c>
    </row>
    <row r="308" spans="1:31" x14ac:dyDescent="0.3">
      <c r="A308" s="187">
        <v>3</v>
      </c>
      <c r="B308" s="242">
        <f t="shared" si="53"/>
        <v>45717</v>
      </c>
      <c r="C308" s="243">
        <f t="shared" si="36"/>
        <v>45747</v>
      </c>
      <c r="D308" s="120">
        <f t="shared" si="37"/>
        <v>31</v>
      </c>
      <c r="E308" s="120">
        <f t="shared" si="38"/>
        <v>3</v>
      </c>
      <c r="F308" s="275">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0.98383479212253833</v>
      </c>
      <c r="P308" s="121">
        <f t="shared" si="49"/>
        <v>0.20833333333333337</v>
      </c>
      <c r="Q308" s="121">
        <f t="shared" si="50"/>
        <v>0</v>
      </c>
      <c r="R308" s="121">
        <f t="shared" si="51"/>
        <v>0</v>
      </c>
      <c r="AE308" s="160">
        <f t="shared" si="52"/>
        <v>0.98383479212253833</v>
      </c>
    </row>
    <row r="309" spans="1:31" x14ac:dyDescent="0.3">
      <c r="A309" s="187">
        <v>4</v>
      </c>
      <c r="B309" s="242">
        <f t="shared" si="53"/>
        <v>45748</v>
      </c>
      <c r="C309" s="243">
        <f t="shared" si="36"/>
        <v>45777</v>
      </c>
      <c r="D309" s="120">
        <f t="shared" si="37"/>
        <v>30</v>
      </c>
      <c r="E309" s="120">
        <f t="shared" si="38"/>
        <v>4</v>
      </c>
      <c r="F309" s="275">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0.98416849015317287</v>
      </c>
      <c r="P309" s="121">
        <f t="shared" si="49"/>
        <v>0.29166666666666663</v>
      </c>
      <c r="Q309" s="121">
        <f t="shared" si="50"/>
        <v>0</v>
      </c>
      <c r="R309" s="121">
        <f t="shared" si="51"/>
        <v>0</v>
      </c>
      <c r="AE309" s="160">
        <f t="shared" si="52"/>
        <v>0.98416849015317287</v>
      </c>
    </row>
    <row r="310" spans="1:31" x14ac:dyDescent="0.3">
      <c r="A310" s="187">
        <v>5</v>
      </c>
      <c r="B310" s="242">
        <f t="shared" si="53"/>
        <v>45778</v>
      </c>
      <c r="C310" s="243">
        <f t="shared" si="36"/>
        <v>45808</v>
      </c>
      <c r="D310" s="120">
        <f t="shared" si="37"/>
        <v>31</v>
      </c>
      <c r="E310" s="120">
        <f t="shared" si="38"/>
        <v>5</v>
      </c>
      <c r="F310" s="275">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0.98450218818380741</v>
      </c>
      <c r="P310" s="121">
        <f t="shared" si="49"/>
        <v>0.375</v>
      </c>
      <c r="Q310" s="121">
        <f t="shared" si="50"/>
        <v>0</v>
      </c>
      <c r="R310" s="121">
        <f t="shared" si="51"/>
        <v>0</v>
      </c>
      <c r="AE310" s="160">
        <f t="shared" si="52"/>
        <v>0.98450218818380741</v>
      </c>
    </row>
    <row r="311" spans="1:31" x14ac:dyDescent="0.3">
      <c r="A311" s="187">
        <v>6</v>
      </c>
      <c r="B311" s="242">
        <f t="shared" si="53"/>
        <v>45809</v>
      </c>
      <c r="C311" s="243">
        <f t="shared" si="36"/>
        <v>45838</v>
      </c>
      <c r="D311" s="120">
        <f t="shared" si="37"/>
        <v>30</v>
      </c>
      <c r="E311" s="120">
        <f t="shared" si="38"/>
        <v>6</v>
      </c>
      <c r="F311" s="275">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0.98483588621444207</v>
      </c>
      <c r="P311" s="121">
        <f t="shared" si="49"/>
        <v>0.45833333333333337</v>
      </c>
      <c r="Q311" s="121">
        <f t="shared" si="50"/>
        <v>0</v>
      </c>
      <c r="R311" s="121">
        <f t="shared" si="51"/>
        <v>0</v>
      </c>
      <c r="AE311" s="160">
        <f t="shared" si="52"/>
        <v>0.98483588621444207</v>
      </c>
    </row>
    <row r="312" spans="1:31" x14ac:dyDescent="0.3">
      <c r="A312" s="187">
        <v>7</v>
      </c>
      <c r="B312" s="242">
        <f t="shared" si="53"/>
        <v>45839</v>
      </c>
      <c r="C312" s="243">
        <f t="shared" si="36"/>
        <v>45869</v>
      </c>
      <c r="D312" s="120">
        <f t="shared" si="37"/>
        <v>31</v>
      </c>
      <c r="E312" s="120">
        <f t="shared" si="38"/>
        <v>7</v>
      </c>
      <c r="F312" s="275">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0.98516958424507661</v>
      </c>
      <c r="P312" s="121">
        <f t="shared" si="49"/>
        <v>0.54166666666666674</v>
      </c>
      <c r="Q312" s="121">
        <f t="shared" si="50"/>
        <v>0</v>
      </c>
      <c r="R312" s="121">
        <f t="shared" si="51"/>
        <v>0</v>
      </c>
      <c r="AE312" s="160">
        <f t="shared" si="52"/>
        <v>0.98516958424507661</v>
      </c>
    </row>
    <row r="313" spans="1:31" x14ac:dyDescent="0.3">
      <c r="A313" s="187">
        <v>8</v>
      </c>
      <c r="B313" s="242">
        <f t="shared" si="53"/>
        <v>45870</v>
      </c>
      <c r="C313" s="243">
        <f t="shared" si="36"/>
        <v>45900</v>
      </c>
      <c r="D313" s="120">
        <f t="shared" si="37"/>
        <v>31</v>
      </c>
      <c r="E313" s="120">
        <f t="shared" si="38"/>
        <v>8</v>
      </c>
      <c r="F313" s="275">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0.98550875273522975</v>
      </c>
      <c r="P313" s="121">
        <f t="shared" si="49"/>
        <v>0.625</v>
      </c>
      <c r="Q313" s="121">
        <f t="shared" si="50"/>
        <v>0</v>
      </c>
      <c r="R313" s="121">
        <f t="shared" si="51"/>
        <v>0</v>
      </c>
      <c r="AE313" s="160">
        <f t="shared" si="52"/>
        <v>0.98550875273522975</v>
      </c>
    </row>
    <row r="314" spans="1:31" x14ac:dyDescent="0.3">
      <c r="A314" s="187">
        <v>9</v>
      </c>
      <c r="B314" s="242">
        <f t="shared" si="53"/>
        <v>45901</v>
      </c>
      <c r="C314" s="243">
        <f t="shared" si="36"/>
        <v>45930</v>
      </c>
      <c r="D314" s="120">
        <f t="shared" si="37"/>
        <v>30</v>
      </c>
      <c r="E314" s="120">
        <f t="shared" si="38"/>
        <v>9</v>
      </c>
      <c r="F314" s="275">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0.9858424507658643</v>
      </c>
      <c r="P314" s="121">
        <f t="shared" si="49"/>
        <v>0.70833333333333326</v>
      </c>
      <c r="Q314" s="121">
        <f t="shared" si="50"/>
        <v>0</v>
      </c>
      <c r="R314" s="121">
        <f t="shared" si="51"/>
        <v>0</v>
      </c>
      <c r="AE314" s="160">
        <f t="shared" si="52"/>
        <v>0.9858424507658643</v>
      </c>
    </row>
    <row r="315" spans="1:31" x14ac:dyDescent="0.3">
      <c r="A315" s="187">
        <v>10</v>
      </c>
      <c r="B315" s="242">
        <f t="shared" si="53"/>
        <v>45931</v>
      </c>
      <c r="C315" s="243">
        <f t="shared" si="36"/>
        <v>45961</v>
      </c>
      <c r="D315" s="120">
        <f t="shared" si="37"/>
        <v>31</v>
      </c>
      <c r="E315" s="120">
        <f t="shared" si="38"/>
        <v>10</v>
      </c>
      <c r="F315" s="275">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0.98617614879649895</v>
      </c>
      <c r="P315" s="121">
        <f t="shared" si="49"/>
        <v>0.79166666666666663</v>
      </c>
      <c r="Q315" s="121">
        <f t="shared" si="50"/>
        <v>0</v>
      </c>
      <c r="R315" s="121">
        <f t="shared" si="51"/>
        <v>0</v>
      </c>
      <c r="AE315" s="160">
        <f t="shared" si="52"/>
        <v>0.98617614879649895</v>
      </c>
    </row>
    <row r="316" spans="1:31" x14ac:dyDescent="0.3">
      <c r="A316" s="187">
        <v>11</v>
      </c>
      <c r="B316" s="242">
        <f t="shared" si="53"/>
        <v>45962</v>
      </c>
      <c r="C316" s="243">
        <f t="shared" si="36"/>
        <v>45991</v>
      </c>
      <c r="D316" s="120">
        <f t="shared" si="37"/>
        <v>30</v>
      </c>
      <c r="E316" s="120">
        <f t="shared" si="38"/>
        <v>11</v>
      </c>
      <c r="F316" s="275">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0.9865098468271335</v>
      </c>
      <c r="P316" s="121">
        <f t="shared" si="49"/>
        <v>0.875</v>
      </c>
      <c r="Q316" s="121">
        <f t="shared" si="50"/>
        <v>0</v>
      </c>
      <c r="R316" s="121">
        <f t="shared" si="51"/>
        <v>0</v>
      </c>
      <c r="AE316" s="160">
        <f t="shared" si="52"/>
        <v>0.9865098468271335</v>
      </c>
    </row>
    <row r="317" spans="1:31" x14ac:dyDescent="0.3">
      <c r="A317" s="187">
        <v>12</v>
      </c>
      <c r="B317" s="242">
        <f t="shared" si="53"/>
        <v>45992</v>
      </c>
      <c r="C317" s="243">
        <f t="shared" si="36"/>
        <v>46022</v>
      </c>
      <c r="D317" s="120">
        <f t="shared" si="37"/>
        <v>31</v>
      </c>
      <c r="E317" s="120">
        <f t="shared" si="38"/>
        <v>12</v>
      </c>
      <c r="F317" s="275">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0.98684354485776804</v>
      </c>
      <c r="P317" s="121">
        <f t="shared" si="49"/>
        <v>0.95833333333333337</v>
      </c>
      <c r="Q317" s="121">
        <f t="shared" si="50"/>
        <v>0</v>
      </c>
      <c r="R317" s="121">
        <f t="shared" si="51"/>
        <v>0</v>
      </c>
      <c r="AE317" s="160">
        <f t="shared" si="52"/>
        <v>0.98684354485776804</v>
      </c>
    </row>
    <row r="318" spans="1:31" x14ac:dyDescent="0.3">
      <c r="A318" s="187">
        <v>13</v>
      </c>
      <c r="B318" s="242">
        <f t="shared" si="53"/>
        <v>46023</v>
      </c>
      <c r="C318" s="243">
        <f t="shared" si="36"/>
        <v>46053</v>
      </c>
      <c r="D318" s="120">
        <f t="shared" si="37"/>
        <v>31</v>
      </c>
      <c r="E318" s="120">
        <f t="shared" si="38"/>
        <v>1</v>
      </c>
      <c r="F318" s="275">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0.98718271334792118</v>
      </c>
      <c r="P318" s="121">
        <f t="shared" si="49"/>
        <v>0.95833333333333337</v>
      </c>
      <c r="Q318" s="121">
        <f t="shared" si="50"/>
        <v>4.166666666666663E-2</v>
      </c>
      <c r="R318" s="121">
        <f t="shared" si="51"/>
        <v>0</v>
      </c>
      <c r="AE318" s="160">
        <f t="shared" si="52"/>
        <v>0.98718271334792118</v>
      </c>
    </row>
    <row r="319" spans="1:31" x14ac:dyDescent="0.3">
      <c r="A319" s="187">
        <v>14</v>
      </c>
      <c r="B319" s="242">
        <f t="shared" si="53"/>
        <v>46054</v>
      </c>
      <c r="C319" s="243">
        <f t="shared" si="36"/>
        <v>46081</v>
      </c>
      <c r="D319" s="120">
        <f t="shared" si="37"/>
        <v>28</v>
      </c>
      <c r="E319" s="120">
        <f t="shared" si="38"/>
        <v>2</v>
      </c>
      <c r="F319" s="275">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0.98750547045951864</v>
      </c>
      <c r="P319" s="121">
        <f t="shared" si="49"/>
        <v>0.875</v>
      </c>
      <c r="Q319" s="121">
        <f t="shared" si="50"/>
        <v>0.125</v>
      </c>
      <c r="R319" s="121">
        <f t="shared" si="51"/>
        <v>0</v>
      </c>
      <c r="AE319" s="160">
        <f t="shared" si="52"/>
        <v>0.98750547045951864</v>
      </c>
    </row>
    <row r="320" spans="1:31" x14ac:dyDescent="0.3">
      <c r="A320" s="187">
        <v>15</v>
      </c>
      <c r="B320" s="242">
        <f t="shared" si="53"/>
        <v>46082</v>
      </c>
      <c r="C320" s="243">
        <f t="shared" si="36"/>
        <v>46112</v>
      </c>
      <c r="D320" s="120">
        <f t="shared" si="37"/>
        <v>31</v>
      </c>
      <c r="E320" s="120">
        <f t="shared" si="38"/>
        <v>3</v>
      </c>
      <c r="F320" s="275">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0.98782822757111599</v>
      </c>
      <c r="P320" s="121">
        <f t="shared" si="49"/>
        <v>0.79166666666666663</v>
      </c>
      <c r="Q320" s="121">
        <f t="shared" si="50"/>
        <v>0.20833333333333337</v>
      </c>
      <c r="R320" s="121">
        <f t="shared" si="51"/>
        <v>0</v>
      </c>
      <c r="AE320" s="160">
        <f t="shared" si="52"/>
        <v>0.98782822757111599</v>
      </c>
    </row>
    <row r="321" spans="1:35" x14ac:dyDescent="0.3">
      <c r="A321" s="187">
        <v>16</v>
      </c>
      <c r="B321" s="242">
        <f t="shared" si="53"/>
        <v>46113</v>
      </c>
      <c r="C321" s="243">
        <f t="shared" si="36"/>
        <v>46142</v>
      </c>
      <c r="D321" s="120">
        <f t="shared" si="37"/>
        <v>30</v>
      </c>
      <c r="E321" s="120">
        <f t="shared" si="38"/>
        <v>4</v>
      </c>
      <c r="F321" s="275">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0.98816192560175053</v>
      </c>
      <c r="P321" s="121">
        <f t="shared" si="49"/>
        <v>0.70833333333333337</v>
      </c>
      <c r="Q321" s="121">
        <f t="shared" si="50"/>
        <v>0.29166666666666663</v>
      </c>
      <c r="R321" s="121">
        <f t="shared" si="51"/>
        <v>0</v>
      </c>
      <c r="AE321" s="160">
        <f t="shared" si="52"/>
        <v>0.98816192560175053</v>
      </c>
    </row>
    <row r="322" spans="1:35" x14ac:dyDescent="0.3">
      <c r="A322" s="187">
        <v>17</v>
      </c>
      <c r="B322" s="242">
        <f t="shared" si="53"/>
        <v>46143</v>
      </c>
      <c r="C322" s="243">
        <f t="shared" si="36"/>
        <v>46173</v>
      </c>
      <c r="D322" s="120">
        <f t="shared" si="37"/>
        <v>31</v>
      </c>
      <c r="E322" s="120">
        <f t="shared" si="38"/>
        <v>5</v>
      </c>
      <c r="F322" s="275">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0.98849562363238508</v>
      </c>
      <c r="P322" s="121">
        <f t="shared" si="49"/>
        <v>0.625</v>
      </c>
      <c r="Q322" s="121">
        <f t="shared" si="50"/>
        <v>0.375</v>
      </c>
      <c r="R322" s="121">
        <f t="shared" si="51"/>
        <v>0</v>
      </c>
      <c r="AE322" s="160">
        <f t="shared" si="52"/>
        <v>0.98849562363238508</v>
      </c>
    </row>
    <row r="323" spans="1:35" x14ac:dyDescent="0.3">
      <c r="A323" s="187">
        <v>18</v>
      </c>
      <c r="B323" s="242">
        <f t="shared" si="53"/>
        <v>46174</v>
      </c>
      <c r="C323" s="243">
        <f t="shared" si="36"/>
        <v>46203</v>
      </c>
      <c r="D323" s="120">
        <f t="shared" si="37"/>
        <v>30</v>
      </c>
      <c r="E323" s="120">
        <f t="shared" si="38"/>
        <v>6</v>
      </c>
      <c r="F323" s="275">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0.98882932166301973</v>
      </c>
      <c r="P323" s="121">
        <f t="shared" si="49"/>
        <v>0.54166666666666663</v>
      </c>
      <c r="Q323" s="121">
        <f t="shared" si="50"/>
        <v>0.45833333333333337</v>
      </c>
      <c r="R323" s="121">
        <f t="shared" si="51"/>
        <v>0</v>
      </c>
      <c r="AE323" s="160">
        <f t="shared" si="52"/>
        <v>0.98882932166301973</v>
      </c>
    </row>
    <row r="324" spans="1:35" x14ac:dyDescent="0.3">
      <c r="A324" s="187">
        <v>19</v>
      </c>
      <c r="B324" s="242">
        <f t="shared" si="53"/>
        <v>46204</v>
      </c>
      <c r="C324" s="243">
        <f t="shared" si="36"/>
        <v>46234</v>
      </c>
      <c r="D324" s="120">
        <f t="shared" si="37"/>
        <v>31</v>
      </c>
      <c r="E324" s="120">
        <f t="shared" si="38"/>
        <v>7</v>
      </c>
      <c r="F324" s="275">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0.98916301969365428</v>
      </c>
      <c r="P324" s="121">
        <f t="shared" si="49"/>
        <v>0.45833333333333331</v>
      </c>
      <c r="Q324" s="121">
        <f t="shared" si="50"/>
        <v>0.54166666666666674</v>
      </c>
      <c r="R324" s="121">
        <f t="shared" si="51"/>
        <v>0</v>
      </c>
      <c r="AE324" s="160">
        <f t="shared" si="52"/>
        <v>0.98916301969365428</v>
      </c>
    </row>
    <row r="325" spans="1:35" x14ac:dyDescent="0.3">
      <c r="A325" s="187">
        <v>20</v>
      </c>
      <c r="B325" s="242">
        <f t="shared" si="53"/>
        <v>46235</v>
      </c>
      <c r="C325" s="243">
        <f t="shared" si="36"/>
        <v>46265</v>
      </c>
      <c r="D325" s="120">
        <f t="shared" si="37"/>
        <v>31</v>
      </c>
      <c r="E325" s="120">
        <f t="shared" si="38"/>
        <v>8</v>
      </c>
      <c r="F325" s="275">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0.98950218818380742</v>
      </c>
      <c r="P325" s="121">
        <f t="shared" si="49"/>
        <v>0.375</v>
      </c>
      <c r="Q325" s="121">
        <f t="shared" si="50"/>
        <v>0.625</v>
      </c>
      <c r="R325" s="121">
        <f t="shared" si="51"/>
        <v>0</v>
      </c>
      <c r="AE325" s="160">
        <f t="shared" si="52"/>
        <v>1.0389772975929978</v>
      </c>
    </row>
    <row r="326" spans="1:35" x14ac:dyDescent="0.3">
      <c r="A326" s="187">
        <v>21</v>
      </c>
      <c r="B326" s="242">
        <f t="shared" si="53"/>
        <v>46266</v>
      </c>
      <c r="C326" s="243">
        <f t="shared" si="36"/>
        <v>46295</v>
      </c>
      <c r="D326" s="120">
        <f t="shared" si="37"/>
        <v>30</v>
      </c>
      <c r="E326" s="120">
        <f t="shared" si="38"/>
        <v>9</v>
      </c>
      <c r="F326" s="275">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0.98983588621444196</v>
      </c>
      <c r="P326" s="121">
        <f t="shared" si="49"/>
        <v>0.29166666666666669</v>
      </c>
      <c r="Q326" s="121">
        <f t="shared" si="50"/>
        <v>0.70833333333333326</v>
      </c>
      <c r="R326" s="121">
        <f t="shared" si="51"/>
        <v>0</v>
      </c>
      <c r="AE326" s="160">
        <f t="shared" si="52"/>
        <v>1.0393276805251641</v>
      </c>
    </row>
    <row r="327" spans="1:35" x14ac:dyDescent="0.3">
      <c r="A327" s="187">
        <v>22</v>
      </c>
      <c r="B327" s="242">
        <f t="shared" si="53"/>
        <v>46296</v>
      </c>
      <c r="C327" s="243">
        <f t="shared" si="36"/>
        <v>46326</v>
      </c>
      <c r="D327" s="120">
        <f t="shared" si="37"/>
        <v>31</v>
      </c>
      <c r="E327" s="120">
        <f t="shared" si="38"/>
        <v>10</v>
      </c>
      <c r="F327" s="275">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0.99016958424507662</v>
      </c>
      <c r="P327" s="121">
        <f t="shared" si="49"/>
        <v>0.20833333333333334</v>
      </c>
      <c r="Q327" s="121">
        <f t="shared" si="50"/>
        <v>0.79166666666666663</v>
      </c>
      <c r="R327" s="121">
        <f t="shared" si="51"/>
        <v>0</v>
      </c>
      <c r="AE327" s="160">
        <f t="shared" si="52"/>
        <v>1.0396780634573304</v>
      </c>
    </row>
    <row r="328" spans="1:35" x14ac:dyDescent="0.3">
      <c r="A328" s="187">
        <v>23</v>
      </c>
      <c r="B328" s="242">
        <f t="shared" si="53"/>
        <v>46327</v>
      </c>
      <c r="C328" s="243">
        <f t="shared" si="36"/>
        <v>46356</v>
      </c>
      <c r="D328" s="120">
        <f t="shared" si="37"/>
        <v>30</v>
      </c>
      <c r="E328" s="120">
        <f t="shared" si="38"/>
        <v>11</v>
      </c>
      <c r="F328" s="275">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0.99050328227571116</v>
      </c>
      <c r="P328" s="121">
        <f t="shared" si="49"/>
        <v>0.125</v>
      </c>
      <c r="Q328" s="121">
        <f t="shared" si="50"/>
        <v>0.875</v>
      </c>
      <c r="R328" s="121">
        <f t="shared" si="51"/>
        <v>0</v>
      </c>
      <c r="AE328" s="160">
        <f t="shared" si="52"/>
        <v>1.0400284463894967</v>
      </c>
    </row>
    <row r="329" spans="1:35" x14ac:dyDescent="0.3">
      <c r="A329" s="187">
        <v>24</v>
      </c>
      <c r="B329" s="242">
        <f t="shared" si="53"/>
        <v>46357</v>
      </c>
      <c r="C329" s="243">
        <f t="shared" si="36"/>
        <v>46387</v>
      </c>
      <c r="D329" s="120">
        <f t="shared" si="37"/>
        <v>31</v>
      </c>
      <c r="E329" s="120">
        <f t="shared" si="38"/>
        <v>12</v>
      </c>
      <c r="F329" s="275">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0.9908369803063457</v>
      </c>
      <c r="P329" s="121">
        <f t="shared" si="49"/>
        <v>4.1666666666666664E-2</v>
      </c>
      <c r="Q329" s="121">
        <f t="shared" si="50"/>
        <v>0.95833333333333337</v>
      </c>
      <c r="R329" s="121">
        <f t="shared" si="51"/>
        <v>0</v>
      </c>
      <c r="AE329" s="160">
        <f t="shared" si="52"/>
        <v>1.0403788293216629</v>
      </c>
    </row>
    <row r="330" spans="1:35" x14ac:dyDescent="0.3">
      <c r="A330" s="187">
        <v>25</v>
      </c>
      <c r="B330" s="242">
        <f t="shared" si="53"/>
        <v>46388</v>
      </c>
      <c r="C330" s="243">
        <f t="shared" si="36"/>
        <v>46418</v>
      </c>
      <c r="D330" s="120">
        <f t="shared" si="37"/>
        <v>31</v>
      </c>
      <c r="E330" s="120">
        <f t="shared" si="38"/>
        <v>1</v>
      </c>
      <c r="F330" s="275">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0.99117614879649885</v>
      </c>
      <c r="P330" s="121">
        <f t="shared" si="49"/>
        <v>0</v>
      </c>
      <c r="Q330" s="121">
        <f t="shared" si="50"/>
        <v>0.95833333333333337</v>
      </c>
      <c r="R330" s="121">
        <f t="shared" si="51"/>
        <v>4.166666666666663E-2</v>
      </c>
      <c r="W330" s="160">
        <f t="shared" ref="W330:W341" si="54">IF($G330&lt;&gt;$Q$303,$N330,(1-$U$303)*$I330+$U$303*$J330)</f>
        <v>1.05</v>
      </c>
      <c r="X330" s="160">
        <f t="shared" ref="X330:X341" si="55">IF($G330&lt;$Q$303,0,IF($G330&gt;$Q$303,$N330,$U$303*$J330))</f>
        <v>0</v>
      </c>
      <c r="Y330" s="160">
        <f t="shared" ref="Y330:Y341" si="56">IF($F$303=1,$O330/$O318,1)</f>
        <v>1.0040452850263497</v>
      </c>
      <c r="AB330" s="160">
        <f t="shared" ref="AB330:AB341" si="57">IF(AND(N($K$303)&lt;&gt;0,$F330&lt;=$B$304),0,($F330-$B$304)/($C$304-$B$304))</f>
        <v>0.23522975929978118</v>
      </c>
      <c r="AC330" s="220">
        <f t="shared" ref="AC330:AC341" si="58">IF(AND(N($K$303)&lt;&gt;0,$F330&lt;=$B$304),$O330,$F$304*(1-$AB330))</f>
        <v>0.75712253829321663</v>
      </c>
      <c r="AD330" s="160">
        <f t="shared" ref="AD330:AD341" si="59">$H330*($W330+$X330*IF(ISNUMBER($F$354),$F$354,0))/($N318*$O318)</f>
        <v>1.0636328876131156</v>
      </c>
      <c r="AE330" s="160">
        <f t="shared" si="52"/>
        <v>1.0407349562363239</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5">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0.99149890590809631</v>
      </c>
      <c r="P331" s="121">
        <f t="shared" si="49"/>
        <v>0</v>
      </c>
      <c r="Q331" s="121">
        <f t="shared" si="50"/>
        <v>0.875</v>
      </c>
      <c r="R331" s="121">
        <f t="shared" si="51"/>
        <v>0.125</v>
      </c>
      <c r="W331" s="160">
        <f t="shared" si="54"/>
        <v>1.05</v>
      </c>
      <c r="X331" s="160">
        <f t="shared" si="55"/>
        <v>0</v>
      </c>
      <c r="Y331" s="160">
        <f t="shared" si="56"/>
        <v>1.0040439628620177</v>
      </c>
      <c r="AB331" s="160">
        <f t="shared" si="57"/>
        <v>0.29978118161925604</v>
      </c>
      <c r="AC331" s="220">
        <f t="shared" si="58"/>
        <v>0.69321663019693647</v>
      </c>
      <c r="AD331" s="160">
        <f t="shared" si="59"/>
        <v>1.0632852489530014</v>
      </c>
      <c r="AE331" s="160">
        <f t="shared" si="52"/>
        <v>1.0410738512035012</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5">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0.99182166301969366</v>
      </c>
      <c r="P332" s="121">
        <f t="shared" si="49"/>
        <v>0</v>
      </c>
      <c r="Q332" s="121">
        <f t="shared" si="50"/>
        <v>0.79166666666666663</v>
      </c>
      <c r="R332" s="121">
        <f t="shared" si="51"/>
        <v>0.20833333333333337</v>
      </c>
      <c r="W332" s="160">
        <f t="shared" si="54"/>
        <v>1.05</v>
      </c>
      <c r="X332" s="160">
        <f t="shared" si="55"/>
        <v>0</v>
      </c>
      <c r="Y332" s="160">
        <f t="shared" si="56"/>
        <v>1.0040426415616779</v>
      </c>
      <c r="AB332" s="160">
        <f t="shared" si="57"/>
        <v>0.36433260393873085</v>
      </c>
      <c r="AC332" s="220">
        <f t="shared" si="58"/>
        <v>0.62931072210065642</v>
      </c>
      <c r="AD332" s="160">
        <f t="shared" si="59"/>
        <v>1.0629378374636578</v>
      </c>
      <c r="AE332" s="160">
        <f t="shared" si="52"/>
        <v>1.0414127461706784</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5">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0.9921553610503282</v>
      </c>
      <c r="P333" s="121">
        <f t="shared" si="49"/>
        <v>0</v>
      </c>
      <c r="Q333" s="121">
        <f t="shared" si="50"/>
        <v>0.70833333333333337</v>
      </c>
      <c r="R333" s="121">
        <f t="shared" si="51"/>
        <v>0.29166666666666663</v>
      </c>
      <c r="W333" s="160">
        <f t="shared" si="54"/>
        <v>1.05</v>
      </c>
      <c r="X333" s="160">
        <f t="shared" si="55"/>
        <v>1.05</v>
      </c>
      <c r="Y333" s="160">
        <f t="shared" si="56"/>
        <v>1.0040412763790163</v>
      </c>
      <c r="AB333" s="160">
        <f t="shared" si="57"/>
        <v>0.4310722100656455</v>
      </c>
      <c r="AC333" s="220">
        <f t="shared" si="58"/>
        <v>0.56323851203501096</v>
      </c>
      <c r="AD333" s="160">
        <f t="shared" si="59"/>
        <v>1.0625788879293165</v>
      </c>
      <c r="AE333" s="160">
        <f t="shared" si="52"/>
        <v>1.0417631291028446</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5">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0.99248905908096274</v>
      </c>
      <c r="P334" s="121">
        <f t="shared" si="49"/>
        <v>0</v>
      </c>
      <c r="Q334" s="121">
        <f t="shared" si="50"/>
        <v>0.625</v>
      </c>
      <c r="R334" s="121">
        <f t="shared" si="51"/>
        <v>0.375</v>
      </c>
      <c r="W334" s="160">
        <f t="shared" si="54"/>
        <v>1.05</v>
      </c>
      <c r="X334" s="160">
        <f t="shared" si="55"/>
        <v>1.05</v>
      </c>
      <c r="Y334" s="160">
        <f t="shared" si="56"/>
        <v>1.0040399121180761</v>
      </c>
      <c r="AB334" s="160">
        <f t="shared" si="57"/>
        <v>0.49781181619256015</v>
      </c>
      <c r="AC334" s="220">
        <f t="shared" si="58"/>
        <v>0.4971663019693654</v>
      </c>
      <c r="AD334" s="160">
        <f t="shared" si="59"/>
        <v>1.0622201807445615</v>
      </c>
      <c r="AE334" s="160">
        <f t="shared" si="52"/>
        <v>1.0421135120350109</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5">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0.9928227571115974</v>
      </c>
      <c r="P335" s="121">
        <f t="shared" si="49"/>
        <v>0</v>
      </c>
      <c r="Q335" s="121">
        <f t="shared" si="50"/>
        <v>0.54166666666666663</v>
      </c>
      <c r="R335" s="121">
        <f t="shared" si="51"/>
        <v>0.45833333333333337</v>
      </c>
      <c r="W335" s="160">
        <f t="shared" si="54"/>
        <v>1.05</v>
      </c>
      <c r="X335" s="160">
        <f t="shared" si="55"/>
        <v>1.05</v>
      </c>
      <c r="Y335" s="160">
        <f t="shared" si="56"/>
        <v>1.004038548777924</v>
      </c>
      <c r="AB335" s="160">
        <f t="shared" si="57"/>
        <v>0.56455142231947486</v>
      </c>
      <c r="AC335" s="220">
        <f t="shared" si="58"/>
        <v>0.43109409190371989</v>
      </c>
      <c r="AD335" s="160">
        <f t="shared" si="59"/>
        <v>1.0618617156640371</v>
      </c>
      <c r="AE335" s="160">
        <f t="shared" si="52"/>
        <v>1.0424638949671772</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5">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0.99315645514223194</v>
      </c>
      <c r="P336" s="121">
        <f t="shared" si="49"/>
        <v>0</v>
      </c>
      <c r="Q336" s="121">
        <f t="shared" si="50"/>
        <v>0.45833333333333331</v>
      </c>
      <c r="R336" s="121">
        <f t="shared" si="51"/>
        <v>0.54166666666666674</v>
      </c>
      <c r="W336" s="160">
        <f t="shared" si="54"/>
        <v>1.05</v>
      </c>
      <c r="X336" s="160">
        <f t="shared" si="55"/>
        <v>1.05</v>
      </c>
      <c r="Y336" s="160">
        <f t="shared" si="56"/>
        <v>1.0040371863576283</v>
      </c>
      <c r="AB336" s="160">
        <f t="shared" si="57"/>
        <v>0.63129102844638951</v>
      </c>
      <c r="AC336" s="220">
        <f t="shared" si="58"/>
        <v>0.36502188183807438</v>
      </c>
      <c r="AD336" s="160">
        <f t="shared" si="59"/>
        <v>1.0615034924427189</v>
      </c>
      <c r="AE336" s="160">
        <f t="shared" si="52"/>
        <v>1.0428142778993437</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5">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0.99349562363238508</v>
      </c>
      <c r="P337" s="121">
        <f t="shared" si="49"/>
        <v>0</v>
      </c>
      <c r="Q337" s="121">
        <f t="shared" si="50"/>
        <v>0.375</v>
      </c>
      <c r="R337" s="121">
        <f t="shared" si="51"/>
        <v>0.625</v>
      </c>
      <c r="W337" s="160">
        <f t="shared" si="54"/>
        <v>1.05</v>
      </c>
      <c r="X337" s="160">
        <f t="shared" si="55"/>
        <v>1.05</v>
      </c>
      <c r="Y337" s="160">
        <f t="shared" si="56"/>
        <v>1.0040358025442142</v>
      </c>
      <c r="AB337" s="160">
        <f t="shared" si="57"/>
        <v>0.69912472647702406</v>
      </c>
      <c r="AC337" s="220">
        <f t="shared" si="58"/>
        <v>0.29786652078774617</v>
      </c>
      <c r="AD337" s="160">
        <f t="shared" si="59"/>
        <v>1.0106091850443109</v>
      </c>
      <c r="AE337" s="160">
        <f t="shared" si="52"/>
        <v>1.0431704048140045</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5">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0.99382932166301974</v>
      </c>
      <c r="P338" s="121">
        <f t="shared" si="49"/>
        <v>0</v>
      </c>
      <c r="Q338" s="121">
        <f t="shared" si="50"/>
        <v>0.29166666666666669</v>
      </c>
      <c r="R338" s="121">
        <f t="shared" si="51"/>
        <v>0.70833333333333326</v>
      </c>
      <c r="W338" s="160">
        <f t="shared" si="54"/>
        <v>1.05</v>
      </c>
      <c r="X338" s="160">
        <f t="shared" si="55"/>
        <v>1.05</v>
      </c>
      <c r="Y338" s="160">
        <f t="shared" si="56"/>
        <v>1.0040344419758818</v>
      </c>
      <c r="AB338" s="160">
        <f t="shared" si="57"/>
        <v>0.76586433260393871</v>
      </c>
      <c r="AC338" s="220">
        <f t="shared" si="58"/>
        <v>0.23179431072210066</v>
      </c>
      <c r="AD338" s="160">
        <f t="shared" si="59"/>
        <v>1.0102684838235456</v>
      </c>
      <c r="AE338" s="160">
        <f t="shared" si="52"/>
        <v>1.0435207877461707</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5">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0.99416301969365428</v>
      </c>
      <c r="P339" s="121">
        <f t="shared" si="49"/>
        <v>0</v>
      </c>
      <c r="Q339" s="121">
        <f t="shared" si="50"/>
        <v>0.20833333333333334</v>
      </c>
      <c r="R339" s="121">
        <f t="shared" si="51"/>
        <v>0.79166666666666663</v>
      </c>
      <c r="W339" s="160">
        <f t="shared" si="54"/>
        <v>1.05</v>
      </c>
      <c r="X339" s="160">
        <f t="shared" si="55"/>
        <v>1.05</v>
      </c>
      <c r="Y339" s="160">
        <f t="shared" si="56"/>
        <v>1.0040330823246024</v>
      </c>
      <c r="AB339" s="160">
        <f t="shared" si="57"/>
        <v>0.83260393873085337</v>
      </c>
      <c r="AC339" s="220">
        <f t="shared" si="58"/>
        <v>0.16572210065645518</v>
      </c>
      <c r="AD339" s="160">
        <f t="shared" si="59"/>
        <v>1.0099280122428911</v>
      </c>
      <c r="AE339" s="160">
        <f t="shared" si="52"/>
        <v>1.043871170678337</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5">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0.99449671772428883</v>
      </c>
      <c r="P340" s="121">
        <f t="shared" si="49"/>
        <v>0</v>
      </c>
      <c r="Q340" s="121">
        <f t="shared" si="50"/>
        <v>0.125</v>
      </c>
      <c r="R340" s="121">
        <f t="shared" si="51"/>
        <v>0.875</v>
      </c>
      <c r="W340" s="160">
        <f t="shared" si="54"/>
        <v>1.05</v>
      </c>
      <c r="X340" s="160">
        <f t="shared" si="55"/>
        <v>1.05</v>
      </c>
      <c r="Y340" s="160">
        <f t="shared" si="56"/>
        <v>1.0040317235894489</v>
      </c>
      <c r="AB340" s="160">
        <f t="shared" si="57"/>
        <v>0.89934354485776802</v>
      </c>
      <c r="AC340" s="220">
        <f t="shared" si="58"/>
        <v>9.9649890590809656E-2</v>
      </c>
      <c r="AD340" s="160">
        <f t="shared" si="59"/>
        <v>1.0095877700702516</v>
      </c>
      <c r="AE340" s="160">
        <f t="shared" si="52"/>
        <v>1.0442215536105033</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5">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0.99483041575492337</v>
      </c>
      <c r="P341" s="121">
        <f t="shared" si="49"/>
        <v>0</v>
      </c>
      <c r="Q341" s="121">
        <f t="shared" si="50"/>
        <v>4.1666666666666664E-2</v>
      </c>
      <c r="R341" s="121">
        <f t="shared" si="51"/>
        <v>0.95833333333333337</v>
      </c>
      <c r="W341" s="160">
        <f t="shared" si="54"/>
        <v>1.05</v>
      </c>
      <c r="X341" s="160">
        <f t="shared" si="55"/>
        <v>1.05</v>
      </c>
      <c r="Y341" s="160">
        <f t="shared" si="56"/>
        <v>1.0040303657694962</v>
      </c>
      <c r="AB341" s="160">
        <f t="shared" si="57"/>
        <v>0.96608315098468267</v>
      </c>
      <c r="AC341" s="220">
        <f t="shared" si="58"/>
        <v>3.3577680525164154E-2</v>
      </c>
      <c r="AD341" s="160">
        <f t="shared" si="59"/>
        <v>1.0092477570738441</v>
      </c>
      <c r="AE341" s="160">
        <f t="shared" si="52"/>
        <v>1.0445719365426698</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5">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0.995</v>
      </c>
      <c r="P342" s="121">
        <f t="shared" si="49"/>
        <v>0</v>
      </c>
      <c r="Q342" s="121">
        <f t="shared" si="50"/>
        <v>0</v>
      </c>
      <c r="R342" s="121">
        <f t="shared" si="51"/>
        <v>0.95833333333333337</v>
      </c>
      <c r="AE342" s="160">
        <f t="shared" si="52"/>
        <v>1.0447500000000001</v>
      </c>
    </row>
    <row r="343" spans="1:35" x14ac:dyDescent="0.3">
      <c r="A343" s="187">
        <v>38</v>
      </c>
      <c r="B343" s="242">
        <f t="shared" si="53"/>
        <v>46784</v>
      </c>
      <c r="C343" s="243">
        <f t="shared" si="36"/>
        <v>46812</v>
      </c>
      <c r="D343" s="120">
        <f t="shared" si="37"/>
        <v>29</v>
      </c>
      <c r="E343" s="120">
        <f t="shared" si="38"/>
        <v>2</v>
      </c>
      <c r="F343" s="275">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0.995</v>
      </c>
      <c r="P343" s="121">
        <f t="shared" si="49"/>
        <v>0</v>
      </c>
      <c r="Q343" s="121">
        <f t="shared" si="50"/>
        <v>0</v>
      </c>
      <c r="R343" s="121">
        <f t="shared" si="51"/>
        <v>0.875</v>
      </c>
      <c r="AE343" s="160">
        <f t="shared" si="52"/>
        <v>1.0447500000000001</v>
      </c>
    </row>
    <row r="344" spans="1:35" x14ac:dyDescent="0.3">
      <c r="A344" s="187">
        <v>39</v>
      </c>
      <c r="B344" s="242">
        <f t="shared" si="53"/>
        <v>46813</v>
      </c>
      <c r="C344" s="243">
        <f t="shared" si="36"/>
        <v>46843</v>
      </c>
      <c r="D344" s="120">
        <f t="shared" si="37"/>
        <v>31</v>
      </c>
      <c r="E344" s="120">
        <f t="shared" si="38"/>
        <v>3</v>
      </c>
      <c r="F344" s="275">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0.995</v>
      </c>
      <c r="P344" s="121">
        <f t="shared" si="49"/>
        <v>0</v>
      </c>
      <c r="Q344" s="121">
        <f t="shared" si="50"/>
        <v>0</v>
      </c>
      <c r="R344" s="121">
        <f t="shared" si="51"/>
        <v>0.79166666666666663</v>
      </c>
      <c r="AE344" s="160">
        <f t="shared" si="52"/>
        <v>1.0447500000000001</v>
      </c>
    </row>
    <row r="345" spans="1:35" x14ac:dyDescent="0.3">
      <c r="A345" s="187">
        <v>40</v>
      </c>
      <c r="B345" s="242">
        <f t="shared" si="53"/>
        <v>46844</v>
      </c>
      <c r="C345" s="243">
        <f t="shared" si="36"/>
        <v>46873</v>
      </c>
      <c r="D345" s="120">
        <f t="shared" si="37"/>
        <v>30</v>
      </c>
      <c r="E345" s="120">
        <f t="shared" si="38"/>
        <v>4</v>
      </c>
      <c r="F345" s="275">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0.995</v>
      </c>
      <c r="P345" s="121">
        <f t="shared" si="49"/>
        <v>0</v>
      </c>
      <c r="Q345" s="121">
        <f t="shared" si="50"/>
        <v>0</v>
      </c>
      <c r="R345" s="121">
        <f t="shared" si="51"/>
        <v>0.70833333333333337</v>
      </c>
      <c r="AE345" s="160">
        <f t="shared" si="52"/>
        <v>1.0447500000000001</v>
      </c>
    </row>
    <row r="346" spans="1:35" x14ac:dyDescent="0.3">
      <c r="A346" s="187">
        <v>41</v>
      </c>
      <c r="B346" s="242">
        <f t="shared" si="53"/>
        <v>46874</v>
      </c>
      <c r="C346" s="243">
        <f t="shared" si="36"/>
        <v>46904</v>
      </c>
      <c r="D346" s="120">
        <f t="shared" si="37"/>
        <v>31</v>
      </c>
      <c r="E346" s="120">
        <f t="shared" si="38"/>
        <v>5</v>
      </c>
      <c r="F346" s="275">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0.995</v>
      </c>
      <c r="P346" s="121">
        <f t="shared" si="49"/>
        <v>0</v>
      </c>
      <c r="Q346" s="121">
        <f t="shared" si="50"/>
        <v>0</v>
      </c>
      <c r="R346" s="121">
        <f t="shared" si="51"/>
        <v>0.625</v>
      </c>
      <c r="AE346" s="160">
        <f t="shared" si="52"/>
        <v>1.0447500000000001</v>
      </c>
    </row>
    <row r="347" spans="1:35" x14ac:dyDescent="0.3">
      <c r="A347" s="187">
        <v>42</v>
      </c>
      <c r="B347" s="242">
        <f t="shared" si="53"/>
        <v>46905</v>
      </c>
      <c r="C347" s="243">
        <f t="shared" si="36"/>
        <v>46934</v>
      </c>
      <c r="D347" s="120">
        <f t="shared" si="37"/>
        <v>30</v>
      </c>
      <c r="E347" s="120">
        <f t="shared" si="38"/>
        <v>6</v>
      </c>
      <c r="F347" s="275">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0.995</v>
      </c>
      <c r="P347" s="121">
        <f t="shared" si="49"/>
        <v>0</v>
      </c>
      <c r="Q347" s="121">
        <f t="shared" si="50"/>
        <v>0</v>
      </c>
      <c r="R347" s="121">
        <f t="shared" si="51"/>
        <v>0.54166666666666663</v>
      </c>
      <c r="AE347" s="160">
        <f t="shared" si="52"/>
        <v>1.0447500000000001</v>
      </c>
    </row>
    <row r="348" spans="1:35" x14ac:dyDescent="0.3">
      <c r="A348" s="187">
        <v>43</v>
      </c>
      <c r="B348" s="242">
        <f t="shared" si="53"/>
        <v>46935</v>
      </c>
      <c r="C348" s="243">
        <f t="shared" si="36"/>
        <v>46965</v>
      </c>
      <c r="D348" s="120">
        <f t="shared" si="37"/>
        <v>31</v>
      </c>
      <c r="E348" s="120">
        <f t="shared" si="38"/>
        <v>7</v>
      </c>
      <c r="F348" s="275">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0.995</v>
      </c>
      <c r="P348" s="121">
        <f t="shared" si="49"/>
        <v>0</v>
      </c>
      <c r="Q348" s="121">
        <f t="shared" si="50"/>
        <v>0</v>
      </c>
      <c r="R348" s="121">
        <f t="shared" si="51"/>
        <v>0.45833333333333331</v>
      </c>
      <c r="AE348" s="160">
        <f t="shared" si="52"/>
        <v>1.0447500000000001</v>
      </c>
    </row>
    <row r="349" spans="1:35" x14ac:dyDescent="0.3">
      <c r="A349" s="187">
        <v>44</v>
      </c>
      <c r="B349" s="242">
        <f t="shared" si="53"/>
        <v>46966</v>
      </c>
      <c r="C349" s="243">
        <f t="shared" si="36"/>
        <v>46996</v>
      </c>
      <c r="D349" s="120">
        <f t="shared" si="37"/>
        <v>31</v>
      </c>
      <c r="E349" s="120">
        <f t="shared" si="38"/>
        <v>8</v>
      </c>
      <c r="F349" s="275">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0.995</v>
      </c>
      <c r="P349" s="121">
        <f t="shared" si="49"/>
        <v>0</v>
      </c>
      <c r="Q349" s="121">
        <f t="shared" si="50"/>
        <v>0</v>
      </c>
      <c r="R349" s="121">
        <f t="shared" si="51"/>
        <v>0.375</v>
      </c>
      <c r="AE349" s="160">
        <f t="shared" si="52"/>
        <v>1.0447500000000001</v>
      </c>
    </row>
    <row r="350" spans="1:35" x14ac:dyDescent="0.3">
      <c r="A350" s="187">
        <v>45</v>
      </c>
      <c r="B350" s="242">
        <f t="shared" si="53"/>
        <v>46997</v>
      </c>
      <c r="C350" s="243">
        <f t="shared" si="36"/>
        <v>47026</v>
      </c>
      <c r="D350" s="120">
        <f t="shared" si="37"/>
        <v>30</v>
      </c>
      <c r="E350" s="120">
        <f t="shared" si="38"/>
        <v>9</v>
      </c>
      <c r="F350" s="275">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0.995</v>
      </c>
      <c r="P350" s="121">
        <f t="shared" si="49"/>
        <v>0</v>
      </c>
      <c r="Q350" s="121">
        <f t="shared" si="50"/>
        <v>0</v>
      </c>
      <c r="R350" s="121">
        <f t="shared" si="51"/>
        <v>0.29166666666666669</v>
      </c>
      <c r="AE350" s="160">
        <f t="shared" si="52"/>
        <v>1.0447500000000001</v>
      </c>
    </row>
    <row r="351" spans="1:35" x14ac:dyDescent="0.3">
      <c r="A351" s="187">
        <v>46</v>
      </c>
      <c r="B351" s="242">
        <f t="shared" si="53"/>
        <v>47027</v>
      </c>
      <c r="C351" s="243">
        <f t="shared" si="36"/>
        <v>47057</v>
      </c>
      <c r="D351" s="120">
        <f t="shared" si="37"/>
        <v>31</v>
      </c>
      <c r="E351" s="120">
        <f t="shared" si="38"/>
        <v>10</v>
      </c>
      <c r="F351" s="275">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0.995</v>
      </c>
      <c r="P351" s="121">
        <f t="shared" si="49"/>
        <v>0</v>
      </c>
      <c r="Q351" s="121">
        <f t="shared" si="50"/>
        <v>0</v>
      </c>
      <c r="R351" s="121">
        <f t="shared" si="51"/>
        <v>0.20833333333333334</v>
      </c>
      <c r="AE351" s="160">
        <f t="shared" si="52"/>
        <v>1.0447500000000001</v>
      </c>
    </row>
    <row r="352" spans="1:35" x14ac:dyDescent="0.3">
      <c r="A352" s="187">
        <v>47</v>
      </c>
      <c r="B352" s="242">
        <f t="shared" si="53"/>
        <v>47058</v>
      </c>
      <c r="C352" s="243">
        <f t="shared" si="36"/>
        <v>47087</v>
      </c>
      <c r="D352" s="120">
        <f t="shared" si="37"/>
        <v>30</v>
      </c>
      <c r="E352" s="120">
        <f t="shared" si="38"/>
        <v>11</v>
      </c>
      <c r="F352" s="275">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0.995</v>
      </c>
      <c r="P352" s="121">
        <f t="shared" si="49"/>
        <v>0</v>
      </c>
      <c r="Q352" s="121">
        <f t="shared" si="50"/>
        <v>0</v>
      </c>
      <c r="R352" s="121">
        <f t="shared" si="51"/>
        <v>0.125</v>
      </c>
      <c r="AE352" s="160">
        <f t="shared" si="52"/>
        <v>1.0447500000000001</v>
      </c>
    </row>
    <row r="353" spans="1:31" x14ac:dyDescent="0.3">
      <c r="A353" s="187">
        <v>48</v>
      </c>
      <c r="B353" s="242">
        <f t="shared" si="53"/>
        <v>47088</v>
      </c>
      <c r="C353" s="243">
        <f t="shared" si="36"/>
        <v>47118</v>
      </c>
      <c r="D353" s="120">
        <f t="shared" si="37"/>
        <v>31</v>
      </c>
      <c r="E353" s="120">
        <f t="shared" si="38"/>
        <v>12</v>
      </c>
      <c r="F353" s="275">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0.995</v>
      </c>
      <c r="P353" s="121">
        <f t="shared" si="49"/>
        <v>0</v>
      </c>
      <c r="Q353" s="121">
        <f t="shared" si="50"/>
        <v>0</v>
      </c>
      <c r="R353" s="121">
        <f t="shared" si="51"/>
        <v>4.1666666666666664E-2</v>
      </c>
      <c r="AE353" s="160">
        <f t="shared" si="52"/>
        <v>1.0447500000000001</v>
      </c>
    </row>
    <row r="354" spans="1:31" x14ac:dyDescent="0.3">
      <c r="A354" s="23" t="s">
        <v>1723</v>
      </c>
      <c r="B354" s="279">
        <f>SUM($H$330:$H$341)</f>
        <v>12</v>
      </c>
      <c r="C354" s="160">
        <f>SUMPRODUCT($H$330:$H$341,$W$330:$W$341/$N$318:$N$329,$Y$330:$Y$341)</f>
        <v>12.399868669940467</v>
      </c>
      <c r="D354" s="160">
        <f>SUMPRODUCT($H$330:$H$341,$X$330:$X$341/$N$318:$N$329,$Y$330:$Y$341)</f>
        <v>9.2371301860179216</v>
      </c>
      <c r="E354" s="281" t="str">
        <f>IF(OR($D$303=0,$P$303=0,$D354=0),"n/a",((1+$E$303)*$B354-$C354)/$D354)</f>
        <v>n/a</v>
      </c>
      <c r="F354" s="281" t="str">
        <f>IF($V$303&lt;&gt;"",$V$303,$E354)</f>
        <v>n/a</v>
      </c>
      <c r="G354" s="281"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2">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1</v>
      </c>
      <c r="H359" s="220">
        <f>IF($C359=0,1,IF(N(INDEX(lr_m0,$C359))=0,1,INDEX(lr_m0,$C359)))</f>
        <v>0.99</v>
      </c>
      <c r="I359" s="278">
        <f>IF($C359=0,DATE(nr_PlanYear-1,10,1),IF(N(INDEX(lr_m0asof,$C359))=0,DATE(nr_PlanYear-1,10,1),INDEX(lr_m0asof,$C359)))</f>
        <v>46295</v>
      </c>
      <c r="J359" s="220">
        <f>IF($C359=0,1,IF(N(INDEX(lr_m1,$C359))=0,1,INDEX(lr_m1,$C359)))</f>
        <v>1.01</v>
      </c>
      <c r="K359" s="220">
        <f>IF($C359=0,0,N(INDEX(lr_mprior,$C359)))</f>
        <v>0</v>
      </c>
      <c r="L359" s="220">
        <f>IF($C359=0,0,N(INDEX(lr_m2,$C359)))</f>
        <v>0</v>
      </c>
      <c r="M359" s="43">
        <f>IF(OR($A359="",COUNTIF(se_state,$A359)=0),0,MATCH($A359,se_state,0))</f>
        <v>0</v>
      </c>
      <c r="N359" s="279">
        <f>IF($M359=0,0,INDEX(se_sum,$M359))</f>
        <v>0</v>
      </c>
      <c r="O359" s="278">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80" t="str">
        <f>IF(ISBLANK('Net Delivery'!$E$11),$Y359,'Net Delivery'!$E$11)</f>
        <v/>
      </c>
      <c r="W359" s="43">
        <f>IF($B359="",0,COUNTIFS(rl_key,$B359,rl_status,"planned",rl_eff,"&gt;="&amp;DATE(nr_PlanYear,1,1),rl_eff,"&lt;="&amp;DATE(nr_PlanYear,12,31)))</f>
        <v>0</v>
      </c>
      <c r="X359" s="278">
        <f>IF($W359=0,nd_DefaultDate,SUMIFS(rl_eff,rl_key,$B359,rl_firstplanned,1))</f>
        <v>46478</v>
      </c>
      <c r="Y359" s="280" t="str">
        <f>IF($W359=0,"",SUMIFS(rl_reff,rl_key,$B359,rl_firstplanned,1))</f>
        <v/>
      </c>
      <c r="Z359" s="280"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5">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0.96275711159737409</v>
      </c>
      <c r="P362" s="121">
        <f t="shared" ref="P362:P409" si="77">MIN(1,MAX(0,(nr_MEndPm1-$G362+0.5)/nr_TermMonths))-MIN(1,MAX(0,(nr_MStartPm1-1-$G362+0.5)/nr_TermMonths))</f>
        <v>4.166666666666663E-2</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0.96275711159737409</v>
      </c>
    </row>
    <row r="363" spans="1:31" x14ac:dyDescent="0.3">
      <c r="A363" s="187">
        <v>2</v>
      </c>
      <c r="B363" s="242">
        <f t="shared" ref="B363:B409" si="81">EDATE($B362,1)</f>
        <v>45689</v>
      </c>
      <c r="C363" s="243">
        <f t="shared" si="64"/>
        <v>45716</v>
      </c>
      <c r="D363" s="120">
        <f t="shared" si="65"/>
        <v>28</v>
      </c>
      <c r="E363" s="120">
        <f t="shared" si="66"/>
        <v>2</v>
      </c>
      <c r="F363" s="275">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0.9640481400437636</v>
      </c>
      <c r="P363" s="121">
        <f t="shared" si="77"/>
        <v>0.125</v>
      </c>
      <c r="Q363" s="121">
        <f t="shared" si="78"/>
        <v>0</v>
      </c>
      <c r="R363" s="121">
        <f t="shared" si="79"/>
        <v>0</v>
      </c>
      <c r="AE363" s="160">
        <f t="shared" si="80"/>
        <v>0.9640481400437636</v>
      </c>
    </row>
    <row r="364" spans="1:31" x14ac:dyDescent="0.3">
      <c r="A364" s="187">
        <v>3</v>
      </c>
      <c r="B364" s="242">
        <f t="shared" si="81"/>
        <v>45717</v>
      </c>
      <c r="C364" s="243">
        <f t="shared" si="64"/>
        <v>45747</v>
      </c>
      <c r="D364" s="120">
        <f t="shared" si="65"/>
        <v>31</v>
      </c>
      <c r="E364" s="120">
        <f t="shared" si="66"/>
        <v>3</v>
      </c>
      <c r="F364" s="275">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0.96533916849015311</v>
      </c>
      <c r="P364" s="121">
        <f t="shared" si="77"/>
        <v>0.20833333333333337</v>
      </c>
      <c r="Q364" s="121">
        <f t="shared" si="78"/>
        <v>0</v>
      </c>
      <c r="R364" s="121">
        <f t="shared" si="79"/>
        <v>0</v>
      </c>
      <c r="AE364" s="160">
        <f t="shared" si="80"/>
        <v>0.96533916849015311</v>
      </c>
    </row>
    <row r="365" spans="1:31" x14ac:dyDescent="0.3">
      <c r="A365" s="187">
        <v>4</v>
      </c>
      <c r="B365" s="242">
        <f t="shared" si="81"/>
        <v>45748</v>
      </c>
      <c r="C365" s="243">
        <f t="shared" si="64"/>
        <v>45777</v>
      </c>
      <c r="D365" s="120">
        <f t="shared" si="65"/>
        <v>30</v>
      </c>
      <c r="E365" s="120">
        <f t="shared" si="66"/>
        <v>4</v>
      </c>
      <c r="F365" s="275">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0.9666739606126914</v>
      </c>
      <c r="P365" s="121">
        <f t="shared" si="77"/>
        <v>0.29166666666666663</v>
      </c>
      <c r="Q365" s="121">
        <f t="shared" si="78"/>
        <v>0</v>
      </c>
      <c r="R365" s="121">
        <f t="shared" si="79"/>
        <v>0</v>
      </c>
      <c r="AE365" s="160">
        <f t="shared" si="80"/>
        <v>0.9666739606126914</v>
      </c>
    </row>
    <row r="366" spans="1:31" x14ac:dyDescent="0.3">
      <c r="A366" s="187">
        <v>5</v>
      </c>
      <c r="B366" s="242">
        <f t="shared" si="81"/>
        <v>45778</v>
      </c>
      <c r="C366" s="243">
        <f t="shared" si="64"/>
        <v>45808</v>
      </c>
      <c r="D366" s="120">
        <f t="shared" si="65"/>
        <v>31</v>
      </c>
      <c r="E366" s="120">
        <f t="shared" si="66"/>
        <v>5</v>
      </c>
      <c r="F366" s="275">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0.96800875273522968</v>
      </c>
      <c r="P366" s="121">
        <f t="shared" si="77"/>
        <v>0.375</v>
      </c>
      <c r="Q366" s="121">
        <f t="shared" si="78"/>
        <v>0</v>
      </c>
      <c r="R366" s="121">
        <f t="shared" si="79"/>
        <v>0</v>
      </c>
      <c r="AE366" s="160">
        <f t="shared" si="80"/>
        <v>0.96800875273522968</v>
      </c>
    </row>
    <row r="367" spans="1:31" x14ac:dyDescent="0.3">
      <c r="A367" s="187">
        <v>6</v>
      </c>
      <c r="B367" s="242">
        <f t="shared" si="81"/>
        <v>45809</v>
      </c>
      <c r="C367" s="243">
        <f t="shared" si="64"/>
        <v>45838</v>
      </c>
      <c r="D367" s="120">
        <f t="shared" si="65"/>
        <v>30</v>
      </c>
      <c r="E367" s="120">
        <f t="shared" si="66"/>
        <v>6</v>
      </c>
      <c r="F367" s="275">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0.96934354485776797</v>
      </c>
      <c r="P367" s="121">
        <f t="shared" si="77"/>
        <v>0.45833333333333337</v>
      </c>
      <c r="Q367" s="121">
        <f t="shared" si="78"/>
        <v>0</v>
      </c>
      <c r="R367" s="121">
        <f t="shared" si="79"/>
        <v>0</v>
      </c>
      <c r="AE367" s="160">
        <f t="shared" si="80"/>
        <v>0.96934354485776797</v>
      </c>
    </row>
    <row r="368" spans="1:31" x14ac:dyDescent="0.3">
      <c r="A368" s="187">
        <v>7</v>
      </c>
      <c r="B368" s="242">
        <f t="shared" si="81"/>
        <v>45839</v>
      </c>
      <c r="C368" s="243">
        <f t="shared" si="64"/>
        <v>45869</v>
      </c>
      <c r="D368" s="120">
        <f t="shared" si="65"/>
        <v>31</v>
      </c>
      <c r="E368" s="120">
        <f t="shared" si="66"/>
        <v>7</v>
      </c>
      <c r="F368" s="275">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0.97067833698030626</v>
      </c>
      <c r="P368" s="121">
        <f t="shared" si="77"/>
        <v>0.54166666666666674</v>
      </c>
      <c r="Q368" s="121">
        <f t="shared" si="78"/>
        <v>0</v>
      </c>
      <c r="R368" s="121">
        <f t="shared" si="79"/>
        <v>0</v>
      </c>
      <c r="AE368" s="160">
        <f t="shared" si="80"/>
        <v>0.97067833698030626</v>
      </c>
    </row>
    <row r="369" spans="1:31" x14ac:dyDescent="0.3">
      <c r="A369" s="187">
        <v>8</v>
      </c>
      <c r="B369" s="242">
        <f t="shared" si="81"/>
        <v>45870</v>
      </c>
      <c r="C369" s="243">
        <f t="shared" si="64"/>
        <v>45900</v>
      </c>
      <c r="D369" s="120">
        <f t="shared" si="65"/>
        <v>31</v>
      </c>
      <c r="E369" s="120">
        <f t="shared" si="66"/>
        <v>8</v>
      </c>
      <c r="F369" s="275">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0.97203501094091893</v>
      </c>
      <c r="P369" s="121">
        <f t="shared" si="77"/>
        <v>0.625</v>
      </c>
      <c r="Q369" s="121">
        <f t="shared" si="78"/>
        <v>0</v>
      </c>
      <c r="R369" s="121">
        <f t="shared" si="79"/>
        <v>0</v>
      </c>
      <c r="AE369" s="160">
        <f t="shared" si="80"/>
        <v>0.97203501094091893</v>
      </c>
    </row>
    <row r="370" spans="1:31" x14ac:dyDescent="0.3">
      <c r="A370" s="187">
        <v>9</v>
      </c>
      <c r="B370" s="242">
        <f t="shared" si="81"/>
        <v>45901</v>
      </c>
      <c r="C370" s="243">
        <f t="shared" si="64"/>
        <v>45930</v>
      </c>
      <c r="D370" s="120">
        <f t="shared" si="65"/>
        <v>30</v>
      </c>
      <c r="E370" s="120">
        <f t="shared" si="66"/>
        <v>9</v>
      </c>
      <c r="F370" s="275">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0.97336980306345722</v>
      </c>
      <c r="P370" s="121">
        <f t="shared" si="77"/>
        <v>0.70833333333333326</v>
      </c>
      <c r="Q370" s="121">
        <f t="shared" si="78"/>
        <v>0</v>
      </c>
      <c r="R370" s="121">
        <f t="shared" si="79"/>
        <v>0</v>
      </c>
      <c r="AE370" s="160">
        <f t="shared" si="80"/>
        <v>0.97336980306345722</v>
      </c>
    </row>
    <row r="371" spans="1:31" x14ac:dyDescent="0.3">
      <c r="A371" s="187">
        <v>10</v>
      </c>
      <c r="B371" s="242">
        <f t="shared" si="81"/>
        <v>45931</v>
      </c>
      <c r="C371" s="243">
        <f t="shared" si="64"/>
        <v>45961</v>
      </c>
      <c r="D371" s="120">
        <f t="shared" si="65"/>
        <v>31</v>
      </c>
      <c r="E371" s="120">
        <f t="shared" si="66"/>
        <v>10</v>
      </c>
      <c r="F371" s="275">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0.97470459518599561</v>
      </c>
      <c r="P371" s="121">
        <f t="shared" si="77"/>
        <v>0.79166666666666663</v>
      </c>
      <c r="Q371" s="121">
        <f t="shared" si="78"/>
        <v>0</v>
      </c>
      <c r="R371" s="121">
        <f t="shared" si="79"/>
        <v>0</v>
      </c>
      <c r="AE371" s="160">
        <f t="shared" si="80"/>
        <v>0.97470459518599561</v>
      </c>
    </row>
    <row r="372" spans="1:31" x14ac:dyDescent="0.3">
      <c r="A372" s="187">
        <v>11</v>
      </c>
      <c r="B372" s="242">
        <f t="shared" si="81"/>
        <v>45962</v>
      </c>
      <c r="C372" s="243">
        <f t="shared" si="64"/>
        <v>45991</v>
      </c>
      <c r="D372" s="120">
        <f t="shared" si="65"/>
        <v>30</v>
      </c>
      <c r="E372" s="120">
        <f t="shared" si="66"/>
        <v>11</v>
      </c>
      <c r="F372" s="275">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0.9760393873085339</v>
      </c>
      <c r="P372" s="121">
        <f t="shared" si="77"/>
        <v>0.875</v>
      </c>
      <c r="Q372" s="121">
        <f t="shared" si="78"/>
        <v>0</v>
      </c>
      <c r="R372" s="121">
        <f t="shared" si="79"/>
        <v>0</v>
      </c>
      <c r="AE372" s="160">
        <f t="shared" si="80"/>
        <v>0.9760393873085339</v>
      </c>
    </row>
    <row r="373" spans="1:31" x14ac:dyDescent="0.3">
      <c r="A373" s="187">
        <v>12</v>
      </c>
      <c r="B373" s="242">
        <f t="shared" si="81"/>
        <v>45992</v>
      </c>
      <c r="C373" s="243">
        <f t="shared" si="64"/>
        <v>46022</v>
      </c>
      <c r="D373" s="120">
        <f t="shared" si="65"/>
        <v>31</v>
      </c>
      <c r="E373" s="120">
        <f t="shared" si="66"/>
        <v>12</v>
      </c>
      <c r="F373" s="275">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0.97737417943107219</v>
      </c>
      <c r="P373" s="121">
        <f t="shared" si="77"/>
        <v>0.95833333333333337</v>
      </c>
      <c r="Q373" s="121">
        <f t="shared" si="78"/>
        <v>0</v>
      </c>
      <c r="R373" s="121">
        <f t="shared" si="79"/>
        <v>0</v>
      </c>
      <c r="AE373" s="160">
        <f t="shared" si="80"/>
        <v>0.97737417943107219</v>
      </c>
    </row>
    <row r="374" spans="1:31" x14ac:dyDescent="0.3">
      <c r="A374" s="187">
        <v>13</v>
      </c>
      <c r="B374" s="242">
        <f t="shared" si="81"/>
        <v>46023</v>
      </c>
      <c r="C374" s="243">
        <f t="shared" si="64"/>
        <v>46053</v>
      </c>
      <c r="D374" s="120">
        <f t="shared" si="65"/>
        <v>31</v>
      </c>
      <c r="E374" s="120">
        <f t="shared" si="66"/>
        <v>1</v>
      </c>
      <c r="F374" s="275">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0.97873085339168486</v>
      </c>
      <c r="P374" s="121">
        <f t="shared" si="77"/>
        <v>0.95833333333333337</v>
      </c>
      <c r="Q374" s="121">
        <f t="shared" si="78"/>
        <v>4.166666666666663E-2</v>
      </c>
      <c r="R374" s="121">
        <f t="shared" si="79"/>
        <v>0</v>
      </c>
      <c r="AE374" s="160">
        <f t="shared" si="80"/>
        <v>0.97873085339168486</v>
      </c>
    </row>
    <row r="375" spans="1:31" x14ac:dyDescent="0.3">
      <c r="A375" s="187">
        <v>14</v>
      </c>
      <c r="B375" s="242">
        <f t="shared" si="81"/>
        <v>46054</v>
      </c>
      <c r="C375" s="243">
        <f t="shared" si="64"/>
        <v>46081</v>
      </c>
      <c r="D375" s="120">
        <f t="shared" si="65"/>
        <v>28</v>
      </c>
      <c r="E375" s="120">
        <f t="shared" si="66"/>
        <v>2</v>
      </c>
      <c r="F375" s="275">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0.98002188183807437</v>
      </c>
      <c r="P375" s="121">
        <f t="shared" si="77"/>
        <v>0.875</v>
      </c>
      <c r="Q375" s="121">
        <f t="shared" si="78"/>
        <v>0.125</v>
      </c>
      <c r="R375" s="121">
        <f t="shared" si="79"/>
        <v>0</v>
      </c>
      <c r="AE375" s="160">
        <f t="shared" si="80"/>
        <v>0.98002188183807437</v>
      </c>
    </row>
    <row r="376" spans="1:31" x14ac:dyDescent="0.3">
      <c r="A376" s="187">
        <v>15</v>
      </c>
      <c r="B376" s="242">
        <f t="shared" si="81"/>
        <v>46082</v>
      </c>
      <c r="C376" s="243">
        <f t="shared" si="64"/>
        <v>46112</v>
      </c>
      <c r="D376" s="120">
        <f t="shared" si="65"/>
        <v>31</v>
      </c>
      <c r="E376" s="120">
        <f t="shared" si="66"/>
        <v>3</v>
      </c>
      <c r="F376" s="275">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0.98131291028446388</v>
      </c>
      <c r="P376" s="121">
        <f t="shared" si="77"/>
        <v>0.79166666666666663</v>
      </c>
      <c r="Q376" s="121">
        <f t="shared" si="78"/>
        <v>0.20833333333333337</v>
      </c>
      <c r="R376" s="121">
        <f t="shared" si="79"/>
        <v>0</v>
      </c>
      <c r="AE376" s="160">
        <f t="shared" si="80"/>
        <v>0.98131291028446388</v>
      </c>
    </row>
    <row r="377" spans="1:31" x14ac:dyDescent="0.3">
      <c r="A377" s="187">
        <v>16</v>
      </c>
      <c r="B377" s="242">
        <f t="shared" si="81"/>
        <v>46113</v>
      </c>
      <c r="C377" s="243">
        <f t="shared" si="64"/>
        <v>46142</v>
      </c>
      <c r="D377" s="120">
        <f t="shared" si="65"/>
        <v>30</v>
      </c>
      <c r="E377" s="120">
        <f t="shared" si="66"/>
        <v>4</v>
      </c>
      <c r="F377" s="275">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0.98264770240700217</v>
      </c>
      <c r="P377" s="121">
        <f t="shared" si="77"/>
        <v>0.70833333333333337</v>
      </c>
      <c r="Q377" s="121">
        <f t="shared" si="78"/>
        <v>0.29166666666666663</v>
      </c>
      <c r="R377" s="121">
        <f t="shared" si="79"/>
        <v>0</v>
      </c>
      <c r="AE377" s="160">
        <f t="shared" si="80"/>
        <v>0.98264770240700217</v>
      </c>
    </row>
    <row r="378" spans="1:31" x14ac:dyDescent="0.3">
      <c r="A378" s="187">
        <v>17</v>
      </c>
      <c r="B378" s="242">
        <f t="shared" si="81"/>
        <v>46143</v>
      </c>
      <c r="C378" s="243">
        <f t="shared" si="64"/>
        <v>46173</v>
      </c>
      <c r="D378" s="120">
        <f t="shared" si="65"/>
        <v>31</v>
      </c>
      <c r="E378" s="120">
        <f t="shared" si="66"/>
        <v>5</v>
      </c>
      <c r="F378" s="275">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0.98398249452954045</v>
      </c>
      <c r="P378" s="121">
        <f t="shared" si="77"/>
        <v>0.625</v>
      </c>
      <c r="Q378" s="121">
        <f t="shared" si="78"/>
        <v>0.375</v>
      </c>
      <c r="R378" s="121">
        <f t="shared" si="79"/>
        <v>0</v>
      </c>
      <c r="AE378" s="160">
        <f t="shared" si="80"/>
        <v>0.98398249452954045</v>
      </c>
    </row>
    <row r="379" spans="1:31" x14ac:dyDescent="0.3">
      <c r="A379" s="187">
        <v>18</v>
      </c>
      <c r="B379" s="242">
        <f t="shared" si="81"/>
        <v>46174</v>
      </c>
      <c r="C379" s="243">
        <f t="shared" si="64"/>
        <v>46203</v>
      </c>
      <c r="D379" s="120">
        <f t="shared" si="65"/>
        <v>30</v>
      </c>
      <c r="E379" s="120">
        <f t="shared" si="66"/>
        <v>6</v>
      </c>
      <c r="F379" s="275">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0.98531728665207874</v>
      </c>
      <c r="P379" s="121">
        <f t="shared" si="77"/>
        <v>0.54166666666666663</v>
      </c>
      <c r="Q379" s="121">
        <f t="shared" si="78"/>
        <v>0.45833333333333337</v>
      </c>
      <c r="R379" s="121">
        <f t="shared" si="79"/>
        <v>0</v>
      </c>
      <c r="AE379" s="160">
        <f t="shared" si="80"/>
        <v>0.98531728665207874</v>
      </c>
    </row>
    <row r="380" spans="1:31" x14ac:dyDescent="0.3">
      <c r="A380" s="187">
        <v>19</v>
      </c>
      <c r="B380" s="242">
        <f t="shared" si="81"/>
        <v>46204</v>
      </c>
      <c r="C380" s="243">
        <f t="shared" si="64"/>
        <v>46234</v>
      </c>
      <c r="D380" s="120">
        <f t="shared" si="65"/>
        <v>31</v>
      </c>
      <c r="E380" s="120">
        <f t="shared" si="66"/>
        <v>7</v>
      </c>
      <c r="F380" s="275">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0.98665207877461703</v>
      </c>
      <c r="P380" s="121">
        <f t="shared" si="77"/>
        <v>0.45833333333333331</v>
      </c>
      <c r="Q380" s="121">
        <f t="shared" si="78"/>
        <v>0.54166666666666674</v>
      </c>
      <c r="R380" s="121">
        <f t="shared" si="79"/>
        <v>0</v>
      </c>
      <c r="AE380" s="160">
        <f t="shared" si="80"/>
        <v>0.98665207877461703</v>
      </c>
    </row>
    <row r="381" spans="1:31" x14ac:dyDescent="0.3">
      <c r="A381" s="187">
        <v>20</v>
      </c>
      <c r="B381" s="242">
        <f t="shared" si="81"/>
        <v>46235</v>
      </c>
      <c r="C381" s="243">
        <f t="shared" si="64"/>
        <v>46265</v>
      </c>
      <c r="D381" s="120">
        <f t="shared" si="65"/>
        <v>31</v>
      </c>
      <c r="E381" s="120">
        <f t="shared" si="66"/>
        <v>8</v>
      </c>
      <c r="F381" s="275">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0.9880087527352297</v>
      </c>
      <c r="P381" s="121">
        <f t="shared" si="77"/>
        <v>0.375</v>
      </c>
      <c r="Q381" s="121">
        <f t="shared" si="78"/>
        <v>0.625</v>
      </c>
      <c r="R381" s="121">
        <f t="shared" si="79"/>
        <v>0</v>
      </c>
      <c r="AE381" s="160">
        <f t="shared" si="80"/>
        <v>0.9880087527352297</v>
      </c>
    </row>
    <row r="382" spans="1:31" x14ac:dyDescent="0.3">
      <c r="A382" s="187">
        <v>21</v>
      </c>
      <c r="B382" s="242">
        <f t="shared" si="81"/>
        <v>46266</v>
      </c>
      <c r="C382" s="243">
        <f t="shared" si="64"/>
        <v>46295</v>
      </c>
      <c r="D382" s="120">
        <f t="shared" si="65"/>
        <v>30</v>
      </c>
      <c r="E382" s="120">
        <f t="shared" si="66"/>
        <v>9</v>
      </c>
      <c r="F382" s="275">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0.98934354485776799</v>
      </c>
      <c r="P382" s="121">
        <f t="shared" si="77"/>
        <v>0.29166666666666669</v>
      </c>
      <c r="Q382" s="121">
        <f t="shared" si="78"/>
        <v>0.70833333333333326</v>
      </c>
      <c r="R382" s="121">
        <f t="shared" si="79"/>
        <v>0</v>
      </c>
      <c r="AE382" s="160">
        <f t="shared" si="80"/>
        <v>0.98934354485776799</v>
      </c>
    </row>
    <row r="383" spans="1:31" x14ac:dyDescent="0.3">
      <c r="A383" s="187">
        <v>22</v>
      </c>
      <c r="B383" s="242">
        <f t="shared" si="81"/>
        <v>46296</v>
      </c>
      <c r="C383" s="243">
        <f t="shared" si="64"/>
        <v>46326</v>
      </c>
      <c r="D383" s="120">
        <f t="shared" si="65"/>
        <v>31</v>
      </c>
      <c r="E383" s="120">
        <f t="shared" si="66"/>
        <v>10</v>
      </c>
      <c r="F383" s="275">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0.99067833698030638</v>
      </c>
      <c r="P383" s="121">
        <f t="shared" si="77"/>
        <v>0.20833333333333334</v>
      </c>
      <c r="Q383" s="121">
        <f t="shared" si="78"/>
        <v>0.79166666666666663</v>
      </c>
      <c r="R383" s="121">
        <f t="shared" si="79"/>
        <v>0</v>
      </c>
      <c r="AE383" s="160">
        <f t="shared" si="80"/>
        <v>0.99067833698030638</v>
      </c>
    </row>
    <row r="384" spans="1:31" x14ac:dyDescent="0.3">
      <c r="A384" s="187">
        <v>23</v>
      </c>
      <c r="B384" s="242">
        <f t="shared" si="81"/>
        <v>46327</v>
      </c>
      <c r="C384" s="243">
        <f t="shared" si="64"/>
        <v>46356</v>
      </c>
      <c r="D384" s="120">
        <f t="shared" si="65"/>
        <v>30</v>
      </c>
      <c r="E384" s="120">
        <f t="shared" si="66"/>
        <v>11</v>
      </c>
      <c r="F384" s="275">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0.99201312910284467</v>
      </c>
      <c r="P384" s="121">
        <f t="shared" si="77"/>
        <v>0.125</v>
      </c>
      <c r="Q384" s="121">
        <f t="shared" si="78"/>
        <v>0.875</v>
      </c>
      <c r="R384" s="121">
        <f t="shared" si="79"/>
        <v>0</v>
      </c>
      <c r="AE384" s="160">
        <f t="shared" si="80"/>
        <v>0.99201312910284467</v>
      </c>
    </row>
    <row r="385" spans="1:35" x14ac:dyDescent="0.3">
      <c r="A385" s="187">
        <v>24</v>
      </c>
      <c r="B385" s="242">
        <f t="shared" si="81"/>
        <v>46357</v>
      </c>
      <c r="C385" s="243">
        <f t="shared" si="64"/>
        <v>46387</v>
      </c>
      <c r="D385" s="120">
        <f t="shared" si="65"/>
        <v>31</v>
      </c>
      <c r="E385" s="120">
        <f t="shared" si="66"/>
        <v>12</v>
      </c>
      <c r="F385" s="275">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0.99334792122538296</v>
      </c>
      <c r="P385" s="121">
        <f t="shared" si="77"/>
        <v>4.1666666666666664E-2</v>
      </c>
      <c r="Q385" s="121">
        <f t="shared" si="78"/>
        <v>0.95833333333333337</v>
      </c>
      <c r="R385" s="121">
        <f t="shared" si="79"/>
        <v>0</v>
      </c>
      <c r="AE385" s="160">
        <f t="shared" si="80"/>
        <v>0.99334792122538296</v>
      </c>
    </row>
    <row r="386" spans="1:35" x14ac:dyDescent="0.3">
      <c r="A386" s="187">
        <v>25</v>
      </c>
      <c r="B386" s="242">
        <f t="shared" si="81"/>
        <v>46388</v>
      </c>
      <c r="C386" s="243">
        <f t="shared" si="64"/>
        <v>46418</v>
      </c>
      <c r="D386" s="120">
        <f t="shared" si="65"/>
        <v>31</v>
      </c>
      <c r="E386" s="120">
        <f t="shared" si="66"/>
        <v>1</v>
      </c>
      <c r="F386" s="275">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0.99470459518599563</v>
      </c>
      <c r="P386" s="121">
        <f t="shared" si="77"/>
        <v>0</v>
      </c>
      <c r="Q386" s="121">
        <f t="shared" si="78"/>
        <v>0.95833333333333337</v>
      </c>
      <c r="R386" s="121">
        <f t="shared" si="79"/>
        <v>4.166666666666663E-2</v>
      </c>
      <c r="W386" s="160">
        <f t="shared" ref="W386:W397" si="82">IF($G386&lt;&gt;$Q$359,$N386,(1-$U$359)*$I386+$U$359*$J386)</f>
        <v>1</v>
      </c>
      <c r="X386" s="160">
        <f t="shared" ref="X386:X397" si="83">IF($G386&lt;$Q$359,0,IF($G386&gt;$Q$359,$N386,$U$359*$J386))</f>
        <v>0</v>
      </c>
      <c r="Y386" s="160">
        <f t="shared" ref="Y386:Y397" si="84">IF($F$359=1,$O386/$O374,1)</f>
        <v>1.0163208728313362</v>
      </c>
      <c r="AB386" s="160">
        <f t="shared" ref="AB386:AB397" si="85">IF(AND(N($K$359)&lt;&gt;0,$F386&lt;=$B$360),0,($F386-$B$360)/($C$360-$B$360))</f>
        <v>0.23522975929978118</v>
      </c>
      <c r="AC386" s="220">
        <f t="shared" ref="AC386:AC397" si="86">IF(AND(N($K$359)&lt;&gt;0,$F386&lt;=$B$360),$O386,$F$360*(1-$AB386))</f>
        <v>0.75712253829321663</v>
      </c>
      <c r="AD386" s="160">
        <f t="shared" ref="AD386:AD397" si="87">$H386*($W386+$X386*IF(ISNUMBER($F$410),$F$410,0))/($N374*$O374)</f>
        <v>1.0217313539617243</v>
      </c>
      <c r="AE386" s="160">
        <f t="shared" si="80"/>
        <v>0.99470459518599563</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5">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0.99599562363238514</v>
      </c>
      <c r="P387" s="121">
        <f t="shared" si="77"/>
        <v>0</v>
      </c>
      <c r="Q387" s="121">
        <f t="shared" si="78"/>
        <v>0.875</v>
      </c>
      <c r="R387" s="121">
        <f t="shared" si="79"/>
        <v>0.125</v>
      </c>
      <c r="W387" s="160">
        <f t="shared" si="82"/>
        <v>1</v>
      </c>
      <c r="X387" s="160">
        <f t="shared" si="83"/>
        <v>0</v>
      </c>
      <c r="Y387" s="160">
        <f t="shared" si="84"/>
        <v>1.0162993725857949</v>
      </c>
      <c r="AB387" s="160">
        <f t="shared" si="85"/>
        <v>0.29978118161925604</v>
      </c>
      <c r="AC387" s="220">
        <f t="shared" si="86"/>
        <v>0.69321663019693647</v>
      </c>
      <c r="AD387" s="160">
        <f t="shared" si="87"/>
        <v>1.0203853796860696</v>
      </c>
      <c r="AE387" s="160">
        <f t="shared" si="80"/>
        <v>0.99599562363238503</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5">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0.99728665207877465</v>
      </c>
      <c r="P388" s="121">
        <f t="shared" si="77"/>
        <v>0</v>
      </c>
      <c r="Q388" s="121">
        <f t="shared" si="78"/>
        <v>0.79166666666666663</v>
      </c>
      <c r="R388" s="121">
        <f t="shared" si="79"/>
        <v>0.20833333333333337</v>
      </c>
      <c r="W388" s="160">
        <f t="shared" si="82"/>
        <v>1</v>
      </c>
      <c r="X388" s="160">
        <f t="shared" si="83"/>
        <v>0</v>
      </c>
      <c r="Y388" s="160">
        <f t="shared" si="84"/>
        <v>1.0162779289122776</v>
      </c>
      <c r="AB388" s="160">
        <f t="shared" si="85"/>
        <v>0.36433260393873085</v>
      </c>
      <c r="AC388" s="220">
        <f t="shared" si="86"/>
        <v>0.62931072210065642</v>
      </c>
      <c r="AD388" s="160">
        <f t="shared" si="87"/>
        <v>1.0190429469740891</v>
      </c>
      <c r="AE388" s="160">
        <f t="shared" si="80"/>
        <v>0.99728665207877465</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5">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0.99862144420131294</v>
      </c>
      <c r="P389" s="121">
        <f t="shared" si="77"/>
        <v>0</v>
      </c>
      <c r="Q389" s="121">
        <f t="shared" si="78"/>
        <v>0.70833333333333337</v>
      </c>
      <c r="R389" s="121">
        <f t="shared" si="79"/>
        <v>0.29166666666666663</v>
      </c>
      <c r="W389" s="160">
        <f t="shared" si="82"/>
        <v>1</v>
      </c>
      <c r="X389" s="160">
        <f t="shared" si="83"/>
        <v>1</v>
      </c>
      <c r="Y389" s="160">
        <f t="shared" si="84"/>
        <v>1.0162558175785512</v>
      </c>
      <c r="AB389" s="160">
        <f t="shared" si="85"/>
        <v>0.4310722100656455</v>
      </c>
      <c r="AC389" s="220">
        <f t="shared" si="86"/>
        <v>0.56323851203501096</v>
      </c>
      <c r="AD389" s="160">
        <f t="shared" si="87"/>
        <v>1.0176587169038236</v>
      </c>
      <c r="AE389" s="160">
        <f t="shared" si="80"/>
        <v>0.99862144420131294</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5">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0.99995623632385122</v>
      </c>
      <c r="P390" s="121">
        <f t="shared" si="77"/>
        <v>0</v>
      </c>
      <c r="Q390" s="121">
        <f t="shared" si="78"/>
        <v>0.625</v>
      </c>
      <c r="R390" s="121">
        <f t="shared" si="79"/>
        <v>0.375</v>
      </c>
      <c r="W390" s="160">
        <f t="shared" si="82"/>
        <v>1</v>
      </c>
      <c r="X390" s="160">
        <f t="shared" si="83"/>
        <v>1</v>
      </c>
      <c r="Y390" s="160">
        <f t="shared" si="84"/>
        <v>1.0162337662337664</v>
      </c>
      <c r="AB390" s="160">
        <f t="shared" si="85"/>
        <v>0.49781181619256015</v>
      </c>
      <c r="AC390" s="220">
        <f t="shared" si="86"/>
        <v>0.4971663019693654</v>
      </c>
      <c r="AD390" s="160">
        <f t="shared" si="87"/>
        <v>1.0162782423056396</v>
      </c>
      <c r="AE390" s="160">
        <f t="shared" si="80"/>
        <v>0.99995623632385111</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5">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1.0012910284463894</v>
      </c>
      <c r="P391" s="121">
        <f t="shared" si="77"/>
        <v>0</v>
      </c>
      <c r="Q391" s="121">
        <f t="shared" si="78"/>
        <v>0.54166666666666663</v>
      </c>
      <c r="R391" s="121">
        <f t="shared" si="79"/>
        <v>0.45833333333333337</v>
      </c>
      <c r="W391" s="160">
        <f t="shared" si="82"/>
        <v>1</v>
      </c>
      <c r="X391" s="160">
        <f t="shared" si="83"/>
        <v>1</v>
      </c>
      <c r="Y391" s="160">
        <f t="shared" si="84"/>
        <v>1.0162117746341246</v>
      </c>
      <c r="AB391" s="160">
        <f t="shared" si="85"/>
        <v>0.56455142231947486</v>
      </c>
      <c r="AC391" s="220">
        <f t="shared" si="86"/>
        <v>0.43109409190371989</v>
      </c>
      <c r="AD391" s="160">
        <f t="shared" si="87"/>
        <v>1.0149015079171202</v>
      </c>
      <c r="AE391" s="160">
        <f t="shared" si="80"/>
        <v>1.0012910284463894</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5">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1.0026258205689278</v>
      </c>
      <c r="P392" s="121">
        <f t="shared" si="77"/>
        <v>0</v>
      </c>
      <c r="Q392" s="121">
        <f t="shared" si="78"/>
        <v>0.45833333333333331</v>
      </c>
      <c r="R392" s="121">
        <f t="shared" si="79"/>
        <v>0.54166666666666674</v>
      </c>
      <c r="W392" s="160">
        <f t="shared" si="82"/>
        <v>1</v>
      </c>
      <c r="X392" s="160">
        <f t="shared" si="83"/>
        <v>1</v>
      </c>
      <c r="Y392" s="160">
        <f t="shared" si="84"/>
        <v>1.0161898425371481</v>
      </c>
      <c r="AB392" s="160">
        <f t="shared" si="85"/>
        <v>0.63129102844638951</v>
      </c>
      <c r="AC392" s="220">
        <f t="shared" si="86"/>
        <v>0.36502188183807438</v>
      </c>
      <c r="AD392" s="160">
        <f t="shared" si="87"/>
        <v>1.0135284985584387</v>
      </c>
      <c r="AE392" s="160">
        <f t="shared" si="80"/>
        <v>1.0026258205689278</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5">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1.0039824945295406</v>
      </c>
      <c r="P393" s="121">
        <f t="shared" si="77"/>
        <v>0</v>
      </c>
      <c r="Q393" s="121">
        <f t="shared" si="78"/>
        <v>0.375</v>
      </c>
      <c r="R393" s="121">
        <f t="shared" si="79"/>
        <v>0.625</v>
      </c>
      <c r="W393" s="160">
        <f t="shared" si="82"/>
        <v>1</v>
      </c>
      <c r="X393" s="160">
        <f t="shared" si="83"/>
        <v>1</v>
      </c>
      <c r="Y393" s="160">
        <f t="shared" si="84"/>
        <v>1.0161676116229625</v>
      </c>
      <c r="AB393" s="160">
        <f t="shared" si="85"/>
        <v>0.69912472647702406</v>
      </c>
      <c r="AC393" s="220">
        <f t="shared" si="86"/>
        <v>0.29786652078774617</v>
      </c>
      <c r="AD393" s="160">
        <f t="shared" si="87"/>
        <v>1.012136782423813</v>
      </c>
      <c r="AE393" s="160">
        <f t="shared" si="80"/>
        <v>1.0039824945295406</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5">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1.0053172866520788</v>
      </c>
      <c r="P394" s="121">
        <f t="shared" si="77"/>
        <v>0</v>
      </c>
      <c r="Q394" s="121">
        <f t="shared" si="78"/>
        <v>0.29166666666666669</v>
      </c>
      <c r="R394" s="121">
        <f t="shared" si="79"/>
        <v>0.70833333333333326</v>
      </c>
      <c r="W394" s="160">
        <f t="shared" si="82"/>
        <v>1</v>
      </c>
      <c r="X394" s="160">
        <f t="shared" si="83"/>
        <v>1</v>
      </c>
      <c r="Y394" s="160">
        <f t="shared" si="84"/>
        <v>1.0161457987746887</v>
      </c>
      <c r="AB394" s="160">
        <f t="shared" si="85"/>
        <v>0.76586433260393871</v>
      </c>
      <c r="AC394" s="220">
        <f t="shared" si="86"/>
        <v>0.23179431072210066</v>
      </c>
      <c r="AD394" s="160">
        <f t="shared" si="87"/>
        <v>1.0107712383606486</v>
      </c>
      <c r="AE394" s="160">
        <f t="shared" si="80"/>
        <v>1.0053172866520788</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5">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1.0066520787746172</v>
      </c>
      <c r="P395" s="121">
        <f t="shared" si="77"/>
        <v>0</v>
      </c>
      <c r="Q395" s="121">
        <f t="shared" si="78"/>
        <v>0.20833333333333334</v>
      </c>
      <c r="R395" s="121">
        <f t="shared" si="79"/>
        <v>0.79166666666666663</v>
      </c>
      <c r="W395" s="160">
        <f t="shared" si="82"/>
        <v>1</v>
      </c>
      <c r="X395" s="160">
        <f t="shared" si="83"/>
        <v>1</v>
      </c>
      <c r="Y395" s="160">
        <f t="shared" si="84"/>
        <v>1.0161240447055706</v>
      </c>
      <c r="AB395" s="160">
        <f t="shared" si="85"/>
        <v>0.83260393873085337</v>
      </c>
      <c r="AC395" s="220">
        <f t="shared" si="86"/>
        <v>0.16572210065645518</v>
      </c>
      <c r="AD395" s="160">
        <f t="shared" si="87"/>
        <v>1.0094093740336616</v>
      </c>
      <c r="AE395" s="160">
        <f t="shared" si="80"/>
        <v>1.0066520787746172</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5">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1.0079868708971553</v>
      </c>
      <c r="P396" s="121">
        <f t="shared" si="77"/>
        <v>0</v>
      </c>
      <c r="Q396" s="121">
        <f t="shared" si="78"/>
        <v>0.125</v>
      </c>
      <c r="R396" s="121">
        <f t="shared" si="79"/>
        <v>0.875</v>
      </c>
      <c r="W396" s="160">
        <f t="shared" si="82"/>
        <v>1</v>
      </c>
      <c r="X396" s="160">
        <f t="shared" si="83"/>
        <v>1</v>
      </c>
      <c r="Y396" s="160">
        <f t="shared" si="84"/>
        <v>1.016102349178339</v>
      </c>
      <c r="AB396" s="160">
        <f t="shared" si="85"/>
        <v>0.89934354485776802</v>
      </c>
      <c r="AC396" s="220">
        <f t="shared" si="86"/>
        <v>9.9649890590809656E-2</v>
      </c>
      <c r="AD396" s="160">
        <f t="shared" si="87"/>
        <v>1.0080511745891694</v>
      </c>
      <c r="AE396" s="160">
        <f t="shared" si="80"/>
        <v>1.0079868708971553</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5">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1.0093216630196937</v>
      </c>
      <c r="P397" s="121">
        <f t="shared" si="77"/>
        <v>0</v>
      </c>
      <c r="Q397" s="121">
        <f t="shared" si="78"/>
        <v>4.1666666666666664E-2</v>
      </c>
      <c r="R397" s="121">
        <f t="shared" si="79"/>
        <v>0.95833333333333337</v>
      </c>
      <c r="W397" s="160">
        <f t="shared" si="82"/>
        <v>1</v>
      </c>
      <c r="X397" s="160">
        <f t="shared" si="83"/>
        <v>1</v>
      </c>
      <c r="Y397" s="160">
        <f t="shared" si="84"/>
        <v>1.0160807119570006</v>
      </c>
      <c r="AB397" s="160">
        <f t="shared" si="85"/>
        <v>0.96608315098468267</v>
      </c>
      <c r="AC397" s="220">
        <f t="shared" si="86"/>
        <v>3.3577680525164154E-2</v>
      </c>
      <c r="AD397" s="160">
        <f t="shared" si="87"/>
        <v>1.0066966252533263</v>
      </c>
      <c r="AE397" s="160">
        <f t="shared" si="80"/>
        <v>1.0093216630196937</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5">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1.01</v>
      </c>
      <c r="P398" s="121">
        <f t="shared" si="77"/>
        <v>0</v>
      </c>
      <c r="Q398" s="121">
        <f t="shared" si="78"/>
        <v>0</v>
      </c>
      <c r="R398" s="121">
        <f t="shared" si="79"/>
        <v>0.95833333333333337</v>
      </c>
      <c r="AE398" s="160">
        <f t="shared" si="80"/>
        <v>1.01</v>
      </c>
    </row>
    <row r="399" spans="1:35" x14ac:dyDescent="0.3">
      <c r="A399" s="187">
        <v>38</v>
      </c>
      <c r="B399" s="242">
        <f t="shared" si="81"/>
        <v>46784</v>
      </c>
      <c r="C399" s="243">
        <f t="shared" si="64"/>
        <v>46812</v>
      </c>
      <c r="D399" s="120">
        <f t="shared" si="65"/>
        <v>29</v>
      </c>
      <c r="E399" s="120">
        <f t="shared" si="66"/>
        <v>2</v>
      </c>
      <c r="F399" s="275">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1.01</v>
      </c>
      <c r="P399" s="121">
        <f t="shared" si="77"/>
        <v>0</v>
      </c>
      <c r="Q399" s="121">
        <f t="shared" si="78"/>
        <v>0</v>
      </c>
      <c r="R399" s="121">
        <f t="shared" si="79"/>
        <v>0.875</v>
      </c>
      <c r="AE399" s="160">
        <f t="shared" si="80"/>
        <v>1.01</v>
      </c>
    </row>
    <row r="400" spans="1:35" x14ac:dyDescent="0.3">
      <c r="A400" s="187">
        <v>39</v>
      </c>
      <c r="B400" s="242">
        <f t="shared" si="81"/>
        <v>46813</v>
      </c>
      <c r="C400" s="243">
        <f t="shared" si="64"/>
        <v>46843</v>
      </c>
      <c r="D400" s="120">
        <f t="shared" si="65"/>
        <v>31</v>
      </c>
      <c r="E400" s="120">
        <f t="shared" si="66"/>
        <v>3</v>
      </c>
      <c r="F400" s="275">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1.01</v>
      </c>
      <c r="P400" s="121">
        <f t="shared" si="77"/>
        <v>0</v>
      </c>
      <c r="Q400" s="121">
        <f t="shared" si="78"/>
        <v>0</v>
      </c>
      <c r="R400" s="121">
        <f t="shared" si="79"/>
        <v>0.79166666666666663</v>
      </c>
      <c r="AE400" s="160">
        <f t="shared" si="80"/>
        <v>1.01</v>
      </c>
    </row>
    <row r="401" spans="1:31" x14ac:dyDescent="0.3">
      <c r="A401" s="187">
        <v>40</v>
      </c>
      <c r="B401" s="242">
        <f t="shared" si="81"/>
        <v>46844</v>
      </c>
      <c r="C401" s="243">
        <f t="shared" si="64"/>
        <v>46873</v>
      </c>
      <c r="D401" s="120">
        <f t="shared" si="65"/>
        <v>30</v>
      </c>
      <c r="E401" s="120">
        <f t="shared" si="66"/>
        <v>4</v>
      </c>
      <c r="F401" s="275">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1.01</v>
      </c>
      <c r="P401" s="121">
        <f t="shared" si="77"/>
        <v>0</v>
      </c>
      <c r="Q401" s="121">
        <f t="shared" si="78"/>
        <v>0</v>
      </c>
      <c r="R401" s="121">
        <f t="shared" si="79"/>
        <v>0.70833333333333337</v>
      </c>
      <c r="AE401" s="160">
        <f t="shared" si="80"/>
        <v>1.01</v>
      </c>
    </row>
    <row r="402" spans="1:31" x14ac:dyDescent="0.3">
      <c r="A402" s="187">
        <v>41</v>
      </c>
      <c r="B402" s="242">
        <f t="shared" si="81"/>
        <v>46874</v>
      </c>
      <c r="C402" s="243">
        <f t="shared" si="64"/>
        <v>46904</v>
      </c>
      <c r="D402" s="120">
        <f t="shared" si="65"/>
        <v>31</v>
      </c>
      <c r="E402" s="120">
        <f t="shared" si="66"/>
        <v>5</v>
      </c>
      <c r="F402" s="275">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1.01</v>
      </c>
      <c r="P402" s="121">
        <f t="shared" si="77"/>
        <v>0</v>
      </c>
      <c r="Q402" s="121">
        <f t="shared" si="78"/>
        <v>0</v>
      </c>
      <c r="R402" s="121">
        <f t="shared" si="79"/>
        <v>0.625</v>
      </c>
      <c r="AE402" s="160">
        <f t="shared" si="80"/>
        <v>1.01</v>
      </c>
    </row>
    <row r="403" spans="1:31" x14ac:dyDescent="0.3">
      <c r="A403" s="187">
        <v>42</v>
      </c>
      <c r="B403" s="242">
        <f t="shared" si="81"/>
        <v>46905</v>
      </c>
      <c r="C403" s="243">
        <f t="shared" si="64"/>
        <v>46934</v>
      </c>
      <c r="D403" s="120">
        <f t="shared" si="65"/>
        <v>30</v>
      </c>
      <c r="E403" s="120">
        <f t="shared" si="66"/>
        <v>6</v>
      </c>
      <c r="F403" s="275">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1.01</v>
      </c>
      <c r="P403" s="121">
        <f t="shared" si="77"/>
        <v>0</v>
      </c>
      <c r="Q403" s="121">
        <f t="shared" si="78"/>
        <v>0</v>
      </c>
      <c r="R403" s="121">
        <f t="shared" si="79"/>
        <v>0.54166666666666663</v>
      </c>
      <c r="AE403" s="160">
        <f t="shared" si="80"/>
        <v>1.01</v>
      </c>
    </row>
    <row r="404" spans="1:31" x14ac:dyDescent="0.3">
      <c r="A404" s="187">
        <v>43</v>
      </c>
      <c r="B404" s="242">
        <f t="shared" si="81"/>
        <v>46935</v>
      </c>
      <c r="C404" s="243">
        <f t="shared" si="64"/>
        <v>46965</v>
      </c>
      <c r="D404" s="120">
        <f t="shared" si="65"/>
        <v>31</v>
      </c>
      <c r="E404" s="120">
        <f t="shared" si="66"/>
        <v>7</v>
      </c>
      <c r="F404" s="275">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1.01</v>
      </c>
      <c r="P404" s="121">
        <f t="shared" si="77"/>
        <v>0</v>
      </c>
      <c r="Q404" s="121">
        <f t="shared" si="78"/>
        <v>0</v>
      </c>
      <c r="R404" s="121">
        <f t="shared" si="79"/>
        <v>0.45833333333333331</v>
      </c>
      <c r="AE404" s="160">
        <f t="shared" si="80"/>
        <v>1.01</v>
      </c>
    </row>
    <row r="405" spans="1:31" x14ac:dyDescent="0.3">
      <c r="A405" s="187">
        <v>44</v>
      </c>
      <c r="B405" s="242">
        <f t="shared" si="81"/>
        <v>46966</v>
      </c>
      <c r="C405" s="243">
        <f t="shared" si="64"/>
        <v>46996</v>
      </c>
      <c r="D405" s="120">
        <f t="shared" si="65"/>
        <v>31</v>
      </c>
      <c r="E405" s="120">
        <f t="shared" si="66"/>
        <v>8</v>
      </c>
      <c r="F405" s="275">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1.01</v>
      </c>
      <c r="P405" s="121">
        <f t="shared" si="77"/>
        <v>0</v>
      </c>
      <c r="Q405" s="121">
        <f t="shared" si="78"/>
        <v>0</v>
      </c>
      <c r="R405" s="121">
        <f t="shared" si="79"/>
        <v>0.375</v>
      </c>
      <c r="AE405" s="160">
        <f t="shared" si="80"/>
        <v>1.01</v>
      </c>
    </row>
    <row r="406" spans="1:31" x14ac:dyDescent="0.3">
      <c r="A406" s="187">
        <v>45</v>
      </c>
      <c r="B406" s="242">
        <f t="shared" si="81"/>
        <v>46997</v>
      </c>
      <c r="C406" s="243">
        <f t="shared" si="64"/>
        <v>47026</v>
      </c>
      <c r="D406" s="120">
        <f t="shared" si="65"/>
        <v>30</v>
      </c>
      <c r="E406" s="120">
        <f t="shared" si="66"/>
        <v>9</v>
      </c>
      <c r="F406" s="275">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1.01</v>
      </c>
      <c r="P406" s="121">
        <f t="shared" si="77"/>
        <v>0</v>
      </c>
      <c r="Q406" s="121">
        <f t="shared" si="78"/>
        <v>0</v>
      </c>
      <c r="R406" s="121">
        <f t="shared" si="79"/>
        <v>0.29166666666666669</v>
      </c>
      <c r="AE406" s="160">
        <f t="shared" si="80"/>
        <v>1.01</v>
      </c>
    </row>
    <row r="407" spans="1:31" x14ac:dyDescent="0.3">
      <c r="A407" s="187">
        <v>46</v>
      </c>
      <c r="B407" s="242">
        <f t="shared" si="81"/>
        <v>47027</v>
      </c>
      <c r="C407" s="243">
        <f t="shared" si="64"/>
        <v>47057</v>
      </c>
      <c r="D407" s="120">
        <f t="shared" si="65"/>
        <v>31</v>
      </c>
      <c r="E407" s="120">
        <f t="shared" si="66"/>
        <v>10</v>
      </c>
      <c r="F407" s="275">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1.01</v>
      </c>
      <c r="P407" s="121">
        <f t="shared" si="77"/>
        <v>0</v>
      </c>
      <c r="Q407" s="121">
        <f t="shared" si="78"/>
        <v>0</v>
      </c>
      <c r="R407" s="121">
        <f t="shared" si="79"/>
        <v>0.20833333333333334</v>
      </c>
      <c r="AE407" s="160">
        <f t="shared" si="80"/>
        <v>1.01</v>
      </c>
    </row>
    <row r="408" spans="1:31" x14ac:dyDescent="0.3">
      <c r="A408" s="187">
        <v>47</v>
      </c>
      <c r="B408" s="242">
        <f t="shared" si="81"/>
        <v>47058</v>
      </c>
      <c r="C408" s="243">
        <f t="shared" si="64"/>
        <v>47087</v>
      </c>
      <c r="D408" s="120">
        <f t="shared" si="65"/>
        <v>30</v>
      </c>
      <c r="E408" s="120">
        <f t="shared" si="66"/>
        <v>11</v>
      </c>
      <c r="F408" s="275">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1.01</v>
      </c>
      <c r="P408" s="121">
        <f t="shared" si="77"/>
        <v>0</v>
      </c>
      <c r="Q408" s="121">
        <f t="shared" si="78"/>
        <v>0</v>
      </c>
      <c r="R408" s="121">
        <f t="shared" si="79"/>
        <v>0.125</v>
      </c>
      <c r="AE408" s="160">
        <f t="shared" si="80"/>
        <v>1.01</v>
      </c>
    </row>
    <row r="409" spans="1:31" x14ac:dyDescent="0.3">
      <c r="A409" s="187">
        <v>48</v>
      </c>
      <c r="B409" s="242">
        <f t="shared" si="81"/>
        <v>47088</v>
      </c>
      <c r="C409" s="243">
        <f t="shared" si="64"/>
        <v>47118</v>
      </c>
      <c r="D409" s="120">
        <f t="shared" si="65"/>
        <v>31</v>
      </c>
      <c r="E409" s="120">
        <f t="shared" si="66"/>
        <v>12</v>
      </c>
      <c r="F409" s="275">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1.01</v>
      </c>
      <c r="P409" s="121">
        <f t="shared" si="77"/>
        <v>0</v>
      </c>
      <c r="Q409" s="121">
        <f t="shared" si="78"/>
        <v>0</v>
      </c>
      <c r="R409" s="121">
        <f t="shared" si="79"/>
        <v>4.1666666666666664E-2</v>
      </c>
      <c r="AE409" s="160">
        <f t="shared" si="80"/>
        <v>1.01</v>
      </c>
    </row>
    <row r="410" spans="1:31" x14ac:dyDescent="0.3">
      <c r="A410" s="23" t="s">
        <v>1723</v>
      </c>
      <c r="B410" s="279">
        <f>SUM($H$386:$H$397)</f>
        <v>12</v>
      </c>
      <c r="C410" s="160">
        <f>SUMPRODUCT($H$386:$H$397,$W$386:$W$397/$N$374:$N$385,$Y$386:$Y$397)</f>
        <v>12.194409891551562</v>
      </c>
      <c r="D410" s="160">
        <f>SUMPRODUCT($H$386:$H$397,$X$386:$X$397/$N$374:$N$385,$Y$386:$Y$397)</f>
        <v>9.1455117172221509</v>
      </c>
      <c r="E410" s="281" t="str">
        <f>IF(OR($D$359=0,$P$359=0,$D410=0),"n/a",((1+$E$359)*$B410-$C410)/$D410)</f>
        <v>n/a</v>
      </c>
      <c r="F410" s="281" t="str">
        <f>IF($V$359&lt;&gt;"",$V$359,$E410)</f>
        <v>n/a</v>
      </c>
      <c r="G410" s="281"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2">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1</v>
      </c>
      <c r="H415" s="220">
        <f>IF($C415=0,1,IF(N(INDEX(lr_m0,$C415))=0,1,INDEX(lr_m0,$C415)))</f>
        <v>0.99</v>
      </c>
      <c r="I415" s="278">
        <f>IF($C415=0,DATE(nr_PlanYear-1,10,1),IF(N(INDEX(lr_m0asof,$C415))=0,DATE(nr_PlanYear-1,10,1),INDEX(lr_m0asof,$C415)))</f>
        <v>46295</v>
      </c>
      <c r="J415" s="220">
        <f>IF($C415=0,1,IF(N(INDEX(lr_m1,$C415))=0,1,INDEX(lr_m1,$C415)))</f>
        <v>0.99</v>
      </c>
      <c r="K415" s="220">
        <f>IF($C415=0,0,N(INDEX(lr_mprior,$C415)))</f>
        <v>0</v>
      </c>
      <c r="L415" s="220">
        <f>IF($C415=0,0,N(INDEX(lr_m2,$C415)))</f>
        <v>0</v>
      </c>
      <c r="M415" s="43">
        <f>IF(OR($A415="",COUNTIF(se_state,$A415)=0),0,MATCH($A415,se_state,0))</f>
        <v>0</v>
      </c>
      <c r="N415" s="279">
        <f>IF($M415=0,0,INDEX(se_sum,$M415))</f>
        <v>0</v>
      </c>
      <c r="O415" s="278">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80">
        <f>IF(ISBLANK('Net Delivery'!$E$12),$Y415,'Net Delivery'!$E$12)</f>
        <v>0.04</v>
      </c>
      <c r="W415" s="43">
        <f>IF($B415="",0,COUNTIFS(rl_key,$B415,rl_status,"planned",rl_eff,"&gt;="&amp;DATE(nr_PlanYear,1,1),rl_eff,"&lt;="&amp;DATE(nr_PlanYear,12,31)))</f>
        <v>1</v>
      </c>
      <c r="X415" s="278">
        <f>IF($W415=0,nd_DefaultDate,SUMIFS(rl_eff,rl_key,$B415,rl_firstplanned,1))</f>
        <v>46539</v>
      </c>
      <c r="Y415" s="280">
        <f>IF($W415=0,"",SUMIFS(rl_reff,rl_key,$B415,rl_firstplanned,1))</f>
        <v>0.04</v>
      </c>
      <c r="Z415" s="280">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5">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0.99</v>
      </c>
      <c r="P418" s="121">
        <f t="shared" ref="P418:P465" si="105">MIN(1,MAX(0,(nr_MEndPm1-$G418+0.5)/nr_TermMonths))-MIN(1,MAX(0,(nr_MStartPm1-1-$G418+0.5)/nr_TermMonths))</f>
        <v>4.166666666666663E-2</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0.99</v>
      </c>
    </row>
    <row r="419" spans="1:31" x14ac:dyDescent="0.3">
      <c r="A419" s="187">
        <v>2</v>
      </c>
      <c r="B419" s="242">
        <f t="shared" ref="B419:B465" si="109">EDATE($B418,1)</f>
        <v>45689</v>
      </c>
      <c r="C419" s="243">
        <f t="shared" si="92"/>
        <v>45716</v>
      </c>
      <c r="D419" s="120">
        <f t="shared" si="93"/>
        <v>28</v>
      </c>
      <c r="E419" s="120">
        <f t="shared" si="94"/>
        <v>2</v>
      </c>
      <c r="F419" s="275">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0.99</v>
      </c>
      <c r="P419" s="121">
        <f t="shared" si="105"/>
        <v>0.125</v>
      </c>
      <c r="Q419" s="121">
        <f t="shared" si="106"/>
        <v>0</v>
      </c>
      <c r="R419" s="121">
        <f t="shared" si="107"/>
        <v>0</v>
      </c>
      <c r="AE419" s="160">
        <f t="shared" si="108"/>
        <v>0.99</v>
      </c>
    </row>
    <row r="420" spans="1:31" x14ac:dyDescent="0.3">
      <c r="A420" s="187">
        <v>3</v>
      </c>
      <c r="B420" s="242">
        <f t="shared" si="109"/>
        <v>45717</v>
      </c>
      <c r="C420" s="243">
        <f t="shared" si="92"/>
        <v>45747</v>
      </c>
      <c r="D420" s="120">
        <f t="shared" si="93"/>
        <v>31</v>
      </c>
      <c r="E420" s="120">
        <f t="shared" si="94"/>
        <v>3</v>
      </c>
      <c r="F420" s="275">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0.99</v>
      </c>
      <c r="P420" s="121">
        <f t="shared" si="105"/>
        <v>0.20833333333333337</v>
      </c>
      <c r="Q420" s="121">
        <f t="shared" si="106"/>
        <v>0</v>
      </c>
      <c r="R420" s="121">
        <f t="shared" si="107"/>
        <v>0</v>
      </c>
      <c r="AE420" s="160">
        <f t="shared" si="108"/>
        <v>0.99</v>
      </c>
    </row>
    <row r="421" spans="1:31" x14ac:dyDescent="0.3">
      <c r="A421" s="187">
        <v>4</v>
      </c>
      <c r="B421" s="242">
        <f t="shared" si="109"/>
        <v>45748</v>
      </c>
      <c r="C421" s="243">
        <f t="shared" si="92"/>
        <v>45777</v>
      </c>
      <c r="D421" s="120">
        <f t="shared" si="93"/>
        <v>30</v>
      </c>
      <c r="E421" s="120">
        <f t="shared" si="94"/>
        <v>4</v>
      </c>
      <c r="F421" s="275">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0.99</v>
      </c>
      <c r="P421" s="121">
        <f t="shared" si="105"/>
        <v>0.29166666666666663</v>
      </c>
      <c r="Q421" s="121">
        <f t="shared" si="106"/>
        <v>0</v>
      </c>
      <c r="R421" s="121">
        <f t="shared" si="107"/>
        <v>0</v>
      </c>
      <c r="AE421" s="160">
        <f t="shared" si="108"/>
        <v>0.99</v>
      </c>
    </row>
    <row r="422" spans="1:31" x14ac:dyDescent="0.3">
      <c r="A422" s="187">
        <v>5</v>
      </c>
      <c r="B422" s="242">
        <f t="shared" si="109"/>
        <v>45778</v>
      </c>
      <c r="C422" s="243">
        <f t="shared" si="92"/>
        <v>45808</v>
      </c>
      <c r="D422" s="120">
        <f t="shared" si="93"/>
        <v>31</v>
      </c>
      <c r="E422" s="120">
        <f t="shared" si="94"/>
        <v>5</v>
      </c>
      <c r="F422" s="275">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0.99</v>
      </c>
      <c r="P422" s="121">
        <f t="shared" si="105"/>
        <v>0.375</v>
      </c>
      <c r="Q422" s="121">
        <f t="shared" si="106"/>
        <v>0</v>
      </c>
      <c r="R422" s="121">
        <f t="shared" si="107"/>
        <v>0</v>
      </c>
      <c r="AE422" s="160">
        <f t="shared" si="108"/>
        <v>0.99</v>
      </c>
    </row>
    <row r="423" spans="1:31" x14ac:dyDescent="0.3">
      <c r="A423" s="187">
        <v>6</v>
      </c>
      <c r="B423" s="242">
        <f t="shared" si="109"/>
        <v>45809</v>
      </c>
      <c r="C423" s="243">
        <f t="shared" si="92"/>
        <v>45838</v>
      </c>
      <c r="D423" s="120">
        <f t="shared" si="93"/>
        <v>30</v>
      </c>
      <c r="E423" s="120">
        <f t="shared" si="94"/>
        <v>6</v>
      </c>
      <c r="F423" s="275">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0.99</v>
      </c>
      <c r="P423" s="121">
        <f t="shared" si="105"/>
        <v>0.45833333333333337</v>
      </c>
      <c r="Q423" s="121">
        <f t="shared" si="106"/>
        <v>0</v>
      </c>
      <c r="R423" s="121">
        <f t="shared" si="107"/>
        <v>0</v>
      </c>
      <c r="AE423" s="160">
        <f t="shared" si="108"/>
        <v>0.99</v>
      </c>
    </row>
    <row r="424" spans="1:31" x14ac:dyDescent="0.3">
      <c r="A424" s="187">
        <v>7</v>
      </c>
      <c r="B424" s="242">
        <f t="shared" si="109"/>
        <v>45839</v>
      </c>
      <c r="C424" s="243">
        <f t="shared" si="92"/>
        <v>45869</v>
      </c>
      <c r="D424" s="120">
        <f t="shared" si="93"/>
        <v>31</v>
      </c>
      <c r="E424" s="120">
        <f t="shared" si="94"/>
        <v>7</v>
      </c>
      <c r="F424" s="275">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0.99</v>
      </c>
      <c r="P424" s="121">
        <f t="shared" si="105"/>
        <v>0.54166666666666674</v>
      </c>
      <c r="Q424" s="121">
        <f t="shared" si="106"/>
        <v>0</v>
      </c>
      <c r="R424" s="121">
        <f t="shared" si="107"/>
        <v>0</v>
      </c>
      <c r="AE424" s="160">
        <f t="shared" si="108"/>
        <v>0.99</v>
      </c>
    </row>
    <row r="425" spans="1:31" x14ac:dyDescent="0.3">
      <c r="A425" s="187">
        <v>8</v>
      </c>
      <c r="B425" s="242">
        <f t="shared" si="109"/>
        <v>45870</v>
      </c>
      <c r="C425" s="243">
        <f t="shared" si="92"/>
        <v>45900</v>
      </c>
      <c r="D425" s="120">
        <f t="shared" si="93"/>
        <v>31</v>
      </c>
      <c r="E425" s="120">
        <f t="shared" si="94"/>
        <v>8</v>
      </c>
      <c r="F425" s="275">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0.99</v>
      </c>
      <c r="P425" s="121">
        <f t="shared" si="105"/>
        <v>0.625</v>
      </c>
      <c r="Q425" s="121">
        <f t="shared" si="106"/>
        <v>0</v>
      </c>
      <c r="R425" s="121">
        <f t="shared" si="107"/>
        <v>0</v>
      </c>
      <c r="AE425" s="160">
        <f t="shared" si="108"/>
        <v>0.99</v>
      </c>
    </row>
    <row r="426" spans="1:31" x14ac:dyDescent="0.3">
      <c r="A426" s="187">
        <v>9</v>
      </c>
      <c r="B426" s="242">
        <f t="shared" si="109"/>
        <v>45901</v>
      </c>
      <c r="C426" s="243">
        <f t="shared" si="92"/>
        <v>45930</v>
      </c>
      <c r="D426" s="120">
        <f t="shared" si="93"/>
        <v>30</v>
      </c>
      <c r="E426" s="120">
        <f t="shared" si="94"/>
        <v>9</v>
      </c>
      <c r="F426" s="275">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0.99</v>
      </c>
      <c r="P426" s="121">
        <f t="shared" si="105"/>
        <v>0.70833333333333326</v>
      </c>
      <c r="Q426" s="121">
        <f t="shared" si="106"/>
        <v>0</v>
      </c>
      <c r="R426" s="121">
        <f t="shared" si="107"/>
        <v>0</v>
      </c>
      <c r="AE426" s="160">
        <f t="shared" si="108"/>
        <v>0.99</v>
      </c>
    </row>
    <row r="427" spans="1:31" x14ac:dyDescent="0.3">
      <c r="A427" s="187">
        <v>10</v>
      </c>
      <c r="B427" s="242">
        <f t="shared" si="109"/>
        <v>45931</v>
      </c>
      <c r="C427" s="243">
        <f t="shared" si="92"/>
        <v>45961</v>
      </c>
      <c r="D427" s="120">
        <f t="shared" si="93"/>
        <v>31</v>
      </c>
      <c r="E427" s="120">
        <f t="shared" si="94"/>
        <v>10</v>
      </c>
      <c r="F427" s="275">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0.99</v>
      </c>
      <c r="P427" s="121">
        <f t="shared" si="105"/>
        <v>0.79166666666666663</v>
      </c>
      <c r="Q427" s="121">
        <f t="shared" si="106"/>
        <v>0</v>
      </c>
      <c r="R427" s="121">
        <f t="shared" si="107"/>
        <v>0</v>
      </c>
      <c r="AE427" s="160">
        <f t="shared" si="108"/>
        <v>0.99</v>
      </c>
    </row>
    <row r="428" spans="1:31" x14ac:dyDescent="0.3">
      <c r="A428" s="187">
        <v>11</v>
      </c>
      <c r="B428" s="242">
        <f t="shared" si="109"/>
        <v>45962</v>
      </c>
      <c r="C428" s="243">
        <f t="shared" si="92"/>
        <v>45991</v>
      </c>
      <c r="D428" s="120">
        <f t="shared" si="93"/>
        <v>30</v>
      </c>
      <c r="E428" s="120">
        <f t="shared" si="94"/>
        <v>11</v>
      </c>
      <c r="F428" s="275">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0.99</v>
      </c>
      <c r="P428" s="121">
        <f t="shared" si="105"/>
        <v>0.875</v>
      </c>
      <c r="Q428" s="121">
        <f t="shared" si="106"/>
        <v>0</v>
      </c>
      <c r="R428" s="121">
        <f t="shared" si="107"/>
        <v>0</v>
      </c>
      <c r="AE428" s="160">
        <f t="shared" si="108"/>
        <v>0.99</v>
      </c>
    </row>
    <row r="429" spans="1:31" x14ac:dyDescent="0.3">
      <c r="A429" s="187">
        <v>12</v>
      </c>
      <c r="B429" s="242">
        <f t="shared" si="109"/>
        <v>45992</v>
      </c>
      <c r="C429" s="243">
        <f t="shared" si="92"/>
        <v>46022</v>
      </c>
      <c r="D429" s="120">
        <f t="shared" si="93"/>
        <v>31</v>
      </c>
      <c r="E429" s="120">
        <f t="shared" si="94"/>
        <v>12</v>
      </c>
      <c r="F429" s="275">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0.99</v>
      </c>
      <c r="P429" s="121">
        <f t="shared" si="105"/>
        <v>0.95833333333333337</v>
      </c>
      <c r="Q429" s="121">
        <f t="shared" si="106"/>
        <v>0</v>
      </c>
      <c r="R429" s="121">
        <f t="shared" si="107"/>
        <v>0</v>
      </c>
      <c r="AE429" s="160">
        <f t="shared" si="108"/>
        <v>0.99</v>
      </c>
    </row>
    <row r="430" spans="1:31" x14ac:dyDescent="0.3">
      <c r="A430" s="187">
        <v>13</v>
      </c>
      <c r="B430" s="242">
        <f t="shared" si="109"/>
        <v>46023</v>
      </c>
      <c r="C430" s="243">
        <f t="shared" si="92"/>
        <v>46053</v>
      </c>
      <c r="D430" s="120">
        <f t="shared" si="93"/>
        <v>31</v>
      </c>
      <c r="E430" s="120">
        <f t="shared" si="94"/>
        <v>1</v>
      </c>
      <c r="F430" s="275">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0.99</v>
      </c>
      <c r="P430" s="121">
        <f t="shared" si="105"/>
        <v>0.95833333333333337</v>
      </c>
      <c r="Q430" s="121">
        <f t="shared" si="106"/>
        <v>4.166666666666663E-2</v>
      </c>
      <c r="R430" s="121">
        <f t="shared" si="107"/>
        <v>0</v>
      </c>
      <c r="AE430" s="160">
        <f t="shared" si="108"/>
        <v>0.99</v>
      </c>
    </row>
    <row r="431" spans="1:31" x14ac:dyDescent="0.3">
      <c r="A431" s="187">
        <v>14</v>
      </c>
      <c r="B431" s="242">
        <f t="shared" si="109"/>
        <v>46054</v>
      </c>
      <c r="C431" s="243">
        <f t="shared" si="92"/>
        <v>46081</v>
      </c>
      <c r="D431" s="120">
        <f t="shared" si="93"/>
        <v>28</v>
      </c>
      <c r="E431" s="120">
        <f t="shared" si="94"/>
        <v>2</v>
      </c>
      <c r="F431" s="275">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0.99</v>
      </c>
      <c r="P431" s="121">
        <f t="shared" si="105"/>
        <v>0.875</v>
      </c>
      <c r="Q431" s="121">
        <f t="shared" si="106"/>
        <v>0.125</v>
      </c>
      <c r="R431" s="121">
        <f t="shared" si="107"/>
        <v>0</v>
      </c>
      <c r="AE431" s="160">
        <f t="shared" si="108"/>
        <v>0.99</v>
      </c>
    </row>
    <row r="432" spans="1:31" x14ac:dyDescent="0.3">
      <c r="A432" s="187">
        <v>15</v>
      </c>
      <c r="B432" s="242">
        <f t="shared" si="109"/>
        <v>46082</v>
      </c>
      <c r="C432" s="243">
        <f t="shared" si="92"/>
        <v>46112</v>
      </c>
      <c r="D432" s="120">
        <f t="shared" si="93"/>
        <v>31</v>
      </c>
      <c r="E432" s="120">
        <f t="shared" si="94"/>
        <v>3</v>
      </c>
      <c r="F432" s="275">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0.99</v>
      </c>
      <c r="P432" s="121">
        <f t="shared" si="105"/>
        <v>0.79166666666666663</v>
      </c>
      <c r="Q432" s="121">
        <f t="shared" si="106"/>
        <v>0.20833333333333337</v>
      </c>
      <c r="R432" s="121">
        <f t="shared" si="107"/>
        <v>0</v>
      </c>
      <c r="AE432" s="160">
        <f t="shared" si="108"/>
        <v>0.99</v>
      </c>
    </row>
    <row r="433" spans="1:35" x14ac:dyDescent="0.3">
      <c r="A433" s="187">
        <v>16</v>
      </c>
      <c r="B433" s="242">
        <f t="shared" si="109"/>
        <v>46113</v>
      </c>
      <c r="C433" s="243">
        <f t="shared" si="92"/>
        <v>46142</v>
      </c>
      <c r="D433" s="120">
        <f t="shared" si="93"/>
        <v>30</v>
      </c>
      <c r="E433" s="120">
        <f t="shared" si="94"/>
        <v>4</v>
      </c>
      <c r="F433" s="275">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0.99</v>
      </c>
      <c r="P433" s="121">
        <f t="shared" si="105"/>
        <v>0.70833333333333337</v>
      </c>
      <c r="Q433" s="121">
        <f t="shared" si="106"/>
        <v>0.29166666666666663</v>
      </c>
      <c r="R433" s="121">
        <f t="shared" si="107"/>
        <v>0</v>
      </c>
      <c r="AE433" s="160">
        <f t="shared" si="108"/>
        <v>0.99</v>
      </c>
    </row>
    <row r="434" spans="1:35" x14ac:dyDescent="0.3">
      <c r="A434" s="187">
        <v>17</v>
      </c>
      <c r="B434" s="242">
        <f t="shared" si="109"/>
        <v>46143</v>
      </c>
      <c r="C434" s="243">
        <f t="shared" si="92"/>
        <v>46173</v>
      </c>
      <c r="D434" s="120">
        <f t="shared" si="93"/>
        <v>31</v>
      </c>
      <c r="E434" s="120">
        <f t="shared" si="94"/>
        <v>5</v>
      </c>
      <c r="F434" s="275">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0.99</v>
      </c>
      <c r="P434" s="121">
        <f t="shared" si="105"/>
        <v>0.625</v>
      </c>
      <c r="Q434" s="121">
        <f t="shared" si="106"/>
        <v>0.375</v>
      </c>
      <c r="R434" s="121">
        <f t="shared" si="107"/>
        <v>0</v>
      </c>
      <c r="AE434" s="160">
        <f t="shared" si="108"/>
        <v>0.99</v>
      </c>
    </row>
    <row r="435" spans="1:35" x14ac:dyDescent="0.3">
      <c r="A435" s="187">
        <v>18</v>
      </c>
      <c r="B435" s="242">
        <f t="shared" si="109"/>
        <v>46174</v>
      </c>
      <c r="C435" s="243">
        <f t="shared" si="92"/>
        <v>46203</v>
      </c>
      <c r="D435" s="120">
        <f t="shared" si="93"/>
        <v>30</v>
      </c>
      <c r="E435" s="120">
        <f t="shared" si="94"/>
        <v>6</v>
      </c>
      <c r="F435" s="275">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0.99</v>
      </c>
      <c r="P435" s="121">
        <f t="shared" si="105"/>
        <v>0.54166666666666663</v>
      </c>
      <c r="Q435" s="121">
        <f t="shared" si="106"/>
        <v>0.45833333333333337</v>
      </c>
      <c r="R435" s="121">
        <f t="shared" si="107"/>
        <v>0</v>
      </c>
      <c r="AE435" s="160">
        <f t="shared" si="108"/>
        <v>0.99</v>
      </c>
    </row>
    <row r="436" spans="1:35" x14ac:dyDescent="0.3">
      <c r="A436" s="187">
        <v>19</v>
      </c>
      <c r="B436" s="242">
        <f t="shared" si="109"/>
        <v>46204</v>
      </c>
      <c r="C436" s="243">
        <f t="shared" si="92"/>
        <v>46234</v>
      </c>
      <c r="D436" s="120">
        <f t="shared" si="93"/>
        <v>31</v>
      </c>
      <c r="E436" s="120">
        <f t="shared" si="94"/>
        <v>7</v>
      </c>
      <c r="F436" s="275">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0.99</v>
      </c>
      <c r="P436" s="121">
        <f t="shared" si="105"/>
        <v>0.45833333333333331</v>
      </c>
      <c r="Q436" s="121">
        <f t="shared" si="106"/>
        <v>0.54166666666666674</v>
      </c>
      <c r="R436" s="121">
        <f t="shared" si="107"/>
        <v>0</v>
      </c>
      <c r="AE436" s="160">
        <f t="shared" si="108"/>
        <v>0.99</v>
      </c>
    </row>
    <row r="437" spans="1:35" x14ac:dyDescent="0.3">
      <c r="A437" s="187">
        <v>20</v>
      </c>
      <c r="B437" s="242">
        <f t="shared" si="109"/>
        <v>46235</v>
      </c>
      <c r="C437" s="243">
        <f t="shared" si="92"/>
        <v>46265</v>
      </c>
      <c r="D437" s="120">
        <f t="shared" si="93"/>
        <v>31</v>
      </c>
      <c r="E437" s="120">
        <f t="shared" si="94"/>
        <v>8</v>
      </c>
      <c r="F437" s="275">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0.99</v>
      </c>
      <c r="P437" s="121">
        <f t="shared" si="105"/>
        <v>0.375</v>
      </c>
      <c r="Q437" s="121">
        <f t="shared" si="106"/>
        <v>0.625</v>
      </c>
      <c r="R437" s="121">
        <f t="shared" si="107"/>
        <v>0</v>
      </c>
      <c r="AE437" s="160">
        <f t="shared" si="108"/>
        <v>0.99</v>
      </c>
    </row>
    <row r="438" spans="1:35" x14ac:dyDescent="0.3">
      <c r="A438" s="187">
        <v>21</v>
      </c>
      <c r="B438" s="242">
        <f t="shared" si="109"/>
        <v>46266</v>
      </c>
      <c r="C438" s="243">
        <f t="shared" si="92"/>
        <v>46295</v>
      </c>
      <c r="D438" s="120">
        <f t="shared" si="93"/>
        <v>30</v>
      </c>
      <c r="E438" s="120">
        <f t="shared" si="94"/>
        <v>9</v>
      </c>
      <c r="F438" s="275">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0.99</v>
      </c>
      <c r="P438" s="121">
        <f t="shared" si="105"/>
        <v>0.29166666666666669</v>
      </c>
      <c r="Q438" s="121">
        <f t="shared" si="106"/>
        <v>0.70833333333333326</v>
      </c>
      <c r="R438" s="121">
        <f t="shared" si="107"/>
        <v>0</v>
      </c>
      <c r="AE438" s="160">
        <f t="shared" si="108"/>
        <v>0.99</v>
      </c>
    </row>
    <row r="439" spans="1:35" x14ac:dyDescent="0.3">
      <c r="A439" s="187">
        <v>22</v>
      </c>
      <c r="B439" s="242">
        <f t="shared" si="109"/>
        <v>46296</v>
      </c>
      <c r="C439" s="243">
        <f t="shared" si="92"/>
        <v>46326</v>
      </c>
      <c r="D439" s="120">
        <f t="shared" si="93"/>
        <v>31</v>
      </c>
      <c r="E439" s="120">
        <f t="shared" si="94"/>
        <v>10</v>
      </c>
      <c r="F439" s="275">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0.99</v>
      </c>
      <c r="P439" s="121">
        <f t="shared" si="105"/>
        <v>0.20833333333333334</v>
      </c>
      <c r="Q439" s="121">
        <f t="shared" si="106"/>
        <v>0.79166666666666663</v>
      </c>
      <c r="R439" s="121">
        <f t="shared" si="107"/>
        <v>0</v>
      </c>
      <c r="AE439" s="160">
        <f t="shared" si="108"/>
        <v>1.0098</v>
      </c>
    </row>
    <row r="440" spans="1:35" x14ac:dyDescent="0.3">
      <c r="A440" s="187">
        <v>23</v>
      </c>
      <c r="B440" s="242">
        <f t="shared" si="109"/>
        <v>46327</v>
      </c>
      <c r="C440" s="243">
        <f t="shared" si="92"/>
        <v>46356</v>
      </c>
      <c r="D440" s="120">
        <f t="shared" si="93"/>
        <v>30</v>
      </c>
      <c r="E440" s="120">
        <f t="shared" si="94"/>
        <v>11</v>
      </c>
      <c r="F440" s="275">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0.99</v>
      </c>
      <c r="P440" s="121">
        <f t="shared" si="105"/>
        <v>0.125</v>
      </c>
      <c r="Q440" s="121">
        <f t="shared" si="106"/>
        <v>0.875</v>
      </c>
      <c r="R440" s="121">
        <f t="shared" si="107"/>
        <v>0</v>
      </c>
      <c r="AE440" s="160">
        <f t="shared" si="108"/>
        <v>1.0098</v>
      </c>
    </row>
    <row r="441" spans="1:35" x14ac:dyDescent="0.3">
      <c r="A441" s="187">
        <v>24</v>
      </c>
      <c r="B441" s="242">
        <f t="shared" si="109"/>
        <v>46357</v>
      </c>
      <c r="C441" s="243">
        <f t="shared" si="92"/>
        <v>46387</v>
      </c>
      <c r="D441" s="120">
        <f t="shared" si="93"/>
        <v>31</v>
      </c>
      <c r="E441" s="120">
        <f t="shared" si="94"/>
        <v>12</v>
      </c>
      <c r="F441" s="275">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0.99</v>
      </c>
      <c r="P441" s="121">
        <f t="shared" si="105"/>
        <v>4.1666666666666664E-2</v>
      </c>
      <c r="Q441" s="121">
        <f t="shared" si="106"/>
        <v>0.95833333333333337</v>
      </c>
      <c r="R441" s="121">
        <f t="shared" si="107"/>
        <v>0</v>
      </c>
      <c r="AE441" s="160">
        <f t="shared" si="108"/>
        <v>1.0098</v>
      </c>
    </row>
    <row r="442" spans="1:35" x14ac:dyDescent="0.3">
      <c r="A442" s="187">
        <v>25</v>
      </c>
      <c r="B442" s="242">
        <f t="shared" si="109"/>
        <v>46388</v>
      </c>
      <c r="C442" s="243">
        <f t="shared" si="92"/>
        <v>46418</v>
      </c>
      <c r="D442" s="120">
        <f t="shared" si="93"/>
        <v>31</v>
      </c>
      <c r="E442" s="120">
        <f t="shared" si="94"/>
        <v>1</v>
      </c>
      <c r="F442" s="275">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0.99</v>
      </c>
      <c r="P442" s="121">
        <f t="shared" si="105"/>
        <v>0</v>
      </c>
      <c r="Q442" s="121">
        <f t="shared" si="106"/>
        <v>0.95833333333333337</v>
      </c>
      <c r="R442" s="121">
        <f t="shared" si="107"/>
        <v>4.166666666666663E-2</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0.75712253829321663</v>
      </c>
      <c r="AD442" s="160">
        <f t="shared" ref="AD442:AD453" si="115">$H442*($W442+$X442*IF(ISNUMBER($F$466),$F$466,0))/($N430*$O430)</f>
        <v>1.0303030303030303</v>
      </c>
      <c r="AE442" s="160">
        <f t="shared" si="108"/>
        <v>0.99511682656911915</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5">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0.99</v>
      </c>
      <c r="P443" s="121">
        <f t="shared" si="105"/>
        <v>0</v>
      </c>
      <c r="Q443" s="121">
        <f t="shared" si="106"/>
        <v>0.875</v>
      </c>
      <c r="R443" s="121">
        <f t="shared" si="107"/>
        <v>0.125</v>
      </c>
      <c r="W443" s="160">
        <f t="shared" si="110"/>
        <v>1.02</v>
      </c>
      <c r="X443" s="160">
        <f t="shared" si="111"/>
        <v>0</v>
      </c>
      <c r="Y443" s="160">
        <f t="shared" si="112"/>
        <v>1</v>
      </c>
      <c r="AB443" s="160">
        <f t="shared" si="113"/>
        <v>0.29978118161925604</v>
      </c>
      <c r="AC443" s="220">
        <f t="shared" si="114"/>
        <v>0.69321663019693647</v>
      </c>
      <c r="AD443" s="160">
        <f t="shared" si="115"/>
        <v>1.0303030303030303</v>
      </c>
      <c r="AE443" s="160">
        <f t="shared" si="108"/>
        <v>0.99108749060436574</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5">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0.99</v>
      </c>
      <c r="P444" s="121">
        <f t="shared" si="105"/>
        <v>0</v>
      </c>
      <c r="Q444" s="121">
        <f t="shared" si="106"/>
        <v>0.79166666666666663</v>
      </c>
      <c r="R444" s="121">
        <f t="shared" si="107"/>
        <v>0.20833333333333337</v>
      </c>
      <c r="W444" s="160">
        <f t="shared" si="110"/>
        <v>1.02</v>
      </c>
      <c r="X444" s="160">
        <f t="shared" si="111"/>
        <v>0</v>
      </c>
      <c r="Y444" s="160">
        <f t="shared" si="112"/>
        <v>1</v>
      </c>
      <c r="AB444" s="160">
        <f t="shared" si="113"/>
        <v>0.36433260393873085</v>
      </c>
      <c r="AC444" s="220">
        <f t="shared" si="114"/>
        <v>0.62931072210065642</v>
      </c>
      <c r="AD444" s="160">
        <f t="shared" si="115"/>
        <v>1.0303030303030303</v>
      </c>
      <c r="AE444" s="160">
        <f t="shared" si="108"/>
        <v>0.98705815463961233</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5">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0.99</v>
      </c>
      <c r="P445" s="121">
        <f t="shared" si="105"/>
        <v>0</v>
      </c>
      <c r="Q445" s="121">
        <f t="shared" si="106"/>
        <v>0.70833333333333337</v>
      </c>
      <c r="R445" s="121">
        <f t="shared" si="107"/>
        <v>0.29166666666666663</v>
      </c>
      <c r="W445" s="160">
        <f t="shared" si="110"/>
        <v>1.02</v>
      </c>
      <c r="X445" s="160">
        <f t="shared" si="111"/>
        <v>0</v>
      </c>
      <c r="Y445" s="160">
        <f t="shared" si="112"/>
        <v>1</v>
      </c>
      <c r="AB445" s="160">
        <f t="shared" si="113"/>
        <v>0.4310722100656455</v>
      </c>
      <c r="AC445" s="220">
        <f t="shared" si="114"/>
        <v>0.56323851203501096</v>
      </c>
      <c r="AD445" s="160">
        <f t="shared" si="115"/>
        <v>1.0303030303030303</v>
      </c>
      <c r="AE445" s="160">
        <f t="shared" si="108"/>
        <v>0.98289223101503687</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5">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0.99</v>
      </c>
      <c r="P446" s="121">
        <f t="shared" si="105"/>
        <v>0</v>
      </c>
      <c r="Q446" s="121">
        <f t="shared" si="106"/>
        <v>0.625</v>
      </c>
      <c r="R446" s="121">
        <f t="shared" si="107"/>
        <v>0.375</v>
      </c>
      <c r="W446" s="160">
        <f t="shared" si="110"/>
        <v>1.02</v>
      </c>
      <c r="X446" s="160">
        <f t="shared" si="111"/>
        <v>0</v>
      </c>
      <c r="Y446" s="160">
        <f t="shared" si="112"/>
        <v>1</v>
      </c>
      <c r="AB446" s="160">
        <f t="shared" si="113"/>
        <v>0.49781181619256015</v>
      </c>
      <c r="AC446" s="220">
        <f t="shared" si="114"/>
        <v>0.4971663019693654</v>
      </c>
      <c r="AD446" s="160">
        <f t="shared" si="115"/>
        <v>1.0303030303030303</v>
      </c>
      <c r="AE446" s="160">
        <f t="shared" si="108"/>
        <v>0.97872630739046129</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5">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0.99</v>
      </c>
      <c r="P447" s="121">
        <f t="shared" si="105"/>
        <v>0</v>
      </c>
      <c r="Q447" s="121">
        <f t="shared" si="106"/>
        <v>0.54166666666666663</v>
      </c>
      <c r="R447" s="121">
        <f t="shared" si="107"/>
        <v>0.45833333333333337</v>
      </c>
      <c r="W447" s="160">
        <f t="shared" si="110"/>
        <v>1.02</v>
      </c>
      <c r="X447" s="160">
        <f t="shared" si="111"/>
        <v>1.02</v>
      </c>
      <c r="Y447" s="160">
        <f t="shared" si="112"/>
        <v>1</v>
      </c>
      <c r="AB447" s="160">
        <f t="shared" si="113"/>
        <v>0.56455142231947486</v>
      </c>
      <c r="AC447" s="220">
        <f t="shared" si="114"/>
        <v>0.43109409190371989</v>
      </c>
      <c r="AD447" s="160">
        <f t="shared" si="115"/>
        <v>1.0715151515151515</v>
      </c>
      <c r="AE447" s="160">
        <f t="shared" si="108"/>
        <v>1.0135427991165213</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5">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0.99</v>
      </c>
      <c r="P448" s="121">
        <f t="shared" si="105"/>
        <v>0</v>
      </c>
      <c r="Q448" s="121">
        <f t="shared" si="106"/>
        <v>0.45833333333333331</v>
      </c>
      <c r="R448" s="121">
        <f t="shared" si="107"/>
        <v>0.54166666666666674</v>
      </c>
      <c r="W448" s="160">
        <f t="shared" si="110"/>
        <v>1.02</v>
      </c>
      <c r="X448" s="160">
        <f t="shared" si="111"/>
        <v>1.02</v>
      </c>
      <c r="Y448" s="160">
        <f t="shared" si="112"/>
        <v>1</v>
      </c>
      <c r="AB448" s="160">
        <f t="shared" si="113"/>
        <v>0.63129102844638951</v>
      </c>
      <c r="AC448" s="220">
        <f t="shared" si="114"/>
        <v>0.36502188183807438</v>
      </c>
      <c r="AD448" s="160">
        <f t="shared" si="115"/>
        <v>1.0715151515151515</v>
      </c>
      <c r="AE448" s="160">
        <f t="shared" si="108"/>
        <v>1.0092102385469628</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5">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0.99</v>
      </c>
      <c r="P449" s="121">
        <f t="shared" si="105"/>
        <v>0</v>
      </c>
      <c r="Q449" s="121">
        <f t="shared" si="106"/>
        <v>0.375</v>
      </c>
      <c r="R449" s="121">
        <f t="shared" si="107"/>
        <v>0.625</v>
      </c>
      <c r="W449" s="160">
        <f t="shared" si="110"/>
        <v>1.02</v>
      </c>
      <c r="X449" s="160">
        <f t="shared" si="111"/>
        <v>1.02</v>
      </c>
      <c r="Y449" s="160">
        <f t="shared" si="112"/>
        <v>1</v>
      </c>
      <c r="AB449" s="160">
        <f t="shared" si="113"/>
        <v>0.69912472647702406</v>
      </c>
      <c r="AC449" s="220">
        <f t="shared" si="114"/>
        <v>0.29786652078774617</v>
      </c>
      <c r="AD449" s="160">
        <f t="shared" si="115"/>
        <v>1.0715151515151515</v>
      </c>
      <c r="AE449" s="160">
        <f t="shared" si="108"/>
        <v>1.0048066523942967</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5">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0.99</v>
      </c>
      <c r="P450" s="121">
        <f t="shared" si="105"/>
        <v>0</v>
      </c>
      <c r="Q450" s="121">
        <f t="shared" si="106"/>
        <v>0.29166666666666669</v>
      </c>
      <c r="R450" s="121">
        <f t="shared" si="107"/>
        <v>0.70833333333333326</v>
      </c>
      <c r="W450" s="160">
        <f t="shared" si="110"/>
        <v>1.02</v>
      </c>
      <c r="X450" s="160">
        <f t="shared" si="111"/>
        <v>1.02</v>
      </c>
      <c r="Y450" s="160">
        <f t="shared" si="112"/>
        <v>1</v>
      </c>
      <c r="AB450" s="160">
        <f t="shared" si="113"/>
        <v>0.76586433260393871</v>
      </c>
      <c r="AC450" s="220">
        <f t="shared" si="114"/>
        <v>0.23179431072210066</v>
      </c>
      <c r="AD450" s="160">
        <f t="shared" si="115"/>
        <v>1.0715151515151515</v>
      </c>
      <c r="AE450" s="160">
        <f t="shared" si="108"/>
        <v>1.0004740918247381</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5">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0.99</v>
      </c>
      <c r="P451" s="121">
        <f t="shared" si="105"/>
        <v>0</v>
      </c>
      <c r="Q451" s="121">
        <f t="shared" si="106"/>
        <v>0.20833333333333334</v>
      </c>
      <c r="R451" s="121">
        <f t="shared" si="107"/>
        <v>0.79166666666666663</v>
      </c>
      <c r="W451" s="160">
        <f t="shared" si="110"/>
        <v>1.02</v>
      </c>
      <c r="X451" s="160">
        <f t="shared" si="111"/>
        <v>1.02</v>
      </c>
      <c r="Y451" s="160">
        <f t="shared" si="112"/>
        <v>1</v>
      </c>
      <c r="AB451" s="160">
        <f t="shared" si="113"/>
        <v>0.83260393873085337</v>
      </c>
      <c r="AC451" s="220">
        <f t="shared" si="114"/>
        <v>0.16572210065645518</v>
      </c>
      <c r="AD451" s="160">
        <f t="shared" si="115"/>
        <v>1.0505050505050504</v>
      </c>
      <c r="AE451" s="160">
        <f t="shared" si="108"/>
        <v>0.99614153125517968</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5">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0.99</v>
      </c>
      <c r="P452" s="121">
        <f t="shared" si="105"/>
        <v>0</v>
      </c>
      <c r="Q452" s="121">
        <f t="shared" si="106"/>
        <v>0.125</v>
      </c>
      <c r="R452" s="121">
        <f t="shared" si="107"/>
        <v>0.875</v>
      </c>
      <c r="W452" s="160">
        <f t="shared" si="110"/>
        <v>1.02</v>
      </c>
      <c r="X452" s="160">
        <f t="shared" si="111"/>
        <v>1.02</v>
      </c>
      <c r="Y452" s="160">
        <f t="shared" si="112"/>
        <v>1</v>
      </c>
      <c r="AB452" s="160">
        <f t="shared" si="113"/>
        <v>0.89934354485776802</v>
      </c>
      <c r="AC452" s="220">
        <f t="shared" si="114"/>
        <v>9.9649890590809656E-2</v>
      </c>
      <c r="AD452" s="160">
        <f t="shared" si="115"/>
        <v>1.0505050505050504</v>
      </c>
      <c r="AE452" s="160">
        <f t="shared" si="108"/>
        <v>0.99180897068562113</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5">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0.99</v>
      </c>
      <c r="P453" s="121">
        <f t="shared" si="105"/>
        <v>0</v>
      </c>
      <c r="Q453" s="121">
        <f t="shared" si="106"/>
        <v>4.1666666666666664E-2</v>
      </c>
      <c r="R453" s="121">
        <f t="shared" si="107"/>
        <v>0.95833333333333337</v>
      </c>
      <c r="W453" s="160">
        <f t="shared" si="110"/>
        <v>1.02</v>
      </c>
      <c r="X453" s="160">
        <f t="shared" si="111"/>
        <v>1.02</v>
      </c>
      <c r="Y453" s="160">
        <f t="shared" si="112"/>
        <v>1</v>
      </c>
      <c r="AB453" s="160">
        <f t="shared" si="113"/>
        <v>0.96608315098468267</v>
      </c>
      <c r="AC453" s="220">
        <f t="shared" si="114"/>
        <v>3.3577680525164154E-2</v>
      </c>
      <c r="AD453" s="160">
        <f t="shared" si="115"/>
        <v>1.0505050505050504</v>
      </c>
      <c r="AE453" s="160">
        <f t="shared" si="108"/>
        <v>0.98747641011606269</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5">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0.99</v>
      </c>
      <c r="P454" s="121">
        <f t="shared" si="105"/>
        <v>0</v>
      </c>
      <c r="Q454" s="121">
        <f t="shared" si="106"/>
        <v>0</v>
      </c>
      <c r="R454" s="121">
        <f t="shared" si="107"/>
        <v>0.95833333333333337</v>
      </c>
      <c r="AE454" s="160">
        <f t="shared" si="108"/>
        <v>1.0098</v>
      </c>
    </row>
    <row r="455" spans="1:35" x14ac:dyDescent="0.3">
      <c r="A455" s="187">
        <v>38</v>
      </c>
      <c r="B455" s="242">
        <f t="shared" si="109"/>
        <v>46784</v>
      </c>
      <c r="C455" s="243">
        <f t="shared" si="92"/>
        <v>46812</v>
      </c>
      <c r="D455" s="120">
        <f t="shared" si="93"/>
        <v>29</v>
      </c>
      <c r="E455" s="120">
        <f t="shared" si="94"/>
        <v>2</v>
      </c>
      <c r="F455" s="275">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0.99</v>
      </c>
      <c r="P455" s="121">
        <f t="shared" si="105"/>
        <v>0</v>
      </c>
      <c r="Q455" s="121">
        <f t="shared" si="106"/>
        <v>0</v>
      </c>
      <c r="R455" s="121">
        <f t="shared" si="107"/>
        <v>0.875</v>
      </c>
      <c r="AE455" s="160">
        <f t="shared" si="108"/>
        <v>1.0098</v>
      </c>
    </row>
    <row r="456" spans="1:35" x14ac:dyDescent="0.3">
      <c r="A456" s="187">
        <v>39</v>
      </c>
      <c r="B456" s="242">
        <f t="shared" si="109"/>
        <v>46813</v>
      </c>
      <c r="C456" s="243">
        <f t="shared" si="92"/>
        <v>46843</v>
      </c>
      <c r="D456" s="120">
        <f t="shared" si="93"/>
        <v>31</v>
      </c>
      <c r="E456" s="120">
        <f t="shared" si="94"/>
        <v>3</v>
      </c>
      <c r="F456" s="275">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0.99</v>
      </c>
      <c r="P456" s="121">
        <f t="shared" si="105"/>
        <v>0</v>
      </c>
      <c r="Q456" s="121">
        <f t="shared" si="106"/>
        <v>0</v>
      </c>
      <c r="R456" s="121">
        <f t="shared" si="107"/>
        <v>0.79166666666666663</v>
      </c>
      <c r="AE456" s="160">
        <f t="shared" si="108"/>
        <v>1.0098</v>
      </c>
    </row>
    <row r="457" spans="1:35" x14ac:dyDescent="0.3">
      <c r="A457" s="187">
        <v>40</v>
      </c>
      <c r="B457" s="242">
        <f t="shared" si="109"/>
        <v>46844</v>
      </c>
      <c r="C457" s="243">
        <f t="shared" si="92"/>
        <v>46873</v>
      </c>
      <c r="D457" s="120">
        <f t="shared" si="93"/>
        <v>30</v>
      </c>
      <c r="E457" s="120">
        <f t="shared" si="94"/>
        <v>4</v>
      </c>
      <c r="F457" s="275">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0.99</v>
      </c>
      <c r="P457" s="121">
        <f t="shared" si="105"/>
        <v>0</v>
      </c>
      <c r="Q457" s="121">
        <f t="shared" si="106"/>
        <v>0</v>
      </c>
      <c r="R457" s="121">
        <f t="shared" si="107"/>
        <v>0.70833333333333337</v>
      </c>
      <c r="AE457" s="160">
        <f t="shared" si="108"/>
        <v>1.0098</v>
      </c>
    </row>
    <row r="458" spans="1:35" x14ac:dyDescent="0.3">
      <c r="A458" s="187">
        <v>41</v>
      </c>
      <c r="B458" s="242">
        <f t="shared" si="109"/>
        <v>46874</v>
      </c>
      <c r="C458" s="243">
        <f t="shared" si="92"/>
        <v>46904</v>
      </c>
      <c r="D458" s="120">
        <f t="shared" si="93"/>
        <v>31</v>
      </c>
      <c r="E458" s="120">
        <f t="shared" si="94"/>
        <v>5</v>
      </c>
      <c r="F458" s="275">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0.99</v>
      </c>
      <c r="P458" s="121">
        <f t="shared" si="105"/>
        <v>0</v>
      </c>
      <c r="Q458" s="121">
        <f t="shared" si="106"/>
        <v>0</v>
      </c>
      <c r="R458" s="121">
        <f t="shared" si="107"/>
        <v>0.625</v>
      </c>
      <c r="AE458" s="160">
        <f t="shared" si="108"/>
        <v>1.0098</v>
      </c>
    </row>
    <row r="459" spans="1:35" x14ac:dyDescent="0.3">
      <c r="A459" s="187">
        <v>42</v>
      </c>
      <c r="B459" s="242">
        <f t="shared" si="109"/>
        <v>46905</v>
      </c>
      <c r="C459" s="243">
        <f t="shared" si="92"/>
        <v>46934</v>
      </c>
      <c r="D459" s="120">
        <f t="shared" si="93"/>
        <v>30</v>
      </c>
      <c r="E459" s="120">
        <f t="shared" si="94"/>
        <v>6</v>
      </c>
      <c r="F459" s="275">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0.99</v>
      </c>
      <c r="P459" s="121">
        <f t="shared" si="105"/>
        <v>0</v>
      </c>
      <c r="Q459" s="121">
        <f t="shared" si="106"/>
        <v>0</v>
      </c>
      <c r="R459" s="121">
        <f t="shared" si="107"/>
        <v>0.54166666666666663</v>
      </c>
      <c r="AE459" s="160">
        <f t="shared" si="108"/>
        <v>1.0098</v>
      </c>
    </row>
    <row r="460" spans="1:35" x14ac:dyDescent="0.3">
      <c r="A460" s="187">
        <v>43</v>
      </c>
      <c r="B460" s="242">
        <f t="shared" si="109"/>
        <v>46935</v>
      </c>
      <c r="C460" s="243">
        <f t="shared" si="92"/>
        <v>46965</v>
      </c>
      <c r="D460" s="120">
        <f t="shared" si="93"/>
        <v>31</v>
      </c>
      <c r="E460" s="120">
        <f t="shared" si="94"/>
        <v>7</v>
      </c>
      <c r="F460" s="275">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0.99</v>
      </c>
      <c r="P460" s="121">
        <f t="shared" si="105"/>
        <v>0</v>
      </c>
      <c r="Q460" s="121">
        <f t="shared" si="106"/>
        <v>0</v>
      </c>
      <c r="R460" s="121">
        <f t="shared" si="107"/>
        <v>0.45833333333333331</v>
      </c>
      <c r="AE460" s="160">
        <f t="shared" si="108"/>
        <v>1.0098</v>
      </c>
    </row>
    <row r="461" spans="1:35" x14ac:dyDescent="0.3">
      <c r="A461" s="187">
        <v>44</v>
      </c>
      <c r="B461" s="242">
        <f t="shared" si="109"/>
        <v>46966</v>
      </c>
      <c r="C461" s="243">
        <f t="shared" si="92"/>
        <v>46996</v>
      </c>
      <c r="D461" s="120">
        <f t="shared" si="93"/>
        <v>31</v>
      </c>
      <c r="E461" s="120">
        <f t="shared" si="94"/>
        <v>8</v>
      </c>
      <c r="F461" s="275">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0.99</v>
      </c>
      <c r="P461" s="121">
        <f t="shared" si="105"/>
        <v>0</v>
      </c>
      <c r="Q461" s="121">
        <f t="shared" si="106"/>
        <v>0</v>
      </c>
      <c r="R461" s="121">
        <f t="shared" si="107"/>
        <v>0.375</v>
      </c>
      <c r="AE461" s="160">
        <f t="shared" si="108"/>
        <v>1.0098</v>
      </c>
    </row>
    <row r="462" spans="1:35" x14ac:dyDescent="0.3">
      <c r="A462" s="187">
        <v>45</v>
      </c>
      <c r="B462" s="242">
        <f t="shared" si="109"/>
        <v>46997</v>
      </c>
      <c r="C462" s="243">
        <f t="shared" si="92"/>
        <v>47026</v>
      </c>
      <c r="D462" s="120">
        <f t="shared" si="93"/>
        <v>30</v>
      </c>
      <c r="E462" s="120">
        <f t="shared" si="94"/>
        <v>9</v>
      </c>
      <c r="F462" s="275">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0.99</v>
      </c>
      <c r="P462" s="121">
        <f t="shared" si="105"/>
        <v>0</v>
      </c>
      <c r="Q462" s="121">
        <f t="shared" si="106"/>
        <v>0</v>
      </c>
      <c r="R462" s="121">
        <f t="shared" si="107"/>
        <v>0.29166666666666669</v>
      </c>
      <c r="AE462" s="160">
        <f t="shared" si="108"/>
        <v>1.0098</v>
      </c>
    </row>
    <row r="463" spans="1:35" x14ac:dyDescent="0.3">
      <c r="A463" s="187">
        <v>46</v>
      </c>
      <c r="B463" s="242">
        <f t="shared" si="109"/>
        <v>47027</v>
      </c>
      <c r="C463" s="243">
        <f t="shared" si="92"/>
        <v>47057</v>
      </c>
      <c r="D463" s="120">
        <f t="shared" si="93"/>
        <v>31</v>
      </c>
      <c r="E463" s="120">
        <f t="shared" si="94"/>
        <v>10</v>
      </c>
      <c r="F463" s="275">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0.99</v>
      </c>
      <c r="P463" s="121">
        <f t="shared" si="105"/>
        <v>0</v>
      </c>
      <c r="Q463" s="121">
        <f t="shared" si="106"/>
        <v>0</v>
      </c>
      <c r="R463" s="121">
        <f t="shared" si="107"/>
        <v>0.20833333333333334</v>
      </c>
      <c r="AE463" s="160">
        <f t="shared" si="108"/>
        <v>1.0098</v>
      </c>
    </row>
    <row r="464" spans="1:35" x14ac:dyDescent="0.3">
      <c r="A464" s="187">
        <v>47</v>
      </c>
      <c r="B464" s="242">
        <f t="shared" si="109"/>
        <v>47058</v>
      </c>
      <c r="C464" s="243">
        <f t="shared" si="92"/>
        <v>47087</v>
      </c>
      <c r="D464" s="120">
        <f t="shared" si="93"/>
        <v>30</v>
      </c>
      <c r="E464" s="120">
        <f t="shared" si="94"/>
        <v>11</v>
      </c>
      <c r="F464" s="275">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0.99</v>
      </c>
      <c r="P464" s="121">
        <f t="shared" si="105"/>
        <v>0</v>
      </c>
      <c r="Q464" s="121">
        <f t="shared" si="106"/>
        <v>0</v>
      </c>
      <c r="R464" s="121">
        <f t="shared" si="107"/>
        <v>0.125</v>
      </c>
      <c r="AE464" s="160">
        <f t="shared" si="108"/>
        <v>1.0098</v>
      </c>
    </row>
    <row r="465" spans="1:31" x14ac:dyDescent="0.3">
      <c r="A465" s="187">
        <v>48</v>
      </c>
      <c r="B465" s="242">
        <f t="shared" si="109"/>
        <v>47088</v>
      </c>
      <c r="C465" s="243">
        <f t="shared" si="92"/>
        <v>47118</v>
      </c>
      <c r="D465" s="120">
        <f t="shared" si="93"/>
        <v>31</v>
      </c>
      <c r="E465" s="120">
        <f t="shared" si="94"/>
        <v>12</v>
      </c>
      <c r="F465" s="275">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0.99</v>
      </c>
      <c r="P465" s="121">
        <f t="shared" si="105"/>
        <v>0</v>
      </c>
      <c r="Q465" s="121">
        <f t="shared" si="106"/>
        <v>0</v>
      </c>
      <c r="R465" s="121">
        <f t="shared" si="107"/>
        <v>4.1666666666666664E-2</v>
      </c>
      <c r="AE465" s="160">
        <f t="shared" si="108"/>
        <v>1.0098</v>
      </c>
    </row>
    <row r="466" spans="1:31" x14ac:dyDescent="0.3">
      <c r="A466" s="23" t="s">
        <v>1723</v>
      </c>
      <c r="B466" s="279">
        <f>SUM($H$442:$H$453)</f>
        <v>12</v>
      </c>
      <c r="C466" s="160">
        <f>SUMPRODUCT($H$442:$H$453,$W$442:$W$453/$N$430:$N$441,$Y$442:$Y$453)</f>
        <v>12.179999999999998</v>
      </c>
      <c r="D466" s="160">
        <f>SUMPRODUCT($H$442:$H$453,$X$442:$X$453/$N$430:$N$441,$Y$442:$Y$453)</f>
        <v>7.08</v>
      </c>
      <c r="E466" s="281" t="str">
        <f>IF(OR($D$415=0,$P$415=0,$D466=0),"n/a",((1+$E$415)*$B466-$C466)/$D466)</f>
        <v>n/a</v>
      </c>
      <c r="F466" s="281">
        <f>IF($V$415&lt;&gt;"",$V$415,$E466)</f>
        <v>0.04</v>
      </c>
      <c r="G466" s="281">
        <f>IF(OR(NOT(ISNUMBER($F466)),nd_Ach=0),"n/a",$F466/nd_Ach)</f>
        <v>0.04</v>
      </c>
      <c r="H466" s="220">
        <f>IF(OR(NOT(ISNUMBER($F466)),$F$415=0,SUMPRODUCT($AD$442:$AD$453,$AB$442:$AB$453)=0),"n/a",((1+$E$415)*$B466-SUMPRODUCT($AD$442:$AD$453,$AC$442:$AC$453))/SUMPRODUCT($AD$442:$AD$453,$AB$442:$AB$453))</f>
        <v>0.92880337202086127</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2">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1</v>
      </c>
      <c r="H471" s="220">
        <f>IF($C471=0,1,IF(N(INDEX(lr_m0,$C471))=0,1,INDEX(lr_m0,$C471)))</f>
        <v>0.99</v>
      </c>
      <c r="I471" s="278">
        <f>IF($C471=0,DATE(nr_PlanYear-1,10,1),IF(N(INDEX(lr_m0asof,$C471))=0,DATE(nr_PlanYear-1,10,1),INDEX(lr_m0asof,$C471)))</f>
        <v>46295</v>
      </c>
      <c r="J471" s="220">
        <f>IF($C471=0,1,IF(N(INDEX(lr_m1,$C471))=0,1,INDEX(lr_m1,$C471)))</f>
        <v>1.0049999999999999</v>
      </c>
      <c r="K471" s="220">
        <f>IF($C471=0,0,N(INDEX(lr_mprior,$C471)))</f>
        <v>0</v>
      </c>
      <c r="L471" s="220">
        <f>IF($C471=0,0,N(INDEX(lr_m2,$C471)))</f>
        <v>0</v>
      </c>
      <c r="M471" s="43">
        <f>IF(OR($A471="",COUNTIF(se_state,$A471)=0),0,MATCH($A471,se_state,0))</f>
        <v>0</v>
      </c>
      <c r="N471" s="279">
        <f>IF($M471=0,0,INDEX(se_sum,$M471))</f>
        <v>0</v>
      </c>
      <c r="O471" s="278">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80" t="str">
        <f>IF(ISBLANK('Net Delivery'!$E$13),$Y471,'Net Delivery'!$E$13)</f>
        <v/>
      </c>
      <c r="W471" s="43">
        <f>IF($B471="",0,COUNTIFS(rl_key,$B471,rl_status,"planned",rl_eff,"&gt;="&amp;DATE(nr_PlanYear,1,1),rl_eff,"&lt;="&amp;DATE(nr_PlanYear,12,31)))</f>
        <v>0</v>
      </c>
      <c r="X471" s="278">
        <f>IF($W471=0,nd_DefaultDate,SUMIFS(rl_eff,rl_key,$B471,rl_firstplanned,1))</f>
        <v>46478</v>
      </c>
      <c r="Y471" s="280" t="str">
        <f>IF($W471=0,"",SUMIFS(rl_reff,rl_key,$B471,rl_firstplanned,1))</f>
        <v/>
      </c>
      <c r="Z471" s="280"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5">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0.96956783369803068</v>
      </c>
      <c r="P474" s="121">
        <f t="shared" ref="P474:P521" si="133">MIN(1,MAX(0,(nr_MEndPm1-$G474+0.5)/nr_TermMonths))-MIN(1,MAX(0,(nr_MStartPm1-1-$G474+0.5)/nr_TermMonths))</f>
        <v>4.166666666666663E-2</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0.96956783369803068</v>
      </c>
    </row>
    <row r="475" spans="1:31" x14ac:dyDescent="0.3">
      <c r="A475" s="187">
        <v>2</v>
      </c>
      <c r="B475" s="242">
        <f t="shared" ref="B475:B521" si="137">EDATE($B474,1)</f>
        <v>45689</v>
      </c>
      <c r="C475" s="243">
        <f t="shared" si="120"/>
        <v>45716</v>
      </c>
      <c r="D475" s="120">
        <f t="shared" si="121"/>
        <v>28</v>
      </c>
      <c r="E475" s="120">
        <f t="shared" si="122"/>
        <v>2</v>
      </c>
      <c r="F475" s="275">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0.97053610503282284</v>
      </c>
      <c r="P475" s="121">
        <f t="shared" si="133"/>
        <v>0.125</v>
      </c>
      <c r="Q475" s="121">
        <f t="shared" si="134"/>
        <v>0</v>
      </c>
      <c r="R475" s="121">
        <f t="shared" si="135"/>
        <v>0</v>
      </c>
      <c r="AE475" s="160">
        <f t="shared" si="136"/>
        <v>0.97053610503282284</v>
      </c>
    </row>
    <row r="476" spans="1:31" x14ac:dyDescent="0.3">
      <c r="A476" s="187">
        <v>3</v>
      </c>
      <c r="B476" s="242">
        <f t="shared" si="137"/>
        <v>45717</v>
      </c>
      <c r="C476" s="243">
        <f t="shared" si="120"/>
        <v>45747</v>
      </c>
      <c r="D476" s="120">
        <f t="shared" si="121"/>
        <v>31</v>
      </c>
      <c r="E476" s="120">
        <f t="shared" si="122"/>
        <v>3</v>
      </c>
      <c r="F476" s="275">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0.971504376367615</v>
      </c>
      <c r="P476" s="121">
        <f t="shared" si="133"/>
        <v>0.20833333333333337</v>
      </c>
      <c r="Q476" s="121">
        <f t="shared" si="134"/>
        <v>0</v>
      </c>
      <c r="R476" s="121">
        <f t="shared" si="135"/>
        <v>0</v>
      </c>
      <c r="AE476" s="160">
        <f t="shared" si="136"/>
        <v>0.971504376367615</v>
      </c>
    </row>
    <row r="477" spans="1:31" x14ac:dyDescent="0.3">
      <c r="A477" s="187">
        <v>4</v>
      </c>
      <c r="B477" s="242">
        <f t="shared" si="137"/>
        <v>45748</v>
      </c>
      <c r="C477" s="243">
        <f t="shared" si="120"/>
        <v>45777</v>
      </c>
      <c r="D477" s="120">
        <f t="shared" si="121"/>
        <v>30</v>
      </c>
      <c r="E477" s="120">
        <f t="shared" si="122"/>
        <v>4</v>
      </c>
      <c r="F477" s="275">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0.97250547045951863</v>
      </c>
      <c r="P477" s="121">
        <f t="shared" si="133"/>
        <v>0.29166666666666663</v>
      </c>
      <c r="Q477" s="121">
        <f t="shared" si="134"/>
        <v>0</v>
      </c>
      <c r="R477" s="121">
        <f t="shared" si="135"/>
        <v>0</v>
      </c>
      <c r="AE477" s="160">
        <f t="shared" si="136"/>
        <v>0.97250547045951863</v>
      </c>
    </row>
    <row r="478" spans="1:31" x14ac:dyDescent="0.3">
      <c r="A478" s="187">
        <v>5</v>
      </c>
      <c r="B478" s="242">
        <f t="shared" si="137"/>
        <v>45778</v>
      </c>
      <c r="C478" s="243">
        <f t="shared" si="120"/>
        <v>45808</v>
      </c>
      <c r="D478" s="120">
        <f t="shared" si="121"/>
        <v>31</v>
      </c>
      <c r="E478" s="120">
        <f t="shared" si="122"/>
        <v>5</v>
      </c>
      <c r="F478" s="275">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0.97350656455142237</v>
      </c>
      <c r="P478" s="121">
        <f t="shared" si="133"/>
        <v>0.375</v>
      </c>
      <c r="Q478" s="121">
        <f t="shared" si="134"/>
        <v>0</v>
      </c>
      <c r="R478" s="121">
        <f t="shared" si="135"/>
        <v>0</v>
      </c>
      <c r="AE478" s="160">
        <f t="shared" si="136"/>
        <v>0.97350656455142237</v>
      </c>
    </row>
    <row r="479" spans="1:31" x14ac:dyDescent="0.3">
      <c r="A479" s="187">
        <v>6</v>
      </c>
      <c r="B479" s="242">
        <f t="shared" si="137"/>
        <v>45809</v>
      </c>
      <c r="C479" s="243">
        <f t="shared" si="120"/>
        <v>45838</v>
      </c>
      <c r="D479" s="120">
        <f t="shared" si="121"/>
        <v>30</v>
      </c>
      <c r="E479" s="120">
        <f t="shared" si="122"/>
        <v>6</v>
      </c>
      <c r="F479" s="275">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0.97450765864332611</v>
      </c>
      <c r="P479" s="121">
        <f t="shared" si="133"/>
        <v>0.45833333333333337</v>
      </c>
      <c r="Q479" s="121">
        <f t="shared" si="134"/>
        <v>0</v>
      </c>
      <c r="R479" s="121">
        <f t="shared" si="135"/>
        <v>0</v>
      </c>
      <c r="AE479" s="160">
        <f t="shared" si="136"/>
        <v>0.97450765864332611</v>
      </c>
    </row>
    <row r="480" spans="1:31" x14ac:dyDescent="0.3">
      <c r="A480" s="187">
        <v>7</v>
      </c>
      <c r="B480" s="242">
        <f t="shared" si="137"/>
        <v>45839</v>
      </c>
      <c r="C480" s="243">
        <f t="shared" si="120"/>
        <v>45869</v>
      </c>
      <c r="D480" s="120">
        <f t="shared" si="121"/>
        <v>31</v>
      </c>
      <c r="E480" s="120">
        <f t="shared" si="122"/>
        <v>7</v>
      </c>
      <c r="F480" s="275">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0.97550875273522986</v>
      </c>
      <c r="P480" s="121">
        <f t="shared" si="133"/>
        <v>0.54166666666666674</v>
      </c>
      <c r="Q480" s="121">
        <f t="shared" si="134"/>
        <v>0</v>
      </c>
      <c r="R480" s="121">
        <f t="shared" si="135"/>
        <v>0</v>
      </c>
      <c r="AE480" s="160">
        <f t="shared" si="136"/>
        <v>0.97550875273522986</v>
      </c>
    </row>
    <row r="481" spans="1:31" x14ac:dyDescent="0.3">
      <c r="A481" s="187">
        <v>8</v>
      </c>
      <c r="B481" s="242">
        <f t="shared" si="137"/>
        <v>45870</v>
      </c>
      <c r="C481" s="243">
        <f t="shared" si="120"/>
        <v>45900</v>
      </c>
      <c r="D481" s="120">
        <f t="shared" si="121"/>
        <v>31</v>
      </c>
      <c r="E481" s="120">
        <f t="shared" si="122"/>
        <v>8</v>
      </c>
      <c r="F481" s="275">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0.97652625820568928</v>
      </c>
      <c r="P481" s="121">
        <f t="shared" si="133"/>
        <v>0.625</v>
      </c>
      <c r="Q481" s="121">
        <f t="shared" si="134"/>
        <v>0</v>
      </c>
      <c r="R481" s="121">
        <f t="shared" si="135"/>
        <v>0</v>
      </c>
      <c r="AE481" s="160">
        <f t="shared" si="136"/>
        <v>0.97652625820568928</v>
      </c>
    </row>
    <row r="482" spans="1:31" x14ac:dyDescent="0.3">
      <c r="A482" s="187">
        <v>9</v>
      </c>
      <c r="B482" s="242">
        <f t="shared" si="137"/>
        <v>45901</v>
      </c>
      <c r="C482" s="243">
        <f t="shared" si="120"/>
        <v>45930</v>
      </c>
      <c r="D482" s="120">
        <f t="shared" si="121"/>
        <v>30</v>
      </c>
      <c r="E482" s="120">
        <f t="shared" si="122"/>
        <v>9</v>
      </c>
      <c r="F482" s="275">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0.97752735229759302</v>
      </c>
      <c r="P482" s="121">
        <f t="shared" si="133"/>
        <v>0.70833333333333326</v>
      </c>
      <c r="Q482" s="121">
        <f t="shared" si="134"/>
        <v>0</v>
      </c>
      <c r="R482" s="121">
        <f t="shared" si="135"/>
        <v>0</v>
      </c>
      <c r="AE482" s="160">
        <f t="shared" si="136"/>
        <v>0.97752735229759302</v>
      </c>
    </row>
    <row r="483" spans="1:31" x14ac:dyDescent="0.3">
      <c r="A483" s="187">
        <v>10</v>
      </c>
      <c r="B483" s="242">
        <f t="shared" si="137"/>
        <v>45931</v>
      </c>
      <c r="C483" s="243">
        <f t="shared" si="120"/>
        <v>45961</v>
      </c>
      <c r="D483" s="120">
        <f t="shared" si="121"/>
        <v>31</v>
      </c>
      <c r="E483" s="120">
        <f t="shared" si="122"/>
        <v>10</v>
      </c>
      <c r="F483" s="275">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0.97852844638949676</v>
      </c>
      <c r="P483" s="121">
        <f t="shared" si="133"/>
        <v>0.79166666666666663</v>
      </c>
      <c r="Q483" s="121">
        <f t="shared" si="134"/>
        <v>0</v>
      </c>
      <c r="R483" s="121">
        <f t="shared" si="135"/>
        <v>0</v>
      </c>
      <c r="AE483" s="160">
        <f t="shared" si="136"/>
        <v>0.97852844638949676</v>
      </c>
    </row>
    <row r="484" spans="1:31" x14ac:dyDescent="0.3">
      <c r="A484" s="187">
        <v>11</v>
      </c>
      <c r="B484" s="242">
        <f t="shared" si="137"/>
        <v>45962</v>
      </c>
      <c r="C484" s="243">
        <f t="shared" si="120"/>
        <v>45991</v>
      </c>
      <c r="D484" s="120">
        <f t="shared" si="121"/>
        <v>30</v>
      </c>
      <c r="E484" s="120">
        <f t="shared" si="122"/>
        <v>11</v>
      </c>
      <c r="F484" s="275">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0.97952954048140051</v>
      </c>
      <c r="P484" s="121">
        <f t="shared" si="133"/>
        <v>0.875</v>
      </c>
      <c r="Q484" s="121">
        <f t="shared" si="134"/>
        <v>0</v>
      </c>
      <c r="R484" s="121">
        <f t="shared" si="135"/>
        <v>0</v>
      </c>
      <c r="AE484" s="160">
        <f t="shared" si="136"/>
        <v>0.97952954048140051</v>
      </c>
    </row>
    <row r="485" spans="1:31" x14ac:dyDescent="0.3">
      <c r="A485" s="187">
        <v>12</v>
      </c>
      <c r="B485" s="242">
        <f t="shared" si="137"/>
        <v>45992</v>
      </c>
      <c r="C485" s="243">
        <f t="shared" si="120"/>
        <v>46022</v>
      </c>
      <c r="D485" s="120">
        <f t="shared" si="121"/>
        <v>31</v>
      </c>
      <c r="E485" s="120">
        <f t="shared" si="122"/>
        <v>12</v>
      </c>
      <c r="F485" s="275">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0.98053063457330414</v>
      </c>
      <c r="P485" s="121">
        <f t="shared" si="133"/>
        <v>0.95833333333333337</v>
      </c>
      <c r="Q485" s="121">
        <f t="shared" si="134"/>
        <v>0</v>
      </c>
      <c r="R485" s="121">
        <f t="shared" si="135"/>
        <v>0</v>
      </c>
      <c r="AE485" s="160">
        <f t="shared" si="136"/>
        <v>0.98053063457330414</v>
      </c>
    </row>
    <row r="486" spans="1:31" x14ac:dyDescent="0.3">
      <c r="A486" s="187">
        <v>13</v>
      </c>
      <c r="B486" s="242">
        <f t="shared" si="137"/>
        <v>46023</v>
      </c>
      <c r="C486" s="243">
        <f t="shared" si="120"/>
        <v>46053</v>
      </c>
      <c r="D486" s="120">
        <f t="shared" si="121"/>
        <v>31</v>
      </c>
      <c r="E486" s="120">
        <f t="shared" si="122"/>
        <v>1</v>
      </c>
      <c r="F486" s="275">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0.98154814004376367</v>
      </c>
      <c r="P486" s="121">
        <f t="shared" si="133"/>
        <v>0.95833333333333337</v>
      </c>
      <c r="Q486" s="121">
        <f t="shared" si="134"/>
        <v>4.166666666666663E-2</v>
      </c>
      <c r="R486" s="121">
        <f t="shared" si="135"/>
        <v>0</v>
      </c>
      <c r="AE486" s="160">
        <f t="shared" si="136"/>
        <v>0.98154814004376367</v>
      </c>
    </row>
    <row r="487" spans="1:31" x14ac:dyDescent="0.3">
      <c r="A487" s="187">
        <v>14</v>
      </c>
      <c r="B487" s="242">
        <f t="shared" si="137"/>
        <v>46054</v>
      </c>
      <c r="C487" s="243">
        <f t="shared" si="120"/>
        <v>46081</v>
      </c>
      <c r="D487" s="120">
        <f t="shared" si="121"/>
        <v>28</v>
      </c>
      <c r="E487" s="120">
        <f t="shared" si="122"/>
        <v>2</v>
      </c>
      <c r="F487" s="275">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0.98251641137855583</v>
      </c>
      <c r="P487" s="121">
        <f t="shared" si="133"/>
        <v>0.875</v>
      </c>
      <c r="Q487" s="121">
        <f t="shared" si="134"/>
        <v>0.125</v>
      </c>
      <c r="R487" s="121">
        <f t="shared" si="135"/>
        <v>0</v>
      </c>
      <c r="AE487" s="160">
        <f t="shared" si="136"/>
        <v>0.98251641137855583</v>
      </c>
    </row>
    <row r="488" spans="1:31" x14ac:dyDescent="0.3">
      <c r="A488" s="187">
        <v>15</v>
      </c>
      <c r="B488" s="242">
        <f t="shared" si="137"/>
        <v>46082</v>
      </c>
      <c r="C488" s="243">
        <f t="shared" si="120"/>
        <v>46112</v>
      </c>
      <c r="D488" s="120">
        <f t="shared" si="121"/>
        <v>31</v>
      </c>
      <c r="E488" s="120">
        <f t="shared" si="122"/>
        <v>3</v>
      </c>
      <c r="F488" s="275">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0.98348468271334799</v>
      </c>
      <c r="P488" s="121">
        <f t="shared" si="133"/>
        <v>0.79166666666666663</v>
      </c>
      <c r="Q488" s="121">
        <f t="shared" si="134"/>
        <v>0.20833333333333337</v>
      </c>
      <c r="R488" s="121">
        <f t="shared" si="135"/>
        <v>0</v>
      </c>
      <c r="AE488" s="160">
        <f t="shared" si="136"/>
        <v>0.98348468271334799</v>
      </c>
    </row>
    <row r="489" spans="1:31" x14ac:dyDescent="0.3">
      <c r="A489" s="187">
        <v>16</v>
      </c>
      <c r="B489" s="242">
        <f t="shared" si="137"/>
        <v>46113</v>
      </c>
      <c r="C489" s="243">
        <f t="shared" si="120"/>
        <v>46142</v>
      </c>
      <c r="D489" s="120">
        <f t="shared" si="121"/>
        <v>30</v>
      </c>
      <c r="E489" s="120">
        <f t="shared" si="122"/>
        <v>4</v>
      </c>
      <c r="F489" s="275">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0.98448577680525162</v>
      </c>
      <c r="P489" s="121">
        <f t="shared" si="133"/>
        <v>0.70833333333333337</v>
      </c>
      <c r="Q489" s="121">
        <f t="shared" si="134"/>
        <v>0.29166666666666663</v>
      </c>
      <c r="R489" s="121">
        <f t="shared" si="135"/>
        <v>0</v>
      </c>
      <c r="AE489" s="160">
        <f t="shared" si="136"/>
        <v>0.98448577680525162</v>
      </c>
    </row>
    <row r="490" spans="1:31" x14ac:dyDescent="0.3">
      <c r="A490" s="187">
        <v>17</v>
      </c>
      <c r="B490" s="242">
        <f t="shared" si="137"/>
        <v>46143</v>
      </c>
      <c r="C490" s="243">
        <f t="shared" si="120"/>
        <v>46173</v>
      </c>
      <c r="D490" s="120">
        <f t="shared" si="121"/>
        <v>31</v>
      </c>
      <c r="E490" s="120">
        <f t="shared" si="122"/>
        <v>5</v>
      </c>
      <c r="F490" s="275">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0.98548687089715536</v>
      </c>
      <c r="P490" s="121">
        <f t="shared" si="133"/>
        <v>0.625</v>
      </c>
      <c r="Q490" s="121">
        <f t="shared" si="134"/>
        <v>0.375</v>
      </c>
      <c r="R490" s="121">
        <f t="shared" si="135"/>
        <v>0</v>
      </c>
      <c r="AE490" s="160">
        <f t="shared" si="136"/>
        <v>0.98548687089715536</v>
      </c>
    </row>
    <row r="491" spans="1:31" x14ac:dyDescent="0.3">
      <c r="A491" s="187">
        <v>18</v>
      </c>
      <c r="B491" s="242">
        <f t="shared" si="137"/>
        <v>46174</v>
      </c>
      <c r="C491" s="243">
        <f t="shared" si="120"/>
        <v>46203</v>
      </c>
      <c r="D491" s="120">
        <f t="shared" si="121"/>
        <v>30</v>
      </c>
      <c r="E491" s="120">
        <f t="shared" si="122"/>
        <v>6</v>
      </c>
      <c r="F491" s="275">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0.98648796498905911</v>
      </c>
      <c r="P491" s="121">
        <f t="shared" si="133"/>
        <v>0.54166666666666663</v>
      </c>
      <c r="Q491" s="121">
        <f t="shared" si="134"/>
        <v>0.45833333333333337</v>
      </c>
      <c r="R491" s="121">
        <f t="shared" si="135"/>
        <v>0</v>
      </c>
      <c r="AE491" s="160">
        <f t="shared" si="136"/>
        <v>0.98648796498905911</v>
      </c>
    </row>
    <row r="492" spans="1:31" x14ac:dyDescent="0.3">
      <c r="A492" s="187">
        <v>19</v>
      </c>
      <c r="B492" s="242">
        <f t="shared" si="137"/>
        <v>46204</v>
      </c>
      <c r="C492" s="243">
        <f t="shared" si="120"/>
        <v>46234</v>
      </c>
      <c r="D492" s="120">
        <f t="shared" si="121"/>
        <v>31</v>
      </c>
      <c r="E492" s="120">
        <f t="shared" si="122"/>
        <v>7</v>
      </c>
      <c r="F492" s="275">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0.98748905908096285</v>
      </c>
      <c r="P492" s="121">
        <f t="shared" si="133"/>
        <v>0.45833333333333331</v>
      </c>
      <c r="Q492" s="121">
        <f t="shared" si="134"/>
        <v>0.54166666666666674</v>
      </c>
      <c r="R492" s="121">
        <f t="shared" si="135"/>
        <v>0</v>
      </c>
      <c r="AE492" s="160">
        <f t="shared" si="136"/>
        <v>0.98748905908096285</v>
      </c>
    </row>
    <row r="493" spans="1:31" x14ac:dyDescent="0.3">
      <c r="A493" s="187">
        <v>20</v>
      </c>
      <c r="B493" s="242">
        <f t="shared" si="137"/>
        <v>46235</v>
      </c>
      <c r="C493" s="243">
        <f t="shared" si="120"/>
        <v>46265</v>
      </c>
      <c r="D493" s="120">
        <f t="shared" si="121"/>
        <v>31</v>
      </c>
      <c r="E493" s="120">
        <f t="shared" si="122"/>
        <v>8</v>
      </c>
      <c r="F493" s="275">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0.98850656455142227</v>
      </c>
      <c r="P493" s="121">
        <f t="shared" si="133"/>
        <v>0.375</v>
      </c>
      <c r="Q493" s="121">
        <f t="shared" si="134"/>
        <v>0.625</v>
      </c>
      <c r="R493" s="121">
        <f t="shared" si="135"/>
        <v>0</v>
      </c>
      <c r="AE493" s="160">
        <f t="shared" si="136"/>
        <v>0.98850656455142227</v>
      </c>
    </row>
    <row r="494" spans="1:31" x14ac:dyDescent="0.3">
      <c r="A494" s="187">
        <v>21</v>
      </c>
      <c r="B494" s="242">
        <f t="shared" si="137"/>
        <v>46266</v>
      </c>
      <c r="C494" s="243">
        <f t="shared" si="120"/>
        <v>46295</v>
      </c>
      <c r="D494" s="120">
        <f t="shared" si="121"/>
        <v>30</v>
      </c>
      <c r="E494" s="120">
        <f t="shared" si="122"/>
        <v>9</v>
      </c>
      <c r="F494" s="275">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0.98950765864332602</v>
      </c>
      <c r="P494" s="121">
        <f t="shared" si="133"/>
        <v>0.29166666666666669</v>
      </c>
      <c r="Q494" s="121">
        <f t="shared" si="134"/>
        <v>0.70833333333333326</v>
      </c>
      <c r="R494" s="121">
        <f t="shared" si="135"/>
        <v>0</v>
      </c>
      <c r="AE494" s="160">
        <f t="shared" si="136"/>
        <v>0.98950765864332602</v>
      </c>
    </row>
    <row r="495" spans="1:31" x14ac:dyDescent="0.3">
      <c r="A495" s="187">
        <v>22</v>
      </c>
      <c r="B495" s="242">
        <f t="shared" si="137"/>
        <v>46296</v>
      </c>
      <c r="C495" s="243">
        <f t="shared" si="120"/>
        <v>46326</v>
      </c>
      <c r="D495" s="120">
        <f t="shared" si="121"/>
        <v>31</v>
      </c>
      <c r="E495" s="120">
        <f t="shared" si="122"/>
        <v>10</v>
      </c>
      <c r="F495" s="275">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0.99050875273522976</v>
      </c>
      <c r="P495" s="121">
        <f t="shared" si="133"/>
        <v>0.20833333333333334</v>
      </c>
      <c r="Q495" s="121">
        <f t="shared" si="134"/>
        <v>0.79166666666666663</v>
      </c>
      <c r="R495" s="121">
        <f t="shared" si="135"/>
        <v>0</v>
      </c>
      <c r="AE495" s="160">
        <f t="shared" si="136"/>
        <v>0.99050875273522976</v>
      </c>
    </row>
    <row r="496" spans="1:31" x14ac:dyDescent="0.3">
      <c r="A496" s="187">
        <v>23</v>
      </c>
      <c r="B496" s="242">
        <f t="shared" si="137"/>
        <v>46327</v>
      </c>
      <c r="C496" s="243">
        <f t="shared" si="120"/>
        <v>46356</v>
      </c>
      <c r="D496" s="120">
        <f t="shared" si="121"/>
        <v>30</v>
      </c>
      <c r="E496" s="120">
        <f t="shared" si="122"/>
        <v>11</v>
      </c>
      <c r="F496" s="275">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0.9915098468271335</v>
      </c>
      <c r="P496" s="121">
        <f t="shared" si="133"/>
        <v>0.125</v>
      </c>
      <c r="Q496" s="121">
        <f t="shared" si="134"/>
        <v>0.875</v>
      </c>
      <c r="R496" s="121">
        <f t="shared" si="135"/>
        <v>0</v>
      </c>
      <c r="AE496" s="160">
        <f t="shared" si="136"/>
        <v>0.9915098468271335</v>
      </c>
    </row>
    <row r="497" spans="1:35" x14ac:dyDescent="0.3">
      <c r="A497" s="187">
        <v>24</v>
      </c>
      <c r="B497" s="242">
        <f t="shared" si="137"/>
        <v>46357</v>
      </c>
      <c r="C497" s="243">
        <f t="shared" si="120"/>
        <v>46387</v>
      </c>
      <c r="D497" s="120">
        <f t="shared" si="121"/>
        <v>31</v>
      </c>
      <c r="E497" s="120">
        <f t="shared" si="122"/>
        <v>12</v>
      </c>
      <c r="F497" s="275">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0.99251094091903713</v>
      </c>
      <c r="P497" s="121">
        <f t="shared" si="133"/>
        <v>4.1666666666666664E-2</v>
      </c>
      <c r="Q497" s="121">
        <f t="shared" si="134"/>
        <v>0.95833333333333337</v>
      </c>
      <c r="R497" s="121">
        <f t="shared" si="135"/>
        <v>0</v>
      </c>
      <c r="AE497" s="160">
        <f t="shared" si="136"/>
        <v>0.99251094091903713</v>
      </c>
    </row>
    <row r="498" spans="1:35" x14ac:dyDescent="0.3">
      <c r="A498" s="187">
        <v>25</v>
      </c>
      <c r="B498" s="242">
        <f t="shared" si="137"/>
        <v>46388</v>
      </c>
      <c r="C498" s="243">
        <f t="shared" si="120"/>
        <v>46418</v>
      </c>
      <c r="D498" s="120">
        <f t="shared" si="121"/>
        <v>31</v>
      </c>
      <c r="E498" s="120">
        <f t="shared" si="122"/>
        <v>1</v>
      </c>
      <c r="F498" s="275">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0.99352844638949667</v>
      </c>
      <c r="P498" s="121">
        <f t="shared" si="133"/>
        <v>0</v>
      </c>
      <c r="Q498" s="121">
        <f t="shared" si="134"/>
        <v>0.95833333333333337</v>
      </c>
      <c r="R498" s="121">
        <f t="shared" si="135"/>
        <v>4.166666666666663E-2</v>
      </c>
      <c r="W498" s="160">
        <f t="shared" ref="W498:W509" si="138">IF($G498&lt;&gt;$Q$471,$N498,(1-$U$471)*$I498+$U$471*$J498)</f>
        <v>1</v>
      </c>
      <c r="X498" s="160">
        <f t="shared" ref="X498:X509" si="139">IF($G498&lt;$Q$471,0,IF($G498&gt;$Q$471,$N498,$U$471*$J498))</f>
        <v>0</v>
      </c>
      <c r="Y498" s="160">
        <f t="shared" ref="Y498:Y509" si="140">IF($F$471=1,$O498/$O486,1)</f>
        <v>1.0122055209082246</v>
      </c>
      <c r="AB498" s="160">
        <f t="shared" ref="AB498:AB509" si="141">IF(AND(N($K$471)&lt;&gt;0,$F498&lt;=$B$472),0,($F498-$B$472)/($C$472-$B$472))</f>
        <v>0.23522975929978118</v>
      </c>
      <c r="AC498" s="220">
        <f t="shared" ref="AC498:AC509" si="142">IF(AND(N($K$471)&lt;&gt;0,$F498&lt;=$B$472),$O498,$F$472*(1-$AB498))</f>
        <v>0.75712253829321663</v>
      </c>
      <c r="AD498" s="160">
        <f t="shared" ref="AD498:AD509" si="143">$H498*($W498+$X498*IF(ISNUMBER($F$522),$F$522,0))/($N486*$O486)</f>
        <v>1.0187987315175531</v>
      </c>
      <c r="AE498" s="160">
        <f t="shared" si="136"/>
        <v>0.99352844638949667</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5">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0.99449671772428883</v>
      </c>
      <c r="P499" s="121">
        <f t="shared" si="133"/>
        <v>0</v>
      </c>
      <c r="Q499" s="121">
        <f t="shared" si="134"/>
        <v>0.875</v>
      </c>
      <c r="R499" s="121">
        <f t="shared" si="135"/>
        <v>0.125</v>
      </c>
      <c r="W499" s="160">
        <f t="shared" si="138"/>
        <v>1</v>
      </c>
      <c r="X499" s="160">
        <f t="shared" si="139"/>
        <v>0</v>
      </c>
      <c r="Y499" s="160">
        <f t="shared" si="140"/>
        <v>1.0121934923498364</v>
      </c>
      <c r="AB499" s="160">
        <f t="shared" si="141"/>
        <v>0.29978118161925604</v>
      </c>
      <c r="AC499" s="220">
        <f t="shared" si="142"/>
        <v>0.69321663019693647</v>
      </c>
      <c r="AD499" s="160">
        <f t="shared" si="143"/>
        <v>1.0177947039041446</v>
      </c>
      <c r="AE499" s="160">
        <f t="shared" si="136"/>
        <v>0.99449671772428871</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5">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0.99546498905908087</v>
      </c>
      <c r="P500" s="121">
        <f t="shared" si="133"/>
        <v>0</v>
      </c>
      <c r="Q500" s="121">
        <f t="shared" si="134"/>
        <v>0.79166666666666663</v>
      </c>
      <c r="R500" s="121">
        <f t="shared" si="135"/>
        <v>0.20833333333333337</v>
      </c>
      <c r="W500" s="160">
        <f t="shared" si="138"/>
        <v>1</v>
      </c>
      <c r="X500" s="160">
        <f t="shared" si="139"/>
        <v>0</v>
      </c>
      <c r="Y500" s="160">
        <f t="shared" si="140"/>
        <v>1.0121814874764294</v>
      </c>
      <c r="AB500" s="160">
        <f t="shared" si="141"/>
        <v>0.36433260393873085</v>
      </c>
      <c r="AC500" s="220">
        <f t="shared" si="142"/>
        <v>0.62931072210065642</v>
      </c>
      <c r="AD500" s="160">
        <f t="shared" si="143"/>
        <v>1.0167926532837173</v>
      </c>
      <c r="AE500" s="160">
        <f t="shared" si="136"/>
        <v>0.99546498905908087</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5">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0.99646608315098462</v>
      </c>
      <c r="P501" s="121">
        <f t="shared" si="133"/>
        <v>0</v>
      </c>
      <c r="Q501" s="121">
        <f t="shared" si="134"/>
        <v>0.70833333333333337</v>
      </c>
      <c r="R501" s="121">
        <f t="shared" si="135"/>
        <v>0.29166666666666663</v>
      </c>
      <c r="W501" s="160">
        <f t="shared" si="138"/>
        <v>1</v>
      </c>
      <c r="X501" s="160">
        <f t="shared" si="139"/>
        <v>1</v>
      </c>
      <c r="Y501" s="160">
        <f t="shared" si="140"/>
        <v>1.0121691004867639</v>
      </c>
      <c r="AB501" s="160">
        <f t="shared" si="141"/>
        <v>0.4310722100656455</v>
      </c>
      <c r="AC501" s="220">
        <f t="shared" si="142"/>
        <v>0.56323851203501096</v>
      </c>
      <c r="AD501" s="160">
        <f t="shared" si="143"/>
        <v>1.0157587072970149</v>
      </c>
      <c r="AE501" s="160">
        <f t="shared" si="136"/>
        <v>0.99646608315098462</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5">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0.99746717724288836</v>
      </c>
      <c r="P502" s="121">
        <f t="shared" si="133"/>
        <v>0</v>
      </c>
      <c r="Q502" s="121">
        <f t="shared" si="134"/>
        <v>0.625</v>
      </c>
      <c r="R502" s="121">
        <f t="shared" si="135"/>
        <v>0.375</v>
      </c>
      <c r="W502" s="160">
        <f t="shared" si="138"/>
        <v>1</v>
      </c>
      <c r="X502" s="160">
        <f t="shared" si="139"/>
        <v>1</v>
      </c>
      <c r="Y502" s="160">
        <f t="shared" si="140"/>
        <v>1.0121567386634249</v>
      </c>
      <c r="AB502" s="160">
        <f t="shared" si="141"/>
        <v>0.49781181619256015</v>
      </c>
      <c r="AC502" s="220">
        <f t="shared" si="142"/>
        <v>0.4971663019693654</v>
      </c>
      <c r="AD502" s="160">
        <f t="shared" si="143"/>
        <v>1.0147268619516283</v>
      </c>
      <c r="AE502" s="160">
        <f t="shared" si="136"/>
        <v>0.99746717724288825</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5">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0.9984682713347921</v>
      </c>
      <c r="P503" s="121">
        <f t="shared" si="133"/>
        <v>0</v>
      </c>
      <c r="Q503" s="121">
        <f t="shared" si="134"/>
        <v>0.54166666666666663</v>
      </c>
      <c r="R503" s="121">
        <f t="shared" si="135"/>
        <v>0.45833333333333337</v>
      </c>
      <c r="W503" s="160">
        <f t="shared" si="138"/>
        <v>1</v>
      </c>
      <c r="X503" s="160">
        <f t="shared" si="139"/>
        <v>1</v>
      </c>
      <c r="Y503" s="160">
        <f t="shared" si="140"/>
        <v>1.0121444019297954</v>
      </c>
      <c r="AB503" s="160">
        <f t="shared" si="141"/>
        <v>0.56455142231947486</v>
      </c>
      <c r="AC503" s="220">
        <f t="shared" si="142"/>
        <v>0.43109409190371989</v>
      </c>
      <c r="AD503" s="160">
        <f t="shared" si="143"/>
        <v>1.0136971108523263</v>
      </c>
      <c r="AE503" s="160">
        <f t="shared" si="136"/>
        <v>0.9984682713347921</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5">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0.99946936542669573</v>
      </c>
      <c r="P504" s="121">
        <f t="shared" si="133"/>
        <v>0</v>
      </c>
      <c r="Q504" s="121">
        <f t="shared" si="134"/>
        <v>0.45833333333333331</v>
      </c>
      <c r="R504" s="121">
        <f t="shared" si="135"/>
        <v>0.54166666666666674</v>
      </c>
      <c r="W504" s="160">
        <f t="shared" si="138"/>
        <v>1</v>
      </c>
      <c r="X504" s="160">
        <f t="shared" si="139"/>
        <v>1</v>
      </c>
      <c r="Y504" s="160">
        <f t="shared" si="140"/>
        <v>1.0121320902095692</v>
      </c>
      <c r="AB504" s="160">
        <f t="shared" si="141"/>
        <v>0.63129102844638951</v>
      </c>
      <c r="AC504" s="220">
        <f t="shared" si="142"/>
        <v>0.36502188183807438</v>
      </c>
      <c r="AD504" s="160">
        <f t="shared" si="143"/>
        <v>1.0126694476298106</v>
      </c>
      <c r="AE504" s="160">
        <f t="shared" si="136"/>
        <v>0.99946936542669573</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5">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1.0004868708971553</v>
      </c>
      <c r="P505" s="121">
        <f t="shared" si="133"/>
        <v>0</v>
      </c>
      <c r="Q505" s="121">
        <f t="shared" si="134"/>
        <v>0.375</v>
      </c>
      <c r="R505" s="121">
        <f t="shared" si="135"/>
        <v>0.625</v>
      </c>
      <c r="W505" s="160">
        <f t="shared" si="138"/>
        <v>1</v>
      </c>
      <c r="X505" s="160">
        <f t="shared" si="139"/>
        <v>1</v>
      </c>
      <c r="Y505" s="160">
        <f t="shared" si="140"/>
        <v>1.0121196022114123</v>
      </c>
      <c r="AB505" s="160">
        <f t="shared" si="141"/>
        <v>0.69912472647702406</v>
      </c>
      <c r="AC505" s="220">
        <f t="shared" si="142"/>
        <v>0.29786652078774617</v>
      </c>
      <c r="AD505" s="160">
        <f t="shared" si="143"/>
        <v>1.0116270704320445</v>
      </c>
      <c r="AE505" s="160">
        <f t="shared" si="136"/>
        <v>1.0004868708971553</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5">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1.0014879649890589</v>
      </c>
      <c r="P506" s="121">
        <f t="shared" si="133"/>
        <v>0</v>
      </c>
      <c r="Q506" s="121">
        <f t="shared" si="134"/>
        <v>0.29166666666666669</v>
      </c>
      <c r="R506" s="121">
        <f t="shared" si="135"/>
        <v>0.70833333333333326</v>
      </c>
      <c r="W506" s="160">
        <f t="shared" si="138"/>
        <v>1</v>
      </c>
      <c r="X506" s="160">
        <f t="shared" si="139"/>
        <v>1</v>
      </c>
      <c r="Y506" s="160">
        <f t="shared" si="140"/>
        <v>1.0121073406972501</v>
      </c>
      <c r="AB506" s="160">
        <f t="shared" si="141"/>
        <v>0.76586433260393871</v>
      </c>
      <c r="AC506" s="220">
        <f t="shared" si="142"/>
        <v>0.23179431072210066</v>
      </c>
      <c r="AD506" s="160">
        <f t="shared" si="143"/>
        <v>1.0106035979257195</v>
      </c>
      <c r="AE506" s="160">
        <f t="shared" si="136"/>
        <v>1.0014879649890589</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5">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1.0024890590809628</v>
      </c>
      <c r="P507" s="121">
        <f t="shared" si="133"/>
        <v>0</v>
      </c>
      <c r="Q507" s="121">
        <f t="shared" si="134"/>
        <v>0.20833333333333334</v>
      </c>
      <c r="R507" s="121">
        <f t="shared" si="135"/>
        <v>0.79166666666666663</v>
      </c>
      <c r="W507" s="160">
        <f t="shared" si="138"/>
        <v>1</v>
      </c>
      <c r="X507" s="160">
        <f t="shared" si="139"/>
        <v>1</v>
      </c>
      <c r="Y507" s="160">
        <f t="shared" si="140"/>
        <v>1.0120951039681882</v>
      </c>
      <c r="AB507" s="160">
        <f t="shared" si="141"/>
        <v>0.83260393873085337</v>
      </c>
      <c r="AC507" s="220">
        <f t="shared" si="142"/>
        <v>0.16572210065645518</v>
      </c>
      <c r="AD507" s="160">
        <f t="shared" si="143"/>
        <v>1.0095821942396377</v>
      </c>
      <c r="AE507" s="160">
        <f t="shared" si="136"/>
        <v>1.0024890590809628</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5">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1.0034901531728664</v>
      </c>
      <c r="P508" s="121">
        <f t="shared" si="133"/>
        <v>0</v>
      </c>
      <c r="Q508" s="121">
        <f t="shared" si="134"/>
        <v>0.125</v>
      </c>
      <c r="R508" s="121">
        <f t="shared" si="135"/>
        <v>0.875</v>
      </c>
      <c r="W508" s="160">
        <f t="shared" si="138"/>
        <v>1</v>
      </c>
      <c r="X508" s="160">
        <f t="shared" si="139"/>
        <v>1</v>
      </c>
      <c r="Y508" s="160">
        <f t="shared" si="140"/>
        <v>1.0120828919491525</v>
      </c>
      <c r="AB508" s="160">
        <f t="shared" si="141"/>
        <v>0.89934354485776802</v>
      </c>
      <c r="AC508" s="220">
        <f t="shared" si="142"/>
        <v>9.9649890590809656E-2</v>
      </c>
      <c r="AD508" s="160">
        <f t="shared" si="143"/>
        <v>1.0085628531073445</v>
      </c>
      <c r="AE508" s="160">
        <f t="shared" si="136"/>
        <v>1.0034901531728664</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5">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1.0044912472647702</v>
      </c>
      <c r="P509" s="121">
        <f t="shared" si="133"/>
        <v>0</v>
      </c>
      <c r="Q509" s="121">
        <f t="shared" si="134"/>
        <v>4.1666666666666664E-2</v>
      </c>
      <c r="R509" s="121">
        <f t="shared" si="135"/>
        <v>0.95833333333333337</v>
      </c>
      <c r="W509" s="160">
        <f t="shared" si="138"/>
        <v>1</v>
      </c>
      <c r="X509" s="160">
        <f t="shared" si="139"/>
        <v>1</v>
      </c>
      <c r="Y509" s="160">
        <f t="shared" si="140"/>
        <v>1.0120707045653721</v>
      </c>
      <c r="AB509" s="160">
        <f t="shared" si="141"/>
        <v>0.96608315098468267</v>
      </c>
      <c r="AC509" s="220">
        <f t="shared" si="142"/>
        <v>3.3577680525164154E-2</v>
      </c>
      <c r="AD509" s="160">
        <f t="shared" si="143"/>
        <v>1.0075455682876686</v>
      </c>
      <c r="AE509" s="160">
        <f t="shared" si="136"/>
        <v>1.00449124726477</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5">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1.0049999999999999</v>
      </c>
      <c r="P510" s="121">
        <f t="shared" si="133"/>
        <v>0</v>
      </c>
      <c r="Q510" s="121">
        <f t="shared" si="134"/>
        <v>0</v>
      </c>
      <c r="R510" s="121">
        <f t="shared" si="135"/>
        <v>0.95833333333333337</v>
      </c>
      <c r="AE510" s="160">
        <f t="shared" si="136"/>
        <v>1.0049999999999999</v>
      </c>
    </row>
    <row r="511" spans="1:35" x14ac:dyDescent="0.3">
      <c r="A511" s="187">
        <v>38</v>
      </c>
      <c r="B511" s="242">
        <f t="shared" si="137"/>
        <v>46784</v>
      </c>
      <c r="C511" s="243">
        <f t="shared" si="120"/>
        <v>46812</v>
      </c>
      <c r="D511" s="120">
        <f t="shared" si="121"/>
        <v>29</v>
      </c>
      <c r="E511" s="120">
        <f t="shared" si="122"/>
        <v>2</v>
      </c>
      <c r="F511" s="275">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1.0049999999999999</v>
      </c>
      <c r="P511" s="121">
        <f t="shared" si="133"/>
        <v>0</v>
      </c>
      <c r="Q511" s="121">
        <f t="shared" si="134"/>
        <v>0</v>
      </c>
      <c r="R511" s="121">
        <f t="shared" si="135"/>
        <v>0.875</v>
      </c>
      <c r="AE511" s="160">
        <f t="shared" si="136"/>
        <v>1.0049999999999999</v>
      </c>
    </row>
    <row r="512" spans="1:35" x14ac:dyDescent="0.3">
      <c r="A512" s="187">
        <v>39</v>
      </c>
      <c r="B512" s="242">
        <f t="shared" si="137"/>
        <v>46813</v>
      </c>
      <c r="C512" s="243">
        <f t="shared" si="120"/>
        <v>46843</v>
      </c>
      <c r="D512" s="120">
        <f t="shared" si="121"/>
        <v>31</v>
      </c>
      <c r="E512" s="120">
        <f t="shared" si="122"/>
        <v>3</v>
      </c>
      <c r="F512" s="275">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1.0049999999999999</v>
      </c>
      <c r="P512" s="121">
        <f t="shared" si="133"/>
        <v>0</v>
      </c>
      <c r="Q512" s="121">
        <f t="shared" si="134"/>
        <v>0</v>
      </c>
      <c r="R512" s="121">
        <f t="shared" si="135"/>
        <v>0.79166666666666663</v>
      </c>
      <c r="AE512" s="160">
        <f t="shared" si="136"/>
        <v>1.0049999999999999</v>
      </c>
    </row>
    <row r="513" spans="1:31" x14ac:dyDescent="0.3">
      <c r="A513" s="187">
        <v>40</v>
      </c>
      <c r="B513" s="242">
        <f t="shared" si="137"/>
        <v>46844</v>
      </c>
      <c r="C513" s="243">
        <f t="shared" si="120"/>
        <v>46873</v>
      </c>
      <c r="D513" s="120">
        <f t="shared" si="121"/>
        <v>30</v>
      </c>
      <c r="E513" s="120">
        <f t="shared" si="122"/>
        <v>4</v>
      </c>
      <c r="F513" s="275">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1.0049999999999999</v>
      </c>
      <c r="P513" s="121">
        <f t="shared" si="133"/>
        <v>0</v>
      </c>
      <c r="Q513" s="121">
        <f t="shared" si="134"/>
        <v>0</v>
      </c>
      <c r="R513" s="121">
        <f t="shared" si="135"/>
        <v>0.70833333333333337</v>
      </c>
      <c r="AE513" s="160">
        <f t="shared" si="136"/>
        <v>1.0049999999999999</v>
      </c>
    </row>
    <row r="514" spans="1:31" x14ac:dyDescent="0.3">
      <c r="A514" s="187">
        <v>41</v>
      </c>
      <c r="B514" s="242">
        <f t="shared" si="137"/>
        <v>46874</v>
      </c>
      <c r="C514" s="243">
        <f t="shared" si="120"/>
        <v>46904</v>
      </c>
      <c r="D514" s="120">
        <f t="shared" si="121"/>
        <v>31</v>
      </c>
      <c r="E514" s="120">
        <f t="shared" si="122"/>
        <v>5</v>
      </c>
      <c r="F514" s="275">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1.0049999999999999</v>
      </c>
      <c r="P514" s="121">
        <f t="shared" si="133"/>
        <v>0</v>
      </c>
      <c r="Q514" s="121">
        <f t="shared" si="134"/>
        <v>0</v>
      </c>
      <c r="R514" s="121">
        <f t="shared" si="135"/>
        <v>0.625</v>
      </c>
      <c r="AE514" s="160">
        <f t="shared" si="136"/>
        <v>1.0049999999999999</v>
      </c>
    </row>
    <row r="515" spans="1:31" x14ac:dyDescent="0.3">
      <c r="A515" s="187">
        <v>42</v>
      </c>
      <c r="B515" s="242">
        <f t="shared" si="137"/>
        <v>46905</v>
      </c>
      <c r="C515" s="243">
        <f t="shared" si="120"/>
        <v>46934</v>
      </c>
      <c r="D515" s="120">
        <f t="shared" si="121"/>
        <v>30</v>
      </c>
      <c r="E515" s="120">
        <f t="shared" si="122"/>
        <v>6</v>
      </c>
      <c r="F515" s="275">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1.0049999999999999</v>
      </c>
      <c r="P515" s="121">
        <f t="shared" si="133"/>
        <v>0</v>
      </c>
      <c r="Q515" s="121">
        <f t="shared" si="134"/>
        <v>0</v>
      </c>
      <c r="R515" s="121">
        <f t="shared" si="135"/>
        <v>0.54166666666666663</v>
      </c>
      <c r="AE515" s="160">
        <f t="shared" si="136"/>
        <v>1.0049999999999999</v>
      </c>
    </row>
    <row r="516" spans="1:31" x14ac:dyDescent="0.3">
      <c r="A516" s="187">
        <v>43</v>
      </c>
      <c r="B516" s="242">
        <f t="shared" si="137"/>
        <v>46935</v>
      </c>
      <c r="C516" s="243">
        <f t="shared" si="120"/>
        <v>46965</v>
      </c>
      <c r="D516" s="120">
        <f t="shared" si="121"/>
        <v>31</v>
      </c>
      <c r="E516" s="120">
        <f t="shared" si="122"/>
        <v>7</v>
      </c>
      <c r="F516" s="275">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1.0049999999999999</v>
      </c>
      <c r="P516" s="121">
        <f t="shared" si="133"/>
        <v>0</v>
      </c>
      <c r="Q516" s="121">
        <f t="shared" si="134"/>
        <v>0</v>
      </c>
      <c r="R516" s="121">
        <f t="shared" si="135"/>
        <v>0.45833333333333331</v>
      </c>
      <c r="AE516" s="160">
        <f t="shared" si="136"/>
        <v>1.0049999999999999</v>
      </c>
    </row>
    <row r="517" spans="1:31" x14ac:dyDescent="0.3">
      <c r="A517" s="187">
        <v>44</v>
      </c>
      <c r="B517" s="242">
        <f t="shared" si="137"/>
        <v>46966</v>
      </c>
      <c r="C517" s="243">
        <f t="shared" si="120"/>
        <v>46996</v>
      </c>
      <c r="D517" s="120">
        <f t="shared" si="121"/>
        <v>31</v>
      </c>
      <c r="E517" s="120">
        <f t="shared" si="122"/>
        <v>8</v>
      </c>
      <c r="F517" s="275">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1.0049999999999999</v>
      </c>
      <c r="P517" s="121">
        <f t="shared" si="133"/>
        <v>0</v>
      </c>
      <c r="Q517" s="121">
        <f t="shared" si="134"/>
        <v>0</v>
      </c>
      <c r="R517" s="121">
        <f t="shared" si="135"/>
        <v>0.375</v>
      </c>
      <c r="AE517" s="160">
        <f t="shared" si="136"/>
        <v>1.0049999999999999</v>
      </c>
    </row>
    <row r="518" spans="1:31" x14ac:dyDescent="0.3">
      <c r="A518" s="187">
        <v>45</v>
      </c>
      <c r="B518" s="242">
        <f t="shared" si="137"/>
        <v>46997</v>
      </c>
      <c r="C518" s="243">
        <f t="shared" si="120"/>
        <v>47026</v>
      </c>
      <c r="D518" s="120">
        <f t="shared" si="121"/>
        <v>30</v>
      </c>
      <c r="E518" s="120">
        <f t="shared" si="122"/>
        <v>9</v>
      </c>
      <c r="F518" s="275">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1.0049999999999999</v>
      </c>
      <c r="P518" s="121">
        <f t="shared" si="133"/>
        <v>0</v>
      </c>
      <c r="Q518" s="121">
        <f t="shared" si="134"/>
        <v>0</v>
      </c>
      <c r="R518" s="121">
        <f t="shared" si="135"/>
        <v>0.29166666666666669</v>
      </c>
      <c r="AE518" s="160">
        <f t="shared" si="136"/>
        <v>1.0049999999999999</v>
      </c>
    </row>
    <row r="519" spans="1:31" x14ac:dyDescent="0.3">
      <c r="A519" s="187">
        <v>46</v>
      </c>
      <c r="B519" s="242">
        <f t="shared" si="137"/>
        <v>47027</v>
      </c>
      <c r="C519" s="243">
        <f t="shared" si="120"/>
        <v>47057</v>
      </c>
      <c r="D519" s="120">
        <f t="shared" si="121"/>
        <v>31</v>
      </c>
      <c r="E519" s="120">
        <f t="shared" si="122"/>
        <v>10</v>
      </c>
      <c r="F519" s="275">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1.0049999999999999</v>
      </c>
      <c r="P519" s="121">
        <f t="shared" si="133"/>
        <v>0</v>
      </c>
      <c r="Q519" s="121">
        <f t="shared" si="134"/>
        <v>0</v>
      </c>
      <c r="R519" s="121">
        <f t="shared" si="135"/>
        <v>0.20833333333333334</v>
      </c>
      <c r="AE519" s="160">
        <f t="shared" si="136"/>
        <v>1.0049999999999999</v>
      </c>
    </row>
    <row r="520" spans="1:31" x14ac:dyDescent="0.3">
      <c r="A520" s="187">
        <v>47</v>
      </c>
      <c r="B520" s="242">
        <f t="shared" si="137"/>
        <v>47058</v>
      </c>
      <c r="C520" s="243">
        <f t="shared" si="120"/>
        <v>47087</v>
      </c>
      <c r="D520" s="120">
        <f t="shared" si="121"/>
        <v>30</v>
      </c>
      <c r="E520" s="120">
        <f t="shared" si="122"/>
        <v>11</v>
      </c>
      <c r="F520" s="275">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1.0049999999999999</v>
      </c>
      <c r="P520" s="121">
        <f t="shared" si="133"/>
        <v>0</v>
      </c>
      <c r="Q520" s="121">
        <f t="shared" si="134"/>
        <v>0</v>
      </c>
      <c r="R520" s="121">
        <f t="shared" si="135"/>
        <v>0.125</v>
      </c>
      <c r="AE520" s="160">
        <f t="shared" si="136"/>
        <v>1.0049999999999999</v>
      </c>
    </row>
    <row r="521" spans="1:31" x14ac:dyDescent="0.3">
      <c r="A521" s="187">
        <v>48</v>
      </c>
      <c r="B521" s="242">
        <f t="shared" si="137"/>
        <v>47088</v>
      </c>
      <c r="C521" s="243">
        <f t="shared" si="120"/>
        <v>47118</v>
      </c>
      <c r="D521" s="120">
        <f t="shared" si="121"/>
        <v>31</v>
      </c>
      <c r="E521" s="120">
        <f t="shared" si="122"/>
        <v>12</v>
      </c>
      <c r="F521" s="275">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1.0049999999999999</v>
      </c>
      <c r="P521" s="121">
        <f t="shared" si="133"/>
        <v>0</v>
      </c>
      <c r="Q521" s="121">
        <f t="shared" si="134"/>
        <v>0</v>
      </c>
      <c r="R521" s="121">
        <f t="shared" si="135"/>
        <v>4.1666666666666664E-2</v>
      </c>
      <c r="AE521" s="160">
        <f t="shared" si="136"/>
        <v>1.0049999999999999</v>
      </c>
    </row>
    <row r="522" spans="1:31" x14ac:dyDescent="0.3">
      <c r="A522" s="23" t="s">
        <v>1723</v>
      </c>
      <c r="B522" s="279">
        <f>SUM($H$498:$H$509)</f>
        <v>12</v>
      </c>
      <c r="C522" s="160">
        <f>SUMPRODUCT($H$498:$H$509,$W$498:$W$509/$N$486:$N$497,$Y$498:$Y$509)</f>
        <v>12.145658475415418</v>
      </c>
      <c r="D522" s="160">
        <f>SUMPRODUCT($H$498:$H$509,$X$498:$X$509/$N$486:$N$497,$Y$498:$Y$509)</f>
        <v>9.1090779746809289</v>
      </c>
      <c r="E522" s="281" t="str">
        <f>IF(OR($D$471=0,$P$471=0,$D522=0),"n/a",((1+$E$471)*$B522-$C522)/$D522)</f>
        <v>n/a</v>
      </c>
      <c r="F522" s="281" t="str">
        <f>IF($V$471&lt;&gt;"",$V$471,$E522)</f>
        <v>n/a</v>
      </c>
      <c r="G522" s="281"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2">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1</v>
      </c>
      <c r="H527" s="220">
        <f>IF($C527=0,1,IF(N(INDEX(lr_m0,$C527))=0,1,INDEX(lr_m0,$C527)))</f>
        <v>0.99</v>
      </c>
      <c r="I527" s="278">
        <f>IF($C527=0,DATE(nr_PlanYear-1,10,1),IF(N(INDEX(lr_m0asof,$C527))=0,DATE(nr_PlanYear-1,10,1),INDEX(lr_m0asof,$C527)))</f>
        <v>46295</v>
      </c>
      <c r="J527" s="220">
        <f>IF($C527=0,1,IF(N(INDEX(lr_m1,$C527))=0,1,INDEX(lr_m1,$C527)))</f>
        <v>0.98499999999999999</v>
      </c>
      <c r="K527" s="220">
        <f>IF($C527=0,0,N(INDEX(lr_mprior,$C527)))</f>
        <v>0</v>
      </c>
      <c r="L527" s="220">
        <f>IF($C527=0,0,N(INDEX(lr_m2,$C527)))</f>
        <v>0</v>
      </c>
      <c r="M527" s="43">
        <f>IF(OR($A527="",COUNTIF(se_state,$A527)=0),0,MATCH($A527,se_state,0))</f>
        <v>0</v>
      </c>
      <c r="N527" s="279">
        <f>IF($M527=0,0,INDEX(se_sum,$M527))</f>
        <v>0</v>
      </c>
      <c r="O527" s="278">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80" t="str">
        <f>IF(ISBLANK('Net Delivery'!$E$14),$Y527,'Net Delivery'!$E$14)</f>
        <v/>
      </c>
      <c r="W527" s="43">
        <f>IF($B527="",0,COUNTIFS(rl_key,$B527,rl_status,"planned",rl_eff,"&gt;="&amp;DATE(nr_PlanYear,1,1),rl_eff,"&lt;="&amp;DATE(nr_PlanYear,12,31)))</f>
        <v>0</v>
      </c>
      <c r="X527" s="278">
        <f>IF($W527=0,nd_DefaultDate,SUMIFS(rl_eff,rl_key,$B527,rl_firstplanned,1))</f>
        <v>46478</v>
      </c>
      <c r="Y527" s="280" t="str">
        <f>IF($W527=0,"",SUMIFS(rl_reff,rl_key,$B527,rl_firstplanned,1))</f>
        <v/>
      </c>
      <c r="Z527" s="280"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5">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0.99681072210065647</v>
      </c>
      <c r="P530" s="121">
        <f t="shared" ref="P530:P577" si="161">MIN(1,MAX(0,(nr_MEndPm1-$G530+0.5)/nr_TermMonths))-MIN(1,MAX(0,(nr_MStartPm1-1-$G530+0.5)/nr_TermMonths))</f>
        <v>4.166666666666663E-2</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0.99681072210065647</v>
      </c>
    </row>
    <row r="531" spans="1:31" x14ac:dyDescent="0.3">
      <c r="A531" s="187">
        <v>2</v>
      </c>
      <c r="B531" s="242">
        <f t="shared" ref="B531:B577" si="165">EDATE($B530,1)</f>
        <v>45689</v>
      </c>
      <c r="C531" s="243">
        <f t="shared" si="148"/>
        <v>45716</v>
      </c>
      <c r="D531" s="120">
        <f t="shared" si="149"/>
        <v>28</v>
      </c>
      <c r="E531" s="120">
        <f t="shared" si="150"/>
        <v>2</v>
      </c>
      <c r="F531" s="275">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0.99648796498905901</v>
      </c>
      <c r="P531" s="121">
        <f t="shared" si="161"/>
        <v>0.125</v>
      </c>
      <c r="Q531" s="121">
        <f t="shared" si="162"/>
        <v>0</v>
      </c>
      <c r="R531" s="121">
        <f t="shared" si="163"/>
        <v>0</v>
      </c>
      <c r="AE531" s="160">
        <f t="shared" si="164"/>
        <v>0.99648796498905901</v>
      </c>
    </row>
    <row r="532" spans="1:31" x14ac:dyDescent="0.3">
      <c r="A532" s="187">
        <v>3</v>
      </c>
      <c r="B532" s="242">
        <f t="shared" si="165"/>
        <v>45717</v>
      </c>
      <c r="C532" s="243">
        <f t="shared" si="148"/>
        <v>45747</v>
      </c>
      <c r="D532" s="120">
        <f t="shared" si="149"/>
        <v>31</v>
      </c>
      <c r="E532" s="120">
        <f t="shared" si="150"/>
        <v>3</v>
      </c>
      <c r="F532" s="275">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0.99616520787746166</v>
      </c>
      <c r="P532" s="121">
        <f t="shared" si="161"/>
        <v>0.20833333333333337</v>
      </c>
      <c r="Q532" s="121">
        <f t="shared" si="162"/>
        <v>0</v>
      </c>
      <c r="R532" s="121">
        <f t="shared" si="163"/>
        <v>0</v>
      </c>
      <c r="AE532" s="160">
        <f t="shared" si="164"/>
        <v>0.99616520787746166</v>
      </c>
    </row>
    <row r="533" spans="1:31" x14ac:dyDescent="0.3">
      <c r="A533" s="187">
        <v>4</v>
      </c>
      <c r="B533" s="242">
        <f t="shared" si="165"/>
        <v>45748</v>
      </c>
      <c r="C533" s="243">
        <f t="shared" si="148"/>
        <v>45777</v>
      </c>
      <c r="D533" s="120">
        <f t="shared" si="149"/>
        <v>30</v>
      </c>
      <c r="E533" s="120">
        <f t="shared" si="150"/>
        <v>4</v>
      </c>
      <c r="F533" s="275">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0.99583150984682711</v>
      </c>
      <c r="P533" s="121">
        <f t="shared" si="161"/>
        <v>0.29166666666666663</v>
      </c>
      <c r="Q533" s="121">
        <f t="shared" si="162"/>
        <v>0</v>
      </c>
      <c r="R533" s="121">
        <f t="shared" si="163"/>
        <v>0</v>
      </c>
      <c r="AE533" s="160">
        <f t="shared" si="164"/>
        <v>0.99583150984682711</v>
      </c>
    </row>
    <row r="534" spans="1:31" x14ac:dyDescent="0.3">
      <c r="A534" s="187">
        <v>5</v>
      </c>
      <c r="B534" s="242">
        <f t="shared" si="165"/>
        <v>45778</v>
      </c>
      <c r="C534" s="243">
        <f t="shared" si="148"/>
        <v>45808</v>
      </c>
      <c r="D534" s="120">
        <f t="shared" si="149"/>
        <v>31</v>
      </c>
      <c r="E534" s="120">
        <f t="shared" si="150"/>
        <v>5</v>
      </c>
      <c r="F534" s="275">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0.99549781181619257</v>
      </c>
      <c r="P534" s="121">
        <f t="shared" si="161"/>
        <v>0.375</v>
      </c>
      <c r="Q534" s="121">
        <f t="shared" si="162"/>
        <v>0</v>
      </c>
      <c r="R534" s="121">
        <f t="shared" si="163"/>
        <v>0</v>
      </c>
      <c r="AE534" s="160">
        <f t="shared" si="164"/>
        <v>0.99549781181619257</v>
      </c>
    </row>
    <row r="535" spans="1:31" x14ac:dyDescent="0.3">
      <c r="A535" s="187">
        <v>6</v>
      </c>
      <c r="B535" s="242">
        <f t="shared" si="165"/>
        <v>45809</v>
      </c>
      <c r="C535" s="243">
        <f t="shared" si="148"/>
        <v>45838</v>
      </c>
      <c r="D535" s="120">
        <f t="shared" si="149"/>
        <v>30</v>
      </c>
      <c r="E535" s="120">
        <f t="shared" si="150"/>
        <v>6</v>
      </c>
      <c r="F535" s="275">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0.99516411378555791</v>
      </c>
      <c r="P535" s="121">
        <f t="shared" si="161"/>
        <v>0.45833333333333337</v>
      </c>
      <c r="Q535" s="121">
        <f t="shared" si="162"/>
        <v>0</v>
      </c>
      <c r="R535" s="121">
        <f t="shared" si="163"/>
        <v>0</v>
      </c>
      <c r="AE535" s="160">
        <f t="shared" si="164"/>
        <v>0.99516411378555791</v>
      </c>
    </row>
    <row r="536" spans="1:31" x14ac:dyDescent="0.3">
      <c r="A536" s="187">
        <v>7</v>
      </c>
      <c r="B536" s="242">
        <f t="shared" si="165"/>
        <v>45839</v>
      </c>
      <c r="C536" s="243">
        <f t="shared" si="148"/>
        <v>45869</v>
      </c>
      <c r="D536" s="120">
        <f t="shared" si="149"/>
        <v>31</v>
      </c>
      <c r="E536" s="120">
        <f t="shared" si="150"/>
        <v>7</v>
      </c>
      <c r="F536" s="275">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0.99483041575492337</v>
      </c>
      <c r="P536" s="121">
        <f t="shared" si="161"/>
        <v>0.54166666666666674</v>
      </c>
      <c r="Q536" s="121">
        <f t="shared" si="162"/>
        <v>0</v>
      </c>
      <c r="R536" s="121">
        <f t="shared" si="163"/>
        <v>0</v>
      </c>
      <c r="AE536" s="160">
        <f t="shared" si="164"/>
        <v>0.99483041575492337</v>
      </c>
    </row>
    <row r="537" spans="1:31" x14ac:dyDescent="0.3">
      <c r="A537" s="187">
        <v>8</v>
      </c>
      <c r="B537" s="242">
        <f t="shared" si="165"/>
        <v>45870</v>
      </c>
      <c r="C537" s="243">
        <f t="shared" si="148"/>
        <v>45900</v>
      </c>
      <c r="D537" s="120">
        <f t="shared" si="149"/>
        <v>31</v>
      </c>
      <c r="E537" s="120">
        <f t="shared" si="150"/>
        <v>8</v>
      </c>
      <c r="F537" s="275">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0.99449124726477023</v>
      </c>
      <c r="P537" s="121">
        <f t="shared" si="161"/>
        <v>0.625</v>
      </c>
      <c r="Q537" s="121">
        <f t="shared" si="162"/>
        <v>0</v>
      </c>
      <c r="R537" s="121">
        <f t="shared" si="163"/>
        <v>0</v>
      </c>
      <c r="AE537" s="160">
        <f t="shared" si="164"/>
        <v>0.99449124726477023</v>
      </c>
    </row>
    <row r="538" spans="1:31" x14ac:dyDescent="0.3">
      <c r="A538" s="187">
        <v>9</v>
      </c>
      <c r="B538" s="242">
        <f t="shared" si="165"/>
        <v>45901</v>
      </c>
      <c r="C538" s="243">
        <f t="shared" si="148"/>
        <v>45930</v>
      </c>
      <c r="D538" s="120">
        <f t="shared" si="149"/>
        <v>30</v>
      </c>
      <c r="E538" s="120">
        <f t="shared" si="150"/>
        <v>9</v>
      </c>
      <c r="F538" s="275">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0.99415754923413568</v>
      </c>
      <c r="P538" s="121">
        <f t="shared" si="161"/>
        <v>0.70833333333333326</v>
      </c>
      <c r="Q538" s="121">
        <f t="shared" si="162"/>
        <v>0</v>
      </c>
      <c r="R538" s="121">
        <f t="shared" si="163"/>
        <v>0</v>
      </c>
      <c r="AE538" s="160">
        <f t="shared" si="164"/>
        <v>0.99415754923413568</v>
      </c>
    </row>
    <row r="539" spans="1:31" x14ac:dyDescent="0.3">
      <c r="A539" s="187">
        <v>10</v>
      </c>
      <c r="B539" s="242">
        <f t="shared" si="165"/>
        <v>45931</v>
      </c>
      <c r="C539" s="243">
        <f t="shared" si="148"/>
        <v>45961</v>
      </c>
      <c r="D539" s="120">
        <f t="shared" si="149"/>
        <v>31</v>
      </c>
      <c r="E539" s="120">
        <f t="shared" si="150"/>
        <v>10</v>
      </c>
      <c r="F539" s="275">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0.99382385120350103</v>
      </c>
      <c r="P539" s="121">
        <f t="shared" si="161"/>
        <v>0.79166666666666663</v>
      </c>
      <c r="Q539" s="121">
        <f t="shared" si="162"/>
        <v>0</v>
      </c>
      <c r="R539" s="121">
        <f t="shared" si="163"/>
        <v>0</v>
      </c>
      <c r="AE539" s="160">
        <f t="shared" si="164"/>
        <v>0.99382385120350103</v>
      </c>
    </row>
    <row r="540" spans="1:31" x14ac:dyDescent="0.3">
      <c r="A540" s="187">
        <v>11</v>
      </c>
      <c r="B540" s="242">
        <f t="shared" si="165"/>
        <v>45962</v>
      </c>
      <c r="C540" s="243">
        <f t="shared" si="148"/>
        <v>45991</v>
      </c>
      <c r="D540" s="120">
        <f t="shared" si="149"/>
        <v>30</v>
      </c>
      <c r="E540" s="120">
        <f t="shared" si="150"/>
        <v>11</v>
      </c>
      <c r="F540" s="275">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0.99349015317286649</v>
      </c>
      <c r="P540" s="121">
        <f t="shared" si="161"/>
        <v>0.875</v>
      </c>
      <c r="Q540" s="121">
        <f t="shared" si="162"/>
        <v>0</v>
      </c>
      <c r="R540" s="121">
        <f t="shared" si="163"/>
        <v>0</v>
      </c>
      <c r="AE540" s="160">
        <f t="shared" si="164"/>
        <v>0.99349015317286649</v>
      </c>
    </row>
    <row r="541" spans="1:31" x14ac:dyDescent="0.3">
      <c r="A541" s="187">
        <v>12</v>
      </c>
      <c r="B541" s="242">
        <f t="shared" si="165"/>
        <v>45992</v>
      </c>
      <c r="C541" s="243">
        <f t="shared" si="148"/>
        <v>46022</v>
      </c>
      <c r="D541" s="120">
        <f t="shared" si="149"/>
        <v>31</v>
      </c>
      <c r="E541" s="120">
        <f t="shared" si="150"/>
        <v>12</v>
      </c>
      <c r="F541" s="275">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0.99315645514223194</v>
      </c>
      <c r="P541" s="121">
        <f t="shared" si="161"/>
        <v>0.95833333333333337</v>
      </c>
      <c r="Q541" s="121">
        <f t="shared" si="162"/>
        <v>0</v>
      </c>
      <c r="R541" s="121">
        <f t="shared" si="163"/>
        <v>0</v>
      </c>
      <c r="AE541" s="160">
        <f t="shared" si="164"/>
        <v>0.99315645514223194</v>
      </c>
    </row>
    <row r="542" spans="1:31" x14ac:dyDescent="0.3">
      <c r="A542" s="187">
        <v>13</v>
      </c>
      <c r="B542" s="242">
        <f t="shared" si="165"/>
        <v>46023</v>
      </c>
      <c r="C542" s="243">
        <f t="shared" si="148"/>
        <v>46053</v>
      </c>
      <c r="D542" s="120">
        <f t="shared" si="149"/>
        <v>31</v>
      </c>
      <c r="E542" s="120">
        <f t="shared" si="150"/>
        <v>1</v>
      </c>
      <c r="F542" s="275">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0.9928172866520788</v>
      </c>
      <c r="P542" s="121">
        <f t="shared" si="161"/>
        <v>0.95833333333333337</v>
      </c>
      <c r="Q542" s="121">
        <f t="shared" si="162"/>
        <v>4.166666666666663E-2</v>
      </c>
      <c r="R542" s="121">
        <f t="shared" si="163"/>
        <v>0</v>
      </c>
      <c r="AE542" s="160">
        <f t="shared" si="164"/>
        <v>0.9928172866520788</v>
      </c>
    </row>
    <row r="543" spans="1:31" x14ac:dyDescent="0.3">
      <c r="A543" s="187">
        <v>14</v>
      </c>
      <c r="B543" s="242">
        <f t="shared" si="165"/>
        <v>46054</v>
      </c>
      <c r="C543" s="243">
        <f t="shared" si="148"/>
        <v>46081</v>
      </c>
      <c r="D543" s="120">
        <f t="shared" si="149"/>
        <v>28</v>
      </c>
      <c r="E543" s="120">
        <f t="shared" si="150"/>
        <v>2</v>
      </c>
      <c r="F543" s="275">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0.99249452954048134</v>
      </c>
      <c r="P543" s="121">
        <f t="shared" si="161"/>
        <v>0.875</v>
      </c>
      <c r="Q543" s="121">
        <f t="shared" si="162"/>
        <v>0.125</v>
      </c>
      <c r="R543" s="121">
        <f t="shared" si="163"/>
        <v>0</v>
      </c>
      <c r="AE543" s="160">
        <f t="shared" si="164"/>
        <v>0.99249452954048134</v>
      </c>
    </row>
    <row r="544" spans="1:31" x14ac:dyDescent="0.3">
      <c r="A544" s="187">
        <v>15</v>
      </c>
      <c r="B544" s="242">
        <f t="shared" si="165"/>
        <v>46082</v>
      </c>
      <c r="C544" s="243">
        <f t="shared" si="148"/>
        <v>46112</v>
      </c>
      <c r="D544" s="120">
        <f t="shared" si="149"/>
        <v>31</v>
      </c>
      <c r="E544" s="120">
        <f t="shared" si="150"/>
        <v>3</v>
      </c>
      <c r="F544" s="275">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0.99217177242888399</v>
      </c>
      <c r="P544" s="121">
        <f t="shared" si="161"/>
        <v>0.79166666666666663</v>
      </c>
      <c r="Q544" s="121">
        <f t="shared" si="162"/>
        <v>0.20833333333333337</v>
      </c>
      <c r="R544" s="121">
        <f t="shared" si="163"/>
        <v>0</v>
      </c>
      <c r="AE544" s="160">
        <f t="shared" si="164"/>
        <v>0.99217177242888399</v>
      </c>
    </row>
    <row r="545" spans="1:35" x14ac:dyDescent="0.3">
      <c r="A545" s="187">
        <v>16</v>
      </c>
      <c r="B545" s="242">
        <f t="shared" si="165"/>
        <v>46113</v>
      </c>
      <c r="C545" s="243">
        <f t="shared" si="148"/>
        <v>46142</v>
      </c>
      <c r="D545" s="120">
        <f t="shared" si="149"/>
        <v>30</v>
      </c>
      <c r="E545" s="120">
        <f t="shared" si="150"/>
        <v>4</v>
      </c>
      <c r="F545" s="275">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0.99183807439824945</v>
      </c>
      <c r="P545" s="121">
        <f t="shared" si="161"/>
        <v>0.70833333333333337</v>
      </c>
      <c r="Q545" s="121">
        <f t="shared" si="162"/>
        <v>0.29166666666666663</v>
      </c>
      <c r="R545" s="121">
        <f t="shared" si="163"/>
        <v>0</v>
      </c>
      <c r="AE545" s="160">
        <f t="shared" si="164"/>
        <v>0.99183807439824945</v>
      </c>
    </row>
    <row r="546" spans="1:35" x14ac:dyDescent="0.3">
      <c r="A546" s="187">
        <v>17</v>
      </c>
      <c r="B546" s="242">
        <f t="shared" si="165"/>
        <v>46143</v>
      </c>
      <c r="C546" s="243">
        <f t="shared" si="148"/>
        <v>46173</v>
      </c>
      <c r="D546" s="120">
        <f t="shared" si="149"/>
        <v>31</v>
      </c>
      <c r="E546" s="120">
        <f t="shared" si="150"/>
        <v>5</v>
      </c>
      <c r="F546" s="275">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0.9915043763676149</v>
      </c>
      <c r="P546" s="121">
        <f t="shared" si="161"/>
        <v>0.625</v>
      </c>
      <c r="Q546" s="121">
        <f t="shared" si="162"/>
        <v>0.375</v>
      </c>
      <c r="R546" s="121">
        <f t="shared" si="163"/>
        <v>0</v>
      </c>
      <c r="AE546" s="160">
        <f t="shared" si="164"/>
        <v>0.9915043763676149</v>
      </c>
    </row>
    <row r="547" spans="1:35" x14ac:dyDescent="0.3">
      <c r="A547" s="187">
        <v>18</v>
      </c>
      <c r="B547" s="242">
        <f t="shared" si="165"/>
        <v>46174</v>
      </c>
      <c r="C547" s="243">
        <f t="shared" si="148"/>
        <v>46203</v>
      </c>
      <c r="D547" s="120">
        <f t="shared" si="149"/>
        <v>30</v>
      </c>
      <c r="E547" s="120">
        <f t="shared" si="150"/>
        <v>6</v>
      </c>
      <c r="F547" s="275">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0.99117067833698025</v>
      </c>
      <c r="P547" s="121">
        <f t="shared" si="161"/>
        <v>0.54166666666666663</v>
      </c>
      <c r="Q547" s="121">
        <f t="shared" si="162"/>
        <v>0.45833333333333337</v>
      </c>
      <c r="R547" s="121">
        <f t="shared" si="163"/>
        <v>0</v>
      </c>
      <c r="AE547" s="160">
        <f t="shared" si="164"/>
        <v>0.99117067833698025</v>
      </c>
    </row>
    <row r="548" spans="1:35" x14ac:dyDescent="0.3">
      <c r="A548" s="187">
        <v>19</v>
      </c>
      <c r="B548" s="242">
        <f t="shared" si="165"/>
        <v>46204</v>
      </c>
      <c r="C548" s="243">
        <f t="shared" si="148"/>
        <v>46234</v>
      </c>
      <c r="D548" s="120">
        <f t="shared" si="149"/>
        <v>31</v>
      </c>
      <c r="E548" s="120">
        <f t="shared" si="150"/>
        <v>7</v>
      </c>
      <c r="F548" s="275">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0.9908369803063457</v>
      </c>
      <c r="P548" s="121">
        <f t="shared" si="161"/>
        <v>0.45833333333333331</v>
      </c>
      <c r="Q548" s="121">
        <f t="shared" si="162"/>
        <v>0.54166666666666674</v>
      </c>
      <c r="R548" s="121">
        <f t="shared" si="163"/>
        <v>0</v>
      </c>
      <c r="AE548" s="160">
        <f t="shared" si="164"/>
        <v>0.9908369803063457</v>
      </c>
    </row>
    <row r="549" spans="1:35" x14ac:dyDescent="0.3">
      <c r="A549" s="187">
        <v>20</v>
      </c>
      <c r="B549" s="242">
        <f t="shared" si="165"/>
        <v>46235</v>
      </c>
      <c r="C549" s="243">
        <f t="shared" si="148"/>
        <v>46265</v>
      </c>
      <c r="D549" s="120">
        <f t="shared" si="149"/>
        <v>31</v>
      </c>
      <c r="E549" s="120">
        <f t="shared" si="150"/>
        <v>8</v>
      </c>
      <c r="F549" s="275">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0.99049781181619256</v>
      </c>
      <c r="P549" s="121">
        <f t="shared" si="161"/>
        <v>0.375</v>
      </c>
      <c r="Q549" s="121">
        <f t="shared" si="162"/>
        <v>0.625</v>
      </c>
      <c r="R549" s="121">
        <f t="shared" si="163"/>
        <v>0</v>
      </c>
      <c r="AE549" s="160">
        <f t="shared" si="164"/>
        <v>0.99049781181619256</v>
      </c>
    </row>
    <row r="550" spans="1:35" x14ac:dyDescent="0.3">
      <c r="A550" s="187">
        <v>21</v>
      </c>
      <c r="B550" s="242">
        <f t="shared" si="165"/>
        <v>46266</v>
      </c>
      <c r="C550" s="243">
        <f t="shared" si="148"/>
        <v>46295</v>
      </c>
      <c r="D550" s="120">
        <f t="shared" si="149"/>
        <v>30</v>
      </c>
      <c r="E550" s="120">
        <f t="shared" si="150"/>
        <v>9</v>
      </c>
      <c r="F550" s="275">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0.99016411378555802</v>
      </c>
      <c r="P550" s="121">
        <f t="shared" si="161"/>
        <v>0.29166666666666669</v>
      </c>
      <c r="Q550" s="121">
        <f t="shared" si="162"/>
        <v>0.70833333333333326</v>
      </c>
      <c r="R550" s="121">
        <f t="shared" si="163"/>
        <v>0</v>
      </c>
      <c r="AE550" s="160">
        <f t="shared" si="164"/>
        <v>0.99016411378555802</v>
      </c>
    </row>
    <row r="551" spans="1:35" x14ac:dyDescent="0.3">
      <c r="A551" s="187">
        <v>22</v>
      </c>
      <c r="B551" s="242">
        <f t="shared" si="165"/>
        <v>46296</v>
      </c>
      <c r="C551" s="243">
        <f t="shared" si="148"/>
        <v>46326</v>
      </c>
      <c r="D551" s="120">
        <f t="shared" si="149"/>
        <v>31</v>
      </c>
      <c r="E551" s="120">
        <f t="shared" si="150"/>
        <v>10</v>
      </c>
      <c r="F551" s="275">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0.98983041575492337</v>
      </c>
      <c r="P551" s="121">
        <f t="shared" si="161"/>
        <v>0.20833333333333334</v>
      </c>
      <c r="Q551" s="121">
        <f t="shared" si="162"/>
        <v>0.79166666666666663</v>
      </c>
      <c r="R551" s="121">
        <f t="shared" si="163"/>
        <v>0</v>
      </c>
      <c r="AE551" s="160">
        <f t="shared" si="164"/>
        <v>0.98983041575492337</v>
      </c>
    </row>
    <row r="552" spans="1:35" x14ac:dyDescent="0.3">
      <c r="A552" s="187">
        <v>23</v>
      </c>
      <c r="B552" s="242">
        <f t="shared" si="165"/>
        <v>46327</v>
      </c>
      <c r="C552" s="243">
        <f t="shared" si="148"/>
        <v>46356</v>
      </c>
      <c r="D552" s="120">
        <f t="shared" si="149"/>
        <v>30</v>
      </c>
      <c r="E552" s="120">
        <f t="shared" si="150"/>
        <v>11</v>
      </c>
      <c r="F552" s="275">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0.98949671772428882</v>
      </c>
      <c r="P552" s="121">
        <f t="shared" si="161"/>
        <v>0.125</v>
      </c>
      <c r="Q552" s="121">
        <f t="shared" si="162"/>
        <v>0.875</v>
      </c>
      <c r="R552" s="121">
        <f t="shared" si="163"/>
        <v>0</v>
      </c>
      <c r="AE552" s="160">
        <f t="shared" si="164"/>
        <v>0.98949671772428882</v>
      </c>
    </row>
    <row r="553" spans="1:35" x14ac:dyDescent="0.3">
      <c r="A553" s="187">
        <v>24</v>
      </c>
      <c r="B553" s="242">
        <f t="shared" si="165"/>
        <v>46357</v>
      </c>
      <c r="C553" s="243">
        <f t="shared" si="148"/>
        <v>46387</v>
      </c>
      <c r="D553" s="120">
        <f t="shared" si="149"/>
        <v>31</v>
      </c>
      <c r="E553" s="120">
        <f t="shared" si="150"/>
        <v>12</v>
      </c>
      <c r="F553" s="275">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0.98916301969365428</v>
      </c>
      <c r="P553" s="121">
        <f t="shared" si="161"/>
        <v>4.1666666666666664E-2</v>
      </c>
      <c r="Q553" s="121">
        <f t="shared" si="162"/>
        <v>0.95833333333333337</v>
      </c>
      <c r="R553" s="121">
        <f t="shared" si="163"/>
        <v>0</v>
      </c>
      <c r="AE553" s="160">
        <f t="shared" si="164"/>
        <v>0.98916301969365428</v>
      </c>
    </row>
    <row r="554" spans="1:35" x14ac:dyDescent="0.3">
      <c r="A554" s="187">
        <v>25</v>
      </c>
      <c r="B554" s="242">
        <f t="shared" si="165"/>
        <v>46388</v>
      </c>
      <c r="C554" s="243">
        <f t="shared" si="148"/>
        <v>46418</v>
      </c>
      <c r="D554" s="120">
        <f t="shared" si="149"/>
        <v>31</v>
      </c>
      <c r="E554" s="120">
        <f t="shared" si="150"/>
        <v>1</v>
      </c>
      <c r="F554" s="275">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0.98882385120350114</v>
      </c>
      <c r="P554" s="121">
        <f t="shared" si="161"/>
        <v>0</v>
      </c>
      <c r="Q554" s="121">
        <f t="shared" si="162"/>
        <v>0.95833333333333337</v>
      </c>
      <c r="R554" s="121">
        <f t="shared" si="163"/>
        <v>4.166666666666663E-2</v>
      </c>
      <c r="W554" s="160">
        <f t="shared" ref="W554:W565" si="166">IF($G554&lt;&gt;$Q$527,$N554,(1-$U$527)*$I554+$U$527*$J554)</f>
        <v>1</v>
      </c>
      <c r="X554" s="160">
        <f t="shared" ref="X554:X565" si="167">IF($G554&lt;$Q$527,0,IF($G554&gt;$Q$527,$N554,$U$527*$J554))</f>
        <v>0</v>
      </c>
      <c r="Y554" s="160">
        <f t="shared" ref="Y554:Y565" si="168">IF($F$527=1,$O554/$O542,1)</f>
        <v>0.99597767333197418</v>
      </c>
      <c r="AB554" s="160">
        <f t="shared" ref="AB554:AB565" si="169">IF(AND(N($K$527)&lt;&gt;0,$F554&lt;=$B$528),0,($F554-$B$528)/($C$528-$B$528))</f>
        <v>0.23522975929978118</v>
      </c>
      <c r="AC554" s="220">
        <f t="shared" ref="AC554:AC565" si="170">IF(AND(N($K$527)&lt;&gt;0,$F554&lt;=$B$528),$O554,$F$528*(1-$AB554))</f>
        <v>0.75712253829321663</v>
      </c>
      <c r="AD554" s="160">
        <f t="shared" ref="AD554:AD565" si="171">$H554*($W554+$X554*IF(ISNUMBER($F$578),$F$578,0))/($N542*$O542)</f>
        <v>1.0072346779659149</v>
      </c>
      <c r="AE554" s="160">
        <f t="shared" si="164"/>
        <v>0.98882385120350103</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5">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0.98850109409190368</v>
      </c>
      <c r="P555" s="121">
        <f t="shared" si="161"/>
        <v>0</v>
      </c>
      <c r="Q555" s="121">
        <f t="shared" si="162"/>
        <v>0.875</v>
      </c>
      <c r="R555" s="121">
        <f t="shared" si="163"/>
        <v>0.125</v>
      </c>
      <c r="W555" s="160">
        <f t="shared" si="166"/>
        <v>1</v>
      </c>
      <c r="X555" s="160">
        <f t="shared" si="167"/>
        <v>0</v>
      </c>
      <c r="Y555" s="160">
        <f t="shared" si="168"/>
        <v>0.99597636527989064</v>
      </c>
      <c r="AB555" s="160">
        <f t="shared" si="169"/>
        <v>0.29978118161925604</v>
      </c>
      <c r="AC555" s="220">
        <f t="shared" si="170"/>
        <v>0.69321663019693647</v>
      </c>
      <c r="AD555" s="160">
        <f t="shared" si="171"/>
        <v>1.0075622285424521</v>
      </c>
      <c r="AE555" s="160">
        <f t="shared" si="164"/>
        <v>0.98850109409190368</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5">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0.98817833698030633</v>
      </c>
      <c r="P556" s="121">
        <f t="shared" si="161"/>
        <v>0</v>
      </c>
      <c r="Q556" s="121">
        <f t="shared" si="162"/>
        <v>0.79166666666666663</v>
      </c>
      <c r="R556" s="121">
        <f t="shared" si="163"/>
        <v>0.20833333333333337</v>
      </c>
      <c r="W556" s="160">
        <f t="shared" si="166"/>
        <v>1</v>
      </c>
      <c r="X556" s="160">
        <f t="shared" si="167"/>
        <v>0</v>
      </c>
      <c r="Y556" s="160">
        <f t="shared" si="168"/>
        <v>0.99597505637677886</v>
      </c>
      <c r="AB556" s="160">
        <f t="shared" si="169"/>
        <v>0.36433260393873085</v>
      </c>
      <c r="AC556" s="220">
        <f t="shared" si="170"/>
        <v>0.62931072210065642</v>
      </c>
      <c r="AD556" s="160">
        <f t="shared" si="171"/>
        <v>1.0078899922257938</v>
      </c>
      <c r="AE556" s="160">
        <f t="shared" si="164"/>
        <v>0.98817833698030633</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5">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0.98784463894967178</v>
      </c>
      <c r="P557" s="121">
        <f t="shared" si="161"/>
        <v>0</v>
      </c>
      <c r="Q557" s="121">
        <f t="shared" si="162"/>
        <v>0.70833333333333337</v>
      </c>
      <c r="R557" s="121">
        <f t="shared" si="163"/>
        <v>0.29166666666666663</v>
      </c>
      <c r="W557" s="160">
        <f t="shared" si="166"/>
        <v>1</v>
      </c>
      <c r="X557" s="160">
        <f t="shared" si="167"/>
        <v>1</v>
      </c>
      <c r="Y557" s="160">
        <f t="shared" si="168"/>
        <v>0.99597370220839676</v>
      </c>
      <c r="AB557" s="160">
        <f t="shared" si="169"/>
        <v>0.4310722100656455</v>
      </c>
      <c r="AC557" s="220">
        <f t="shared" si="170"/>
        <v>0.56323851203501096</v>
      </c>
      <c r="AD557" s="160">
        <f t="shared" si="171"/>
        <v>1.0082290908288658</v>
      </c>
      <c r="AE557" s="160">
        <f t="shared" si="164"/>
        <v>0.98784463894967178</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5">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0.98751094091903724</v>
      </c>
      <c r="P558" s="121">
        <f t="shared" si="161"/>
        <v>0</v>
      </c>
      <c r="Q558" s="121">
        <f t="shared" si="162"/>
        <v>0.625</v>
      </c>
      <c r="R558" s="121">
        <f t="shared" si="163"/>
        <v>0.375</v>
      </c>
      <c r="W558" s="160">
        <f t="shared" si="166"/>
        <v>1</v>
      </c>
      <c r="X558" s="160">
        <f t="shared" si="167"/>
        <v>1</v>
      </c>
      <c r="Y558" s="160">
        <f t="shared" si="168"/>
        <v>0.99597234712850424</v>
      </c>
      <c r="AB558" s="160">
        <f t="shared" si="169"/>
        <v>0.49781181619256015</v>
      </c>
      <c r="AC558" s="220">
        <f t="shared" si="170"/>
        <v>0.4971663019693654</v>
      </c>
      <c r="AD558" s="160">
        <f t="shared" si="171"/>
        <v>1.0085684176841547</v>
      </c>
      <c r="AE558" s="160">
        <f t="shared" si="164"/>
        <v>0.98751094091903713</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5">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0.98717724288840258</v>
      </c>
      <c r="P559" s="121">
        <f t="shared" si="161"/>
        <v>0</v>
      </c>
      <c r="Q559" s="121">
        <f t="shared" si="162"/>
        <v>0.54166666666666663</v>
      </c>
      <c r="R559" s="121">
        <f t="shared" si="163"/>
        <v>0.45833333333333337</v>
      </c>
      <c r="W559" s="160">
        <f t="shared" si="166"/>
        <v>1</v>
      </c>
      <c r="X559" s="160">
        <f t="shared" si="167"/>
        <v>1</v>
      </c>
      <c r="Y559" s="160">
        <f t="shared" si="168"/>
        <v>0.99597099113618048</v>
      </c>
      <c r="AB559" s="160">
        <f t="shared" si="169"/>
        <v>0.56455142231947486</v>
      </c>
      <c r="AC559" s="220">
        <f t="shared" si="170"/>
        <v>0.43109409190371989</v>
      </c>
      <c r="AD559" s="160">
        <f t="shared" si="171"/>
        <v>1.0089079730221981</v>
      </c>
      <c r="AE559" s="160">
        <f t="shared" si="164"/>
        <v>0.9871772428884027</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5">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0.98684354485776804</v>
      </c>
      <c r="P560" s="121">
        <f t="shared" si="161"/>
        <v>0</v>
      </c>
      <c r="Q560" s="121">
        <f t="shared" si="162"/>
        <v>0.45833333333333331</v>
      </c>
      <c r="R560" s="121">
        <f t="shared" si="163"/>
        <v>0.54166666666666674</v>
      </c>
      <c r="W560" s="160">
        <f t="shared" si="166"/>
        <v>1</v>
      </c>
      <c r="X560" s="160">
        <f t="shared" si="167"/>
        <v>1</v>
      </c>
      <c r="Y560" s="160">
        <f t="shared" si="168"/>
        <v>0.99596963423050378</v>
      </c>
      <c r="AB560" s="160">
        <f t="shared" si="169"/>
        <v>0.63129102844638951</v>
      </c>
      <c r="AC560" s="220">
        <f t="shared" si="170"/>
        <v>0.36502188183807438</v>
      </c>
      <c r="AD560" s="160">
        <f t="shared" si="171"/>
        <v>1.0092477570738441</v>
      </c>
      <c r="AE560" s="160">
        <f t="shared" si="164"/>
        <v>0.98684354485776804</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5">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0.9865043763676149</v>
      </c>
      <c r="P561" s="121">
        <f t="shared" si="161"/>
        <v>0</v>
      </c>
      <c r="Q561" s="121">
        <f t="shared" si="162"/>
        <v>0.375</v>
      </c>
      <c r="R561" s="121">
        <f t="shared" si="163"/>
        <v>0.625</v>
      </c>
      <c r="W561" s="160">
        <f t="shared" si="166"/>
        <v>1</v>
      </c>
      <c r="X561" s="160">
        <f t="shared" si="167"/>
        <v>1</v>
      </c>
      <c r="Y561" s="160">
        <f t="shared" si="168"/>
        <v>0.99596825414358536</v>
      </c>
      <c r="AB561" s="160">
        <f t="shared" si="169"/>
        <v>0.69912472647702406</v>
      </c>
      <c r="AC561" s="220">
        <f t="shared" si="170"/>
        <v>0.29786652078774617</v>
      </c>
      <c r="AD561" s="160">
        <f t="shared" si="171"/>
        <v>1.0095933459624551</v>
      </c>
      <c r="AE561" s="160">
        <f t="shared" si="164"/>
        <v>0.9865043763676149</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5">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0.98617067833698024</v>
      </c>
      <c r="P562" s="121">
        <f t="shared" si="161"/>
        <v>0</v>
      </c>
      <c r="Q562" s="121">
        <f t="shared" si="162"/>
        <v>0.29166666666666669</v>
      </c>
      <c r="R562" s="121">
        <f t="shared" si="163"/>
        <v>0.70833333333333326</v>
      </c>
      <c r="W562" s="160">
        <f t="shared" si="166"/>
        <v>1</v>
      </c>
      <c r="X562" s="160">
        <f t="shared" si="167"/>
        <v>1</v>
      </c>
      <c r="Y562" s="160">
        <f t="shared" si="168"/>
        <v>0.99596689539342098</v>
      </c>
      <c r="AB562" s="160">
        <f t="shared" si="169"/>
        <v>0.76586433260393871</v>
      </c>
      <c r="AC562" s="220">
        <f t="shared" si="170"/>
        <v>0.23179431072210066</v>
      </c>
      <c r="AD562" s="160">
        <f t="shared" si="171"/>
        <v>1.0099335918940122</v>
      </c>
      <c r="AE562" s="160">
        <f t="shared" si="164"/>
        <v>0.98617067833698024</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5">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0.9858369803063457</v>
      </c>
      <c r="P563" s="121">
        <f t="shared" si="161"/>
        <v>0</v>
      </c>
      <c r="Q563" s="121">
        <f t="shared" si="162"/>
        <v>0.20833333333333334</v>
      </c>
      <c r="R563" s="121">
        <f t="shared" si="163"/>
        <v>0.79166666666666663</v>
      </c>
      <c r="W563" s="160">
        <f t="shared" si="166"/>
        <v>1</v>
      </c>
      <c r="X563" s="160">
        <f t="shared" si="167"/>
        <v>1</v>
      </c>
      <c r="Y563" s="160">
        <f t="shared" si="168"/>
        <v>0.99596553572711544</v>
      </c>
      <c r="AB563" s="160">
        <f t="shared" si="169"/>
        <v>0.83260393873085337</v>
      </c>
      <c r="AC563" s="220">
        <f t="shared" si="170"/>
        <v>0.16572210065645518</v>
      </c>
      <c r="AD563" s="160">
        <f t="shared" si="171"/>
        <v>1.0102740672373869</v>
      </c>
      <c r="AE563" s="160">
        <f t="shared" si="164"/>
        <v>0.98583698030634581</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5">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0.98550328227571116</v>
      </c>
      <c r="P564" s="121">
        <f t="shared" si="161"/>
        <v>0</v>
      </c>
      <c r="Q564" s="121">
        <f t="shared" si="162"/>
        <v>0.125</v>
      </c>
      <c r="R564" s="121">
        <f t="shared" si="163"/>
        <v>0.875</v>
      </c>
      <c r="W564" s="160">
        <f t="shared" si="166"/>
        <v>1</v>
      </c>
      <c r="X564" s="160">
        <f t="shared" si="167"/>
        <v>1</v>
      </c>
      <c r="Y564" s="160">
        <f t="shared" si="168"/>
        <v>0.99596417514374169</v>
      </c>
      <c r="AB564" s="160">
        <f t="shared" si="169"/>
        <v>0.89934354485776802</v>
      </c>
      <c r="AC564" s="220">
        <f t="shared" si="170"/>
        <v>9.9649890590809656E-2</v>
      </c>
      <c r="AD564" s="160">
        <f t="shared" si="171"/>
        <v>1.0106147722246794</v>
      </c>
      <c r="AE564" s="160">
        <f t="shared" si="164"/>
        <v>0.98550328227571116</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5">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0.98516958424507661</v>
      </c>
      <c r="P565" s="121">
        <f t="shared" si="161"/>
        <v>0</v>
      </c>
      <c r="Q565" s="121">
        <f t="shared" si="162"/>
        <v>4.1666666666666664E-2</v>
      </c>
      <c r="R565" s="121">
        <f t="shared" si="163"/>
        <v>0.95833333333333337</v>
      </c>
      <c r="W565" s="160">
        <f t="shared" si="166"/>
        <v>1</v>
      </c>
      <c r="X565" s="160">
        <f t="shared" si="167"/>
        <v>1</v>
      </c>
      <c r="Y565" s="160">
        <f t="shared" si="168"/>
        <v>0.99596281364237171</v>
      </c>
      <c r="AB565" s="160">
        <f t="shared" si="169"/>
        <v>0.96608315098468267</v>
      </c>
      <c r="AC565" s="220">
        <f t="shared" si="170"/>
        <v>3.3577680525164154E-2</v>
      </c>
      <c r="AD565" s="160">
        <f t="shared" si="171"/>
        <v>1.0109557070883037</v>
      </c>
      <c r="AE565" s="160">
        <f t="shared" si="164"/>
        <v>0.98516958424507661</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5">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0.98499999999999999</v>
      </c>
      <c r="P566" s="121">
        <f t="shared" si="161"/>
        <v>0</v>
      </c>
      <c r="Q566" s="121">
        <f t="shared" si="162"/>
        <v>0</v>
      </c>
      <c r="R566" s="121">
        <f t="shared" si="163"/>
        <v>0.95833333333333337</v>
      </c>
      <c r="AE566" s="160">
        <f t="shared" si="164"/>
        <v>0.98499999999999999</v>
      </c>
    </row>
    <row r="567" spans="1:35" x14ac:dyDescent="0.3">
      <c r="A567" s="187">
        <v>38</v>
      </c>
      <c r="B567" s="242">
        <f t="shared" si="165"/>
        <v>46784</v>
      </c>
      <c r="C567" s="243">
        <f t="shared" si="148"/>
        <v>46812</v>
      </c>
      <c r="D567" s="120">
        <f t="shared" si="149"/>
        <v>29</v>
      </c>
      <c r="E567" s="120">
        <f t="shared" si="150"/>
        <v>2</v>
      </c>
      <c r="F567" s="275">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0.98499999999999999</v>
      </c>
      <c r="P567" s="121">
        <f t="shared" si="161"/>
        <v>0</v>
      </c>
      <c r="Q567" s="121">
        <f t="shared" si="162"/>
        <v>0</v>
      </c>
      <c r="R567" s="121">
        <f t="shared" si="163"/>
        <v>0.875</v>
      </c>
      <c r="AE567" s="160">
        <f t="shared" si="164"/>
        <v>0.98499999999999999</v>
      </c>
    </row>
    <row r="568" spans="1:35" x14ac:dyDescent="0.3">
      <c r="A568" s="187">
        <v>39</v>
      </c>
      <c r="B568" s="242">
        <f t="shared" si="165"/>
        <v>46813</v>
      </c>
      <c r="C568" s="243">
        <f t="shared" si="148"/>
        <v>46843</v>
      </c>
      <c r="D568" s="120">
        <f t="shared" si="149"/>
        <v>31</v>
      </c>
      <c r="E568" s="120">
        <f t="shared" si="150"/>
        <v>3</v>
      </c>
      <c r="F568" s="275">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0.98499999999999999</v>
      </c>
      <c r="P568" s="121">
        <f t="shared" si="161"/>
        <v>0</v>
      </c>
      <c r="Q568" s="121">
        <f t="shared" si="162"/>
        <v>0</v>
      </c>
      <c r="R568" s="121">
        <f t="shared" si="163"/>
        <v>0.79166666666666663</v>
      </c>
      <c r="AE568" s="160">
        <f t="shared" si="164"/>
        <v>0.98499999999999999</v>
      </c>
    </row>
    <row r="569" spans="1:35" x14ac:dyDescent="0.3">
      <c r="A569" s="187">
        <v>40</v>
      </c>
      <c r="B569" s="242">
        <f t="shared" si="165"/>
        <v>46844</v>
      </c>
      <c r="C569" s="243">
        <f t="shared" si="148"/>
        <v>46873</v>
      </c>
      <c r="D569" s="120">
        <f t="shared" si="149"/>
        <v>30</v>
      </c>
      <c r="E569" s="120">
        <f t="shared" si="150"/>
        <v>4</v>
      </c>
      <c r="F569" s="275">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0.98499999999999999</v>
      </c>
      <c r="P569" s="121">
        <f t="shared" si="161"/>
        <v>0</v>
      </c>
      <c r="Q569" s="121">
        <f t="shared" si="162"/>
        <v>0</v>
      </c>
      <c r="R569" s="121">
        <f t="shared" si="163"/>
        <v>0.70833333333333337</v>
      </c>
      <c r="AE569" s="160">
        <f t="shared" si="164"/>
        <v>0.98499999999999999</v>
      </c>
    </row>
    <row r="570" spans="1:35" x14ac:dyDescent="0.3">
      <c r="A570" s="187">
        <v>41</v>
      </c>
      <c r="B570" s="242">
        <f t="shared" si="165"/>
        <v>46874</v>
      </c>
      <c r="C570" s="243">
        <f t="shared" si="148"/>
        <v>46904</v>
      </c>
      <c r="D570" s="120">
        <f t="shared" si="149"/>
        <v>31</v>
      </c>
      <c r="E570" s="120">
        <f t="shared" si="150"/>
        <v>5</v>
      </c>
      <c r="F570" s="275">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0.98499999999999999</v>
      </c>
      <c r="P570" s="121">
        <f t="shared" si="161"/>
        <v>0</v>
      </c>
      <c r="Q570" s="121">
        <f t="shared" si="162"/>
        <v>0</v>
      </c>
      <c r="R570" s="121">
        <f t="shared" si="163"/>
        <v>0.625</v>
      </c>
      <c r="AE570" s="160">
        <f t="shared" si="164"/>
        <v>0.98499999999999999</v>
      </c>
    </row>
    <row r="571" spans="1:35" x14ac:dyDescent="0.3">
      <c r="A571" s="187">
        <v>42</v>
      </c>
      <c r="B571" s="242">
        <f t="shared" si="165"/>
        <v>46905</v>
      </c>
      <c r="C571" s="243">
        <f t="shared" si="148"/>
        <v>46934</v>
      </c>
      <c r="D571" s="120">
        <f t="shared" si="149"/>
        <v>30</v>
      </c>
      <c r="E571" s="120">
        <f t="shared" si="150"/>
        <v>6</v>
      </c>
      <c r="F571" s="275">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0.98499999999999999</v>
      </c>
      <c r="P571" s="121">
        <f t="shared" si="161"/>
        <v>0</v>
      </c>
      <c r="Q571" s="121">
        <f t="shared" si="162"/>
        <v>0</v>
      </c>
      <c r="R571" s="121">
        <f t="shared" si="163"/>
        <v>0.54166666666666663</v>
      </c>
      <c r="AE571" s="160">
        <f t="shared" si="164"/>
        <v>0.98499999999999999</v>
      </c>
    </row>
    <row r="572" spans="1:35" x14ac:dyDescent="0.3">
      <c r="A572" s="187">
        <v>43</v>
      </c>
      <c r="B572" s="242">
        <f t="shared" si="165"/>
        <v>46935</v>
      </c>
      <c r="C572" s="243">
        <f t="shared" si="148"/>
        <v>46965</v>
      </c>
      <c r="D572" s="120">
        <f t="shared" si="149"/>
        <v>31</v>
      </c>
      <c r="E572" s="120">
        <f t="shared" si="150"/>
        <v>7</v>
      </c>
      <c r="F572" s="275">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0.98499999999999999</v>
      </c>
      <c r="P572" s="121">
        <f t="shared" si="161"/>
        <v>0</v>
      </c>
      <c r="Q572" s="121">
        <f t="shared" si="162"/>
        <v>0</v>
      </c>
      <c r="R572" s="121">
        <f t="shared" si="163"/>
        <v>0.45833333333333331</v>
      </c>
      <c r="AE572" s="160">
        <f t="shared" si="164"/>
        <v>0.98499999999999999</v>
      </c>
    </row>
    <row r="573" spans="1:35" x14ac:dyDescent="0.3">
      <c r="A573" s="187">
        <v>44</v>
      </c>
      <c r="B573" s="242">
        <f t="shared" si="165"/>
        <v>46966</v>
      </c>
      <c r="C573" s="243">
        <f t="shared" si="148"/>
        <v>46996</v>
      </c>
      <c r="D573" s="120">
        <f t="shared" si="149"/>
        <v>31</v>
      </c>
      <c r="E573" s="120">
        <f t="shared" si="150"/>
        <v>8</v>
      </c>
      <c r="F573" s="275">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0.98499999999999999</v>
      </c>
      <c r="P573" s="121">
        <f t="shared" si="161"/>
        <v>0</v>
      </c>
      <c r="Q573" s="121">
        <f t="shared" si="162"/>
        <v>0</v>
      </c>
      <c r="R573" s="121">
        <f t="shared" si="163"/>
        <v>0.375</v>
      </c>
      <c r="AE573" s="160">
        <f t="shared" si="164"/>
        <v>0.98499999999999999</v>
      </c>
    </row>
    <row r="574" spans="1:35" x14ac:dyDescent="0.3">
      <c r="A574" s="187">
        <v>45</v>
      </c>
      <c r="B574" s="242">
        <f t="shared" si="165"/>
        <v>46997</v>
      </c>
      <c r="C574" s="243">
        <f t="shared" si="148"/>
        <v>47026</v>
      </c>
      <c r="D574" s="120">
        <f t="shared" si="149"/>
        <v>30</v>
      </c>
      <c r="E574" s="120">
        <f t="shared" si="150"/>
        <v>9</v>
      </c>
      <c r="F574" s="275">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0.98499999999999999</v>
      </c>
      <c r="P574" s="121">
        <f t="shared" si="161"/>
        <v>0</v>
      </c>
      <c r="Q574" s="121">
        <f t="shared" si="162"/>
        <v>0</v>
      </c>
      <c r="R574" s="121">
        <f t="shared" si="163"/>
        <v>0.29166666666666669</v>
      </c>
      <c r="AE574" s="160">
        <f t="shared" si="164"/>
        <v>0.98499999999999999</v>
      </c>
    </row>
    <row r="575" spans="1:35" x14ac:dyDescent="0.3">
      <c r="A575" s="187">
        <v>46</v>
      </c>
      <c r="B575" s="242">
        <f t="shared" si="165"/>
        <v>47027</v>
      </c>
      <c r="C575" s="243">
        <f t="shared" si="148"/>
        <v>47057</v>
      </c>
      <c r="D575" s="120">
        <f t="shared" si="149"/>
        <v>31</v>
      </c>
      <c r="E575" s="120">
        <f t="shared" si="150"/>
        <v>10</v>
      </c>
      <c r="F575" s="275">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0.98499999999999999</v>
      </c>
      <c r="P575" s="121">
        <f t="shared" si="161"/>
        <v>0</v>
      </c>
      <c r="Q575" s="121">
        <f t="shared" si="162"/>
        <v>0</v>
      </c>
      <c r="R575" s="121">
        <f t="shared" si="163"/>
        <v>0.20833333333333334</v>
      </c>
      <c r="AE575" s="160">
        <f t="shared" si="164"/>
        <v>0.98499999999999999</v>
      </c>
    </row>
    <row r="576" spans="1:35" x14ac:dyDescent="0.3">
      <c r="A576" s="187">
        <v>47</v>
      </c>
      <c r="B576" s="242">
        <f t="shared" si="165"/>
        <v>47058</v>
      </c>
      <c r="C576" s="243">
        <f t="shared" si="148"/>
        <v>47087</v>
      </c>
      <c r="D576" s="120">
        <f t="shared" si="149"/>
        <v>30</v>
      </c>
      <c r="E576" s="120">
        <f t="shared" si="150"/>
        <v>11</v>
      </c>
      <c r="F576" s="275">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0.98499999999999999</v>
      </c>
      <c r="P576" s="121">
        <f t="shared" si="161"/>
        <v>0</v>
      </c>
      <c r="Q576" s="121">
        <f t="shared" si="162"/>
        <v>0</v>
      </c>
      <c r="R576" s="121">
        <f t="shared" si="163"/>
        <v>0.125</v>
      </c>
      <c r="AE576" s="160">
        <f t="shared" si="164"/>
        <v>0.98499999999999999</v>
      </c>
    </row>
    <row r="577" spans="1:31" x14ac:dyDescent="0.3">
      <c r="A577" s="187">
        <v>48</v>
      </c>
      <c r="B577" s="242">
        <f t="shared" si="165"/>
        <v>47088</v>
      </c>
      <c r="C577" s="243">
        <f t="shared" si="148"/>
        <v>47118</v>
      </c>
      <c r="D577" s="120">
        <f t="shared" si="149"/>
        <v>31</v>
      </c>
      <c r="E577" s="120">
        <f t="shared" si="150"/>
        <v>12</v>
      </c>
      <c r="F577" s="275">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0.98499999999999999</v>
      </c>
      <c r="P577" s="121">
        <f t="shared" si="161"/>
        <v>0</v>
      </c>
      <c r="Q577" s="121">
        <f t="shared" si="162"/>
        <v>0</v>
      </c>
      <c r="R577" s="121">
        <f t="shared" si="163"/>
        <v>4.1666666666666664E-2</v>
      </c>
      <c r="AE577" s="160">
        <f t="shared" si="164"/>
        <v>0.98499999999999999</v>
      </c>
    </row>
    <row r="578" spans="1:31" x14ac:dyDescent="0.3">
      <c r="A578" s="23" t="s">
        <v>1723</v>
      </c>
      <c r="B578" s="279">
        <f>SUM($H$554:$H$565)</f>
        <v>12</v>
      </c>
      <c r="C578" s="160">
        <f>SUMPRODUCT($H$554:$H$565,$W$554:$W$565/$N$542:$N$553,$Y$554:$Y$565)</f>
        <v>11.951643443742466</v>
      </c>
      <c r="D578" s="160">
        <f>SUMPRODUCT($H$554:$H$565,$X$554:$X$565/$N$542:$N$553,$Y$554:$Y$565)</f>
        <v>8.96371434875382</v>
      </c>
      <c r="E578" s="281" t="str">
        <f>IF(OR($D$527=0,$P$527=0,$D578=0),"n/a",((1+$E$527)*$B578-$C578)/$D578)</f>
        <v>n/a</v>
      </c>
      <c r="F578" s="281" t="str">
        <f>IF($V$527&lt;&gt;"",$V$527,$E578)</f>
        <v>n/a</v>
      </c>
      <c r="G578" s="281"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2">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1</v>
      </c>
      <c r="H583" s="220">
        <f>IF($C583=0,1,IF(N(INDEX(lr_m0,$C583))=0,1,INDEX(lr_m0,$C583)))</f>
        <v>0.99</v>
      </c>
      <c r="I583" s="278">
        <f>IF($C583=0,DATE(nr_PlanYear-1,10,1),IF(N(INDEX(lr_m0asof,$C583))=0,DATE(nr_PlanYear-1,10,1),INDEX(lr_m0asof,$C583)))</f>
        <v>46295</v>
      </c>
      <c r="J583" s="220">
        <f>IF($C583=0,1,IF(N(INDEX(lr_m1,$C583))=0,1,INDEX(lr_m1,$C583)))</f>
        <v>1</v>
      </c>
      <c r="K583" s="220">
        <f>IF($C583=0,0,N(INDEX(lr_mprior,$C583)))</f>
        <v>0</v>
      </c>
      <c r="L583" s="220">
        <f>IF($C583=0,0,N(INDEX(lr_m2,$C583)))</f>
        <v>0</v>
      </c>
      <c r="M583" s="43">
        <f>IF(OR($A583="",COUNTIF(se_state,$A583)=0),0,MATCH($A583,se_state,0))</f>
        <v>1</v>
      </c>
      <c r="N583" s="279">
        <f>IF($M583=0,0,INDEX(se_sum,$M583))</f>
        <v>11.999999999999998</v>
      </c>
      <c r="O583" s="278">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80" t="str">
        <f>IF(ISBLANK('Net Delivery'!$E$15),$Y583,'Net Delivery'!$E$15)</f>
        <v/>
      </c>
      <c r="W583" s="43">
        <f>IF($B583="",0,COUNTIFS(rl_key,$B583,rl_status,"planned",rl_eff,"&gt;="&amp;DATE(nr_PlanYear,1,1),rl_eff,"&lt;="&amp;DATE(nr_PlanYear,12,31)))</f>
        <v>0</v>
      </c>
      <c r="X583" s="278">
        <f>IF($W583=0,nd_DefaultDate,SUMIFS(rl_eff,rl_key,$B583,rl_firstplanned,1))</f>
        <v>46478</v>
      </c>
      <c r="Y583" s="280" t="str">
        <f>IF($W583=0,"",SUMIFS(rl_reff,rl_key,$B583,rl_firstplanned,1))</f>
        <v/>
      </c>
      <c r="Z583" s="280"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5">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0.97637855579868715</v>
      </c>
      <c r="P586" s="121">
        <f t="shared" ref="P586:P633" si="189">MIN(1,MAX(0,(nr_MEndPm1-$G586+0.5)/nr_TermMonths))-MIN(1,MAX(0,(nr_MStartPm1-1-$G586+0.5)/nr_TermMonths))</f>
        <v>4.166666666666663E-2</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0.97637855579868715</v>
      </c>
    </row>
    <row r="587" spans="1:31" x14ac:dyDescent="0.3">
      <c r="A587" s="187">
        <v>2</v>
      </c>
      <c r="B587" s="242">
        <f t="shared" ref="B587:B633" si="193">EDATE($B586,1)</f>
        <v>45689</v>
      </c>
      <c r="C587" s="243">
        <f t="shared" si="176"/>
        <v>45716</v>
      </c>
      <c r="D587" s="120">
        <f t="shared" si="177"/>
        <v>28</v>
      </c>
      <c r="E587" s="120">
        <f t="shared" si="178"/>
        <v>2</v>
      </c>
      <c r="F587" s="275">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0.97702407002188185</v>
      </c>
      <c r="P587" s="121">
        <f t="shared" si="189"/>
        <v>0.125</v>
      </c>
      <c r="Q587" s="121">
        <f t="shared" si="190"/>
        <v>0</v>
      </c>
      <c r="R587" s="121">
        <f t="shared" si="191"/>
        <v>0</v>
      </c>
      <c r="AE587" s="160">
        <f t="shared" si="192"/>
        <v>0.97702407002188185</v>
      </c>
    </row>
    <row r="588" spans="1:31" x14ac:dyDescent="0.3">
      <c r="A588" s="187">
        <v>3</v>
      </c>
      <c r="B588" s="242">
        <f t="shared" si="193"/>
        <v>45717</v>
      </c>
      <c r="C588" s="243">
        <f t="shared" si="176"/>
        <v>45747</v>
      </c>
      <c r="D588" s="120">
        <f t="shared" si="177"/>
        <v>31</v>
      </c>
      <c r="E588" s="120">
        <f t="shared" si="178"/>
        <v>3</v>
      </c>
      <c r="F588" s="275">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0.97766958424507666</v>
      </c>
      <c r="P588" s="121">
        <f t="shared" si="189"/>
        <v>0.20833333333333337</v>
      </c>
      <c r="Q588" s="121">
        <f t="shared" si="190"/>
        <v>0</v>
      </c>
      <c r="R588" s="121">
        <f t="shared" si="191"/>
        <v>0</v>
      </c>
      <c r="AE588" s="160">
        <f t="shared" si="192"/>
        <v>0.97766958424507666</v>
      </c>
    </row>
    <row r="589" spans="1:31" x14ac:dyDescent="0.3">
      <c r="A589" s="187">
        <v>4</v>
      </c>
      <c r="B589" s="242">
        <f t="shared" si="193"/>
        <v>45748</v>
      </c>
      <c r="C589" s="243">
        <f t="shared" si="176"/>
        <v>45777</v>
      </c>
      <c r="D589" s="120">
        <f t="shared" si="177"/>
        <v>30</v>
      </c>
      <c r="E589" s="120">
        <f t="shared" si="178"/>
        <v>4</v>
      </c>
      <c r="F589" s="275">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0.97833698030634575</v>
      </c>
      <c r="P589" s="121">
        <f t="shared" si="189"/>
        <v>0.29166666666666663</v>
      </c>
      <c r="Q589" s="121">
        <f t="shared" si="190"/>
        <v>0</v>
      </c>
      <c r="R589" s="121">
        <f t="shared" si="191"/>
        <v>0</v>
      </c>
      <c r="AE589" s="160">
        <f t="shared" si="192"/>
        <v>0.97833698030634575</v>
      </c>
    </row>
    <row r="590" spans="1:31" x14ac:dyDescent="0.3">
      <c r="A590" s="187">
        <v>5</v>
      </c>
      <c r="B590" s="242">
        <f t="shared" si="193"/>
        <v>45778</v>
      </c>
      <c r="C590" s="243">
        <f t="shared" si="176"/>
        <v>45808</v>
      </c>
      <c r="D590" s="120">
        <f t="shared" si="177"/>
        <v>31</v>
      </c>
      <c r="E590" s="120">
        <f t="shared" si="178"/>
        <v>5</v>
      </c>
      <c r="F590" s="275">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0.97900437636761495</v>
      </c>
      <c r="P590" s="121">
        <f t="shared" si="189"/>
        <v>0.375</v>
      </c>
      <c r="Q590" s="121">
        <f t="shared" si="190"/>
        <v>0</v>
      </c>
      <c r="R590" s="121">
        <f t="shared" si="191"/>
        <v>0</v>
      </c>
      <c r="AE590" s="160">
        <f t="shared" si="192"/>
        <v>0.97900437636761495</v>
      </c>
    </row>
    <row r="591" spans="1:31" x14ac:dyDescent="0.3">
      <c r="A591" s="187">
        <v>6</v>
      </c>
      <c r="B591" s="242">
        <f t="shared" si="193"/>
        <v>45809</v>
      </c>
      <c r="C591" s="243">
        <f t="shared" si="176"/>
        <v>45838</v>
      </c>
      <c r="D591" s="120">
        <f t="shared" si="177"/>
        <v>30</v>
      </c>
      <c r="E591" s="120">
        <f t="shared" si="178"/>
        <v>6</v>
      </c>
      <c r="F591" s="275">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0.97967177242888404</v>
      </c>
      <c r="P591" s="121">
        <f t="shared" si="189"/>
        <v>0.45833333333333337</v>
      </c>
      <c r="Q591" s="121">
        <f t="shared" si="190"/>
        <v>0</v>
      </c>
      <c r="R591" s="121">
        <f t="shared" si="191"/>
        <v>0</v>
      </c>
      <c r="AE591" s="160">
        <f t="shared" si="192"/>
        <v>0.97967177242888404</v>
      </c>
    </row>
    <row r="592" spans="1:31" x14ac:dyDescent="0.3">
      <c r="A592" s="187">
        <v>7</v>
      </c>
      <c r="B592" s="242">
        <f t="shared" si="193"/>
        <v>45839</v>
      </c>
      <c r="C592" s="243">
        <f t="shared" si="176"/>
        <v>45869</v>
      </c>
      <c r="D592" s="120">
        <f t="shared" si="177"/>
        <v>31</v>
      </c>
      <c r="E592" s="120">
        <f t="shared" si="178"/>
        <v>7</v>
      </c>
      <c r="F592" s="275">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0.98033916849015323</v>
      </c>
      <c r="P592" s="121">
        <f t="shared" si="189"/>
        <v>0.54166666666666674</v>
      </c>
      <c r="Q592" s="121">
        <f t="shared" si="190"/>
        <v>0</v>
      </c>
      <c r="R592" s="121">
        <f t="shared" si="191"/>
        <v>0</v>
      </c>
      <c r="AE592" s="160">
        <f t="shared" si="192"/>
        <v>0.98033916849015323</v>
      </c>
    </row>
    <row r="593" spans="1:31" x14ac:dyDescent="0.3">
      <c r="A593" s="187">
        <v>8</v>
      </c>
      <c r="B593" s="242">
        <f t="shared" si="193"/>
        <v>45870</v>
      </c>
      <c r="C593" s="243">
        <f t="shared" si="176"/>
        <v>45900</v>
      </c>
      <c r="D593" s="120">
        <f t="shared" si="177"/>
        <v>31</v>
      </c>
      <c r="E593" s="120">
        <f t="shared" si="178"/>
        <v>8</v>
      </c>
      <c r="F593" s="275">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0.98101750547045952</v>
      </c>
      <c r="P593" s="121">
        <f t="shared" si="189"/>
        <v>0.625</v>
      </c>
      <c r="Q593" s="121">
        <f t="shared" si="190"/>
        <v>0</v>
      </c>
      <c r="R593" s="121">
        <f t="shared" si="191"/>
        <v>0</v>
      </c>
      <c r="AE593" s="160">
        <f t="shared" si="192"/>
        <v>0.98101750547045952</v>
      </c>
    </row>
    <row r="594" spans="1:31" x14ac:dyDescent="0.3">
      <c r="A594" s="187">
        <v>9</v>
      </c>
      <c r="B594" s="242">
        <f t="shared" si="193"/>
        <v>45901</v>
      </c>
      <c r="C594" s="243">
        <f t="shared" si="176"/>
        <v>45930</v>
      </c>
      <c r="D594" s="120">
        <f t="shared" si="177"/>
        <v>30</v>
      </c>
      <c r="E594" s="120">
        <f t="shared" si="178"/>
        <v>9</v>
      </c>
      <c r="F594" s="275">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0.98168490153172872</v>
      </c>
      <c r="P594" s="121">
        <f t="shared" si="189"/>
        <v>0.70833333333333326</v>
      </c>
      <c r="Q594" s="121">
        <f t="shared" si="190"/>
        <v>0</v>
      </c>
      <c r="R594" s="121">
        <f t="shared" si="191"/>
        <v>0</v>
      </c>
      <c r="AE594" s="160">
        <f t="shared" si="192"/>
        <v>0.98168490153172872</v>
      </c>
    </row>
    <row r="595" spans="1:31" x14ac:dyDescent="0.3">
      <c r="A595" s="187">
        <v>10</v>
      </c>
      <c r="B595" s="242">
        <f t="shared" si="193"/>
        <v>45931</v>
      </c>
      <c r="C595" s="243">
        <f t="shared" si="176"/>
        <v>45961</v>
      </c>
      <c r="D595" s="120">
        <f t="shared" si="177"/>
        <v>31</v>
      </c>
      <c r="E595" s="120">
        <f t="shared" si="178"/>
        <v>10</v>
      </c>
      <c r="F595" s="275">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0.9823522975929978</v>
      </c>
      <c r="P595" s="121">
        <f t="shared" si="189"/>
        <v>0.79166666666666663</v>
      </c>
      <c r="Q595" s="121">
        <f t="shared" si="190"/>
        <v>0</v>
      </c>
      <c r="R595" s="121">
        <f t="shared" si="191"/>
        <v>0</v>
      </c>
      <c r="AE595" s="160">
        <f t="shared" si="192"/>
        <v>0.9823522975929978</v>
      </c>
    </row>
    <row r="596" spans="1:31" x14ac:dyDescent="0.3">
      <c r="A596" s="187">
        <v>11</v>
      </c>
      <c r="B596" s="242">
        <f t="shared" si="193"/>
        <v>45962</v>
      </c>
      <c r="C596" s="243">
        <f t="shared" si="176"/>
        <v>45991</v>
      </c>
      <c r="D596" s="120">
        <f t="shared" si="177"/>
        <v>30</v>
      </c>
      <c r="E596" s="120">
        <f t="shared" si="178"/>
        <v>11</v>
      </c>
      <c r="F596" s="275">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0.983019693654267</v>
      </c>
      <c r="P596" s="121">
        <f t="shared" si="189"/>
        <v>0.875</v>
      </c>
      <c r="Q596" s="121">
        <f t="shared" si="190"/>
        <v>0</v>
      </c>
      <c r="R596" s="121">
        <f t="shared" si="191"/>
        <v>0</v>
      </c>
      <c r="AE596" s="160">
        <f t="shared" si="192"/>
        <v>0.983019693654267</v>
      </c>
    </row>
    <row r="597" spans="1:31" x14ac:dyDescent="0.3">
      <c r="A597" s="187">
        <v>12</v>
      </c>
      <c r="B597" s="242">
        <f t="shared" si="193"/>
        <v>45992</v>
      </c>
      <c r="C597" s="243">
        <f t="shared" si="176"/>
        <v>46022</v>
      </c>
      <c r="D597" s="120">
        <f t="shared" si="177"/>
        <v>31</v>
      </c>
      <c r="E597" s="120">
        <f t="shared" si="178"/>
        <v>12</v>
      </c>
      <c r="F597" s="275">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0.98368708971553609</v>
      </c>
      <c r="P597" s="121">
        <f t="shared" si="189"/>
        <v>0.95833333333333337</v>
      </c>
      <c r="Q597" s="121">
        <f t="shared" si="190"/>
        <v>0</v>
      </c>
      <c r="R597" s="121">
        <f t="shared" si="191"/>
        <v>0</v>
      </c>
      <c r="AE597" s="160">
        <f t="shared" si="192"/>
        <v>0.98368708971553609</v>
      </c>
    </row>
    <row r="598" spans="1:31" x14ac:dyDescent="0.3">
      <c r="A598" s="187">
        <v>13</v>
      </c>
      <c r="B598" s="242">
        <f t="shared" si="193"/>
        <v>46023</v>
      </c>
      <c r="C598" s="243">
        <f t="shared" si="176"/>
        <v>46053</v>
      </c>
      <c r="D598" s="120">
        <f t="shared" si="177"/>
        <v>31</v>
      </c>
      <c r="E598" s="120">
        <f t="shared" si="178"/>
        <v>1</v>
      </c>
      <c r="F598" s="275">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0.98436542669584248</v>
      </c>
      <c r="P598" s="121">
        <f t="shared" si="189"/>
        <v>0.95833333333333337</v>
      </c>
      <c r="Q598" s="121">
        <f t="shared" si="190"/>
        <v>4.166666666666663E-2</v>
      </c>
      <c r="R598" s="121">
        <f t="shared" si="191"/>
        <v>0</v>
      </c>
      <c r="AE598" s="160">
        <f t="shared" si="192"/>
        <v>0.98436542669584248</v>
      </c>
    </row>
    <row r="599" spans="1:31" x14ac:dyDescent="0.3">
      <c r="A599" s="187">
        <v>14</v>
      </c>
      <c r="B599" s="242">
        <f t="shared" si="193"/>
        <v>46054</v>
      </c>
      <c r="C599" s="243">
        <f t="shared" si="176"/>
        <v>46081</v>
      </c>
      <c r="D599" s="120">
        <f t="shared" si="177"/>
        <v>28</v>
      </c>
      <c r="E599" s="120">
        <f t="shared" si="178"/>
        <v>2</v>
      </c>
      <c r="F599" s="275">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0.98501094091903718</v>
      </c>
      <c r="P599" s="121">
        <f t="shared" si="189"/>
        <v>0.875</v>
      </c>
      <c r="Q599" s="121">
        <f t="shared" si="190"/>
        <v>0.125</v>
      </c>
      <c r="R599" s="121">
        <f t="shared" si="191"/>
        <v>0</v>
      </c>
      <c r="AE599" s="160">
        <f t="shared" si="192"/>
        <v>0.98501094091903718</v>
      </c>
    </row>
    <row r="600" spans="1:31" x14ac:dyDescent="0.3">
      <c r="A600" s="187">
        <v>15</v>
      </c>
      <c r="B600" s="242">
        <f t="shared" si="193"/>
        <v>46082</v>
      </c>
      <c r="C600" s="243">
        <f t="shared" si="176"/>
        <v>46112</v>
      </c>
      <c r="D600" s="120">
        <f t="shared" si="177"/>
        <v>31</v>
      </c>
      <c r="E600" s="120">
        <f t="shared" si="178"/>
        <v>3</v>
      </c>
      <c r="F600" s="275">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0.98565645514223199</v>
      </c>
      <c r="P600" s="121">
        <f t="shared" si="189"/>
        <v>0.79166666666666663</v>
      </c>
      <c r="Q600" s="121">
        <f t="shared" si="190"/>
        <v>0.20833333333333337</v>
      </c>
      <c r="R600" s="121">
        <f t="shared" si="191"/>
        <v>0</v>
      </c>
      <c r="AE600" s="160">
        <f t="shared" si="192"/>
        <v>0.98565645514223199</v>
      </c>
    </row>
    <row r="601" spans="1:31" x14ac:dyDescent="0.3">
      <c r="A601" s="187">
        <v>16</v>
      </c>
      <c r="B601" s="242">
        <f t="shared" si="193"/>
        <v>46113</v>
      </c>
      <c r="C601" s="243">
        <f t="shared" si="176"/>
        <v>46142</v>
      </c>
      <c r="D601" s="120">
        <f t="shared" si="177"/>
        <v>30</v>
      </c>
      <c r="E601" s="120">
        <f t="shared" si="178"/>
        <v>4</v>
      </c>
      <c r="F601" s="275">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0.98632385120350108</v>
      </c>
      <c r="P601" s="121">
        <f t="shared" si="189"/>
        <v>0.70833333333333337</v>
      </c>
      <c r="Q601" s="121">
        <f t="shared" si="190"/>
        <v>0.29166666666666663</v>
      </c>
      <c r="R601" s="121">
        <f t="shared" si="191"/>
        <v>0</v>
      </c>
      <c r="AE601" s="160">
        <f t="shared" si="192"/>
        <v>0.98632385120350108</v>
      </c>
    </row>
    <row r="602" spans="1:31" x14ac:dyDescent="0.3">
      <c r="A602" s="187">
        <v>17</v>
      </c>
      <c r="B602" s="242">
        <f t="shared" si="193"/>
        <v>46143</v>
      </c>
      <c r="C602" s="243">
        <f t="shared" si="176"/>
        <v>46173</v>
      </c>
      <c r="D602" s="120">
        <f t="shared" si="177"/>
        <v>31</v>
      </c>
      <c r="E602" s="120">
        <f t="shared" si="178"/>
        <v>5</v>
      </c>
      <c r="F602" s="275">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0.98699124726477028</v>
      </c>
      <c r="P602" s="121">
        <f t="shared" si="189"/>
        <v>0.625</v>
      </c>
      <c r="Q602" s="121">
        <f t="shared" si="190"/>
        <v>0.375</v>
      </c>
      <c r="R602" s="121">
        <f t="shared" si="191"/>
        <v>0</v>
      </c>
      <c r="AE602" s="160">
        <f t="shared" si="192"/>
        <v>0.98699124726477028</v>
      </c>
    </row>
    <row r="603" spans="1:31" x14ac:dyDescent="0.3">
      <c r="A603" s="187">
        <v>18</v>
      </c>
      <c r="B603" s="242">
        <f t="shared" si="193"/>
        <v>46174</v>
      </c>
      <c r="C603" s="243">
        <f t="shared" si="176"/>
        <v>46203</v>
      </c>
      <c r="D603" s="120">
        <f t="shared" si="177"/>
        <v>30</v>
      </c>
      <c r="E603" s="120">
        <f t="shared" si="178"/>
        <v>6</v>
      </c>
      <c r="F603" s="275">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0.98765864332603936</v>
      </c>
      <c r="P603" s="121">
        <f t="shared" si="189"/>
        <v>0.54166666666666663</v>
      </c>
      <c r="Q603" s="121">
        <f t="shared" si="190"/>
        <v>0.45833333333333337</v>
      </c>
      <c r="R603" s="121">
        <f t="shared" si="191"/>
        <v>0</v>
      </c>
      <c r="AE603" s="160">
        <f t="shared" si="192"/>
        <v>0.98765864332603936</v>
      </c>
    </row>
    <row r="604" spans="1:31" x14ac:dyDescent="0.3">
      <c r="A604" s="187">
        <v>19</v>
      </c>
      <c r="B604" s="242">
        <f t="shared" si="193"/>
        <v>46204</v>
      </c>
      <c r="C604" s="243">
        <f t="shared" si="176"/>
        <v>46234</v>
      </c>
      <c r="D604" s="120">
        <f t="shared" si="177"/>
        <v>31</v>
      </c>
      <c r="E604" s="120">
        <f t="shared" si="178"/>
        <v>7</v>
      </c>
      <c r="F604" s="275">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0.98832603938730856</v>
      </c>
      <c r="P604" s="121">
        <f t="shared" si="189"/>
        <v>0.45833333333333331</v>
      </c>
      <c r="Q604" s="121">
        <f t="shared" si="190"/>
        <v>0.54166666666666674</v>
      </c>
      <c r="R604" s="121">
        <f t="shared" si="191"/>
        <v>0</v>
      </c>
      <c r="AE604" s="160">
        <f t="shared" si="192"/>
        <v>1.0525672319474835</v>
      </c>
    </row>
    <row r="605" spans="1:31" x14ac:dyDescent="0.3">
      <c r="A605" s="187">
        <v>20</v>
      </c>
      <c r="B605" s="242">
        <f t="shared" si="193"/>
        <v>46235</v>
      </c>
      <c r="C605" s="243">
        <f t="shared" si="176"/>
        <v>46265</v>
      </c>
      <c r="D605" s="120">
        <f t="shared" si="177"/>
        <v>31</v>
      </c>
      <c r="E605" s="120">
        <f t="shared" si="178"/>
        <v>8</v>
      </c>
      <c r="F605" s="275">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0.98900437636761485</v>
      </c>
      <c r="P605" s="121">
        <f t="shared" si="189"/>
        <v>0.375</v>
      </c>
      <c r="Q605" s="121">
        <f t="shared" si="190"/>
        <v>0.625</v>
      </c>
      <c r="R605" s="121">
        <f t="shared" si="191"/>
        <v>0</v>
      </c>
      <c r="AE605" s="160">
        <f t="shared" si="192"/>
        <v>1.0532896608315097</v>
      </c>
    </row>
    <row r="606" spans="1:31" x14ac:dyDescent="0.3">
      <c r="A606" s="187">
        <v>21</v>
      </c>
      <c r="B606" s="242">
        <f t="shared" si="193"/>
        <v>46266</v>
      </c>
      <c r="C606" s="243">
        <f t="shared" si="176"/>
        <v>46295</v>
      </c>
      <c r="D606" s="120">
        <f t="shared" si="177"/>
        <v>30</v>
      </c>
      <c r="E606" s="120">
        <f t="shared" si="178"/>
        <v>9</v>
      </c>
      <c r="F606" s="275">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0.98967177242888404</v>
      </c>
      <c r="P606" s="121">
        <f t="shared" si="189"/>
        <v>0.29166666666666669</v>
      </c>
      <c r="Q606" s="121">
        <f t="shared" si="190"/>
        <v>0.70833333333333326</v>
      </c>
      <c r="R606" s="121">
        <f t="shared" si="191"/>
        <v>0</v>
      </c>
      <c r="AE606" s="160">
        <f t="shared" si="192"/>
        <v>1.0540004376367615</v>
      </c>
    </row>
    <row r="607" spans="1:31" x14ac:dyDescent="0.3">
      <c r="A607" s="187">
        <v>22</v>
      </c>
      <c r="B607" s="242">
        <f t="shared" si="193"/>
        <v>46296</v>
      </c>
      <c r="C607" s="243">
        <f t="shared" si="176"/>
        <v>46326</v>
      </c>
      <c r="D607" s="120">
        <f t="shared" si="177"/>
        <v>31</v>
      </c>
      <c r="E607" s="120">
        <f t="shared" si="178"/>
        <v>10</v>
      </c>
      <c r="F607" s="275">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0.99033916849015313</v>
      </c>
      <c r="P607" s="121">
        <f t="shared" si="189"/>
        <v>0.20833333333333334</v>
      </c>
      <c r="Q607" s="121">
        <f t="shared" si="190"/>
        <v>0.79166666666666663</v>
      </c>
      <c r="R607" s="121">
        <f t="shared" si="191"/>
        <v>0</v>
      </c>
      <c r="AE607" s="160">
        <f t="shared" si="192"/>
        <v>1.054711214442013</v>
      </c>
    </row>
    <row r="608" spans="1:31" x14ac:dyDescent="0.3">
      <c r="A608" s="187">
        <v>23</v>
      </c>
      <c r="B608" s="242">
        <f t="shared" si="193"/>
        <v>46327</v>
      </c>
      <c r="C608" s="243">
        <f t="shared" si="176"/>
        <v>46356</v>
      </c>
      <c r="D608" s="120">
        <f t="shared" si="177"/>
        <v>30</v>
      </c>
      <c r="E608" s="120">
        <f t="shared" si="178"/>
        <v>11</v>
      </c>
      <c r="F608" s="275">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0.99100656455142233</v>
      </c>
      <c r="P608" s="121">
        <f t="shared" si="189"/>
        <v>0.125</v>
      </c>
      <c r="Q608" s="121">
        <f t="shared" si="190"/>
        <v>0.875</v>
      </c>
      <c r="R608" s="121">
        <f t="shared" si="191"/>
        <v>0</v>
      </c>
      <c r="AE608" s="160">
        <f t="shared" si="192"/>
        <v>1.0554219912472647</v>
      </c>
    </row>
    <row r="609" spans="1:35" x14ac:dyDescent="0.3">
      <c r="A609" s="187">
        <v>24</v>
      </c>
      <c r="B609" s="242">
        <f t="shared" si="193"/>
        <v>46357</v>
      </c>
      <c r="C609" s="243">
        <f t="shared" si="176"/>
        <v>46387</v>
      </c>
      <c r="D609" s="120">
        <f t="shared" si="177"/>
        <v>31</v>
      </c>
      <c r="E609" s="120">
        <f t="shared" si="178"/>
        <v>12</v>
      </c>
      <c r="F609" s="275">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0.99167396061269142</v>
      </c>
      <c r="P609" s="121">
        <f t="shared" si="189"/>
        <v>4.1666666666666664E-2</v>
      </c>
      <c r="Q609" s="121">
        <f t="shared" si="190"/>
        <v>0.95833333333333337</v>
      </c>
      <c r="R609" s="121">
        <f t="shared" si="191"/>
        <v>0</v>
      </c>
      <c r="AE609" s="160">
        <f t="shared" si="192"/>
        <v>1.0561327680525163</v>
      </c>
    </row>
    <row r="610" spans="1:35" x14ac:dyDescent="0.3">
      <c r="A610" s="187">
        <v>25</v>
      </c>
      <c r="B610" s="242">
        <f t="shared" si="193"/>
        <v>46388</v>
      </c>
      <c r="C610" s="243">
        <f t="shared" si="176"/>
        <v>46418</v>
      </c>
      <c r="D610" s="120">
        <f t="shared" si="177"/>
        <v>31</v>
      </c>
      <c r="E610" s="120">
        <f t="shared" si="178"/>
        <v>1</v>
      </c>
      <c r="F610" s="275">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0.99235229759299781</v>
      </c>
      <c r="P610" s="121">
        <f t="shared" si="189"/>
        <v>0</v>
      </c>
      <c r="Q610" s="121">
        <f t="shared" si="190"/>
        <v>0.95833333333333337</v>
      </c>
      <c r="R610" s="121">
        <f t="shared" si="191"/>
        <v>4.166666666666663E-2</v>
      </c>
      <c r="W610" s="160">
        <f t="shared" ref="W610:W621" si="194">IF($G610&lt;&gt;$Q$583,$N610,(1-$U$583)*$I610+$U$583*$J610)</f>
        <v>1.0649999999999999</v>
      </c>
      <c r="X610" s="160">
        <f t="shared" ref="X610:X621" si="195">IF($G610&lt;$Q$583,0,IF($G610&gt;$Q$583,$N610,$U$583*$J610))</f>
        <v>0</v>
      </c>
      <c r="Y610" s="160">
        <f t="shared" ref="Y610:Y621" si="196">IF($F$583=1,$O610/$O598,1)</f>
        <v>1.0081137255337831</v>
      </c>
      <c r="AB610" s="160">
        <f t="shared" ref="AB610:AB621" si="197">IF(AND(N($K$583)&lt;&gt;0,$F610&lt;=$B$584),0,($F610-$B$584)/($C$584-$B$584))</f>
        <v>0.23522975929978118</v>
      </c>
      <c r="AC610" s="220">
        <f t="shared" ref="AC610:AC621" si="198">IF(AND(N($K$583)&lt;&gt;0,$F610&lt;=$B$584),$O610,$F$584*(1-$AB610))</f>
        <v>0.75712253829321663</v>
      </c>
      <c r="AD610" s="160">
        <f t="shared" ref="AD610:AD621" si="199">$H610*($W610+$X610*IF(ISNUMBER($F$634),$F$634,0))/($N598*$O598)</f>
        <v>1.0819152838136732</v>
      </c>
      <c r="AE610" s="160">
        <f t="shared" si="192"/>
        <v>1.0568551969365425</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5">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0.99299781181619251</v>
      </c>
      <c r="P611" s="121">
        <f t="shared" si="189"/>
        <v>0</v>
      </c>
      <c r="Q611" s="121">
        <f t="shared" si="190"/>
        <v>0.875</v>
      </c>
      <c r="R611" s="121">
        <f t="shared" si="191"/>
        <v>0.125</v>
      </c>
      <c r="W611" s="160">
        <f t="shared" si="194"/>
        <v>1.0649999999999999</v>
      </c>
      <c r="X611" s="160">
        <f t="shared" si="195"/>
        <v>0</v>
      </c>
      <c r="Y611" s="160">
        <f t="shared" si="196"/>
        <v>1.0081084083083416</v>
      </c>
      <c r="AB611" s="160">
        <f t="shared" si="197"/>
        <v>0.29978118161925604</v>
      </c>
      <c r="AC611" s="220">
        <f t="shared" si="198"/>
        <v>0.69321663019693647</v>
      </c>
      <c r="AD611" s="160">
        <f t="shared" si="199"/>
        <v>1.0812062645784739</v>
      </c>
      <c r="AE611" s="160">
        <f t="shared" si="192"/>
        <v>1.0575426695842449</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5">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0.99364332603938732</v>
      </c>
      <c r="P612" s="121">
        <f t="shared" si="189"/>
        <v>0</v>
      </c>
      <c r="Q612" s="121">
        <f t="shared" si="190"/>
        <v>0.79166666666666663</v>
      </c>
      <c r="R612" s="121">
        <f t="shared" si="191"/>
        <v>0.20833333333333337</v>
      </c>
      <c r="W612" s="160">
        <f t="shared" si="194"/>
        <v>1.0649999999999999</v>
      </c>
      <c r="X612" s="160">
        <f t="shared" si="195"/>
        <v>0</v>
      </c>
      <c r="Y612" s="160">
        <f t="shared" si="196"/>
        <v>1.0081030980474863</v>
      </c>
      <c r="AB612" s="160">
        <f t="shared" si="197"/>
        <v>0.36433260393873085</v>
      </c>
      <c r="AC612" s="220">
        <f t="shared" si="198"/>
        <v>0.62931072210065642</v>
      </c>
      <c r="AD612" s="160">
        <f t="shared" si="199"/>
        <v>1.0804981740279056</v>
      </c>
      <c r="AE612" s="160">
        <f t="shared" si="192"/>
        <v>1.0582301422319473</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5">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0.99431072210065641</v>
      </c>
      <c r="P613" s="121">
        <f t="shared" si="189"/>
        <v>0</v>
      </c>
      <c r="Q613" s="121">
        <f t="shared" si="190"/>
        <v>0.70833333333333337</v>
      </c>
      <c r="R613" s="121">
        <f t="shared" si="191"/>
        <v>0.29166666666666663</v>
      </c>
      <c r="W613" s="160">
        <f t="shared" si="194"/>
        <v>1.0649999999999999</v>
      </c>
      <c r="X613" s="160">
        <f t="shared" si="195"/>
        <v>1.0649999999999999</v>
      </c>
      <c r="Y613" s="160">
        <f t="shared" si="196"/>
        <v>1.0080976150859677</v>
      </c>
      <c r="AB613" s="160">
        <f t="shared" si="197"/>
        <v>0.4310722100656455</v>
      </c>
      <c r="AC613" s="220">
        <f t="shared" si="198"/>
        <v>0.56323851203501096</v>
      </c>
      <c r="AD613" s="160">
        <f t="shared" si="199"/>
        <v>1.0797670549084859</v>
      </c>
      <c r="AE613" s="160">
        <f t="shared" si="192"/>
        <v>1.058940919037199</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5">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0.99497811816192561</v>
      </c>
      <c r="P614" s="121">
        <f t="shared" si="189"/>
        <v>0</v>
      </c>
      <c r="Q614" s="121">
        <f t="shared" si="190"/>
        <v>0.625</v>
      </c>
      <c r="R614" s="121">
        <f t="shared" si="191"/>
        <v>0.375</v>
      </c>
      <c r="W614" s="160">
        <f t="shared" si="194"/>
        <v>1.0649999999999999</v>
      </c>
      <c r="X614" s="160">
        <f t="shared" si="195"/>
        <v>1.0649999999999999</v>
      </c>
      <c r="Y614" s="160">
        <f t="shared" si="196"/>
        <v>1.0080921395395239</v>
      </c>
      <c r="AB614" s="160">
        <f t="shared" si="197"/>
        <v>0.49781181619256015</v>
      </c>
      <c r="AC614" s="220">
        <f t="shared" si="198"/>
        <v>0.4971663019693654</v>
      </c>
      <c r="AD614" s="160">
        <f t="shared" si="199"/>
        <v>1.07903692454357</v>
      </c>
      <c r="AE614" s="160">
        <f t="shared" si="192"/>
        <v>1.0596516958424507</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5">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0.99564551422319469</v>
      </c>
      <c r="P615" s="121">
        <f t="shared" si="189"/>
        <v>0</v>
      </c>
      <c r="Q615" s="121">
        <f t="shared" si="190"/>
        <v>0.54166666666666663</v>
      </c>
      <c r="R615" s="121">
        <f t="shared" si="191"/>
        <v>0.45833333333333337</v>
      </c>
      <c r="W615" s="160">
        <f t="shared" si="194"/>
        <v>1.0649999999999999</v>
      </c>
      <c r="X615" s="160">
        <f t="shared" si="195"/>
        <v>1.0649999999999999</v>
      </c>
      <c r="Y615" s="160">
        <f t="shared" si="196"/>
        <v>1.0080866713931229</v>
      </c>
      <c r="AB615" s="160">
        <f t="shared" si="197"/>
        <v>0.56455142231947486</v>
      </c>
      <c r="AC615" s="220">
        <f t="shared" si="198"/>
        <v>0.43109409190371989</v>
      </c>
      <c r="AD615" s="160">
        <f t="shared" si="199"/>
        <v>1.0783077809287487</v>
      </c>
      <c r="AE615" s="160">
        <f t="shared" si="192"/>
        <v>1.0603624726477023</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5">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0.99631291028446389</v>
      </c>
      <c r="P616" s="121">
        <f t="shared" si="189"/>
        <v>0</v>
      </c>
      <c r="Q616" s="121">
        <f t="shared" si="190"/>
        <v>0.45833333333333331</v>
      </c>
      <c r="R616" s="121">
        <f t="shared" si="191"/>
        <v>0.54166666666666674</v>
      </c>
      <c r="W616" s="160">
        <f t="shared" si="194"/>
        <v>1.0649999999999999</v>
      </c>
      <c r="X616" s="160">
        <f t="shared" si="195"/>
        <v>1.0649999999999999</v>
      </c>
      <c r="Y616" s="160">
        <f t="shared" si="196"/>
        <v>1.0080812106317736</v>
      </c>
      <c r="AB616" s="160">
        <f t="shared" si="197"/>
        <v>0.63129102844638951</v>
      </c>
      <c r="AC616" s="220">
        <f t="shared" si="198"/>
        <v>0.36502188183807438</v>
      </c>
      <c r="AD616" s="160">
        <f t="shared" si="199"/>
        <v>1.0118118517042498</v>
      </c>
      <c r="AE616" s="160">
        <f t="shared" si="192"/>
        <v>1.061073249452954</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5">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0.99699124726477029</v>
      </c>
      <c r="P617" s="121">
        <f t="shared" si="189"/>
        <v>0</v>
      </c>
      <c r="Q617" s="121">
        <f t="shared" si="190"/>
        <v>0.375</v>
      </c>
      <c r="R617" s="121">
        <f t="shared" si="191"/>
        <v>0.625</v>
      </c>
      <c r="W617" s="160">
        <f t="shared" si="194"/>
        <v>1.0649999999999999</v>
      </c>
      <c r="X617" s="160">
        <f t="shared" si="195"/>
        <v>1.0649999999999999</v>
      </c>
      <c r="Y617" s="160">
        <f t="shared" si="196"/>
        <v>1.0080756679019858</v>
      </c>
      <c r="AB617" s="160">
        <f t="shared" si="197"/>
        <v>0.69912472647702406</v>
      </c>
      <c r="AC617" s="220">
        <f t="shared" si="198"/>
        <v>0.29786652078774617</v>
      </c>
      <c r="AD617" s="160">
        <f t="shared" si="199"/>
        <v>1.0111178715636928</v>
      </c>
      <c r="AE617" s="160">
        <f t="shared" si="192"/>
        <v>1.0617956783369802</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5">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0.99765864332603937</v>
      </c>
      <c r="P618" s="121">
        <f t="shared" si="189"/>
        <v>0</v>
      </c>
      <c r="Q618" s="121">
        <f t="shared" si="190"/>
        <v>0.29166666666666669</v>
      </c>
      <c r="R618" s="121">
        <f t="shared" si="191"/>
        <v>0.70833333333333326</v>
      </c>
      <c r="W618" s="160">
        <f t="shared" si="194"/>
        <v>1.0649999999999999</v>
      </c>
      <c r="X618" s="160">
        <f t="shared" si="195"/>
        <v>1.0649999999999999</v>
      </c>
      <c r="Y618" s="160">
        <f t="shared" si="196"/>
        <v>1.0080702219863802</v>
      </c>
      <c r="AB618" s="160">
        <f t="shared" si="197"/>
        <v>0.76586433260393871</v>
      </c>
      <c r="AC618" s="220">
        <f t="shared" si="198"/>
        <v>0.23179431072210066</v>
      </c>
      <c r="AD618" s="160">
        <f t="shared" si="199"/>
        <v>1.0104360130892367</v>
      </c>
      <c r="AE618" s="160">
        <f t="shared" si="192"/>
        <v>1.0625064551422319</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5">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0.99832603938730857</v>
      </c>
      <c r="P619" s="121">
        <f t="shared" si="189"/>
        <v>0</v>
      </c>
      <c r="Q619" s="121">
        <f t="shared" si="190"/>
        <v>0.20833333333333334</v>
      </c>
      <c r="R619" s="121">
        <f t="shared" si="191"/>
        <v>0.79166666666666663</v>
      </c>
      <c r="W619" s="160">
        <f t="shared" si="194"/>
        <v>1.0649999999999999</v>
      </c>
      <c r="X619" s="160">
        <f t="shared" si="195"/>
        <v>1.0649999999999999</v>
      </c>
      <c r="Y619" s="160">
        <f t="shared" si="196"/>
        <v>1.0080647834108512</v>
      </c>
      <c r="AB619" s="160">
        <f t="shared" si="197"/>
        <v>0.83260393873085337</v>
      </c>
      <c r="AC619" s="220">
        <f t="shared" si="198"/>
        <v>0.16572210065645518</v>
      </c>
      <c r="AD619" s="160">
        <f t="shared" si="199"/>
        <v>1.0097550736325773</v>
      </c>
      <c r="AE619" s="160">
        <f t="shared" si="192"/>
        <v>1.0632172319474835</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5">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0.99899343544857766</v>
      </c>
      <c r="P620" s="121">
        <f t="shared" si="189"/>
        <v>0</v>
      </c>
      <c r="Q620" s="121">
        <f t="shared" si="190"/>
        <v>0.125</v>
      </c>
      <c r="R620" s="121">
        <f t="shared" si="191"/>
        <v>0.875</v>
      </c>
      <c r="W620" s="160">
        <f t="shared" si="194"/>
        <v>1.0649999999999999</v>
      </c>
      <c r="X620" s="160">
        <f t="shared" si="195"/>
        <v>1.0649999999999999</v>
      </c>
      <c r="Y620" s="160">
        <f t="shared" si="196"/>
        <v>1.0080593521605687</v>
      </c>
      <c r="AB620" s="160">
        <f t="shared" si="197"/>
        <v>0.89934354485776802</v>
      </c>
      <c r="AC620" s="220">
        <f t="shared" si="198"/>
        <v>9.9649890590809656E-2</v>
      </c>
      <c r="AD620" s="160">
        <f t="shared" si="199"/>
        <v>1.0090750513369693</v>
      </c>
      <c r="AE620" s="160">
        <f t="shared" si="192"/>
        <v>1.0639280087527352</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5">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0.99966083150984686</v>
      </c>
      <c r="P621" s="121">
        <f t="shared" si="189"/>
        <v>0</v>
      </c>
      <c r="Q621" s="121">
        <f t="shared" si="190"/>
        <v>4.1666666666666664E-2</v>
      </c>
      <c r="R621" s="121">
        <f t="shared" si="191"/>
        <v>0.95833333333333337</v>
      </c>
      <c r="W621" s="160">
        <f t="shared" si="194"/>
        <v>1.0649999999999999</v>
      </c>
      <c r="X621" s="160">
        <f t="shared" si="195"/>
        <v>1.0649999999999999</v>
      </c>
      <c r="Y621" s="160">
        <f t="shared" si="196"/>
        <v>1.0080539282207439</v>
      </c>
      <c r="AB621" s="160">
        <f t="shared" si="197"/>
        <v>0.96608315098468267</v>
      </c>
      <c r="AC621" s="220">
        <f t="shared" si="198"/>
        <v>3.3577680525164154E-2</v>
      </c>
      <c r="AD621" s="160">
        <f t="shared" si="199"/>
        <v>1.0083959443506658</v>
      </c>
      <c r="AE621" s="160">
        <f t="shared" si="192"/>
        <v>1.0646387855579869</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5">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1</v>
      </c>
      <c r="P622" s="121">
        <f t="shared" si="189"/>
        <v>0</v>
      </c>
      <c r="Q622" s="121">
        <f t="shared" si="190"/>
        <v>0</v>
      </c>
      <c r="R622" s="121">
        <f t="shared" si="191"/>
        <v>0.95833333333333337</v>
      </c>
      <c r="AE622" s="160">
        <f t="shared" si="192"/>
        <v>1.0649999999999999</v>
      </c>
    </row>
    <row r="623" spans="1:35" x14ac:dyDescent="0.3">
      <c r="A623" s="187">
        <v>38</v>
      </c>
      <c r="B623" s="242">
        <f t="shared" si="193"/>
        <v>46784</v>
      </c>
      <c r="C623" s="243">
        <f t="shared" si="176"/>
        <v>46812</v>
      </c>
      <c r="D623" s="120">
        <f t="shared" si="177"/>
        <v>29</v>
      </c>
      <c r="E623" s="120">
        <f t="shared" si="178"/>
        <v>2</v>
      </c>
      <c r="F623" s="275">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1</v>
      </c>
      <c r="P623" s="121">
        <f t="shared" si="189"/>
        <v>0</v>
      </c>
      <c r="Q623" s="121">
        <f t="shared" si="190"/>
        <v>0</v>
      </c>
      <c r="R623" s="121">
        <f t="shared" si="191"/>
        <v>0.875</v>
      </c>
      <c r="AE623" s="160">
        <f t="shared" si="192"/>
        <v>1.0649999999999999</v>
      </c>
    </row>
    <row r="624" spans="1:35" x14ac:dyDescent="0.3">
      <c r="A624" s="187">
        <v>39</v>
      </c>
      <c r="B624" s="242">
        <f t="shared" si="193"/>
        <v>46813</v>
      </c>
      <c r="C624" s="243">
        <f t="shared" si="176"/>
        <v>46843</v>
      </c>
      <c r="D624" s="120">
        <f t="shared" si="177"/>
        <v>31</v>
      </c>
      <c r="E624" s="120">
        <f t="shared" si="178"/>
        <v>3</v>
      </c>
      <c r="F624" s="275">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1</v>
      </c>
      <c r="P624" s="121">
        <f t="shared" si="189"/>
        <v>0</v>
      </c>
      <c r="Q624" s="121">
        <f t="shared" si="190"/>
        <v>0</v>
      </c>
      <c r="R624" s="121">
        <f t="shared" si="191"/>
        <v>0.79166666666666663</v>
      </c>
      <c r="AE624" s="160">
        <f t="shared" si="192"/>
        <v>1.0649999999999999</v>
      </c>
    </row>
    <row r="625" spans="1:31" x14ac:dyDescent="0.3">
      <c r="A625" s="187">
        <v>40</v>
      </c>
      <c r="B625" s="242">
        <f t="shared" si="193"/>
        <v>46844</v>
      </c>
      <c r="C625" s="243">
        <f t="shared" si="176"/>
        <v>46873</v>
      </c>
      <c r="D625" s="120">
        <f t="shared" si="177"/>
        <v>30</v>
      </c>
      <c r="E625" s="120">
        <f t="shared" si="178"/>
        <v>4</v>
      </c>
      <c r="F625" s="275">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1</v>
      </c>
      <c r="P625" s="121">
        <f t="shared" si="189"/>
        <v>0</v>
      </c>
      <c r="Q625" s="121">
        <f t="shared" si="190"/>
        <v>0</v>
      </c>
      <c r="R625" s="121">
        <f t="shared" si="191"/>
        <v>0.70833333333333337</v>
      </c>
      <c r="AE625" s="160">
        <f t="shared" si="192"/>
        <v>1.0649999999999999</v>
      </c>
    </row>
    <row r="626" spans="1:31" x14ac:dyDescent="0.3">
      <c r="A626" s="187">
        <v>41</v>
      </c>
      <c r="B626" s="242">
        <f t="shared" si="193"/>
        <v>46874</v>
      </c>
      <c r="C626" s="243">
        <f t="shared" si="176"/>
        <v>46904</v>
      </c>
      <c r="D626" s="120">
        <f t="shared" si="177"/>
        <v>31</v>
      </c>
      <c r="E626" s="120">
        <f t="shared" si="178"/>
        <v>5</v>
      </c>
      <c r="F626" s="275">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1</v>
      </c>
      <c r="P626" s="121">
        <f t="shared" si="189"/>
        <v>0</v>
      </c>
      <c r="Q626" s="121">
        <f t="shared" si="190"/>
        <v>0</v>
      </c>
      <c r="R626" s="121">
        <f t="shared" si="191"/>
        <v>0.625</v>
      </c>
      <c r="AE626" s="160">
        <f t="shared" si="192"/>
        <v>1.0649999999999999</v>
      </c>
    </row>
    <row r="627" spans="1:31" x14ac:dyDescent="0.3">
      <c r="A627" s="187">
        <v>42</v>
      </c>
      <c r="B627" s="242">
        <f t="shared" si="193"/>
        <v>46905</v>
      </c>
      <c r="C627" s="243">
        <f t="shared" si="176"/>
        <v>46934</v>
      </c>
      <c r="D627" s="120">
        <f t="shared" si="177"/>
        <v>30</v>
      </c>
      <c r="E627" s="120">
        <f t="shared" si="178"/>
        <v>6</v>
      </c>
      <c r="F627" s="275">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1</v>
      </c>
      <c r="P627" s="121">
        <f t="shared" si="189"/>
        <v>0</v>
      </c>
      <c r="Q627" s="121">
        <f t="shared" si="190"/>
        <v>0</v>
      </c>
      <c r="R627" s="121">
        <f t="shared" si="191"/>
        <v>0.54166666666666663</v>
      </c>
      <c r="AE627" s="160">
        <f t="shared" si="192"/>
        <v>1.0649999999999999</v>
      </c>
    </row>
    <row r="628" spans="1:31" x14ac:dyDescent="0.3">
      <c r="A628" s="187">
        <v>43</v>
      </c>
      <c r="B628" s="242">
        <f t="shared" si="193"/>
        <v>46935</v>
      </c>
      <c r="C628" s="243">
        <f t="shared" si="176"/>
        <v>46965</v>
      </c>
      <c r="D628" s="120">
        <f t="shared" si="177"/>
        <v>31</v>
      </c>
      <c r="E628" s="120">
        <f t="shared" si="178"/>
        <v>7</v>
      </c>
      <c r="F628" s="275">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1</v>
      </c>
      <c r="P628" s="121">
        <f t="shared" si="189"/>
        <v>0</v>
      </c>
      <c r="Q628" s="121">
        <f t="shared" si="190"/>
        <v>0</v>
      </c>
      <c r="R628" s="121">
        <f t="shared" si="191"/>
        <v>0.45833333333333331</v>
      </c>
      <c r="AE628" s="160">
        <f t="shared" si="192"/>
        <v>1.0649999999999999</v>
      </c>
    </row>
    <row r="629" spans="1:31" x14ac:dyDescent="0.3">
      <c r="A629" s="187">
        <v>44</v>
      </c>
      <c r="B629" s="242">
        <f t="shared" si="193"/>
        <v>46966</v>
      </c>
      <c r="C629" s="243">
        <f t="shared" si="176"/>
        <v>46996</v>
      </c>
      <c r="D629" s="120">
        <f t="shared" si="177"/>
        <v>31</v>
      </c>
      <c r="E629" s="120">
        <f t="shared" si="178"/>
        <v>8</v>
      </c>
      <c r="F629" s="275">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1</v>
      </c>
      <c r="P629" s="121">
        <f t="shared" si="189"/>
        <v>0</v>
      </c>
      <c r="Q629" s="121">
        <f t="shared" si="190"/>
        <v>0</v>
      </c>
      <c r="R629" s="121">
        <f t="shared" si="191"/>
        <v>0.375</v>
      </c>
      <c r="AE629" s="160">
        <f t="shared" si="192"/>
        <v>1.0649999999999999</v>
      </c>
    </row>
    <row r="630" spans="1:31" x14ac:dyDescent="0.3">
      <c r="A630" s="187">
        <v>45</v>
      </c>
      <c r="B630" s="242">
        <f t="shared" si="193"/>
        <v>46997</v>
      </c>
      <c r="C630" s="243">
        <f t="shared" si="176"/>
        <v>47026</v>
      </c>
      <c r="D630" s="120">
        <f t="shared" si="177"/>
        <v>30</v>
      </c>
      <c r="E630" s="120">
        <f t="shared" si="178"/>
        <v>9</v>
      </c>
      <c r="F630" s="275">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1</v>
      </c>
      <c r="P630" s="121">
        <f t="shared" si="189"/>
        <v>0</v>
      </c>
      <c r="Q630" s="121">
        <f t="shared" si="190"/>
        <v>0</v>
      </c>
      <c r="R630" s="121">
        <f t="shared" si="191"/>
        <v>0.29166666666666669</v>
      </c>
      <c r="AE630" s="160">
        <f t="shared" si="192"/>
        <v>1.0649999999999999</v>
      </c>
    </row>
    <row r="631" spans="1:31" x14ac:dyDescent="0.3">
      <c r="A631" s="187">
        <v>46</v>
      </c>
      <c r="B631" s="242">
        <f t="shared" si="193"/>
        <v>47027</v>
      </c>
      <c r="C631" s="243">
        <f t="shared" si="176"/>
        <v>47057</v>
      </c>
      <c r="D631" s="120">
        <f t="shared" si="177"/>
        <v>31</v>
      </c>
      <c r="E631" s="120">
        <f t="shared" si="178"/>
        <v>10</v>
      </c>
      <c r="F631" s="275">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1</v>
      </c>
      <c r="P631" s="121">
        <f t="shared" si="189"/>
        <v>0</v>
      </c>
      <c r="Q631" s="121">
        <f t="shared" si="190"/>
        <v>0</v>
      </c>
      <c r="R631" s="121">
        <f t="shared" si="191"/>
        <v>0.20833333333333334</v>
      </c>
      <c r="AE631" s="160">
        <f t="shared" si="192"/>
        <v>1.0649999999999999</v>
      </c>
    </row>
    <row r="632" spans="1:31" x14ac:dyDescent="0.3">
      <c r="A632" s="187">
        <v>47</v>
      </c>
      <c r="B632" s="242">
        <f t="shared" si="193"/>
        <v>47058</v>
      </c>
      <c r="C632" s="243">
        <f t="shared" si="176"/>
        <v>47087</v>
      </c>
      <c r="D632" s="120">
        <f t="shared" si="177"/>
        <v>30</v>
      </c>
      <c r="E632" s="120">
        <f t="shared" si="178"/>
        <v>11</v>
      </c>
      <c r="F632" s="275">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1</v>
      </c>
      <c r="P632" s="121">
        <f t="shared" si="189"/>
        <v>0</v>
      </c>
      <c r="Q632" s="121">
        <f t="shared" si="190"/>
        <v>0</v>
      </c>
      <c r="R632" s="121">
        <f t="shared" si="191"/>
        <v>0.125</v>
      </c>
      <c r="AE632" s="160">
        <f t="shared" si="192"/>
        <v>1.0649999999999999</v>
      </c>
    </row>
    <row r="633" spans="1:31" x14ac:dyDescent="0.3">
      <c r="A633" s="187">
        <v>48</v>
      </c>
      <c r="B633" s="242">
        <f t="shared" si="193"/>
        <v>47088</v>
      </c>
      <c r="C633" s="243">
        <f t="shared" si="176"/>
        <v>47118</v>
      </c>
      <c r="D633" s="120">
        <f t="shared" si="177"/>
        <v>31</v>
      </c>
      <c r="E633" s="120">
        <f t="shared" si="178"/>
        <v>12</v>
      </c>
      <c r="F633" s="275">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1</v>
      </c>
      <c r="P633" s="121">
        <f t="shared" si="189"/>
        <v>0</v>
      </c>
      <c r="Q633" s="121">
        <f t="shared" si="190"/>
        <v>0</v>
      </c>
      <c r="R633" s="121">
        <f t="shared" si="191"/>
        <v>4.1666666666666664E-2</v>
      </c>
      <c r="AE633" s="160">
        <f t="shared" si="192"/>
        <v>1.0649999999999999</v>
      </c>
    </row>
    <row r="634" spans="1:31" x14ac:dyDescent="0.3">
      <c r="A634" s="23" t="s">
        <v>1723</v>
      </c>
      <c r="B634" s="279">
        <f>SUM($H$610:$H$621)</f>
        <v>12</v>
      </c>
      <c r="C634" s="160">
        <f>SUMPRODUCT($H$610:$H$621,$W$610:$W$621/$N$598:$N$609,$Y$610:$Y$621)</f>
        <v>12.490165929984563</v>
      </c>
      <c r="D634" s="160">
        <f>SUMPRODUCT($H$610:$H$621,$X$610:$X$621/$N$598:$N$609,$Y$610:$Y$621)</f>
        <v>9.269259558022128</v>
      </c>
      <c r="E634" s="281" t="str">
        <f>IF(OR($D$583=0,$P$583=0,$D634=0),"n/a",((1+$E$583)*$B634-$C634)/$D634)</f>
        <v>n/a</v>
      </c>
      <c r="F634" s="281" t="str">
        <f>IF($V$583&lt;&gt;"",$V$583,$E634)</f>
        <v>n/a</v>
      </c>
      <c r="G634" s="281"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2">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1</v>
      </c>
      <c r="H639" s="220">
        <f>IF($C639=0,1,IF(N(INDEX(lr_m0,$C639))=0,1,INDEX(lr_m0,$C639)))</f>
        <v>0.99</v>
      </c>
      <c r="I639" s="278">
        <f>IF($C639=0,DATE(nr_PlanYear-1,10,1),IF(N(INDEX(lr_m0asof,$C639))=0,DATE(nr_PlanYear-1,10,1),INDEX(lr_m0asof,$C639)))</f>
        <v>46295</v>
      </c>
      <c r="J639" s="220">
        <f>IF($C639=0,1,IF(N(INDEX(lr_m1,$C639))=0,1,INDEX(lr_m1,$C639)))</f>
        <v>0.98</v>
      </c>
      <c r="K639" s="220">
        <f>IF($C639=0,0,N(INDEX(lr_mprior,$C639)))</f>
        <v>0</v>
      </c>
      <c r="L639" s="220">
        <f>IF($C639=0,0,N(INDEX(lr_m2,$C639)))</f>
        <v>0</v>
      </c>
      <c r="M639" s="43">
        <f>IF(OR($A639="",COUNTIF(se_state,$A639)=0),0,MATCH($A639,se_state,0))</f>
        <v>2</v>
      </c>
      <c r="N639" s="279">
        <f>IF($M639=0,0,INDEX(se_sum,$M639))</f>
        <v>11.999999999999998</v>
      </c>
      <c r="O639" s="278">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80">
        <f>IF(ISBLANK('Net Delivery'!$E$16),$Y639,'Net Delivery'!$E$16)</f>
        <v>0.04</v>
      </c>
      <c r="W639" s="43">
        <f>IF($B639="",0,COUNTIFS(rl_key,$B639,rl_status,"planned",rl_eff,"&gt;="&amp;DATE(nr_PlanYear,1,1),rl_eff,"&lt;="&amp;DATE(nr_PlanYear,12,31)))</f>
        <v>1</v>
      </c>
      <c r="X639" s="278">
        <f>IF($W639=0,nd_DefaultDate,SUMIFS(rl_eff,rl_key,$B639,rl_firstplanned,1))</f>
        <v>46661</v>
      </c>
      <c r="Y639" s="280">
        <f>IF($W639=0,"",SUMIFS(rl_reff,rl_key,$B639,rl_firstplanned,1))</f>
        <v>0.04</v>
      </c>
      <c r="Z639" s="280">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5">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1.0036214442013129</v>
      </c>
      <c r="P642" s="121">
        <f t="shared" ref="P642:P689" si="217">MIN(1,MAX(0,(nr_MEndPm1-$G642+0.5)/nr_TermMonths))-MIN(1,MAX(0,(nr_MStartPm1-1-$G642+0.5)/nr_TermMonths))</f>
        <v>4.166666666666663E-2</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1.0036214442013129</v>
      </c>
    </row>
    <row r="643" spans="1:31" x14ac:dyDescent="0.3">
      <c r="A643" s="187">
        <v>2</v>
      </c>
      <c r="B643" s="242">
        <f t="shared" ref="B643:B689" si="221">EDATE($B642,1)</f>
        <v>45689</v>
      </c>
      <c r="C643" s="243">
        <f t="shared" si="204"/>
        <v>45716</v>
      </c>
      <c r="D643" s="120">
        <f t="shared" si="205"/>
        <v>28</v>
      </c>
      <c r="E643" s="120">
        <f t="shared" si="206"/>
        <v>2</v>
      </c>
      <c r="F643" s="275">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1.002975929978118</v>
      </c>
      <c r="P643" s="121">
        <f t="shared" si="217"/>
        <v>0.125</v>
      </c>
      <c r="Q643" s="121">
        <f t="shared" si="218"/>
        <v>0</v>
      </c>
      <c r="R643" s="121">
        <f t="shared" si="219"/>
        <v>0</v>
      </c>
      <c r="AE643" s="160">
        <f t="shared" si="220"/>
        <v>1.002975929978118</v>
      </c>
    </row>
    <row r="644" spans="1:31" x14ac:dyDescent="0.3">
      <c r="A644" s="187">
        <v>3</v>
      </c>
      <c r="B644" s="242">
        <f t="shared" si="221"/>
        <v>45717</v>
      </c>
      <c r="C644" s="243">
        <f t="shared" si="204"/>
        <v>45747</v>
      </c>
      <c r="D644" s="120">
        <f t="shared" si="205"/>
        <v>31</v>
      </c>
      <c r="E644" s="120">
        <f t="shared" si="206"/>
        <v>3</v>
      </c>
      <c r="F644" s="275">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1.0023304157549233</v>
      </c>
      <c r="P644" s="121">
        <f t="shared" si="217"/>
        <v>0.20833333333333337</v>
      </c>
      <c r="Q644" s="121">
        <f t="shared" si="218"/>
        <v>0</v>
      </c>
      <c r="R644" s="121">
        <f t="shared" si="219"/>
        <v>0</v>
      </c>
      <c r="AE644" s="160">
        <f t="shared" si="220"/>
        <v>1.0023304157549233</v>
      </c>
    </row>
    <row r="645" spans="1:31" x14ac:dyDescent="0.3">
      <c r="A645" s="187">
        <v>4</v>
      </c>
      <c r="B645" s="242">
        <f t="shared" si="221"/>
        <v>45748</v>
      </c>
      <c r="C645" s="243">
        <f t="shared" si="204"/>
        <v>45777</v>
      </c>
      <c r="D645" s="120">
        <f t="shared" si="205"/>
        <v>30</v>
      </c>
      <c r="E645" s="120">
        <f t="shared" si="206"/>
        <v>4</v>
      </c>
      <c r="F645" s="275">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1.0016630196936542</v>
      </c>
      <c r="P645" s="121">
        <f t="shared" si="217"/>
        <v>0.29166666666666663</v>
      </c>
      <c r="Q645" s="121">
        <f t="shared" si="218"/>
        <v>0</v>
      </c>
      <c r="R645" s="121">
        <f t="shared" si="219"/>
        <v>0</v>
      </c>
      <c r="AE645" s="160">
        <f t="shared" si="220"/>
        <v>1.0016630196936542</v>
      </c>
    </row>
    <row r="646" spans="1:31" x14ac:dyDescent="0.3">
      <c r="A646" s="187">
        <v>5</v>
      </c>
      <c r="B646" s="242">
        <f t="shared" si="221"/>
        <v>45778</v>
      </c>
      <c r="C646" s="243">
        <f t="shared" si="204"/>
        <v>45808</v>
      </c>
      <c r="D646" s="120">
        <f t="shared" si="205"/>
        <v>31</v>
      </c>
      <c r="E646" s="120">
        <f t="shared" si="206"/>
        <v>5</v>
      </c>
      <c r="F646" s="275">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1.0009956236323851</v>
      </c>
      <c r="P646" s="121">
        <f t="shared" si="217"/>
        <v>0.375</v>
      </c>
      <c r="Q646" s="121">
        <f t="shared" si="218"/>
        <v>0</v>
      </c>
      <c r="R646" s="121">
        <f t="shared" si="219"/>
        <v>0</v>
      </c>
      <c r="AE646" s="160">
        <f t="shared" si="220"/>
        <v>1.0009956236323851</v>
      </c>
    </row>
    <row r="647" spans="1:31" x14ac:dyDescent="0.3">
      <c r="A647" s="187">
        <v>6</v>
      </c>
      <c r="B647" s="242">
        <f t="shared" si="221"/>
        <v>45809</v>
      </c>
      <c r="C647" s="243">
        <f t="shared" si="204"/>
        <v>45838</v>
      </c>
      <c r="D647" s="120">
        <f t="shared" si="205"/>
        <v>30</v>
      </c>
      <c r="E647" s="120">
        <f t="shared" si="206"/>
        <v>6</v>
      </c>
      <c r="F647" s="275">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1.0003282275711158</v>
      </c>
      <c r="P647" s="121">
        <f t="shared" si="217"/>
        <v>0.45833333333333337</v>
      </c>
      <c r="Q647" s="121">
        <f t="shared" si="218"/>
        <v>0</v>
      </c>
      <c r="R647" s="121">
        <f t="shared" si="219"/>
        <v>0</v>
      </c>
      <c r="AE647" s="160">
        <f t="shared" si="220"/>
        <v>1.0003282275711158</v>
      </c>
    </row>
    <row r="648" spans="1:31" x14ac:dyDescent="0.3">
      <c r="A648" s="187">
        <v>7</v>
      </c>
      <c r="B648" s="242">
        <f t="shared" si="221"/>
        <v>45839</v>
      </c>
      <c r="C648" s="243">
        <f t="shared" si="204"/>
        <v>45869</v>
      </c>
      <c r="D648" s="120">
        <f t="shared" si="205"/>
        <v>31</v>
      </c>
      <c r="E648" s="120">
        <f t="shared" si="206"/>
        <v>7</v>
      </c>
      <c r="F648" s="275">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0.99966083150984675</v>
      </c>
      <c r="P648" s="121">
        <f t="shared" si="217"/>
        <v>0.54166666666666674</v>
      </c>
      <c r="Q648" s="121">
        <f t="shared" si="218"/>
        <v>0</v>
      </c>
      <c r="R648" s="121">
        <f t="shared" si="219"/>
        <v>0</v>
      </c>
      <c r="AE648" s="160">
        <f t="shared" si="220"/>
        <v>0.99966083150984675</v>
      </c>
    </row>
    <row r="649" spans="1:31" x14ac:dyDescent="0.3">
      <c r="A649" s="187">
        <v>8</v>
      </c>
      <c r="B649" s="242">
        <f t="shared" si="221"/>
        <v>45870</v>
      </c>
      <c r="C649" s="243">
        <f t="shared" si="204"/>
        <v>45900</v>
      </c>
      <c r="D649" s="120">
        <f t="shared" si="205"/>
        <v>31</v>
      </c>
      <c r="E649" s="120">
        <f t="shared" si="206"/>
        <v>8</v>
      </c>
      <c r="F649" s="275">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0.99898249452954047</v>
      </c>
      <c r="P649" s="121">
        <f t="shared" si="217"/>
        <v>0.625</v>
      </c>
      <c r="Q649" s="121">
        <f t="shared" si="218"/>
        <v>0</v>
      </c>
      <c r="R649" s="121">
        <f t="shared" si="219"/>
        <v>0</v>
      </c>
      <c r="AE649" s="160">
        <f t="shared" si="220"/>
        <v>0.99898249452954047</v>
      </c>
    </row>
    <row r="650" spans="1:31" x14ac:dyDescent="0.3">
      <c r="A650" s="187">
        <v>9</v>
      </c>
      <c r="B650" s="242">
        <f t="shared" si="221"/>
        <v>45901</v>
      </c>
      <c r="C650" s="243">
        <f t="shared" si="204"/>
        <v>45930</v>
      </c>
      <c r="D650" s="120">
        <f t="shared" si="205"/>
        <v>30</v>
      </c>
      <c r="E650" s="120">
        <f t="shared" si="206"/>
        <v>9</v>
      </c>
      <c r="F650" s="275">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0.99831509846827127</v>
      </c>
      <c r="P650" s="121">
        <f t="shared" si="217"/>
        <v>0.70833333333333326</v>
      </c>
      <c r="Q650" s="121">
        <f t="shared" si="218"/>
        <v>0</v>
      </c>
      <c r="R650" s="121">
        <f t="shared" si="219"/>
        <v>0</v>
      </c>
      <c r="AE650" s="160">
        <f t="shared" si="220"/>
        <v>0.99831509846827127</v>
      </c>
    </row>
    <row r="651" spans="1:31" x14ac:dyDescent="0.3">
      <c r="A651" s="187">
        <v>10</v>
      </c>
      <c r="B651" s="242">
        <f t="shared" si="221"/>
        <v>45931</v>
      </c>
      <c r="C651" s="243">
        <f t="shared" si="204"/>
        <v>45961</v>
      </c>
      <c r="D651" s="120">
        <f t="shared" si="205"/>
        <v>31</v>
      </c>
      <c r="E651" s="120">
        <f t="shared" si="206"/>
        <v>10</v>
      </c>
      <c r="F651" s="275">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0.99764770240700218</v>
      </c>
      <c r="P651" s="121">
        <f t="shared" si="217"/>
        <v>0.79166666666666663</v>
      </c>
      <c r="Q651" s="121">
        <f t="shared" si="218"/>
        <v>0</v>
      </c>
      <c r="R651" s="121">
        <f t="shared" si="219"/>
        <v>0</v>
      </c>
      <c r="AE651" s="160">
        <f t="shared" si="220"/>
        <v>0.99764770240700218</v>
      </c>
    </row>
    <row r="652" spans="1:31" x14ac:dyDescent="0.3">
      <c r="A652" s="187">
        <v>11</v>
      </c>
      <c r="B652" s="242">
        <f t="shared" si="221"/>
        <v>45962</v>
      </c>
      <c r="C652" s="243">
        <f t="shared" si="204"/>
        <v>45991</v>
      </c>
      <c r="D652" s="120">
        <f t="shared" si="205"/>
        <v>30</v>
      </c>
      <c r="E652" s="120">
        <f t="shared" si="206"/>
        <v>11</v>
      </c>
      <c r="F652" s="275">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0.99698030634573298</v>
      </c>
      <c r="P652" s="121">
        <f t="shared" si="217"/>
        <v>0.875</v>
      </c>
      <c r="Q652" s="121">
        <f t="shared" si="218"/>
        <v>0</v>
      </c>
      <c r="R652" s="121">
        <f t="shared" si="219"/>
        <v>0</v>
      </c>
      <c r="AE652" s="160">
        <f t="shared" si="220"/>
        <v>0.99698030634573298</v>
      </c>
    </row>
    <row r="653" spans="1:31" x14ac:dyDescent="0.3">
      <c r="A653" s="187">
        <v>12</v>
      </c>
      <c r="B653" s="242">
        <f t="shared" si="221"/>
        <v>45992</v>
      </c>
      <c r="C653" s="243">
        <f t="shared" si="204"/>
        <v>46022</v>
      </c>
      <c r="D653" s="120">
        <f t="shared" si="205"/>
        <v>31</v>
      </c>
      <c r="E653" s="120">
        <f t="shared" si="206"/>
        <v>12</v>
      </c>
      <c r="F653" s="275">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0.99631291028446389</v>
      </c>
      <c r="P653" s="121">
        <f t="shared" si="217"/>
        <v>0.95833333333333337</v>
      </c>
      <c r="Q653" s="121">
        <f t="shared" si="218"/>
        <v>0</v>
      </c>
      <c r="R653" s="121">
        <f t="shared" si="219"/>
        <v>0</v>
      </c>
      <c r="AE653" s="160">
        <f t="shared" si="220"/>
        <v>0.99631291028446389</v>
      </c>
    </row>
    <row r="654" spans="1:31" x14ac:dyDescent="0.3">
      <c r="A654" s="187">
        <v>13</v>
      </c>
      <c r="B654" s="242">
        <f t="shared" si="221"/>
        <v>46023</v>
      </c>
      <c r="C654" s="243">
        <f t="shared" si="204"/>
        <v>46053</v>
      </c>
      <c r="D654" s="120">
        <f t="shared" si="205"/>
        <v>31</v>
      </c>
      <c r="E654" s="120">
        <f t="shared" si="206"/>
        <v>1</v>
      </c>
      <c r="F654" s="275">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0.9956345733041575</v>
      </c>
      <c r="P654" s="121">
        <f t="shared" si="217"/>
        <v>0.95833333333333337</v>
      </c>
      <c r="Q654" s="121">
        <f t="shared" si="218"/>
        <v>4.166666666666663E-2</v>
      </c>
      <c r="R654" s="121">
        <f t="shared" si="219"/>
        <v>0</v>
      </c>
      <c r="AE654" s="160">
        <f t="shared" si="220"/>
        <v>0.9956345733041575</v>
      </c>
    </row>
    <row r="655" spans="1:31" x14ac:dyDescent="0.3">
      <c r="A655" s="187">
        <v>14</v>
      </c>
      <c r="B655" s="242">
        <f t="shared" si="221"/>
        <v>46054</v>
      </c>
      <c r="C655" s="243">
        <f t="shared" si="204"/>
        <v>46081</v>
      </c>
      <c r="D655" s="120">
        <f t="shared" si="205"/>
        <v>28</v>
      </c>
      <c r="E655" s="120">
        <f t="shared" si="206"/>
        <v>2</v>
      </c>
      <c r="F655" s="275">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0.9949890590809628</v>
      </c>
      <c r="P655" s="121">
        <f t="shared" si="217"/>
        <v>0.875</v>
      </c>
      <c r="Q655" s="121">
        <f t="shared" si="218"/>
        <v>0.125</v>
      </c>
      <c r="R655" s="121">
        <f t="shared" si="219"/>
        <v>0</v>
      </c>
      <c r="AE655" s="160">
        <f t="shared" si="220"/>
        <v>1.0546884026258205</v>
      </c>
    </row>
    <row r="656" spans="1:31" x14ac:dyDescent="0.3">
      <c r="A656" s="187">
        <v>15</v>
      </c>
      <c r="B656" s="242">
        <f t="shared" si="221"/>
        <v>46082</v>
      </c>
      <c r="C656" s="243">
        <f t="shared" si="204"/>
        <v>46112</v>
      </c>
      <c r="D656" s="120">
        <f t="shared" si="205"/>
        <v>31</v>
      </c>
      <c r="E656" s="120">
        <f t="shared" si="206"/>
        <v>3</v>
      </c>
      <c r="F656" s="275">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0.99434354485776799</v>
      </c>
      <c r="P656" s="121">
        <f t="shared" si="217"/>
        <v>0.79166666666666663</v>
      </c>
      <c r="Q656" s="121">
        <f t="shared" si="218"/>
        <v>0.20833333333333337</v>
      </c>
      <c r="R656" s="121">
        <f t="shared" si="219"/>
        <v>0</v>
      </c>
      <c r="AE656" s="160">
        <f t="shared" si="220"/>
        <v>1.054004157549234</v>
      </c>
    </row>
    <row r="657" spans="1:35" x14ac:dyDescent="0.3">
      <c r="A657" s="187">
        <v>16</v>
      </c>
      <c r="B657" s="242">
        <f t="shared" si="221"/>
        <v>46113</v>
      </c>
      <c r="C657" s="243">
        <f t="shared" si="204"/>
        <v>46142</v>
      </c>
      <c r="D657" s="120">
        <f t="shared" si="205"/>
        <v>30</v>
      </c>
      <c r="E657" s="120">
        <f t="shared" si="206"/>
        <v>4</v>
      </c>
      <c r="F657" s="275">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0.9936761487964989</v>
      </c>
      <c r="P657" s="121">
        <f t="shared" si="217"/>
        <v>0.70833333333333337</v>
      </c>
      <c r="Q657" s="121">
        <f t="shared" si="218"/>
        <v>0.29166666666666663</v>
      </c>
      <c r="R657" s="121">
        <f t="shared" si="219"/>
        <v>0</v>
      </c>
      <c r="AE657" s="160">
        <f t="shared" si="220"/>
        <v>1.0532967177242889</v>
      </c>
    </row>
    <row r="658" spans="1:35" x14ac:dyDescent="0.3">
      <c r="A658" s="187">
        <v>17</v>
      </c>
      <c r="B658" s="242">
        <f t="shared" si="221"/>
        <v>46143</v>
      </c>
      <c r="C658" s="243">
        <f t="shared" si="204"/>
        <v>46173</v>
      </c>
      <c r="D658" s="120">
        <f t="shared" si="205"/>
        <v>31</v>
      </c>
      <c r="E658" s="120">
        <f t="shared" si="206"/>
        <v>5</v>
      </c>
      <c r="F658" s="275">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0.9930087527352297</v>
      </c>
      <c r="P658" s="121">
        <f t="shared" si="217"/>
        <v>0.625</v>
      </c>
      <c r="Q658" s="121">
        <f t="shared" si="218"/>
        <v>0.375</v>
      </c>
      <c r="R658" s="121">
        <f t="shared" si="219"/>
        <v>0</v>
      </c>
      <c r="AE658" s="160">
        <f t="shared" si="220"/>
        <v>1.0525892778993435</v>
      </c>
    </row>
    <row r="659" spans="1:35" x14ac:dyDescent="0.3">
      <c r="A659" s="187">
        <v>18</v>
      </c>
      <c r="B659" s="242">
        <f t="shared" si="221"/>
        <v>46174</v>
      </c>
      <c r="C659" s="243">
        <f t="shared" si="204"/>
        <v>46203</v>
      </c>
      <c r="D659" s="120">
        <f t="shared" si="205"/>
        <v>30</v>
      </c>
      <c r="E659" s="120">
        <f t="shared" si="206"/>
        <v>6</v>
      </c>
      <c r="F659" s="275">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0.99234135667396062</v>
      </c>
      <c r="P659" s="121">
        <f t="shared" si="217"/>
        <v>0.54166666666666663</v>
      </c>
      <c r="Q659" s="121">
        <f t="shared" si="218"/>
        <v>0.45833333333333337</v>
      </c>
      <c r="R659" s="121">
        <f t="shared" si="219"/>
        <v>0</v>
      </c>
      <c r="AE659" s="160">
        <f t="shared" si="220"/>
        <v>1.0518818380743984</v>
      </c>
    </row>
    <row r="660" spans="1:35" x14ac:dyDescent="0.3">
      <c r="A660" s="187">
        <v>19</v>
      </c>
      <c r="B660" s="242">
        <f t="shared" si="221"/>
        <v>46204</v>
      </c>
      <c r="C660" s="243">
        <f t="shared" si="204"/>
        <v>46234</v>
      </c>
      <c r="D660" s="120">
        <f t="shared" si="205"/>
        <v>31</v>
      </c>
      <c r="E660" s="120">
        <f t="shared" si="206"/>
        <v>7</v>
      </c>
      <c r="F660" s="275">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0.99167396061269142</v>
      </c>
      <c r="P660" s="121">
        <f t="shared" si="217"/>
        <v>0.45833333333333331</v>
      </c>
      <c r="Q660" s="121">
        <f t="shared" si="218"/>
        <v>0.54166666666666674</v>
      </c>
      <c r="R660" s="121">
        <f t="shared" si="219"/>
        <v>0</v>
      </c>
      <c r="AE660" s="160">
        <f t="shared" si="220"/>
        <v>1.051174398249453</v>
      </c>
    </row>
    <row r="661" spans="1:35" x14ac:dyDescent="0.3">
      <c r="A661" s="187">
        <v>20</v>
      </c>
      <c r="B661" s="242">
        <f t="shared" si="221"/>
        <v>46235</v>
      </c>
      <c r="C661" s="243">
        <f t="shared" si="204"/>
        <v>46265</v>
      </c>
      <c r="D661" s="120">
        <f t="shared" si="205"/>
        <v>31</v>
      </c>
      <c r="E661" s="120">
        <f t="shared" si="206"/>
        <v>8</v>
      </c>
      <c r="F661" s="275">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0.99099562363238514</v>
      </c>
      <c r="P661" s="121">
        <f t="shared" si="217"/>
        <v>0.375</v>
      </c>
      <c r="Q661" s="121">
        <f t="shared" si="218"/>
        <v>0.625</v>
      </c>
      <c r="R661" s="121">
        <f t="shared" si="219"/>
        <v>0</v>
      </c>
      <c r="AE661" s="160">
        <f t="shared" si="220"/>
        <v>1.0504553610503282</v>
      </c>
    </row>
    <row r="662" spans="1:35" x14ac:dyDescent="0.3">
      <c r="A662" s="187">
        <v>21</v>
      </c>
      <c r="B662" s="242">
        <f t="shared" si="221"/>
        <v>46266</v>
      </c>
      <c r="C662" s="243">
        <f t="shared" si="204"/>
        <v>46295</v>
      </c>
      <c r="D662" s="120">
        <f t="shared" si="205"/>
        <v>30</v>
      </c>
      <c r="E662" s="120">
        <f t="shared" si="206"/>
        <v>9</v>
      </c>
      <c r="F662" s="275">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0.99032822757111594</v>
      </c>
      <c r="P662" s="121">
        <f t="shared" si="217"/>
        <v>0.29166666666666669</v>
      </c>
      <c r="Q662" s="121">
        <f t="shared" si="218"/>
        <v>0.70833333333333326</v>
      </c>
      <c r="R662" s="121">
        <f t="shared" si="219"/>
        <v>0</v>
      </c>
      <c r="AE662" s="160">
        <f t="shared" si="220"/>
        <v>1.0497479212253829</v>
      </c>
    </row>
    <row r="663" spans="1:35" x14ac:dyDescent="0.3">
      <c r="A663" s="187">
        <v>22</v>
      </c>
      <c r="B663" s="242">
        <f t="shared" si="221"/>
        <v>46296</v>
      </c>
      <c r="C663" s="243">
        <f t="shared" si="204"/>
        <v>46326</v>
      </c>
      <c r="D663" s="120">
        <f t="shared" si="205"/>
        <v>31</v>
      </c>
      <c r="E663" s="120">
        <f t="shared" si="206"/>
        <v>10</v>
      </c>
      <c r="F663" s="275">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0.98966083150984685</v>
      </c>
      <c r="P663" s="121">
        <f t="shared" si="217"/>
        <v>0.20833333333333334</v>
      </c>
      <c r="Q663" s="121">
        <f t="shared" si="218"/>
        <v>0.79166666666666663</v>
      </c>
      <c r="R663" s="121">
        <f t="shared" si="219"/>
        <v>0</v>
      </c>
      <c r="AE663" s="160">
        <f t="shared" si="220"/>
        <v>1.0490404814004377</v>
      </c>
    </row>
    <row r="664" spans="1:35" x14ac:dyDescent="0.3">
      <c r="A664" s="187">
        <v>23</v>
      </c>
      <c r="B664" s="242">
        <f t="shared" si="221"/>
        <v>46327</v>
      </c>
      <c r="C664" s="243">
        <f t="shared" si="204"/>
        <v>46356</v>
      </c>
      <c r="D664" s="120">
        <f t="shared" si="205"/>
        <v>30</v>
      </c>
      <c r="E664" s="120">
        <f t="shared" si="206"/>
        <v>11</v>
      </c>
      <c r="F664" s="275">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0.98899343544857765</v>
      </c>
      <c r="P664" s="121">
        <f t="shared" si="217"/>
        <v>0.125</v>
      </c>
      <c r="Q664" s="121">
        <f t="shared" si="218"/>
        <v>0.875</v>
      </c>
      <c r="R664" s="121">
        <f t="shared" si="219"/>
        <v>0</v>
      </c>
      <c r="AE664" s="160">
        <f t="shared" si="220"/>
        <v>1.0483330415754923</v>
      </c>
    </row>
    <row r="665" spans="1:35" x14ac:dyDescent="0.3">
      <c r="A665" s="187">
        <v>24</v>
      </c>
      <c r="B665" s="242">
        <f t="shared" si="221"/>
        <v>46357</v>
      </c>
      <c r="C665" s="243">
        <f t="shared" si="204"/>
        <v>46387</v>
      </c>
      <c r="D665" s="120">
        <f t="shared" si="205"/>
        <v>31</v>
      </c>
      <c r="E665" s="120">
        <f t="shared" si="206"/>
        <v>12</v>
      </c>
      <c r="F665" s="275">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0.98832603938730856</v>
      </c>
      <c r="P665" s="121">
        <f t="shared" si="217"/>
        <v>4.1666666666666664E-2</v>
      </c>
      <c r="Q665" s="121">
        <f t="shared" si="218"/>
        <v>0.95833333333333337</v>
      </c>
      <c r="R665" s="121">
        <f t="shared" si="219"/>
        <v>0</v>
      </c>
      <c r="AE665" s="160">
        <f t="shared" si="220"/>
        <v>1.0476256017505472</v>
      </c>
    </row>
    <row r="666" spans="1:35" x14ac:dyDescent="0.3">
      <c r="A666" s="187">
        <v>25</v>
      </c>
      <c r="B666" s="242">
        <f t="shared" si="221"/>
        <v>46388</v>
      </c>
      <c r="C666" s="243">
        <f t="shared" si="204"/>
        <v>46418</v>
      </c>
      <c r="D666" s="120">
        <f t="shared" si="205"/>
        <v>31</v>
      </c>
      <c r="E666" s="120">
        <f t="shared" si="206"/>
        <v>1</v>
      </c>
      <c r="F666" s="275">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0.98764770240700217</v>
      </c>
      <c r="P666" s="121">
        <f t="shared" si="217"/>
        <v>0</v>
      </c>
      <c r="Q666" s="121">
        <f t="shared" si="218"/>
        <v>0.95833333333333337</v>
      </c>
      <c r="R666" s="121">
        <f t="shared" si="219"/>
        <v>4.166666666666663E-2</v>
      </c>
      <c r="W666" s="160">
        <f t="shared" ref="W666:W677" si="222">IF($G666&lt;&gt;$Q$639,$N666,(1-$U$639)*$I666+$U$639*$J666)</f>
        <v>1.06</v>
      </c>
      <c r="X666" s="160">
        <f t="shared" ref="X666:X677" si="223">IF($G666&lt;$Q$639,0,IF($G666&gt;$Q$639,$N666,$U$639*$J666))</f>
        <v>0</v>
      </c>
      <c r="Y666" s="160">
        <f t="shared" ref="Y666:Y677" si="224">IF($F$639=1,$O666/$O654,1)</f>
        <v>0.99197811013065795</v>
      </c>
      <c r="AB666" s="160">
        <f t="shared" ref="AB666:AB677" si="225">IF(AND(N($K$639)&lt;&gt;0,$F666&lt;=$B$640),0,($F666-$B$640)/($C$640-$B$640))</f>
        <v>0.23522975929978118</v>
      </c>
      <c r="AC666" s="220">
        <f t="shared" ref="AC666:AC677" si="226">IF(AND(N($K$639)&lt;&gt;0,$F666&lt;=$B$640),$O666,$F$640*(1-$AB666))</f>
        <v>0.75712253829321663</v>
      </c>
      <c r="AD666" s="160">
        <f t="shared" ref="AD666:AD677" si="227">$H666*($W666+$X666*IF(ISNUMBER($F$690),$F$690,0))/($N654*$O654)</f>
        <v>1.0646476412347119</v>
      </c>
      <c r="AE666" s="160">
        <f t="shared" si="220"/>
        <v>1.0441363995158093</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5">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0.98700218818380747</v>
      </c>
      <c r="P667" s="121">
        <f t="shared" si="217"/>
        <v>0</v>
      </c>
      <c r="Q667" s="121">
        <f t="shared" si="218"/>
        <v>0.875</v>
      </c>
      <c r="R667" s="121">
        <f t="shared" si="219"/>
        <v>0.125</v>
      </c>
      <c r="W667" s="160">
        <f t="shared" si="222"/>
        <v>1.06</v>
      </c>
      <c r="X667" s="160">
        <f t="shared" si="223"/>
        <v>0</v>
      </c>
      <c r="Y667" s="160">
        <f t="shared" si="224"/>
        <v>0.99197290580809749</v>
      </c>
      <c r="AB667" s="160">
        <f t="shared" si="225"/>
        <v>0.29978118161925604</v>
      </c>
      <c r="AC667" s="220">
        <f t="shared" si="226"/>
        <v>0.69321663019693647</v>
      </c>
      <c r="AD667" s="160">
        <f t="shared" si="227"/>
        <v>1.0050361769039609</v>
      </c>
      <c r="AE667" s="160">
        <f t="shared" si="220"/>
        <v>1.0426919696154966</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5">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0.98635667396061266</v>
      </c>
      <c r="P668" s="121">
        <f t="shared" si="217"/>
        <v>0</v>
      </c>
      <c r="Q668" s="121">
        <f t="shared" si="218"/>
        <v>0.79166666666666663</v>
      </c>
      <c r="R668" s="121">
        <f t="shared" si="219"/>
        <v>0.20833333333333337</v>
      </c>
      <c r="W668" s="160">
        <f t="shared" si="222"/>
        <v>1.06</v>
      </c>
      <c r="X668" s="160">
        <f t="shared" si="223"/>
        <v>0</v>
      </c>
      <c r="Y668" s="160">
        <f t="shared" si="224"/>
        <v>0.99196769472838708</v>
      </c>
      <c r="AB668" s="160">
        <f t="shared" si="225"/>
        <v>0.36433260393873085</v>
      </c>
      <c r="AC668" s="220">
        <f t="shared" si="226"/>
        <v>0.62931072210065642</v>
      </c>
      <c r="AD668" s="160">
        <f t="shared" si="227"/>
        <v>1.0056886326375671</v>
      </c>
      <c r="AE668" s="160">
        <f t="shared" si="220"/>
        <v>1.0412475397151837</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5">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0.98568927789934357</v>
      </c>
      <c r="P669" s="121">
        <f t="shared" si="217"/>
        <v>0</v>
      </c>
      <c r="Q669" s="121">
        <f t="shared" si="218"/>
        <v>0.70833333333333337</v>
      </c>
      <c r="R669" s="121">
        <f t="shared" si="219"/>
        <v>0.29166666666666663</v>
      </c>
      <c r="W669" s="160">
        <f t="shared" si="222"/>
        <v>1.06</v>
      </c>
      <c r="X669" s="160">
        <f t="shared" si="223"/>
        <v>0</v>
      </c>
      <c r="Y669" s="160">
        <f t="shared" si="224"/>
        <v>0.99196229988328821</v>
      </c>
      <c r="AB669" s="160">
        <f t="shared" si="225"/>
        <v>0.4310722100656455</v>
      </c>
      <c r="AC669" s="220">
        <f t="shared" si="226"/>
        <v>0.56323851203501096</v>
      </c>
      <c r="AD669" s="160">
        <f t="shared" si="227"/>
        <v>1.0063640968047389</v>
      </c>
      <c r="AE669" s="160">
        <f t="shared" si="220"/>
        <v>1.0397541460894366</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5">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0.98502188183807438</v>
      </c>
      <c r="P670" s="121">
        <f t="shared" si="217"/>
        <v>0</v>
      </c>
      <c r="Q670" s="121">
        <f t="shared" si="218"/>
        <v>0.625</v>
      </c>
      <c r="R670" s="121">
        <f t="shared" si="219"/>
        <v>0.375</v>
      </c>
      <c r="W670" s="160">
        <f t="shared" si="222"/>
        <v>1.06</v>
      </c>
      <c r="X670" s="160">
        <f t="shared" si="223"/>
        <v>0</v>
      </c>
      <c r="Y670" s="160">
        <f t="shared" si="224"/>
        <v>0.99195689778649421</v>
      </c>
      <c r="AB670" s="160">
        <f t="shared" si="225"/>
        <v>0.49781181619256015</v>
      </c>
      <c r="AC670" s="220">
        <f t="shared" si="226"/>
        <v>0.4971663019693654</v>
      </c>
      <c r="AD670" s="160">
        <f t="shared" si="227"/>
        <v>1.007040468923877</v>
      </c>
      <c r="AE670" s="160">
        <f t="shared" si="220"/>
        <v>1.0382607524636895</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5">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0.98435448577680529</v>
      </c>
      <c r="P671" s="121">
        <f t="shared" si="217"/>
        <v>0</v>
      </c>
      <c r="Q671" s="121">
        <f t="shared" si="218"/>
        <v>0.54166666666666663</v>
      </c>
      <c r="R671" s="121">
        <f t="shared" si="219"/>
        <v>0.45833333333333337</v>
      </c>
      <c r="W671" s="160">
        <f t="shared" si="222"/>
        <v>1.06</v>
      </c>
      <c r="X671" s="160">
        <f t="shared" si="223"/>
        <v>0</v>
      </c>
      <c r="Y671" s="160">
        <f t="shared" si="224"/>
        <v>0.99195148842337377</v>
      </c>
      <c r="AB671" s="160">
        <f t="shared" si="225"/>
        <v>0.56455142231947486</v>
      </c>
      <c r="AC671" s="220">
        <f t="shared" si="226"/>
        <v>0.43109409190371989</v>
      </c>
      <c r="AD671" s="160">
        <f t="shared" si="227"/>
        <v>1.0077177508269017</v>
      </c>
      <c r="AE671" s="160">
        <f t="shared" si="220"/>
        <v>1.0367673588379425</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5">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0.98368708971553609</v>
      </c>
      <c r="P672" s="121">
        <f t="shared" si="217"/>
        <v>0</v>
      </c>
      <c r="Q672" s="121">
        <f t="shared" si="218"/>
        <v>0.45833333333333331</v>
      </c>
      <c r="R672" s="121">
        <f t="shared" si="219"/>
        <v>0.54166666666666674</v>
      </c>
      <c r="W672" s="160">
        <f t="shared" si="222"/>
        <v>1.06</v>
      </c>
      <c r="X672" s="160">
        <f t="shared" si="223"/>
        <v>0</v>
      </c>
      <c r="Y672" s="160">
        <f t="shared" si="224"/>
        <v>0.9919460717792562</v>
      </c>
      <c r="AB672" s="160">
        <f t="shared" si="225"/>
        <v>0.63129102844638951</v>
      </c>
      <c r="AC672" s="220">
        <f t="shared" si="226"/>
        <v>0.36502188183807438</v>
      </c>
      <c r="AD672" s="160">
        <f t="shared" si="227"/>
        <v>1.0083959443506658</v>
      </c>
      <c r="AE672" s="160">
        <f t="shared" si="220"/>
        <v>1.0352739652121954</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5">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0.9830087527352297</v>
      </c>
      <c r="P673" s="121">
        <f t="shared" si="217"/>
        <v>0</v>
      </c>
      <c r="Q673" s="121">
        <f t="shared" si="218"/>
        <v>0.375</v>
      </c>
      <c r="R673" s="121">
        <f t="shared" si="219"/>
        <v>0.625</v>
      </c>
      <c r="W673" s="160">
        <f t="shared" si="222"/>
        <v>1.06</v>
      </c>
      <c r="X673" s="160">
        <f t="shared" si="223"/>
        <v>0</v>
      </c>
      <c r="Y673" s="160">
        <f t="shared" si="224"/>
        <v>0.9919405588615211</v>
      </c>
      <c r="AB673" s="160">
        <f t="shared" si="225"/>
        <v>0.69912472647702406</v>
      </c>
      <c r="AC673" s="220">
        <f t="shared" si="226"/>
        <v>0.29786652078774617</v>
      </c>
      <c r="AD673" s="160">
        <f t="shared" si="227"/>
        <v>1.0090861918588605</v>
      </c>
      <c r="AE673" s="160">
        <f t="shared" si="220"/>
        <v>1.0337560897237312</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5">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0.98234135667396061</v>
      </c>
      <c r="P674" s="121">
        <f t="shared" si="217"/>
        <v>0</v>
      </c>
      <c r="Q674" s="121">
        <f t="shared" si="218"/>
        <v>0.29166666666666669</v>
      </c>
      <c r="R674" s="121">
        <f t="shared" si="219"/>
        <v>0.70833333333333326</v>
      </c>
      <c r="W674" s="160">
        <f t="shared" si="222"/>
        <v>1.06</v>
      </c>
      <c r="X674" s="160">
        <f t="shared" si="223"/>
        <v>0</v>
      </c>
      <c r="Y674" s="160">
        <f t="shared" si="224"/>
        <v>0.99193512749127233</v>
      </c>
      <c r="AB674" s="160">
        <f t="shared" si="225"/>
        <v>0.76586433260393871</v>
      </c>
      <c r="AC674" s="220">
        <f t="shared" si="226"/>
        <v>0.23179431072210066</v>
      </c>
      <c r="AD674" s="160">
        <f t="shared" si="227"/>
        <v>1.0097662291749525</v>
      </c>
      <c r="AE674" s="160">
        <f t="shared" si="220"/>
        <v>1.0322626960979839</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5">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0.98167396061269141</v>
      </c>
      <c r="P675" s="121">
        <f t="shared" si="217"/>
        <v>0</v>
      </c>
      <c r="Q675" s="121">
        <f t="shared" si="218"/>
        <v>0.20833333333333334</v>
      </c>
      <c r="R675" s="121">
        <f t="shared" si="219"/>
        <v>0.79166666666666663</v>
      </c>
      <c r="W675" s="160">
        <f t="shared" si="222"/>
        <v>1.06</v>
      </c>
      <c r="X675" s="160">
        <f t="shared" si="223"/>
        <v>1.06</v>
      </c>
      <c r="Y675" s="160">
        <f t="shared" si="224"/>
        <v>0.99192968879553356</v>
      </c>
      <c r="AB675" s="160">
        <f t="shared" si="225"/>
        <v>0.83260393873085337</v>
      </c>
      <c r="AC675" s="220">
        <f t="shared" si="226"/>
        <v>0.16572210065645518</v>
      </c>
      <c r="AD675" s="160">
        <f t="shared" si="227"/>
        <v>1.0508650710297938</v>
      </c>
      <c r="AE675" s="160">
        <f t="shared" si="220"/>
        <v>1.0720000745711264</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5">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0.98100656455142232</v>
      </c>
      <c r="P676" s="121">
        <f t="shared" si="217"/>
        <v>0</v>
      </c>
      <c r="Q676" s="121">
        <f t="shared" si="218"/>
        <v>0.125</v>
      </c>
      <c r="R676" s="121">
        <f t="shared" si="219"/>
        <v>0.875</v>
      </c>
      <c r="W676" s="160">
        <f t="shared" si="222"/>
        <v>1.06</v>
      </c>
      <c r="X676" s="160">
        <f t="shared" si="223"/>
        <v>1.06</v>
      </c>
      <c r="Y676" s="160">
        <f t="shared" si="224"/>
        <v>0.99192424275947522</v>
      </c>
      <c r="AB676" s="160">
        <f t="shared" si="225"/>
        <v>0.89934354485776802</v>
      </c>
      <c r="AC676" s="220">
        <f t="shared" si="226"/>
        <v>9.9649890590809656E-2</v>
      </c>
      <c r="AD676" s="160">
        <f t="shared" si="227"/>
        <v>1.0515742195278448</v>
      </c>
      <c r="AE676" s="160">
        <f t="shared" si="220"/>
        <v>1.0704469452003493</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5">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0.98033916849015312</v>
      </c>
      <c r="P677" s="121">
        <f t="shared" si="217"/>
        <v>0</v>
      </c>
      <c r="Q677" s="121">
        <f t="shared" si="218"/>
        <v>4.1666666666666664E-2</v>
      </c>
      <c r="R677" s="121">
        <f t="shared" si="219"/>
        <v>0.95833333333333337</v>
      </c>
      <c r="W677" s="160">
        <f t="shared" si="222"/>
        <v>1.06</v>
      </c>
      <c r="X677" s="160">
        <f t="shared" si="223"/>
        <v>1.06</v>
      </c>
      <c r="Y677" s="160">
        <f t="shared" si="224"/>
        <v>0.99191878936822642</v>
      </c>
      <c r="AB677" s="160">
        <f t="shared" si="225"/>
        <v>0.96608315098468267</v>
      </c>
      <c r="AC677" s="220">
        <f t="shared" si="226"/>
        <v>3.3577680525164154E-2</v>
      </c>
      <c r="AD677" s="160">
        <f t="shared" si="227"/>
        <v>1.0522843257724197</v>
      </c>
      <c r="AE677" s="160">
        <f t="shared" si="220"/>
        <v>1.0688938158295722</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5">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0.98</v>
      </c>
      <c r="P678" s="121">
        <f t="shared" si="217"/>
        <v>0</v>
      </c>
      <c r="Q678" s="121">
        <f t="shared" si="218"/>
        <v>0</v>
      </c>
      <c r="R678" s="121">
        <f t="shared" si="219"/>
        <v>0.95833333333333337</v>
      </c>
      <c r="AE678" s="160">
        <f t="shared" si="220"/>
        <v>1.0387999999999999</v>
      </c>
    </row>
    <row r="679" spans="1:35" x14ac:dyDescent="0.3">
      <c r="A679" s="187">
        <v>38</v>
      </c>
      <c r="B679" s="242">
        <f t="shared" si="221"/>
        <v>46784</v>
      </c>
      <c r="C679" s="243">
        <f t="shared" si="204"/>
        <v>46812</v>
      </c>
      <c r="D679" s="120">
        <f t="shared" si="205"/>
        <v>29</v>
      </c>
      <c r="E679" s="120">
        <f t="shared" si="206"/>
        <v>2</v>
      </c>
      <c r="F679" s="275">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0.98</v>
      </c>
      <c r="P679" s="121">
        <f t="shared" si="217"/>
        <v>0</v>
      </c>
      <c r="Q679" s="121">
        <f t="shared" si="218"/>
        <v>0</v>
      </c>
      <c r="R679" s="121">
        <f t="shared" si="219"/>
        <v>0.875</v>
      </c>
      <c r="AE679" s="160">
        <f t="shared" si="220"/>
        <v>1.0387999999999999</v>
      </c>
    </row>
    <row r="680" spans="1:35" x14ac:dyDescent="0.3">
      <c r="A680" s="187">
        <v>39</v>
      </c>
      <c r="B680" s="242">
        <f t="shared" si="221"/>
        <v>46813</v>
      </c>
      <c r="C680" s="243">
        <f t="shared" si="204"/>
        <v>46843</v>
      </c>
      <c r="D680" s="120">
        <f t="shared" si="205"/>
        <v>31</v>
      </c>
      <c r="E680" s="120">
        <f t="shared" si="206"/>
        <v>3</v>
      </c>
      <c r="F680" s="275">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0.98</v>
      </c>
      <c r="P680" s="121">
        <f t="shared" si="217"/>
        <v>0</v>
      </c>
      <c r="Q680" s="121">
        <f t="shared" si="218"/>
        <v>0</v>
      </c>
      <c r="R680" s="121">
        <f t="shared" si="219"/>
        <v>0.79166666666666663</v>
      </c>
      <c r="AE680" s="160">
        <f t="shared" si="220"/>
        <v>1.0387999999999999</v>
      </c>
    </row>
    <row r="681" spans="1:35" x14ac:dyDescent="0.3">
      <c r="A681" s="187">
        <v>40</v>
      </c>
      <c r="B681" s="242">
        <f t="shared" si="221"/>
        <v>46844</v>
      </c>
      <c r="C681" s="243">
        <f t="shared" si="204"/>
        <v>46873</v>
      </c>
      <c r="D681" s="120">
        <f t="shared" si="205"/>
        <v>30</v>
      </c>
      <c r="E681" s="120">
        <f t="shared" si="206"/>
        <v>4</v>
      </c>
      <c r="F681" s="275">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0.98</v>
      </c>
      <c r="P681" s="121">
        <f t="shared" si="217"/>
        <v>0</v>
      </c>
      <c r="Q681" s="121">
        <f t="shared" si="218"/>
        <v>0</v>
      </c>
      <c r="R681" s="121">
        <f t="shared" si="219"/>
        <v>0.70833333333333337</v>
      </c>
      <c r="AE681" s="160">
        <f t="shared" si="220"/>
        <v>1.0387999999999999</v>
      </c>
    </row>
    <row r="682" spans="1:35" x14ac:dyDescent="0.3">
      <c r="A682" s="187">
        <v>41</v>
      </c>
      <c r="B682" s="242">
        <f t="shared" si="221"/>
        <v>46874</v>
      </c>
      <c r="C682" s="243">
        <f t="shared" si="204"/>
        <v>46904</v>
      </c>
      <c r="D682" s="120">
        <f t="shared" si="205"/>
        <v>31</v>
      </c>
      <c r="E682" s="120">
        <f t="shared" si="206"/>
        <v>5</v>
      </c>
      <c r="F682" s="275">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0.98</v>
      </c>
      <c r="P682" s="121">
        <f t="shared" si="217"/>
        <v>0</v>
      </c>
      <c r="Q682" s="121">
        <f t="shared" si="218"/>
        <v>0</v>
      </c>
      <c r="R682" s="121">
        <f t="shared" si="219"/>
        <v>0.625</v>
      </c>
      <c r="AE682" s="160">
        <f t="shared" si="220"/>
        <v>1.0387999999999999</v>
      </c>
    </row>
    <row r="683" spans="1:35" x14ac:dyDescent="0.3">
      <c r="A683" s="187">
        <v>42</v>
      </c>
      <c r="B683" s="242">
        <f t="shared" si="221"/>
        <v>46905</v>
      </c>
      <c r="C683" s="243">
        <f t="shared" si="204"/>
        <v>46934</v>
      </c>
      <c r="D683" s="120">
        <f t="shared" si="205"/>
        <v>30</v>
      </c>
      <c r="E683" s="120">
        <f t="shared" si="206"/>
        <v>6</v>
      </c>
      <c r="F683" s="275">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0.98</v>
      </c>
      <c r="P683" s="121">
        <f t="shared" si="217"/>
        <v>0</v>
      </c>
      <c r="Q683" s="121">
        <f t="shared" si="218"/>
        <v>0</v>
      </c>
      <c r="R683" s="121">
        <f t="shared" si="219"/>
        <v>0.54166666666666663</v>
      </c>
      <c r="AE683" s="160">
        <f t="shared" si="220"/>
        <v>1.0387999999999999</v>
      </c>
    </row>
    <row r="684" spans="1:35" x14ac:dyDescent="0.3">
      <c r="A684" s="187">
        <v>43</v>
      </c>
      <c r="B684" s="242">
        <f t="shared" si="221"/>
        <v>46935</v>
      </c>
      <c r="C684" s="243">
        <f t="shared" si="204"/>
        <v>46965</v>
      </c>
      <c r="D684" s="120">
        <f t="shared" si="205"/>
        <v>31</v>
      </c>
      <c r="E684" s="120">
        <f t="shared" si="206"/>
        <v>7</v>
      </c>
      <c r="F684" s="275">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0.98</v>
      </c>
      <c r="P684" s="121">
        <f t="shared" si="217"/>
        <v>0</v>
      </c>
      <c r="Q684" s="121">
        <f t="shared" si="218"/>
        <v>0</v>
      </c>
      <c r="R684" s="121">
        <f t="shared" si="219"/>
        <v>0.45833333333333331</v>
      </c>
      <c r="AE684" s="160">
        <f t="shared" si="220"/>
        <v>1.0387999999999999</v>
      </c>
    </row>
    <row r="685" spans="1:35" x14ac:dyDescent="0.3">
      <c r="A685" s="187">
        <v>44</v>
      </c>
      <c r="B685" s="242">
        <f t="shared" si="221"/>
        <v>46966</v>
      </c>
      <c r="C685" s="243">
        <f t="shared" si="204"/>
        <v>46996</v>
      </c>
      <c r="D685" s="120">
        <f t="shared" si="205"/>
        <v>31</v>
      </c>
      <c r="E685" s="120">
        <f t="shared" si="206"/>
        <v>8</v>
      </c>
      <c r="F685" s="275">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0.98</v>
      </c>
      <c r="P685" s="121">
        <f t="shared" si="217"/>
        <v>0</v>
      </c>
      <c r="Q685" s="121">
        <f t="shared" si="218"/>
        <v>0</v>
      </c>
      <c r="R685" s="121">
        <f t="shared" si="219"/>
        <v>0.375</v>
      </c>
      <c r="AE685" s="160">
        <f t="shared" si="220"/>
        <v>1.0387999999999999</v>
      </c>
    </row>
    <row r="686" spans="1:35" x14ac:dyDescent="0.3">
      <c r="A686" s="187">
        <v>45</v>
      </c>
      <c r="B686" s="242">
        <f t="shared" si="221"/>
        <v>46997</v>
      </c>
      <c r="C686" s="243">
        <f t="shared" si="204"/>
        <v>47026</v>
      </c>
      <c r="D686" s="120">
        <f t="shared" si="205"/>
        <v>30</v>
      </c>
      <c r="E686" s="120">
        <f t="shared" si="206"/>
        <v>9</v>
      </c>
      <c r="F686" s="275">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0.98</v>
      </c>
      <c r="P686" s="121">
        <f t="shared" si="217"/>
        <v>0</v>
      </c>
      <c r="Q686" s="121">
        <f t="shared" si="218"/>
        <v>0</v>
      </c>
      <c r="R686" s="121">
        <f t="shared" si="219"/>
        <v>0.29166666666666669</v>
      </c>
      <c r="AE686" s="160">
        <f t="shared" si="220"/>
        <v>1.0387999999999999</v>
      </c>
    </row>
    <row r="687" spans="1:35" x14ac:dyDescent="0.3">
      <c r="A687" s="187">
        <v>46</v>
      </c>
      <c r="B687" s="242">
        <f t="shared" si="221"/>
        <v>47027</v>
      </c>
      <c r="C687" s="243">
        <f t="shared" si="204"/>
        <v>47057</v>
      </c>
      <c r="D687" s="120">
        <f t="shared" si="205"/>
        <v>31</v>
      </c>
      <c r="E687" s="120">
        <f t="shared" si="206"/>
        <v>10</v>
      </c>
      <c r="F687" s="275">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0.98</v>
      </c>
      <c r="P687" s="121">
        <f t="shared" si="217"/>
        <v>0</v>
      </c>
      <c r="Q687" s="121">
        <f t="shared" si="218"/>
        <v>0</v>
      </c>
      <c r="R687" s="121">
        <f t="shared" si="219"/>
        <v>0.20833333333333334</v>
      </c>
      <c r="AE687" s="160">
        <f t="shared" si="220"/>
        <v>1.0387999999999999</v>
      </c>
    </row>
    <row r="688" spans="1:35" x14ac:dyDescent="0.3">
      <c r="A688" s="187">
        <v>47</v>
      </c>
      <c r="B688" s="242">
        <f t="shared" si="221"/>
        <v>47058</v>
      </c>
      <c r="C688" s="243">
        <f t="shared" si="204"/>
        <v>47087</v>
      </c>
      <c r="D688" s="120">
        <f t="shared" si="205"/>
        <v>30</v>
      </c>
      <c r="E688" s="120">
        <f t="shared" si="206"/>
        <v>11</v>
      </c>
      <c r="F688" s="275">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0.98</v>
      </c>
      <c r="P688" s="121">
        <f t="shared" si="217"/>
        <v>0</v>
      </c>
      <c r="Q688" s="121">
        <f t="shared" si="218"/>
        <v>0</v>
      </c>
      <c r="R688" s="121">
        <f t="shared" si="219"/>
        <v>0.125</v>
      </c>
      <c r="AE688" s="160">
        <f t="shared" si="220"/>
        <v>1.0387999999999999</v>
      </c>
    </row>
    <row r="689" spans="1:31" x14ac:dyDescent="0.3">
      <c r="A689" s="187">
        <v>48</v>
      </c>
      <c r="B689" s="242">
        <f t="shared" si="221"/>
        <v>47088</v>
      </c>
      <c r="C689" s="243">
        <f t="shared" si="204"/>
        <v>47118</v>
      </c>
      <c r="D689" s="120">
        <f t="shared" si="205"/>
        <v>31</v>
      </c>
      <c r="E689" s="120">
        <f t="shared" si="206"/>
        <v>12</v>
      </c>
      <c r="F689" s="275">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0.98</v>
      </c>
      <c r="P689" s="121">
        <f t="shared" si="217"/>
        <v>0</v>
      </c>
      <c r="Q689" s="121">
        <f t="shared" si="218"/>
        <v>0</v>
      </c>
      <c r="R689" s="121">
        <f t="shared" si="219"/>
        <v>4.1666666666666664E-2</v>
      </c>
      <c r="AE689" s="160">
        <f t="shared" si="220"/>
        <v>1.0387999999999999</v>
      </c>
    </row>
    <row r="690" spans="1:31" x14ac:dyDescent="0.3">
      <c r="A690" s="23" t="s">
        <v>1723</v>
      </c>
      <c r="B690" s="279">
        <f>SUM($H$666:$H$677)</f>
        <v>12</v>
      </c>
      <c r="C690" s="160">
        <f>SUMPRODUCT($H$666:$H$677,$W$666:$W$677/$N$654:$N$665,$Y$666:$Y$677)</f>
        <v>11.962902562423423</v>
      </c>
      <c r="D690" s="160">
        <f>SUMPRODUCT($H$666:$H$677,$X$666:$X$677/$N$654:$N$665,$Y$666:$Y$677)</f>
        <v>2.975772720923235</v>
      </c>
      <c r="E690" s="281" t="str">
        <f>IF(OR($D$639=0,$P$639=0,$D690=0),"n/a",((1+$E$639)*$B690-$C690)/$D690)</f>
        <v>n/a</v>
      </c>
      <c r="F690" s="281">
        <f>IF($V$639&lt;&gt;"",$V$639,$E690)</f>
        <v>0.04</v>
      </c>
      <c r="G690" s="281">
        <f>IF(OR(NOT(ISNUMBER($F690)),nd_Ach=0),"n/a",$F690/nd_Ach)</f>
        <v>0.04</v>
      </c>
      <c r="H690" s="220">
        <f>IF(OR(NOT(ISNUMBER($F690)),$F$639=0,SUMPRODUCT($AD$666:$AD$677,$AB$666:$AB$677)=0),"n/a",((1+$E$639)*$B690-SUMPRODUCT($AD$666:$AD$677,$AC$666:$AC$677))/SUMPRODUCT($AD$666:$AD$677,$AB$666:$AB$677))</f>
        <v>0.96889016743067014</v>
      </c>
      <c r="I690" s="183">
        <f>IF(NOT(ISNUMBER($F690)),"n/a",SUMPRODUCT($H$666:$H$677,($W$666:$W$677+$X$666:$X$677*$F690)/$N$654:$N$665)/$B690-1)</f>
        <v>1.4999999999999902E-2</v>
      </c>
      <c r="J690" s="183">
        <f>IF(OR(NOT(ISNUMBER($I690)),$F$639=0),"n/a",(1+$E$639)/(1+$I690)-1)</f>
        <v>-1.477832512315258E-2</v>
      </c>
      <c r="K690" s="183">
        <f>IF(NOT(ISNUMBER($F690)),"n/a",($C690+$D690*$F690)/$B690-1)</f>
        <v>6.8277892716961386E-3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2">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1</v>
      </c>
      <c r="H695" s="220">
        <f>IF($C695=0,1,IF(N(INDEX(lr_m0,$C695))=0,1,INDEX(lr_m0,$C695)))</f>
        <v>0.99</v>
      </c>
      <c r="I695" s="278">
        <f>IF($C695=0,DATE(nr_PlanYear-1,10,1),IF(N(INDEX(lr_m0asof,$C695))=0,DATE(nr_PlanYear-1,10,1),INDEX(lr_m0asof,$C695)))</f>
        <v>46295</v>
      </c>
      <c r="J695" s="220">
        <f>IF($C695=0,1,IF(N(INDEX(lr_m1,$C695))=0,1,INDEX(lr_m1,$C695)))</f>
        <v>0.995</v>
      </c>
      <c r="K695" s="220">
        <f>IF($C695=0,0,N(INDEX(lr_mprior,$C695)))</f>
        <v>0</v>
      </c>
      <c r="L695" s="220">
        <f>IF($C695=0,0,N(INDEX(lr_m2,$C695)))</f>
        <v>0</v>
      </c>
      <c r="M695" s="43">
        <f>IF(OR($A695="",COUNTIF(se_state,$A695)=0),0,MATCH($A695,se_state,0))</f>
        <v>0</v>
      </c>
      <c r="N695" s="279">
        <f>IF($M695=0,0,INDEX(se_sum,$M695))</f>
        <v>0</v>
      </c>
      <c r="O695" s="278">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80">
        <f>IF(ISBLANK('Net Delivery'!$E$17),$Y695,'Net Delivery'!$E$17)</f>
        <v>0.04</v>
      </c>
      <c r="W695" s="43">
        <f>IF($B695="",0,COUNTIFS(rl_key,$B695,rl_status,"planned",rl_eff,"&gt;="&amp;DATE(nr_PlanYear,1,1),rl_eff,"&lt;="&amp;DATE(nr_PlanYear,12,31)))</f>
        <v>1</v>
      </c>
      <c r="X695" s="278">
        <f>IF($W695=0,nd_DefaultDate,SUMIFS(rl_eff,rl_key,$B695,rl_firstplanned,1))</f>
        <v>46478</v>
      </c>
      <c r="Y695" s="280">
        <f>IF($W695=0,"",SUMIFS(rl_reff,rl_key,$B695,rl_firstplanned,1))</f>
        <v>0.04</v>
      </c>
      <c r="Z695" s="280">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5">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0.98318927789934352</v>
      </c>
      <c r="P698" s="121">
        <f t="shared" ref="P698:P745" si="245">MIN(1,MAX(0,(nr_MEndPm1-$G698+0.5)/nr_TermMonths))-MIN(1,MAX(0,(nr_MStartPm1-1-$G698+0.5)/nr_TermMonths))</f>
        <v>4.166666666666663E-2</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0.98318927789934352</v>
      </c>
    </row>
    <row r="699" spans="1:31" x14ac:dyDescent="0.3">
      <c r="A699" s="187">
        <v>2</v>
      </c>
      <c r="B699" s="242">
        <f t="shared" ref="B699:B745" si="249">EDATE($B698,1)</f>
        <v>45689</v>
      </c>
      <c r="C699" s="243">
        <f t="shared" si="232"/>
        <v>45716</v>
      </c>
      <c r="D699" s="120">
        <f t="shared" si="233"/>
        <v>28</v>
      </c>
      <c r="E699" s="120">
        <f t="shared" si="234"/>
        <v>2</v>
      </c>
      <c r="F699" s="275">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0.98351203501094098</v>
      </c>
      <c r="P699" s="121">
        <f t="shared" si="245"/>
        <v>0.125</v>
      </c>
      <c r="Q699" s="121">
        <f t="shared" si="246"/>
        <v>0</v>
      </c>
      <c r="R699" s="121">
        <f t="shared" si="247"/>
        <v>0</v>
      </c>
      <c r="AE699" s="160">
        <f t="shared" si="248"/>
        <v>0.98351203501094098</v>
      </c>
    </row>
    <row r="700" spans="1:31" x14ac:dyDescent="0.3">
      <c r="A700" s="187">
        <v>3</v>
      </c>
      <c r="B700" s="242">
        <f t="shared" si="249"/>
        <v>45717</v>
      </c>
      <c r="C700" s="243">
        <f t="shared" si="232"/>
        <v>45747</v>
      </c>
      <c r="D700" s="120">
        <f t="shared" si="233"/>
        <v>31</v>
      </c>
      <c r="E700" s="120">
        <f t="shared" si="234"/>
        <v>3</v>
      </c>
      <c r="F700" s="275">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0.98383479212253833</v>
      </c>
      <c r="P700" s="121">
        <f t="shared" si="245"/>
        <v>0.20833333333333337</v>
      </c>
      <c r="Q700" s="121">
        <f t="shared" si="246"/>
        <v>0</v>
      </c>
      <c r="R700" s="121">
        <f t="shared" si="247"/>
        <v>0</v>
      </c>
      <c r="AE700" s="160">
        <f t="shared" si="248"/>
        <v>0.98383479212253833</v>
      </c>
    </row>
    <row r="701" spans="1:31" x14ac:dyDescent="0.3">
      <c r="A701" s="187">
        <v>4</v>
      </c>
      <c r="B701" s="242">
        <f t="shared" si="249"/>
        <v>45748</v>
      </c>
      <c r="C701" s="243">
        <f t="shared" si="232"/>
        <v>45777</v>
      </c>
      <c r="D701" s="120">
        <f t="shared" si="233"/>
        <v>30</v>
      </c>
      <c r="E701" s="120">
        <f t="shared" si="234"/>
        <v>4</v>
      </c>
      <c r="F701" s="275">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0.98416849015317287</v>
      </c>
      <c r="P701" s="121">
        <f t="shared" si="245"/>
        <v>0.29166666666666663</v>
      </c>
      <c r="Q701" s="121">
        <f t="shared" si="246"/>
        <v>0</v>
      </c>
      <c r="R701" s="121">
        <f t="shared" si="247"/>
        <v>0</v>
      </c>
      <c r="AE701" s="160">
        <f t="shared" si="248"/>
        <v>0.98416849015317287</v>
      </c>
    </row>
    <row r="702" spans="1:31" x14ac:dyDescent="0.3">
      <c r="A702" s="187">
        <v>5</v>
      </c>
      <c r="B702" s="242">
        <f t="shared" si="249"/>
        <v>45778</v>
      </c>
      <c r="C702" s="243">
        <f t="shared" si="232"/>
        <v>45808</v>
      </c>
      <c r="D702" s="120">
        <f t="shared" si="233"/>
        <v>31</v>
      </c>
      <c r="E702" s="120">
        <f t="shared" si="234"/>
        <v>5</v>
      </c>
      <c r="F702" s="275">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0.98450218818380741</v>
      </c>
      <c r="P702" s="121">
        <f t="shared" si="245"/>
        <v>0.375</v>
      </c>
      <c r="Q702" s="121">
        <f t="shared" si="246"/>
        <v>0</v>
      </c>
      <c r="R702" s="121">
        <f t="shared" si="247"/>
        <v>0</v>
      </c>
      <c r="AE702" s="160">
        <f t="shared" si="248"/>
        <v>0.98450218818380741</v>
      </c>
    </row>
    <row r="703" spans="1:31" x14ac:dyDescent="0.3">
      <c r="A703" s="187">
        <v>6</v>
      </c>
      <c r="B703" s="242">
        <f t="shared" si="249"/>
        <v>45809</v>
      </c>
      <c r="C703" s="243">
        <f t="shared" si="232"/>
        <v>45838</v>
      </c>
      <c r="D703" s="120">
        <f t="shared" si="233"/>
        <v>30</v>
      </c>
      <c r="E703" s="120">
        <f t="shared" si="234"/>
        <v>6</v>
      </c>
      <c r="F703" s="275">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0.98483588621444207</v>
      </c>
      <c r="P703" s="121">
        <f t="shared" si="245"/>
        <v>0.45833333333333337</v>
      </c>
      <c r="Q703" s="121">
        <f t="shared" si="246"/>
        <v>0</v>
      </c>
      <c r="R703" s="121">
        <f t="shared" si="247"/>
        <v>0</v>
      </c>
      <c r="AE703" s="160">
        <f t="shared" si="248"/>
        <v>0.98483588621444207</v>
      </c>
    </row>
    <row r="704" spans="1:31" x14ac:dyDescent="0.3">
      <c r="A704" s="187">
        <v>7</v>
      </c>
      <c r="B704" s="242">
        <f t="shared" si="249"/>
        <v>45839</v>
      </c>
      <c r="C704" s="243">
        <f t="shared" si="232"/>
        <v>45869</v>
      </c>
      <c r="D704" s="120">
        <f t="shared" si="233"/>
        <v>31</v>
      </c>
      <c r="E704" s="120">
        <f t="shared" si="234"/>
        <v>7</v>
      </c>
      <c r="F704" s="275">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0.98516958424507661</v>
      </c>
      <c r="P704" s="121">
        <f t="shared" si="245"/>
        <v>0.54166666666666674</v>
      </c>
      <c r="Q704" s="121">
        <f t="shared" si="246"/>
        <v>0</v>
      </c>
      <c r="R704" s="121">
        <f t="shared" si="247"/>
        <v>0</v>
      </c>
      <c r="AE704" s="160">
        <f t="shared" si="248"/>
        <v>0.98516958424507661</v>
      </c>
    </row>
    <row r="705" spans="1:31" x14ac:dyDescent="0.3">
      <c r="A705" s="187">
        <v>8</v>
      </c>
      <c r="B705" s="242">
        <f t="shared" si="249"/>
        <v>45870</v>
      </c>
      <c r="C705" s="243">
        <f t="shared" si="232"/>
        <v>45900</v>
      </c>
      <c r="D705" s="120">
        <f t="shared" si="233"/>
        <v>31</v>
      </c>
      <c r="E705" s="120">
        <f t="shared" si="234"/>
        <v>8</v>
      </c>
      <c r="F705" s="275">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0.98550875273522975</v>
      </c>
      <c r="P705" s="121">
        <f t="shared" si="245"/>
        <v>0.625</v>
      </c>
      <c r="Q705" s="121">
        <f t="shared" si="246"/>
        <v>0</v>
      </c>
      <c r="R705" s="121">
        <f t="shared" si="247"/>
        <v>0</v>
      </c>
      <c r="AE705" s="160">
        <f t="shared" si="248"/>
        <v>0.98550875273522975</v>
      </c>
    </row>
    <row r="706" spans="1:31" x14ac:dyDescent="0.3">
      <c r="A706" s="187">
        <v>9</v>
      </c>
      <c r="B706" s="242">
        <f t="shared" si="249"/>
        <v>45901</v>
      </c>
      <c r="C706" s="243">
        <f t="shared" si="232"/>
        <v>45930</v>
      </c>
      <c r="D706" s="120">
        <f t="shared" si="233"/>
        <v>30</v>
      </c>
      <c r="E706" s="120">
        <f t="shared" si="234"/>
        <v>9</v>
      </c>
      <c r="F706" s="275">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0.9858424507658643</v>
      </c>
      <c r="P706" s="121">
        <f t="shared" si="245"/>
        <v>0.70833333333333326</v>
      </c>
      <c r="Q706" s="121">
        <f t="shared" si="246"/>
        <v>0</v>
      </c>
      <c r="R706" s="121">
        <f t="shared" si="247"/>
        <v>0</v>
      </c>
      <c r="AE706" s="160">
        <f t="shared" si="248"/>
        <v>0.9858424507658643</v>
      </c>
    </row>
    <row r="707" spans="1:31" x14ac:dyDescent="0.3">
      <c r="A707" s="187">
        <v>10</v>
      </c>
      <c r="B707" s="242">
        <f t="shared" si="249"/>
        <v>45931</v>
      </c>
      <c r="C707" s="243">
        <f t="shared" si="232"/>
        <v>45961</v>
      </c>
      <c r="D707" s="120">
        <f t="shared" si="233"/>
        <v>31</v>
      </c>
      <c r="E707" s="120">
        <f t="shared" si="234"/>
        <v>10</v>
      </c>
      <c r="F707" s="275">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0.98617614879649895</v>
      </c>
      <c r="P707" s="121">
        <f t="shared" si="245"/>
        <v>0.79166666666666663</v>
      </c>
      <c r="Q707" s="121">
        <f t="shared" si="246"/>
        <v>0</v>
      </c>
      <c r="R707" s="121">
        <f t="shared" si="247"/>
        <v>0</v>
      </c>
      <c r="AE707" s="160">
        <f t="shared" si="248"/>
        <v>0.98617614879649895</v>
      </c>
    </row>
    <row r="708" spans="1:31" x14ac:dyDescent="0.3">
      <c r="A708" s="187">
        <v>11</v>
      </c>
      <c r="B708" s="242">
        <f t="shared" si="249"/>
        <v>45962</v>
      </c>
      <c r="C708" s="243">
        <f t="shared" si="232"/>
        <v>45991</v>
      </c>
      <c r="D708" s="120">
        <f t="shared" si="233"/>
        <v>30</v>
      </c>
      <c r="E708" s="120">
        <f t="shared" si="234"/>
        <v>11</v>
      </c>
      <c r="F708" s="275">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0.9865098468271335</v>
      </c>
      <c r="P708" s="121">
        <f t="shared" si="245"/>
        <v>0.875</v>
      </c>
      <c r="Q708" s="121">
        <f t="shared" si="246"/>
        <v>0</v>
      </c>
      <c r="R708" s="121">
        <f t="shared" si="247"/>
        <v>0</v>
      </c>
      <c r="AE708" s="160">
        <f t="shared" si="248"/>
        <v>0.9865098468271335</v>
      </c>
    </row>
    <row r="709" spans="1:31" x14ac:dyDescent="0.3">
      <c r="A709" s="187">
        <v>12</v>
      </c>
      <c r="B709" s="242">
        <f t="shared" si="249"/>
        <v>45992</v>
      </c>
      <c r="C709" s="243">
        <f t="shared" si="232"/>
        <v>46022</v>
      </c>
      <c r="D709" s="120">
        <f t="shared" si="233"/>
        <v>31</v>
      </c>
      <c r="E709" s="120">
        <f t="shared" si="234"/>
        <v>12</v>
      </c>
      <c r="F709" s="275">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0.98684354485776804</v>
      </c>
      <c r="P709" s="121">
        <f t="shared" si="245"/>
        <v>0.95833333333333337</v>
      </c>
      <c r="Q709" s="121">
        <f t="shared" si="246"/>
        <v>0</v>
      </c>
      <c r="R709" s="121">
        <f t="shared" si="247"/>
        <v>0</v>
      </c>
      <c r="AE709" s="160">
        <f t="shared" si="248"/>
        <v>0.98684354485776804</v>
      </c>
    </row>
    <row r="710" spans="1:31" x14ac:dyDescent="0.3">
      <c r="A710" s="187">
        <v>13</v>
      </c>
      <c r="B710" s="242">
        <f t="shared" si="249"/>
        <v>46023</v>
      </c>
      <c r="C710" s="243">
        <f t="shared" si="232"/>
        <v>46053</v>
      </c>
      <c r="D710" s="120">
        <f t="shared" si="233"/>
        <v>31</v>
      </c>
      <c r="E710" s="120">
        <f t="shared" si="234"/>
        <v>1</v>
      </c>
      <c r="F710" s="275">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0.98718271334792118</v>
      </c>
      <c r="P710" s="121">
        <f t="shared" si="245"/>
        <v>0.95833333333333337</v>
      </c>
      <c r="Q710" s="121">
        <f t="shared" si="246"/>
        <v>4.166666666666663E-2</v>
      </c>
      <c r="R710" s="121">
        <f t="shared" si="247"/>
        <v>0</v>
      </c>
      <c r="AE710" s="160">
        <f t="shared" si="248"/>
        <v>0.98718271334792118</v>
      </c>
    </row>
    <row r="711" spans="1:31" x14ac:dyDescent="0.3">
      <c r="A711" s="187">
        <v>14</v>
      </c>
      <c r="B711" s="242">
        <f t="shared" si="249"/>
        <v>46054</v>
      </c>
      <c r="C711" s="243">
        <f t="shared" si="232"/>
        <v>46081</v>
      </c>
      <c r="D711" s="120">
        <f t="shared" si="233"/>
        <v>28</v>
      </c>
      <c r="E711" s="120">
        <f t="shared" si="234"/>
        <v>2</v>
      </c>
      <c r="F711" s="275">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0.98750547045951864</v>
      </c>
      <c r="P711" s="121">
        <f t="shared" si="245"/>
        <v>0.875</v>
      </c>
      <c r="Q711" s="121">
        <f t="shared" si="246"/>
        <v>0.125</v>
      </c>
      <c r="R711" s="121">
        <f t="shared" si="247"/>
        <v>0</v>
      </c>
      <c r="AE711" s="160">
        <f t="shared" si="248"/>
        <v>0.98750547045951864</v>
      </c>
    </row>
    <row r="712" spans="1:31" x14ac:dyDescent="0.3">
      <c r="A712" s="187">
        <v>15</v>
      </c>
      <c r="B712" s="242">
        <f t="shared" si="249"/>
        <v>46082</v>
      </c>
      <c r="C712" s="243">
        <f t="shared" si="232"/>
        <v>46112</v>
      </c>
      <c r="D712" s="120">
        <f t="shared" si="233"/>
        <v>31</v>
      </c>
      <c r="E712" s="120">
        <f t="shared" si="234"/>
        <v>3</v>
      </c>
      <c r="F712" s="275">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0.98782822757111599</v>
      </c>
      <c r="P712" s="121">
        <f t="shared" si="245"/>
        <v>0.79166666666666663</v>
      </c>
      <c r="Q712" s="121">
        <f t="shared" si="246"/>
        <v>0.20833333333333337</v>
      </c>
      <c r="R712" s="121">
        <f t="shared" si="247"/>
        <v>0</v>
      </c>
      <c r="AE712" s="160">
        <f t="shared" si="248"/>
        <v>0.98782822757111599</v>
      </c>
    </row>
    <row r="713" spans="1:31" x14ac:dyDescent="0.3">
      <c r="A713" s="187">
        <v>16</v>
      </c>
      <c r="B713" s="242">
        <f t="shared" si="249"/>
        <v>46113</v>
      </c>
      <c r="C713" s="243">
        <f t="shared" si="232"/>
        <v>46142</v>
      </c>
      <c r="D713" s="120">
        <f t="shared" si="233"/>
        <v>30</v>
      </c>
      <c r="E713" s="120">
        <f t="shared" si="234"/>
        <v>4</v>
      </c>
      <c r="F713" s="275">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0.98816192560175053</v>
      </c>
      <c r="P713" s="121">
        <f t="shared" si="245"/>
        <v>0.70833333333333337</v>
      </c>
      <c r="Q713" s="121">
        <f t="shared" si="246"/>
        <v>0.29166666666666663</v>
      </c>
      <c r="R713" s="121">
        <f t="shared" si="247"/>
        <v>0</v>
      </c>
      <c r="AE713" s="160">
        <f t="shared" si="248"/>
        <v>0.98816192560175053</v>
      </c>
    </row>
    <row r="714" spans="1:31" x14ac:dyDescent="0.3">
      <c r="A714" s="187">
        <v>17</v>
      </c>
      <c r="B714" s="242">
        <f t="shared" si="249"/>
        <v>46143</v>
      </c>
      <c r="C714" s="243">
        <f t="shared" si="232"/>
        <v>46173</v>
      </c>
      <c r="D714" s="120">
        <f t="shared" si="233"/>
        <v>31</v>
      </c>
      <c r="E714" s="120">
        <f t="shared" si="234"/>
        <v>5</v>
      </c>
      <c r="F714" s="275">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0.98849562363238508</v>
      </c>
      <c r="P714" s="121">
        <f t="shared" si="245"/>
        <v>0.625</v>
      </c>
      <c r="Q714" s="121">
        <f t="shared" si="246"/>
        <v>0.375</v>
      </c>
      <c r="R714" s="121">
        <f t="shared" si="247"/>
        <v>0</v>
      </c>
      <c r="AE714" s="160">
        <f t="shared" si="248"/>
        <v>0.98849562363238508</v>
      </c>
    </row>
    <row r="715" spans="1:31" x14ac:dyDescent="0.3">
      <c r="A715" s="187">
        <v>18</v>
      </c>
      <c r="B715" s="242">
        <f t="shared" si="249"/>
        <v>46174</v>
      </c>
      <c r="C715" s="243">
        <f t="shared" si="232"/>
        <v>46203</v>
      </c>
      <c r="D715" s="120">
        <f t="shared" si="233"/>
        <v>30</v>
      </c>
      <c r="E715" s="120">
        <f t="shared" si="234"/>
        <v>6</v>
      </c>
      <c r="F715" s="275">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0.98882932166301973</v>
      </c>
      <c r="P715" s="121">
        <f t="shared" si="245"/>
        <v>0.54166666666666663</v>
      </c>
      <c r="Q715" s="121">
        <f t="shared" si="246"/>
        <v>0.45833333333333337</v>
      </c>
      <c r="R715" s="121">
        <f t="shared" si="247"/>
        <v>0</v>
      </c>
      <c r="AE715" s="160">
        <f t="shared" si="248"/>
        <v>0.98882932166301973</v>
      </c>
    </row>
    <row r="716" spans="1:31" x14ac:dyDescent="0.3">
      <c r="A716" s="187">
        <v>19</v>
      </c>
      <c r="B716" s="242">
        <f t="shared" si="249"/>
        <v>46204</v>
      </c>
      <c r="C716" s="243">
        <f t="shared" si="232"/>
        <v>46234</v>
      </c>
      <c r="D716" s="120">
        <f t="shared" si="233"/>
        <v>31</v>
      </c>
      <c r="E716" s="120">
        <f t="shared" si="234"/>
        <v>7</v>
      </c>
      <c r="F716" s="275">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0.98916301969365428</v>
      </c>
      <c r="P716" s="121">
        <f t="shared" si="245"/>
        <v>0.45833333333333331</v>
      </c>
      <c r="Q716" s="121">
        <f t="shared" si="246"/>
        <v>0.54166666666666674</v>
      </c>
      <c r="R716" s="121">
        <f t="shared" si="247"/>
        <v>0</v>
      </c>
      <c r="AE716" s="160">
        <f t="shared" si="248"/>
        <v>0.98916301969365428</v>
      </c>
    </row>
    <row r="717" spans="1:31" x14ac:dyDescent="0.3">
      <c r="A717" s="187">
        <v>20</v>
      </c>
      <c r="B717" s="242">
        <f t="shared" si="249"/>
        <v>46235</v>
      </c>
      <c r="C717" s="243">
        <f t="shared" si="232"/>
        <v>46265</v>
      </c>
      <c r="D717" s="120">
        <f t="shared" si="233"/>
        <v>31</v>
      </c>
      <c r="E717" s="120">
        <f t="shared" si="234"/>
        <v>8</v>
      </c>
      <c r="F717" s="275">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0.98950218818380742</v>
      </c>
      <c r="P717" s="121">
        <f t="shared" si="245"/>
        <v>0.375</v>
      </c>
      <c r="Q717" s="121">
        <f t="shared" si="246"/>
        <v>0.625</v>
      </c>
      <c r="R717" s="121">
        <f t="shared" si="247"/>
        <v>0</v>
      </c>
      <c r="AE717" s="160">
        <f t="shared" si="248"/>
        <v>0.98950218818380742</v>
      </c>
    </row>
    <row r="718" spans="1:31" x14ac:dyDescent="0.3">
      <c r="A718" s="187">
        <v>21</v>
      </c>
      <c r="B718" s="242">
        <f t="shared" si="249"/>
        <v>46266</v>
      </c>
      <c r="C718" s="243">
        <f t="shared" si="232"/>
        <v>46295</v>
      </c>
      <c r="D718" s="120">
        <f t="shared" si="233"/>
        <v>30</v>
      </c>
      <c r="E718" s="120">
        <f t="shared" si="234"/>
        <v>9</v>
      </c>
      <c r="F718" s="275">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0.98983588621444196</v>
      </c>
      <c r="P718" s="121">
        <f t="shared" si="245"/>
        <v>0.29166666666666669</v>
      </c>
      <c r="Q718" s="121">
        <f t="shared" si="246"/>
        <v>0.70833333333333326</v>
      </c>
      <c r="R718" s="121">
        <f t="shared" si="247"/>
        <v>0</v>
      </c>
      <c r="AE718" s="160">
        <f t="shared" si="248"/>
        <v>0.98983588621444196</v>
      </c>
    </row>
    <row r="719" spans="1:31" x14ac:dyDescent="0.3">
      <c r="A719" s="187">
        <v>22</v>
      </c>
      <c r="B719" s="242">
        <f t="shared" si="249"/>
        <v>46296</v>
      </c>
      <c r="C719" s="243">
        <f t="shared" si="232"/>
        <v>46326</v>
      </c>
      <c r="D719" s="120">
        <f t="shared" si="233"/>
        <v>31</v>
      </c>
      <c r="E719" s="120">
        <f t="shared" si="234"/>
        <v>10</v>
      </c>
      <c r="F719" s="275">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0.99016958424507662</v>
      </c>
      <c r="P719" s="121">
        <f t="shared" si="245"/>
        <v>0.20833333333333334</v>
      </c>
      <c r="Q719" s="121">
        <f t="shared" si="246"/>
        <v>0.79166666666666663</v>
      </c>
      <c r="R719" s="121">
        <f t="shared" si="247"/>
        <v>0</v>
      </c>
      <c r="AE719" s="160">
        <f t="shared" si="248"/>
        <v>1.0891865426695844</v>
      </c>
    </row>
    <row r="720" spans="1:31" x14ac:dyDescent="0.3">
      <c r="A720" s="187">
        <v>23</v>
      </c>
      <c r="B720" s="242">
        <f t="shared" si="249"/>
        <v>46327</v>
      </c>
      <c r="C720" s="243">
        <f t="shared" si="232"/>
        <v>46356</v>
      </c>
      <c r="D720" s="120">
        <f t="shared" si="233"/>
        <v>30</v>
      </c>
      <c r="E720" s="120">
        <f t="shared" si="234"/>
        <v>11</v>
      </c>
      <c r="F720" s="275">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0.99050328227571116</v>
      </c>
      <c r="P720" s="121">
        <f t="shared" si="245"/>
        <v>0.125</v>
      </c>
      <c r="Q720" s="121">
        <f t="shared" si="246"/>
        <v>0.875</v>
      </c>
      <c r="R720" s="121">
        <f t="shared" si="247"/>
        <v>0</v>
      </c>
      <c r="AE720" s="160">
        <f t="shared" si="248"/>
        <v>1.0895536105032824</v>
      </c>
    </row>
    <row r="721" spans="1:35" x14ac:dyDescent="0.3">
      <c r="A721" s="187">
        <v>24</v>
      </c>
      <c r="B721" s="242">
        <f t="shared" si="249"/>
        <v>46357</v>
      </c>
      <c r="C721" s="243">
        <f t="shared" si="232"/>
        <v>46387</v>
      </c>
      <c r="D721" s="120">
        <f t="shared" si="233"/>
        <v>31</v>
      </c>
      <c r="E721" s="120">
        <f t="shared" si="234"/>
        <v>12</v>
      </c>
      <c r="F721" s="275">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0.9908369803063457</v>
      </c>
      <c r="P721" s="121">
        <f t="shared" si="245"/>
        <v>4.1666666666666664E-2</v>
      </c>
      <c r="Q721" s="121">
        <f t="shared" si="246"/>
        <v>0.95833333333333337</v>
      </c>
      <c r="R721" s="121">
        <f t="shared" si="247"/>
        <v>0</v>
      </c>
      <c r="AE721" s="160">
        <f t="shared" si="248"/>
        <v>1.0899206783369804</v>
      </c>
    </row>
    <row r="722" spans="1:35" x14ac:dyDescent="0.3">
      <c r="A722" s="187">
        <v>25</v>
      </c>
      <c r="B722" s="242">
        <f t="shared" si="249"/>
        <v>46388</v>
      </c>
      <c r="C722" s="243">
        <f t="shared" si="232"/>
        <v>46418</v>
      </c>
      <c r="D722" s="120">
        <f t="shared" si="233"/>
        <v>31</v>
      </c>
      <c r="E722" s="120">
        <f t="shared" si="234"/>
        <v>1</v>
      </c>
      <c r="F722" s="275">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0.99117614879649885</v>
      </c>
      <c r="P722" s="121">
        <f t="shared" si="245"/>
        <v>0</v>
      </c>
      <c r="Q722" s="121">
        <f t="shared" si="246"/>
        <v>0.95833333333333337</v>
      </c>
      <c r="R722" s="121">
        <f t="shared" si="247"/>
        <v>4.166666666666663E-2</v>
      </c>
      <c r="W722" s="160">
        <f t="shared" ref="W722:W733" si="250">IF($G722&lt;&gt;$Q$695,$N722,(1-$U$695)*$I722+$U$695*$J722)</f>
        <v>1.1000000000000001</v>
      </c>
      <c r="X722" s="160">
        <f t="shared" ref="X722:X733" si="251">IF($G722&lt;$Q$695,0,IF($G722&gt;$Q$695,$N722,$U$695*$J722))</f>
        <v>0</v>
      </c>
      <c r="Y722" s="160">
        <f t="shared" ref="Y722:Y733" si="252">IF($F$695=1,$O722/$O710,1)</f>
        <v>1.0040452850263497</v>
      </c>
      <c r="AB722" s="160">
        <f t="shared" ref="AB722:AB733" si="253">IF(AND(N($K$695)&lt;&gt;0,$F722&lt;=$B$696),0,($F722-$B$696)/($C$696-$B$696))</f>
        <v>0.23522975929978118</v>
      </c>
      <c r="AC722" s="220">
        <f t="shared" ref="AC722:AC733" si="254">IF(AND(N($K$695)&lt;&gt;0,$F722&lt;=$B$696),$O722,$F$696*(1-$AB722))</f>
        <v>0.75712253829321663</v>
      </c>
      <c r="AD722" s="160">
        <f t="shared" ref="AD722:AD733" si="255">$H722*($W722+$X722*IF(ISNUMBER($F$746),$F$746,0))/($N710*$O710)</f>
        <v>1.1142820727375498</v>
      </c>
      <c r="AE722" s="160">
        <f t="shared" si="248"/>
        <v>1.0858343528892216</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0.98718271334792129</v>
      </c>
    </row>
    <row r="723" spans="1:35" x14ac:dyDescent="0.3">
      <c r="A723" s="187">
        <v>26</v>
      </c>
      <c r="B723" s="242">
        <f t="shared" si="249"/>
        <v>46419</v>
      </c>
      <c r="C723" s="243">
        <f t="shared" si="232"/>
        <v>46446</v>
      </c>
      <c r="D723" s="120">
        <f t="shared" si="233"/>
        <v>28</v>
      </c>
      <c r="E723" s="120">
        <f t="shared" si="234"/>
        <v>2</v>
      </c>
      <c r="F723" s="275">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0.99149890590809631</v>
      </c>
      <c r="P723" s="121">
        <f t="shared" si="245"/>
        <v>0</v>
      </c>
      <c r="Q723" s="121">
        <f t="shared" si="246"/>
        <v>0.875</v>
      </c>
      <c r="R723" s="121">
        <f t="shared" si="247"/>
        <v>0.125</v>
      </c>
      <c r="W723" s="160">
        <f t="shared" si="250"/>
        <v>1.1000000000000001</v>
      </c>
      <c r="X723" s="160">
        <f t="shared" si="251"/>
        <v>0</v>
      </c>
      <c r="Y723" s="160">
        <f t="shared" si="252"/>
        <v>1.0040439628620177</v>
      </c>
      <c r="AB723" s="160">
        <f t="shared" si="253"/>
        <v>0.29978118161925604</v>
      </c>
      <c r="AC723" s="220">
        <f t="shared" si="254"/>
        <v>0.69321663019693647</v>
      </c>
      <c r="AD723" s="160">
        <f t="shared" si="255"/>
        <v>1.1139178798555254</v>
      </c>
      <c r="AE723" s="160">
        <f t="shared" si="248"/>
        <v>1.0849656404262638</v>
      </c>
      <c r="AF723" s="220">
        <f t="shared" si="256"/>
        <v>0</v>
      </c>
      <c r="AG723" s="183">
        <f t="shared" si="257"/>
        <v>0.10000000000000009</v>
      </c>
      <c r="AH723" s="183">
        <f t="shared" si="258"/>
        <v>0</v>
      </c>
      <c r="AI723" s="220">
        <f t="shared" si="259"/>
        <v>0.98750547045951853</v>
      </c>
    </row>
    <row r="724" spans="1:35" x14ac:dyDescent="0.3">
      <c r="A724" s="187">
        <v>27</v>
      </c>
      <c r="B724" s="242">
        <f t="shared" si="249"/>
        <v>46447</v>
      </c>
      <c r="C724" s="243">
        <f t="shared" si="232"/>
        <v>46477</v>
      </c>
      <c r="D724" s="120">
        <f t="shared" si="233"/>
        <v>31</v>
      </c>
      <c r="E724" s="120">
        <f t="shared" si="234"/>
        <v>3</v>
      </c>
      <c r="F724" s="275">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0.99182166301969366</v>
      </c>
      <c r="P724" s="121">
        <f t="shared" si="245"/>
        <v>0</v>
      </c>
      <c r="Q724" s="121">
        <f t="shared" si="246"/>
        <v>0.79166666666666663</v>
      </c>
      <c r="R724" s="121">
        <f t="shared" si="247"/>
        <v>0.20833333333333337</v>
      </c>
      <c r="W724" s="160">
        <f t="shared" si="250"/>
        <v>1.1000000000000001</v>
      </c>
      <c r="X724" s="160">
        <f t="shared" si="251"/>
        <v>0</v>
      </c>
      <c r="Y724" s="160">
        <f t="shared" si="252"/>
        <v>1.0040426415616779</v>
      </c>
      <c r="AB724" s="160">
        <f t="shared" si="253"/>
        <v>0.36433260393873085</v>
      </c>
      <c r="AC724" s="220">
        <f t="shared" si="254"/>
        <v>0.62931072210065642</v>
      </c>
      <c r="AD724" s="160">
        <f t="shared" si="255"/>
        <v>1.1135539249619273</v>
      </c>
      <c r="AE724" s="160">
        <f t="shared" si="248"/>
        <v>1.0840969279633059</v>
      </c>
      <c r="AF724" s="220">
        <f t="shared" si="256"/>
        <v>0</v>
      </c>
      <c r="AG724" s="183">
        <f t="shared" si="257"/>
        <v>0.10000000000000009</v>
      </c>
      <c r="AH724" s="183">
        <f t="shared" si="258"/>
        <v>0</v>
      </c>
      <c r="AI724" s="220">
        <f t="shared" si="259"/>
        <v>0.98782822757111588</v>
      </c>
    </row>
    <row r="725" spans="1:35" x14ac:dyDescent="0.3">
      <c r="A725" s="187">
        <v>28</v>
      </c>
      <c r="B725" s="242">
        <f t="shared" si="249"/>
        <v>46478</v>
      </c>
      <c r="C725" s="243">
        <f t="shared" si="232"/>
        <v>46507</v>
      </c>
      <c r="D725" s="120">
        <f t="shared" si="233"/>
        <v>30</v>
      </c>
      <c r="E725" s="120">
        <f t="shared" si="234"/>
        <v>4</v>
      </c>
      <c r="F725" s="275">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0.9921553610503282</v>
      </c>
      <c r="P725" s="121">
        <f t="shared" si="245"/>
        <v>0</v>
      </c>
      <c r="Q725" s="121">
        <f t="shared" si="246"/>
        <v>0.70833333333333337</v>
      </c>
      <c r="R725" s="121">
        <f t="shared" si="247"/>
        <v>0.29166666666666663</v>
      </c>
      <c r="W725" s="160">
        <f t="shared" si="250"/>
        <v>1.1000000000000001</v>
      </c>
      <c r="X725" s="160">
        <f t="shared" si="251"/>
        <v>1.1000000000000001</v>
      </c>
      <c r="Y725" s="160">
        <f t="shared" si="252"/>
        <v>1.0040412763790163</v>
      </c>
      <c r="AB725" s="160">
        <f t="shared" si="253"/>
        <v>0.4310722100656455</v>
      </c>
      <c r="AC725" s="220">
        <f t="shared" si="254"/>
        <v>0.56323851203501096</v>
      </c>
      <c r="AD725" s="160">
        <f t="shared" si="255"/>
        <v>1.1577049978963221</v>
      </c>
      <c r="AE725" s="160">
        <f t="shared" si="248"/>
        <v>1.126526718325058</v>
      </c>
      <c r="AF725" s="220">
        <f t="shared" si="256"/>
        <v>1</v>
      </c>
      <c r="AG725" s="183">
        <f t="shared" si="257"/>
        <v>0.14400000000000013</v>
      </c>
      <c r="AH725" s="183">
        <f t="shared" si="258"/>
        <v>-3.8461538461538436E-2</v>
      </c>
      <c r="AI725" s="220">
        <f t="shared" si="259"/>
        <v>0.95015569769399078</v>
      </c>
    </row>
    <row r="726" spans="1:35" x14ac:dyDescent="0.3">
      <c r="A726" s="187">
        <v>29</v>
      </c>
      <c r="B726" s="242">
        <f t="shared" si="249"/>
        <v>46508</v>
      </c>
      <c r="C726" s="243">
        <f t="shared" si="232"/>
        <v>46538</v>
      </c>
      <c r="D726" s="120">
        <f t="shared" si="233"/>
        <v>31</v>
      </c>
      <c r="E726" s="120">
        <f t="shared" si="234"/>
        <v>5</v>
      </c>
      <c r="F726" s="275">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0.99248905908096274</v>
      </c>
      <c r="P726" s="121">
        <f t="shared" si="245"/>
        <v>0</v>
      </c>
      <c r="Q726" s="121">
        <f t="shared" si="246"/>
        <v>0.625</v>
      </c>
      <c r="R726" s="121">
        <f t="shared" si="247"/>
        <v>0.375</v>
      </c>
      <c r="W726" s="160">
        <f t="shared" si="250"/>
        <v>1.1000000000000001</v>
      </c>
      <c r="X726" s="160">
        <f t="shared" si="251"/>
        <v>1.1000000000000001</v>
      </c>
      <c r="Y726" s="160">
        <f t="shared" si="252"/>
        <v>1.0040399121180761</v>
      </c>
      <c r="AB726" s="160">
        <f t="shared" si="253"/>
        <v>0.49781181619256015</v>
      </c>
      <c r="AC726" s="220">
        <f t="shared" si="254"/>
        <v>0.4971663019693654</v>
      </c>
      <c r="AD726" s="160">
        <f t="shared" si="255"/>
        <v>1.1573141778778842</v>
      </c>
      <c r="AE726" s="160">
        <f t="shared" si="248"/>
        <v>1.1255926315682776</v>
      </c>
      <c r="AF726" s="220">
        <f t="shared" si="256"/>
        <v>1</v>
      </c>
      <c r="AG726" s="183">
        <f t="shared" si="257"/>
        <v>0.14400000000000013</v>
      </c>
      <c r="AH726" s="183">
        <f t="shared" si="258"/>
        <v>-3.8461538461538436E-2</v>
      </c>
      <c r="AI726" s="220">
        <f t="shared" si="259"/>
        <v>0.95047656118498558</v>
      </c>
    </row>
    <row r="727" spans="1:35" x14ac:dyDescent="0.3">
      <c r="A727" s="187">
        <v>30</v>
      </c>
      <c r="B727" s="242">
        <f t="shared" si="249"/>
        <v>46539</v>
      </c>
      <c r="C727" s="243">
        <f t="shared" si="232"/>
        <v>46568</v>
      </c>
      <c r="D727" s="120">
        <f t="shared" si="233"/>
        <v>30</v>
      </c>
      <c r="E727" s="120">
        <f t="shared" si="234"/>
        <v>6</v>
      </c>
      <c r="F727" s="275">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0.9928227571115974</v>
      </c>
      <c r="P727" s="121">
        <f t="shared" si="245"/>
        <v>0</v>
      </c>
      <c r="Q727" s="121">
        <f t="shared" si="246"/>
        <v>0.54166666666666663</v>
      </c>
      <c r="R727" s="121">
        <f t="shared" si="247"/>
        <v>0.45833333333333337</v>
      </c>
      <c r="W727" s="160">
        <f t="shared" si="250"/>
        <v>1.1000000000000001</v>
      </c>
      <c r="X727" s="160">
        <f t="shared" si="251"/>
        <v>1.1000000000000001</v>
      </c>
      <c r="Y727" s="160">
        <f t="shared" si="252"/>
        <v>1.004038548777924</v>
      </c>
      <c r="AB727" s="160">
        <f t="shared" si="253"/>
        <v>0.56455142231947486</v>
      </c>
      <c r="AC727" s="220">
        <f t="shared" si="254"/>
        <v>0.43109409190371989</v>
      </c>
      <c r="AD727" s="160">
        <f t="shared" si="255"/>
        <v>1.1569236216377699</v>
      </c>
      <c r="AE727" s="160">
        <f t="shared" si="248"/>
        <v>1.1246585448114972</v>
      </c>
      <c r="AF727" s="220">
        <f t="shared" si="256"/>
        <v>1</v>
      </c>
      <c r="AG727" s="183">
        <f t="shared" si="257"/>
        <v>0.14400000000000013</v>
      </c>
      <c r="AH727" s="183">
        <f t="shared" si="258"/>
        <v>-3.8461538461538436E-2</v>
      </c>
      <c r="AI727" s="220">
        <f t="shared" si="259"/>
        <v>0.9507974246759805</v>
      </c>
    </row>
    <row r="728" spans="1:35" x14ac:dyDescent="0.3">
      <c r="A728" s="187">
        <v>31</v>
      </c>
      <c r="B728" s="242">
        <f t="shared" si="249"/>
        <v>46569</v>
      </c>
      <c r="C728" s="243">
        <f t="shared" si="232"/>
        <v>46599</v>
      </c>
      <c r="D728" s="120">
        <f t="shared" si="233"/>
        <v>31</v>
      </c>
      <c r="E728" s="120">
        <f t="shared" si="234"/>
        <v>7</v>
      </c>
      <c r="F728" s="275">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0.99315645514223194</v>
      </c>
      <c r="P728" s="121">
        <f t="shared" si="245"/>
        <v>0</v>
      </c>
      <c r="Q728" s="121">
        <f t="shared" si="246"/>
        <v>0.45833333333333331</v>
      </c>
      <c r="R728" s="121">
        <f t="shared" si="247"/>
        <v>0.54166666666666674</v>
      </c>
      <c r="W728" s="160">
        <f t="shared" si="250"/>
        <v>1.1000000000000001</v>
      </c>
      <c r="X728" s="160">
        <f t="shared" si="251"/>
        <v>1.1000000000000001</v>
      </c>
      <c r="Y728" s="160">
        <f t="shared" si="252"/>
        <v>1.0040371863576283</v>
      </c>
      <c r="AB728" s="160">
        <f t="shared" si="253"/>
        <v>0.63129102844638951</v>
      </c>
      <c r="AC728" s="220">
        <f t="shared" si="254"/>
        <v>0.36502188183807438</v>
      </c>
      <c r="AD728" s="160">
        <f t="shared" si="255"/>
        <v>1.1565333289090196</v>
      </c>
      <c r="AE728" s="160">
        <f t="shared" si="248"/>
        <v>1.1237244580547168</v>
      </c>
      <c r="AF728" s="220">
        <f t="shared" si="256"/>
        <v>1</v>
      </c>
      <c r="AG728" s="183">
        <f t="shared" si="257"/>
        <v>0.14400000000000013</v>
      </c>
      <c r="AH728" s="183">
        <f t="shared" si="258"/>
        <v>-3.8461538461538436E-2</v>
      </c>
      <c r="AI728" s="220">
        <f t="shared" si="259"/>
        <v>0.95111828816697519</v>
      </c>
    </row>
    <row r="729" spans="1:35" x14ac:dyDescent="0.3">
      <c r="A729" s="187">
        <v>32</v>
      </c>
      <c r="B729" s="242">
        <f t="shared" si="249"/>
        <v>46600</v>
      </c>
      <c r="C729" s="243">
        <f t="shared" si="232"/>
        <v>46630</v>
      </c>
      <c r="D729" s="120">
        <f t="shared" si="233"/>
        <v>31</v>
      </c>
      <c r="E729" s="120">
        <f t="shared" si="234"/>
        <v>8</v>
      </c>
      <c r="F729" s="275">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0.99349562363238508</v>
      </c>
      <c r="P729" s="121">
        <f t="shared" si="245"/>
        <v>0</v>
      </c>
      <c r="Q729" s="121">
        <f t="shared" si="246"/>
        <v>0.375</v>
      </c>
      <c r="R729" s="121">
        <f t="shared" si="247"/>
        <v>0.625</v>
      </c>
      <c r="W729" s="160">
        <f t="shared" si="250"/>
        <v>1.1000000000000001</v>
      </c>
      <c r="X729" s="160">
        <f t="shared" si="251"/>
        <v>1.1000000000000001</v>
      </c>
      <c r="Y729" s="160">
        <f t="shared" si="252"/>
        <v>1.0040358025442142</v>
      </c>
      <c r="AB729" s="160">
        <f t="shared" si="253"/>
        <v>0.69912472647702406</v>
      </c>
      <c r="AC729" s="220">
        <f t="shared" si="254"/>
        <v>0.29786652078774617</v>
      </c>
      <c r="AD729" s="160">
        <f t="shared" si="255"/>
        <v>1.1561369076906918</v>
      </c>
      <c r="AE729" s="160">
        <f t="shared" si="248"/>
        <v>1.1227750584002842</v>
      </c>
      <c r="AF729" s="220">
        <f t="shared" si="256"/>
        <v>1</v>
      </c>
      <c r="AG729" s="183">
        <f t="shared" si="257"/>
        <v>0.14400000000000013</v>
      </c>
      <c r="AH729" s="183">
        <f t="shared" si="258"/>
        <v>-3.8461538461538436E-2</v>
      </c>
      <c r="AI729" s="220">
        <f t="shared" si="259"/>
        <v>0.95144441171519933</v>
      </c>
    </row>
    <row r="730" spans="1:35" x14ac:dyDescent="0.3">
      <c r="A730" s="187">
        <v>33</v>
      </c>
      <c r="B730" s="242">
        <f t="shared" si="249"/>
        <v>46631</v>
      </c>
      <c r="C730" s="243">
        <f t="shared" si="232"/>
        <v>46660</v>
      </c>
      <c r="D730" s="120">
        <f t="shared" si="233"/>
        <v>30</v>
      </c>
      <c r="E730" s="120">
        <f t="shared" si="234"/>
        <v>9</v>
      </c>
      <c r="F730" s="275">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0.99382932166301974</v>
      </c>
      <c r="P730" s="121">
        <f t="shared" si="245"/>
        <v>0</v>
      </c>
      <c r="Q730" s="121">
        <f t="shared" si="246"/>
        <v>0.29166666666666669</v>
      </c>
      <c r="R730" s="121">
        <f t="shared" si="247"/>
        <v>0.70833333333333326</v>
      </c>
      <c r="W730" s="160">
        <f t="shared" si="250"/>
        <v>1.1000000000000001</v>
      </c>
      <c r="X730" s="160">
        <f t="shared" si="251"/>
        <v>1.1000000000000001</v>
      </c>
      <c r="Y730" s="160">
        <f t="shared" si="252"/>
        <v>1.0040344419758818</v>
      </c>
      <c r="AB730" s="160">
        <f t="shared" si="253"/>
        <v>0.76586433260393871</v>
      </c>
      <c r="AC730" s="220">
        <f t="shared" si="254"/>
        <v>0.23179431072210066</v>
      </c>
      <c r="AD730" s="160">
        <f t="shared" si="255"/>
        <v>1.1557471454941364</v>
      </c>
      <c r="AE730" s="160">
        <f t="shared" si="248"/>
        <v>1.121840971643504</v>
      </c>
      <c r="AF730" s="220">
        <f t="shared" si="256"/>
        <v>1</v>
      </c>
      <c r="AG730" s="183">
        <f t="shared" si="257"/>
        <v>0.14400000000000013</v>
      </c>
      <c r="AH730" s="183">
        <f t="shared" si="258"/>
        <v>-3.8461538461538436E-2</v>
      </c>
      <c r="AI730" s="220">
        <f t="shared" si="259"/>
        <v>0.95176527520619403</v>
      </c>
    </row>
    <row r="731" spans="1:35" x14ac:dyDescent="0.3">
      <c r="A731" s="187">
        <v>34</v>
      </c>
      <c r="B731" s="242">
        <f t="shared" si="249"/>
        <v>46661</v>
      </c>
      <c r="C731" s="243">
        <f t="shared" si="232"/>
        <v>46691</v>
      </c>
      <c r="D731" s="120">
        <f t="shared" si="233"/>
        <v>31</v>
      </c>
      <c r="E731" s="120">
        <f t="shared" si="234"/>
        <v>10</v>
      </c>
      <c r="F731" s="275">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0.99416301969365428</v>
      </c>
      <c r="P731" s="121">
        <f t="shared" si="245"/>
        <v>0</v>
      </c>
      <c r="Q731" s="121">
        <f t="shared" si="246"/>
        <v>0.20833333333333334</v>
      </c>
      <c r="R731" s="121">
        <f t="shared" si="247"/>
        <v>0.79166666666666663</v>
      </c>
      <c r="W731" s="160">
        <f t="shared" si="250"/>
        <v>1.1000000000000001</v>
      </c>
      <c r="X731" s="160">
        <f t="shared" si="251"/>
        <v>1.1000000000000001</v>
      </c>
      <c r="Y731" s="160">
        <f t="shared" si="252"/>
        <v>1.0040330823246024</v>
      </c>
      <c r="AB731" s="160">
        <f t="shared" si="253"/>
        <v>0.83260393873085337</v>
      </c>
      <c r="AC731" s="220">
        <f t="shared" si="254"/>
        <v>0.16572210065645518</v>
      </c>
      <c r="AD731" s="160">
        <f t="shared" si="255"/>
        <v>1.0503251327326066</v>
      </c>
      <c r="AE731" s="160">
        <f t="shared" si="248"/>
        <v>1.1209068848867236</v>
      </c>
      <c r="AF731" s="220">
        <f t="shared" si="256"/>
        <v>1</v>
      </c>
      <c r="AG731" s="183">
        <f t="shared" si="257"/>
        <v>4.0000000000000036E-2</v>
      </c>
      <c r="AH731" s="183">
        <f t="shared" si="258"/>
        <v>5.7692307692307709E-2</v>
      </c>
      <c r="AI731" s="220">
        <f t="shared" si="259"/>
        <v>1.0472947525669081</v>
      </c>
    </row>
    <row r="732" spans="1:35" x14ac:dyDescent="0.3">
      <c r="A732" s="187">
        <v>35</v>
      </c>
      <c r="B732" s="242">
        <f t="shared" si="249"/>
        <v>46692</v>
      </c>
      <c r="C732" s="243">
        <f t="shared" si="232"/>
        <v>46721</v>
      </c>
      <c r="D732" s="120">
        <f t="shared" si="233"/>
        <v>30</v>
      </c>
      <c r="E732" s="120">
        <f t="shared" si="234"/>
        <v>11</v>
      </c>
      <c r="F732" s="275">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0.99449671772428883</v>
      </c>
      <c r="P732" s="121">
        <f t="shared" si="245"/>
        <v>0</v>
      </c>
      <c r="Q732" s="121">
        <f t="shared" si="246"/>
        <v>0.125</v>
      </c>
      <c r="R732" s="121">
        <f t="shared" si="247"/>
        <v>0.875</v>
      </c>
      <c r="W732" s="160">
        <f t="shared" si="250"/>
        <v>1.1000000000000001</v>
      </c>
      <c r="X732" s="160">
        <f t="shared" si="251"/>
        <v>1.1000000000000001</v>
      </c>
      <c r="Y732" s="160">
        <f t="shared" si="252"/>
        <v>1.0040317235894489</v>
      </c>
      <c r="AB732" s="160">
        <f t="shared" si="253"/>
        <v>0.89934354485776802</v>
      </c>
      <c r="AC732" s="220">
        <f t="shared" si="254"/>
        <v>9.9649890590809656E-2</v>
      </c>
      <c r="AD732" s="160">
        <f t="shared" si="255"/>
        <v>1.0499712808730615</v>
      </c>
      <c r="AE732" s="160">
        <f t="shared" si="248"/>
        <v>1.1199727981299432</v>
      </c>
      <c r="AF732" s="220">
        <f t="shared" si="256"/>
        <v>1</v>
      </c>
      <c r="AG732" s="183">
        <f t="shared" si="257"/>
        <v>4.0000000000000036E-2</v>
      </c>
      <c r="AH732" s="183">
        <f t="shared" si="258"/>
        <v>5.7692307692307709E-2</v>
      </c>
      <c r="AI732" s="220">
        <f t="shared" si="259"/>
        <v>1.0476477024070023</v>
      </c>
    </row>
    <row r="733" spans="1:35" x14ac:dyDescent="0.3">
      <c r="A733" s="187">
        <v>36</v>
      </c>
      <c r="B733" s="242">
        <f t="shared" si="249"/>
        <v>46722</v>
      </c>
      <c r="C733" s="243">
        <f t="shared" si="232"/>
        <v>46752</v>
      </c>
      <c r="D733" s="120">
        <f t="shared" si="233"/>
        <v>31</v>
      </c>
      <c r="E733" s="120">
        <f t="shared" si="234"/>
        <v>12</v>
      </c>
      <c r="F733" s="275">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0.99483041575492337</v>
      </c>
      <c r="P733" s="121">
        <f t="shared" si="245"/>
        <v>0</v>
      </c>
      <c r="Q733" s="121">
        <f t="shared" si="246"/>
        <v>4.1666666666666664E-2</v>
      </c>
      <c r="R733" s="121">
        <f t="shared" si="247"/>
        <v>0.95833333333333337</v>
      </c>
      <c r="W733" s="160">
        <f t="shared" si="250"/>
        <v>1.1000000000000001</v>
      </c>
      <c r="X733" s="160">
        <f t="shared" si="251"/>
        <v>1.1000000000000001</v>
      </c>
      <c r="Y733" s="160">
        <f t="shared" si="252"/>
        <v>1.0040303657694962</v>
      </c>
      <c r="AB733" s="160">
        <f t="shared" si="253"/>
        <v>0.96608315098468267</v>
      </c>
      <c r="AC733" s="220">
        <f t="shared" si="254"/>
        <v>3.3577680525164154E-2</v>
      </c>
      <c r="AD733" s="160">
        <f t="shared" si="255"/>
        <v>1.0496176673567978</v>
      </c>
      <c r="AE733" s="160">
        <f t="shared" si="248"/>
        <v>1.1190387113731628</v>
      </c>
      <c r="AF733" s="220">
        <f t="shared" si="256"/>
        <v>1</v>
      </c>
      <c r="AG733" s="183">
        <f t="shared" si="257"/>
        <v>4.0000000000000036E-2</v>
      </c>
      <c r="AH733" s="183">
        <f t="shared" si="258"/>
        <v>5.7692307692307709E-2</v>
      </c>
      <c r="AI733" s="220">
        <f t="shared" si="259"/>
        <v>1.0480006522470964</v>
      </c>
    </row>
    <row r="734" spans="1:35" x14ac:dyDescent="0.3">
      <c r="A734" s="187">
        <v>37</v>
      </c>
      <c r="B734" s="242">
        <f t="shared" si="249"/>
        <v>46753</v>
      </c>
      <c r="C734" s="243">
        <f t="shared" si="232"/>
        <v>46783</v>
      </c>
      <c r="D734" s="120">
        <f t="shared" si="233"/>
        <v>31</v>
      </c>
      <c r="E734" s="120">
        <f t="shared" si="234"/>
        <v>1</v>
      </c>
      <c r="F734" s="275">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0.995</v>
      </c>
      <c r="P734" s="121">
        <f t="shared" si="245"/>
        <v>0</v>
      </c>
      <c r="Q734" s="121">
        <f t="shared" si="246"/>
        <v>0</v>
      </c>
      <c r="R734" s="121">
        <f t="shared" si="247"/>
        <v>0.95833333333333337</v>
      </c>
      <c r="AE734" s="160">
        <f t="shared" si="248"/>
        <v>1.0945</v>
      </c>
    </row>
    <row r="735" spans="1:35" x14ac:dyDescent="0.3">
      <c r="A735" s="187">
        <v>38</v>
      </c>
      <c r="B735" s="242">
        <f t="shared" si="249"/>
        <v>46784</v>
      </c>
      <c r="C735" s="243">
        <f t="shared" si="232"/>
        <v>46812</v>
      </c>
      <c r="D735" s="120">
        <f t="shared" si="233"/>
        <v>29</v>
      </c>
      <c r="E735" s="120">
        <f t="shared" si="234"/>
        <v>2</v>
      </c>
      <c r="F735" s="275">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0.995</v>
      </c>
      <c r="P735" s="121">
        <f t="shared" si="245"/>
        <v>0</v>
      </c>
      <c r="Q735" s="121">
        <f t="shared" si="246"/>
        <v>0</v>
      </c>
      <c r="R735" s="121">
        <f t="shared" si="247"/>
        <v>0.875</v>
      </c>
      <c r="AE735" s="160">
        <f t="shared" si="248"/>
        <v>1.0945</v>
      </c>
    </row>
    <row r="736" spans="1:35" x14ac:dyDescent="0.3">
      <c r="A736" s="187">
        <v>39</v>
      </c>
      <c r="B736" s="242">
        <f t="shared" si="249"/>
        <v>46813</v>
      </c>
      <c r="C736" s="243">
        <f t="shared" si="232"/>
        <v>46843</v>
      </c>
      <c r="D736" s="120">
        <f t="shared" si="233"/>
        <v>31</v>
      </c>
      <c r="E736" s="120">
        <f t="shared" si="234"/>
        <v>3</v>
      </c>
      <c r="F736" s="275">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0.995</v>
      </c>
      <c r="P736" s="121">
        <f t="shared" si="245"/>
        <v>0</v>
      </c>
      <c r="Q736" s="121">
        <f t="shared" si="246"/>
        <v>0</v>
      </c>
      <c r="R736" s="121">
        <f t="shared" si="247"/>
        <v>0.79166666666666663</v>
      </c>
      <c r="AE736" s="160">
        <f t="shared" si="248"/>
        <v>1.0945</v>
      </c>
    </row>
    <row r="737" spans="1:31" x14ac:dyDescent="0.3">
      <c r="A737" s="187">
        <v>40</v>
      </c>
      <c r="B737" s="242">
        <f t="shared" si="249"/>
        <v>46844</v>
      </c>
      <c r="C737" s="243">
        <f t="shared" si="232"/>
        <v>46873</v>
      </c>
      <c r="D737" s="120">
        <f t="shared" si="233"/>
        <v>30</v>
      </c>
      <c r="E737" s="120">
        <f t="shared" si="234"/>
        <v>4</v>
      </c>
      <c r="F737" s="275">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0.995</v>
      </c>
      <c r="P737" s="121">
        <f t="shared" si="245"/>
        <v>0</v>
      </c>
      <c r="Q737" s="121">
        <f t="shared" si="246"/>
        <v>0</v>
      </c>
      <c r="R737" s="121">
        <f t="shared" si="247"/>
        <v>0.70833333333333337</v>
      </c>
      <c r="AE737" s="160">
        <f t="shared" si="248"/>
        <v>1.0945</v>
      </c>
    </row>
    <row r="738" spans="1:31" x14ac:dyDescent="0.3">
      <c r="A738" s="187">
        <v>41</v>
      </c>
      <c r="B738" s="242">
        <f t="shared" si="249"/>
        <v>46874</v>
      </c>
      <c r="C738" s="243">
        <f t="shared" si="232"/>
        <v>46904</v>
      </c>
      <c r="D738" s="120">
        <f t="shared" si="233"/>
        <v>31</v>
      </c>
      <c r="E738" s="120">
        <f t="shared" si="234"/>
        <v>5</v>
      </c>
      <c r="F738" s="275">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0.995</v>
      </c>
      <c r="P738" s="121">
        <f t="shared" si="245"/>
        <v>0</v>
      </c>
      <c r="Q738" s="121">
        <f t="shared" si="246"/>
        <v>0</v>
      </c>
      <c r="R738" s="121">
        <f t="shared" si="247"/>
        <v>0.625</v>
      </c>
      <c r="AE738" s="160">
        <f t="shared" si="248"/>
        <v>1.0945</v>
      </c>
    </row>
    <row r="739" spans="1:31" x14ac:dyDescent="0.3">
      <c r="A739" s="187">
        <v>42</v>
      </c>
      <c r="B739" s="242">
        <f t="shared" si="249"/>
        <v>46905</v>
      </c>
      <c r="C739" s="243">
        <f t="shared" si="232"/>
        <v>46934</v>
      </c>
      <c r="D739" s="120">
        <f t="shared" si="233"/>
        <v>30</v>
      </c>
      <c r="E739" s="120">
        <f t="shared" si="234"/>
        <v>6</v>
      </c>
      <c r="F739" s="275">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0.995</v>
      </c>
      <c r="P739" s="121">
        <f t="shared" si="245"/>
        <v>0</v>
      </c>
      <c r="Q739" s="121">
        <f t="shared" si="246"/>
        <v>0</v>
      </c>
      <c r="R739" s="121">
        <f t="shared" si="247"/>
        <v>0.54166666666666663</v>
      </c>
      <c r="AE739" s="160">
        <f t="shared" si="248"/>
        <v>1.0945</v>
      </c>
    </row>
    <row r="740" spans="1:31" x14ac:dyDescent="0.3">
      <c r="A740" s="187">
        <v>43</v>
      </c>
      <c r="B740" s="242">
        <f t="shared" si="249"/>
        <v>46935</v>
      </c>
      <c r="C740" s="243">
        <f t="shared" si="232"/>
        <v>46965</v>
      </c>
      <c r="D740" s="120">
        <f t="shared" si="233"/>
        <v>31</v>
      </c>
      <c r="E740" s="120">
        <f t="shared" si="234"/>
        <v>7</v>
      </c>
      <c r="F740" s="275">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0.995</v>
      </c>
      <c r="P740" s="121">
        <f t="shared" si="245"/>
        <v>0</v>
      </c>
      <c r="Q740" s="121">
        <f t="shared" si="246"/>
        <v>0</v>
      </c>
      <c r="R740" s="121">
        <f t="shared" si="247"/>
        <v>0.45833333333333331</v>
      </c>
      <c r="AE740" s="160">
        <f t="shared" si="248"/>
        <v>1.0945</v>
      </c>
    </row>
    <row r="741" spans="1:31" x14ac:dyDescent="0.3">
      <c r="A741" s="187">
        <v>44</v>
      </c>
      <c r="B741" s="242">
        <f t="shared" si="249"/>
        <v>46966</v>
      </c>
      <c r="C741" s="243">
        <f t="shared" si="232"/>
        <v>46996</v>
      </c>
      <c r="D741" s="120">
        <f t="shared" si="233"/>
        <v>31</v>
      </c>
      <c r="E741" s="120">
        <f t="shared" si="234"/>
        <v>8</v>
      </c>
      <c r="F741" s="275">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0.995</v>
      </c>
      <c r="P741" s="121">
        <f t="shared" si="245"/>
        <v>0</v>
      </c>
      <c r="Q741" s="121">
        <f t="shared" si="246"/>
        <v>0</v>
      </c>
      <c r="R741" s="121">
        <f t="shared" si="247"/>
        <v>0.375</v>
      </c>
      <c r="AE741" s="160">
        <f t="shared" si="248"/>
        <v>1.0945</v>
      </c>
    </row>
    <row r="742" spans="1:31" x14ac:dyDescent="0.3">
      <c r="A742" s="187">
        <v>45</v>
      </c>
      <c r="B742" s="242">
        <f t="shared" si="249"/>
        <v>46997</v>
      </c>
      <c r="C742" s="243">
        <f t="shared" si="232"/>
        <v>47026</v>
      </c>
      <c r="D742" s="120">
        <f t="shared" si="233"/>
        <v>30</v>
      </c>
      <c r="E742" s="120">
        <f t="shared" si="234"/>
        <v>9</v>
      </c>
      <c r="F742" s="275">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0.995</v>
      </c>
      <c r="P742" s="121">
        <f t="shared" si="245"/>
        <v>0</v>
      </c>
      <c r="Q742" s="121">
        <f t="shared" si="246"/>
        <v>0</v>
      </c>
      <c r="R742" s="121">
        <f t="shared" si="247"/>
        <v>0.29166666666666669</v>
      </c>
      <c r="AE742" s="160">
        <f t="shared" si="248"/>
        <v>1.0945</v>
      </c>
    </row>
    <row r="743" spans="1:31" x14ac:dyDescent="0.3">
      <c r="A743" s="187">
        <v>46</v>
      </c>
      <c r="B743" s="242">
        <f t="shared" si="249"/>
        <v>47027</v>
      </c>
      <c r="C743" s="243">
        <f t="shared" si="232"/>
        <v>47057</v>
      </c>
      <c r="D743" s="120">
        <f t="shared" si="233"/>
        <v>31</v>
      </c>
      <c r="E743" s="120">
        <f t="shared" si="234"/>
        <v>10</v>
      </c>
      <c r="F743" s="275">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0.995</v>
      </c>
      <c r="P743" s="121">
        <f t="shared" si="245"/>
        <v>0</v>
      </c>
      <c r="Q743" s="121">
        <f t="shared" si="246"/>
        <v>0</v>
      </c>
      <c r="R743" s="121">
        <f t="shared" si="247"/>
        <v>0.20833333333333334</v>
      </c>
      <c r="AE743" s="160">
        <f t="shared" si="248"/>
        <v>1.0945</v>
      </c>
    </row>
    <row r="744" spans="1:31" x14ac:dyDescent="0.3">
      <c r="A744" s="187">
        <v>47</v>
      </c>
      <c r="B744" s="242">
        <f t="shared" si="249"/>
        <v>47058</v>
      </c>
      <c r="C744" s="243">
        <f t="shared" si="232"/>
        <v>47087</v>
      </c>
      <c r="D744" s="120">
        <f t="shared" si="233"/>
        <v>30</v>
      </c>
      <c r="E744" s="120">
        <f t="shared" si="234"/>
        <v>11</v>
      </c>
      <c r="F744" s="275">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0.995</v>
      </c>
      <c r="P744" s="121">
        <f t="shared" si="245"/>
        <v>0</v>
      </c>
      <c r="Q744" s="121">
        <f t="shared" si="246"/>
        <v>0</v>
      </c>
      <c r="R744" s="121">
        <f t="shared" si="247"/>
        <v>0.125</v>
      </c>
      <c r="AE744" s="160">
        <f t="shared" si="248"/>
        <v>1.0945</v>
      </c>
    </row>
    <row r="745" spans="1:31" x14ac:dyDescent="0.3">
      <c r="A745" s="187">
        <v>48</v>
      </c>
      <c r="B745" s="242">
        <f t="shared" si="249"/>
        <v>47088</v>
      </c>
      <c r="C745" s="243">
        <f t="shared" si="232"/>
        <v>47118</v>
      </c>
      <c r="D745" s="120">
        <f t="shared" si="233"/>
        <v>31</v>
      </c>
      <c r="E745" s="120">
        <f t="shared" si="234"/>
        <v>12</v>
      </c>
      <c r="F745" s="275">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0.995</v>
      </c>
      <c r="P745" s="121">
        <f t="shared" si="245"/>
        <v>0</v>
      </c>
      <c r="Q745" s="121">
        <f t="shared" si="246"/>
        <v>0</v>
      </c>
      <c r="R745" s="121">
        <f t="shared" si="247"/>
        <v>4.1666666666666664E-2</v>
      </c>
      <c r="AE745" s="160">
        <f t="shared" si="248"/>
        <v>1.0945</v>
      </c>
    </row>
    <row r="746" spans="1:31" x14ac:dyDescent="0.3">
      <c r="A746" s="23" t="s">
        <v>1723</v>
      </c>
      <c r="B746" s="279">
        <f>SUM($H$722:$H$733)</f>
        <v>12</v>
      </c>
      <c r="C746" s="160">
        <f>SUMPRODUCT($H$722:$H$733,$W$722:$W$733/$N$710:$N$721,$Y$722:$Y$733)</f>
        <v>12.952090135046612</v>
      </c>
      <c r="D746" s="160">
        <f>SUMPRODUCT($H$722:$H$733,$X$722:$X$733/$N$710:$N$721,$Y$722:$Y$733)</f>
        <v>9.6387450566515636</v>
      </c>
      <c r="E746" s="281">
        <f>IF(OR($D$695=0,$P$695=0,$D746=0),"n/a",((1+$E$695)*$B746-$C746)/$D746)</f>
        <v>2.5720139239735332E-2</v>
      </c>
      <c r="F746" s="281">
        <f>IF($V$695&lt;&gt;"",$V$695,$E746)</f>
        <v>0.04</v>
      </c>
      <c r="G746" s="281">
        <f>IF(OR(NOT(ISNUMBER($F746)),nd_Ach=0),"n/a",$F746/nd_Ach)</f>
        <v>0.04</v>
      </c>
      <c r="H746" s="220">
        <f>IF(OR(NOT(ISNUMBER($F746)),$F$695=0,SUMPRODUCT($AD$722:$AD$733,$AB$722:$AB$733)=0),"n/a",((1+$E$695)*$B746-SUMPRODUCT($AD$722:$AD$733,$AC$722:$AC$733))/SUMPRODUCT($AD$722:$AD$733,$AB$722:$AB$733))</f>
        <v>0.97776574435834473</v>
      </c>
      <c r="I746" s="183">
        <f>IF(NOT(ISNUMBER($F746)),"n/a",SUMPRODUCT($H$722:$H$733,($W$722:$W$733+$X$722:$X$733*$F746)/$N$710:$N$721)/$B746-1)</f>
        <v>0.10699999999999998</v>
      </c>
      <c r="J746" s="183">
        <f>IF(OR(NOT(ISNUMBER($I746)),$F$695=0),"n/a",(1+$E$695)/(1+$I746)-1)</f>
        <v>-6.3233965672989667E-3</v>
      </c>
      <c r="K746" s="183">
        <f>IF(NOT(ISNUMBER($F746)),"n/a",($C746+$D746*$F746)/$B746-1)</f>
        <v>0.11146999477605624</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0.65045504169836177</v>
      </c>
      <c r="O746" s="229">
        <f>IF($D$695=0,"n/a",INDEX(calc_cylr_p,$C$695))</f>
        <v>0.65444889210961887</v>
      </c>
      <c r="P746" s="282">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1</v>
      </c>
      <c r="H751" s="220">
        <f>IF($C751=0,1,IF(N(INDEX(lr_m0,$C751))=0,1,INDEX(lr_m0,$C751)))</f>
        <v>0.99</v>
      </c>
      <c r="I751" s="278">
        <f>IF($C751=0,DATE(nr_PlanYear-1,10,1),IF(N(INDEX(lr_m0asof,$C751))=0,DATE(nr_PlanYear-1,10,1),INDEX(lr_m0asof,$C751)))</f>
        <v>46295</v>
      </c>
      <c r="J751" s="220">
        <f>IF($C751=0,1,IF(N(INDEX(lr_m1,$C751))=0,1,INDEX(lr_m1,$C751)))</f>
        <v>1.01</v>
      </c>
      <c r="K751" s="220">
        <f>IF($C751=0,0,N(INDEX(lr_mprior,$C751)))</f>
        <v>0</v>
      </c>
      <c r="L751" s="220">
        <f>IF($C751=0,0,N(INDEX(lr_m2,$C751)))</f>
        <v>0</v>
      </c>
      <c r="M751" s="43">
        <f>IF(OR($A751="",COUNTIF(se_state,$A751)=0),0,MATCH($A751,se_state,0))</f>
        <v>0</v>
      </c>
      <c r="N751" s="279">
        <f>IF($M751=0,0,INDEX(se_sum,$M751))</f>
        <v>0</v>
      </c>
      <c r="O751" s="278">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80" t="str">
        <f>IF(ISBLANK('Net Delivery'!$E$18),$Y751,'Net Delivery'!$E$18)</f>
        <v/>
      </c>
      <c r="W751" s="43">
        <f>IF($B751="",0,COUNTIFS(rl_key,$B751,rl_status,"planned",rl_eff,"&gt;="&amp;DATE(nr_PlanYear,1,1),rl_eff,"&lt;="&amp;DATE(nr_PlanYear,12,31)))</f>
        <v>0</v>
      </c>
      <c r="X751" s="278">
        <f>IF($W751=0,nd_DefaultDate,SUMIFS(rl_eff,rl_key,$B751,rl_firstplanned,1))</f>
        <v>46478</v>
      </c>
      <c r="Y751" s="280" t="str">
        <f>IF($W751=0,"",SUMIFS(rl_reff,rl_key,$B751,rl_firstplanned,1))</f>
        <v/>
      </c>
      <c r="Z751" s="280"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5">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0.96275711159737409</v>
      </c>
      <c r="P754" s="121">
        <f t="shared" ref="P754:P801" si="273">MIN(1,MAX(0,(nr_MEndPm1-$G754+0.5)/nr_TermMonths))-MIN(1,MAX(0,(nr_MStartPm1-1-$G754+0.5)/nr_TermMonths))</f>
        <v>4.166666666666663E-2</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0.96275711159737409</v>
      </c>
    </row>
    <row r="755" spans="1:31" x14ac:dyDescent="0.3">
      <c r="A755" s="187">
        <v>2</v>
      </c>
      <c r="B755" s="242">
        <f t="shared" ref="B755:B801" si="277">EDATE($B754,1)</f>
        <v>45689</v>
      </c>
      <c r="C755" s="243">
        <f t="shared" si="260"/>
        <v>45716</v>
      </c>
      <c r="D755" s="120">
        <f t="shared" si="261"/>
        <v>28</v>
      </c>
      <c r="E755" s="120">
        <f t="shared" si="262"/>
        <v>2</v>
      </c>
      <c r="F755" s="275">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0.9640481400437636</v>
      </c>
      <c r="P755" s="121">
        <f t="shared" si="273"/>
        <v>0.125</v>
      </c>
      <c r="Q755" s="121">
        <f t="shared" si="274"/>
        <v>0</v>
      </c>
      <c r="R755" s="121">
        <f t="shared" si="275"/>
        <v>0</v>
      </c>
      <c r="AE755" s="160">
        <f t="shared" si="276"/>
        <v>0.9640481400437636</v>
      </c>
    </row>
    <row r="756" spans="1:31" x14ac:dyDescent="0.3">
      <c r="A756" s="187">
        <v>3</v>
      </c>
      <c r="B756" s="242">
        <f t="shared" si="277"/>
        <v>45717</v>
      </c>
      <c r="C756" s="243">
        <f t="shared" si="260"/>
        <v>45747</v>
      </c>
      <c r="D756" s="120">
        <f t="shared" si="261"/>
        <v>31</v>
      </c>
      <c r="E756" s="120">
        <f t="shared" si="262"/>
        <v>3</v>
      </c>
      <c r="F756" s="275">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0.96533916849015311</v>
      </c>
      <c r="P756" s="121">
        <f t="shared" si="273"/>
        <v>0.20833333333333337</v>
      </c>
      <c r="Q756" s="121">
        <f t="shared" si="274"/>
        <v>0</v>
      </c>
      <c r="R756" s="121">
        <f t="shared" si="275"/>
        <v>0</v>
      </c>
      <c r="AE756" s="160">
        <f t="shared" si="276"/>
        <v>0.96533916849015311</v>
      </c>
    </row>
    <row r="757" spans="1:31" x14ac:dyDescent="0.3">
      <c r="A757" s="187">
        <v>4</v>
      </c>
      <c r="B757" s="242">
        <f t="shared" si="277"/>
        <v>45748</v>
      </c>
      <c r="C757" s="243">
        <f t="shared" si="260"/>
        <v>45777</v>
      </c>
      <c r="D757" s="120">
        <f t="shared" si="261"/>
        <v>30</v>
      </c>
      <c r="E757" s="120">
        <f t="shared" si="262"/>
        <v>4</v>
      </c>
      <c r="F757" s="275">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0.9666739606126914</v>
      </c>
      <c r="P757" s="121">
        <f t="shared" si="273"/>
        <v>0.29166666666666663</v>
      </c>
      <c r="Q757" s="121">
        <f t="shared" si="274"/>
        <v>0</v>
      </c>
      <c r="R757" s="121">
        <f t="shared" si="275"/>
        <v>0</v>
      </c>
      <c r="AE757" s="160">
        <f t="shared" si="276"/>
        <v>0.9666739606126914</v>
      </c>
    </row>
    <row r="758" spans="1:31" x14ac:dyDescent="0.3">
      <c r="A758" s="187">
        <v>5</v>
      </c>
      <c r="B758" s="242">
        <f t="shared" si="277"/>
        <v>45778</v>
      </c>
      <c r="C758" s="243">
        <f t="shared" si="260"/>
        <v>45808</v>
      </c>
      <c r="D758" s="120">
        <f t="shared" si="261"/>
        <v>31</v>
      </c>
      <c r="E758" s="120">
        <f t="shared" si="262"/>
        <v>5</v>
      </c>
      <c r="F758" s="275">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0.96800875273522968</v>
      </c>
      <c r="P758" s="121">
        <f t="shared" si="273"/>
        <v>0.375</v>
      </c>
      <c r="Q758" s="121">
        <f t="shared" si="274"/>
        <v>0</v>
      </c>
      <c r="R758" s="121">
        <f t="shared" si="275"/>
        <v>0</v>
      </c>
      <c r="AE758" s="160">
        <f t="shared" si="276"/>
        <v>0.96800875273522968</v>
      </c>
    </row>
    <row r="759" spans="1:31" x14ac:dyDescent="0.3">
      <c r="A759" s="187">
        <v>6</v>
      </c>
      <c r="B759" s="242">
        <f t="shared" si="277"/>
        <v>45809</v>
      </c>
      <c r="C759" s="243">
        <f t="shared" si="260"/>
        <v>45838</v>
      </c>
      <c r="D759" s="120">
        <f t="shared" si="261"/>
        <v>30</v>
      </c>
      <c r="E759" s="120">
        <f t="shared" si="262"/>
        <v>6</v>
      </c>
      <c r="F759" s="275">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0.96934354485776797</v>
      </c>
      <c r="P759" s="121">
        <f t="shared" si="273"/>
        <v>0.45833333333333337</v>
      </c>
      <c r="Q759" s="121">
        <f t="shared" si="274"/>
        <v>0</v>
      </c>
      <c r="R759" s="121">
        <f t="shared" si="275"/>
        <v>0</v>
      </c>
      <c r="AE759" s="160">
        <f t="shared" si="276"/>
        <v>0.96934354485776797</v>
      </c>
    </row>
    <row r="760" spans="1:31" x14ac:dyDescent="0.3">
      <c r="A760" s="187">
        <v>7</v>
      </c>
      <c r="B760" s="242">
        <f t="shared" si="277"/>
        <v>45839</v>
      </c>
      <c r="C760" s="243">
        <f t="shared" si="260"/>
        <v>45869</v>
      </c>
      <c r="D760" s="120">
        <f t="shared" si="261"/>
        <v>31</v>
      </c>
      <c r="E760" s="120">
        <f t="shared" si="262"/>
        <v>7</v>
      </c>
      <c r="F760" s="275">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0.97067833698030626</v>
      </c>
      <c r="P760" s="121">
        <f t="shared" si="273"/>
        <v>0.54166666666666674</v>
      </c>
      <c r="Q760" s="121">
        <f t="shared" si="274"/>
        <v>0</v>
      </c>
      <c r="R760" s="121">
        <f t="shared" si="275"/>
        <v>0</v>
      </c>
      <c r="AE760" s="160">
        <f t="shared" si="276"/>
        <v>0.97067833698030626</v>
      </c>
    </row>
    <row r="761" spans="1:31" x14ac:dyDescent="0.3">
      <c r="A761" s="187">
        <v>8</v>
      </c>
      <c r="B761" s="242">
        <f t="shared" si="277"/>
        <v>45870</v>
      </c>
      <c r="C761" s="243">
        <f t="shared" si="260"/>
        <v>45900</v>
      </c>
      <c r="D761" s="120">
        <f t="shared" si="261"/>
        <v>31</v>
      </c>
      <c r="E761" s="120">
        <f t="shared" si="262"/>
        <v>8</v>
      </c>
      <c r="F761" s="275">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0.97203501094091893</v>
      </c>
      <c r="P761" s="121">
        <f t="shared" si="273"/>
        <v>0.625</v>
      </c>
      <c r="Q761" s="121">
        <f t="shared" si="274"/>
        <v>0</v>
      </c>
      <c r="R761" s="121">
        <f t="shared" si="275"/>
        <v>0</v>
      </c>
      <c r="AE761" s="160">
        <f t="shared" si="276"/>
        <v>0.97203501094091893</v>
      </c>
    </row>
    <row r="762" spans="1:31" x14ac:dyDescent="0.3">
      <c r="A762" s="187">
        <v>9</v>
      </c>
      <c r="B762" s="242">
        <f t="shared" si="277"/>
        <v>45901</v>
      </c>
      <c r="C762" s="243">
        <f t="shared" si="260"/>
        <v>45930</v>
      </c>
      <c r="D762" s="120">
        <f t="shared" si="261"/>
        <v>30</v>
      </c>
      <c r="E762" s="120">
        <f t="shared" si="262"/>
        <v>9</v>
      </c>
      <c r="F762" s="275">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0.97336980306345722</v>
      </c>
      <c r="P762" s="121">
        <f t="shared" si="273"/>
        <v>0.70833333333333326</v>
      </c>
      <c r="Q762" s="121">
        <f t="shared" si="274"/>
        <v>0</v>
      </c>
      <c r="R762" s="121">
        <f t="shared" si="275"/>
        <v>0</v>
      </c>
      <c r="AE762" s="160">
        <f t="shared" si="276"/>
        <v>0.97336980306345722</v>
      </c>
    </row>
    <row r="763" spans="1:31" x14ac:dyDescent="0.3">
      <c r="A763" s="187">
        <v>10</v>
      </c>
      <c r="B763" s="242">
        <f t="shared" si="277"/>
        <v>45931</v>
      </c>
      <c r="C763" s="243">
        <f t="shared" si="260"/>
        <v>45961</v>
      </c>
      <c r="D763" s="120">
        <f t="shared" si="261"/>
        <v>31</v>
      </c>
      <c r="E763" s="120">
        <f t="shared" si="262"/>
        <v>10</v>
      </c>
      <c r="F763" s="275">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0.97470459518599561</v>
      </c>
      <c r="P763" s="121">
        <f t="shared" si="273"/>
        <v>0.79166666666666663</v>
      </c>
      <c r="Q763" s="121">
        <f t="shared" si="274"/>
        <v>0</v>
      </c>
      <c r="R763" s="121">
        <f t="shared" si="275"/>
        <v>0</v>
      </c>
      <c r="AE763" s="160">
        <f t="shared" si="276"/>
        <v>0.97470459518599561</v>
      </c>
    </row>
    <row r="764" spans="1:31" x14ac:dyDescent="0.3">
      <c r="A764" s="187">
        <v>11</v>
      </c>
      <c r="B764" s="242">
        <f t="shared" si="277"/>
        <v>45962</v>
      </c>
      <c r="C764" s="243">
        <f t="shared" si="260"/>
        <v>45991</v>
      </c>
      <c r="D764" s="120">
        <f t="shared" si="261"/>
        <v>30</v>
      </c>
      <c r="E764" s="120">
        <f t="shared" si="262"/>
        <v>11</v>
      </c>
      <c r="F764" s="275">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0.9760393873085339</v>
      </c>
      <c r="P764" s="121">
        <f t="shared" si="273"/>
        <v>0.875</v>
      </c>
      <c r="Q764" s="121">
        <f t="shared" si="274"/>
        <v>0</v>
      </c>
      <c r="R764" s="121">
        <f t="shared" si="275"/>
        <v>0</v>
      </c>
      <c r="AE764" s="160">
        <f t="shared" si="276"/>
        <v>0.9760393873085339</v>
      </c>
    </row>
    <row r="765" spans="1:31" x14ac:dyDescent="0.3">
      <c r="A765" s="187">
        <v>12</v>
      </c>
      <c r="B765" s="242">
        <f t="shared" si="277"/>
        <v>45992</v>
      </c>
      <c r="C765" s="243">
        <f t="shared" si="260"/>
        <v>46022</v>
      </c>
      <c r="D765" s="120">
        <f t="shared" si="261"/>
        <v>31</v>
      </c>
      <c r="E765" s="120">
        <f t="shared" si="262"/>
        <v>12</v>
      </c>
      <c r="F765" s="275">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0.97737417943107219</v>
      </c>
      <c r="P765" s="121">
        <f t="shared" si="273"/>
        <v>0.95833333333333337</v>
      </c>
      <c r="Q765" s="121">
        <f t="shared" si="274"/>
        <v>0</v>
      </c>
      <c r="R765" s="121">
        <f t="shared" si="275"/>
        <v>0</v>
      </c>
      <c r="AE765" s="160">
        <f t="shared" si="276"/>
        <v>0.97737417943107219</v>
      </c>
    </row>
    <row r="766" spans="1:31" x14ac:dyDescent="0.3">
      <c r="A766" s="187">
        <v>13</v>
      </c>
      <c r="B766" s="242">
        <f t="shared" si="277"/>
        <v>46023</v>
      </c>
      <c r="C766" s="243">
        <f t="shared" si="260"/>
        <v>46053</v>
      </c>
      <c r="D766" s="120">
        <f t="shared" si="261"/>
        <v>31</v>
      </c>
      <c r="E766" s="120">
        <f t="shared" si="262"/>
        <v>1</v>
      </c>
      <c r="F766" s="275">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0.97873085339168486</v>
      </c>
      <c r="P766" s="121">
        <f t="shared" si="273"/>
        <v>0.95833333333333337</v>
      </c>
      <c r="Q766" s="121">
        <f t="shared" si="274"/>
        <v>4.166666666666663E-2</v>
      </c>
      <c r="R766" s="121">
        <f t="shared" si="275"/>
        <v>0</v>
      </c>
      <c r="AE766" s="160">
        <f t="shared" si="276"/>
        <v>0.97873085339168486</v>
      </c>
    </row>
    <row r="767" spans="1:31" x14ac:dyDescent="0.3">
      <c r="A767" s="187">
        <v>14</v>
      </c>
      <c r="B767" s="242">
        <f t="shared" si="277"/>
        <v>46054</v>
      </c>
      <c r="C767" s="243">
        <f t="shared" si="260"/>
        <v>46081</v>
      </c>
      <c r="D767" s="120">
        <f t="shared" si="261"/>
        <v>28</v>
      </c>
      <c r="E767" s="120">
        <f t="shared" si="262"/>
        <v>2</v>
      </c>
      <c r="F767" s="275">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0.98002188183807437</v>
      </c>
      <c r="P767" s="121">
        <f t="shared" si="273"/>
        <v>0.875</v>
      </c>
      <c r="Q767" s="121">
        <f t="shared" si="274"/>
        <v>0.125</v>
      </c>
      <c r="R767" s="121">
        <f t="shared" si="275"/>
        <v>0</v>
      </c>
      <c r="AE767" s="160">
        <f t="shared" si="276"/>
        <v>0.98002188183807437</v>
      </c>
    </row>
    <row r="768" spans="1:31" x14ac:dyDescent="0.3">
      <c r="A768" s="187">
        <v>15</v>
      </c>
      <c r="B768" s="242">
        <f t="shared" si="277"/>
        <v>46082</v>
      </c>
      <c r="C768" s="243">
        <f t="shared" si="260"/>
        <v>46112</v>
      </c>
      <c r="D768" s="120">
        <f t="shared" si="261"/>
        <v>31</v>
      </c>
      <c r="E768" s="120">
        <f t="shared" si="262"/>
        <v>3</v>
      </c>
      <c r="F768" s="275">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0.98131291028446388</v>
      </c>
      <c r="P768" s="121">
        <f t="shared" si="273"/>
        <v>0.79166666666666663</v>
      </c>
      <c r="Q768" s="121">
        <f t="shared" si="274"/>
        <v>0.20833333333333337</v>
      </c>
      <c r="R768" s="121">
        <f t="shared" si="275"/>
        <v>0</v>
      </c>
      <c r="AE768" s="160">
        <f t="shared" si="276"/>
        <v>0.98131291028446388</v>
      </c>
    </row>
    <row r="769" spans="1:35" x14ac:dyDescent="0.3">
      <c r="A769" s="187">
        <v>16</v>
      </c>
      <c r="B769" s="242">
        <f t="shared" si="277"/>
        <v>46113</v>
      </c>
      <c r="C769" s="243">
        <f t="shared" si="260"/>
        <v>46142</v>
      </c>
      <c r="D769" s="120">
        <f t="shared" si="261"/>
        <v>30</v>
      </c>
      <c r="E769" s="120">
        <f t="shared" si="262"/>
        <v>4</v>
      </c>
      <c r="F769" s="275">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0.98264770240700217</v>
      </c>
      <c r="P769" s="121">
        <f t="shared" si="273"/>
        <v>0.70833333333333337</v>
      </c>
      <c r="Q769" s="121">
        <f t="shared" si="274"/>
        <v>0.29166666666666663</v>
      </c>
      <c r="R769" s="121">
        <f t="shared" si="275"/>
        <v>0</v>
      </c>
      <c r="AE769" s="160">
        <f t="shared" si="276"/>
        <v>1.0121271334792123</v>
      </c>
    </row>
    <row r="770" spans="1:35" x14ac:dyDescent="0.3">
      <c r="A770" s="187">
        <v>17</v>
      </c>
      <c r="B770" s="242">
        <f t="shared" si="277"/>
        <v>46143</v>
      </c>
      <c r="C770" s="243">
        <f t="shared" si="260"/>
        <v>46173</v>
      </c>
      <c r="D770" s="120">
        <f t="shared" si="261"/>
        <v>31</v>
      </c>
      <c r="E770" s="120">
        <f t="shared" si="262"/>
        <v>5</v>
      </c>
      <c r="F770" s="275">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0.98398249452954045</v>
      </c>
      <c r="P770" s="121">
        <f t="shared" si="273"/>
        <v>0.625</v>
      </c>
      <c r="Q770" s="121">
        <f t="shared" si="274"/>
        <v>0.375</v>
      </c>
      <c r="R770" s="121">
        <f t="shared" si="275"/>
        <v>0</v>
      </c>
      <c r="AE770" s="160">
        <f t="shared" si="276"/>
        <v>1.0135019693654268</v>
      </c>
    </row>
    <row r="771" spans="1:35" x14ac:dyDescent="0.3">
      <c r="A771" s="187">
        <v>18</v>
      </c>
      <c r="B771" s="242">
        <f t="shared" si="277"/>
        <v>46174</v>
      </c>
      <c r="C771" s="243">
        <f t="shared" si="260"/>
        <v>46203</v>
      </c>
      <c r="D771" s="120">
        <f t="shared" si="261"/>
        <v>30</v>
      </c>
      <c r="E771" s="120">
        <f t="shared" si="262"/>
        <v>6</v>
      </c>
      <c r="F771" s="275">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0.98531728665207874</v>
      </c>
      <c r="P771" s="121">
        <f t="shared" si="273"/>
        <v>0.54166666666666663</v>
      </c>
      <c r="Q771" s="121">
        <f t="shared" si="274"/>
        <v>0.45833333333333337</v>
      </c>
      <c r="R771" s="121">
        <f t="shared" si="275"/>
        <v>0</v>
      </c>
      <c r="AE771" s="160">
        <f t="shared" si="276"/>
        <v>1.014876805251641</v>
      </c>
    </row>
    <row r="772" spans="1:35" x14ac:dyDescent="0.3">
      <c r="A772" s="187">
        <v>19</v>
      </c>
      <c r="B772" s="242">
        <f t="shared" si="277"/>
        <v>46204</v>
      </c>
      <c r="C772" s="243">
        <f t="shared" si="260"/>
        <v>46234</v>
      </c>
      <c r="D772" s="120">
        <f t="shared" si="261"/>
        <v>31</v>
      </c>
      <c r="E772" s="120">
        <f t="shared" si="262"/>
        <v>7</v>
      </c>
      <c r="F772" s="275">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0.98665207877461703</v>
      </c>
      <c r="P772" s="121">
        <f t="shared" si="273"/>
        <v>0.45833333333333331</v>
      </c>
      <c r="Q772" s="121">
        <f t="shared" si="274"/>
        <v>0.54166666666666674</v>
      </c>
      <c r="R772" s="121">
        <f t="shared" si="275"/>
        <v>0</v>
      </c>
      <c r="AE772" s="160">
        <f t="shared" si="276"/>
        <v>1.0162516411378555</v>
      </c>
    </row>
    <row r="773" spans="1:35" x14ac:dyDescent="0.3">
      <c r="A773" s="187">
        <v>20</v>
      </c>
      <c r="B773" s="242">
        <f t="shared" si="277"/>
        <v>46235</v>
      </c>
      <c r="C773" s="243">
        <f t="shared" si="260"/>
        <v>46265</v>
      </c>
      <c r="D773" s="120">
        <f t="shared" si="261"/>
        <v>31</v>
      </c>
      <c r="E773" s="120">
        <f t="shared" si="262"/>
        <v>8</v>
      </c>
      <c r="F773" s="275">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0.9880087527352297</v>
      </c>
      <c r="P773" s="121">
        <f t="shared" si="273"/>
        <v>0.375</v>
      </c>
      <c r="Q773" s="121">
        <f t="shared" si="274"/>
        <v>0.625</v>
      </c>
      <c r="R773" s="121">
        <f t="shared" si="275"/>
        <v>0</v>
      </c>
      <c r="AE773" s="160">
        <f t="shared" si="276"/>
        <v>1.0176490153172866</v>
      </c>
    </row>
    <row r="774" spans="1:35" x14ac:dyDescent="0.3">
      <c r="A774" s="187">
        <v>21</v>
      </c>
      <c r="B774" s="242">
        <f t="shared" si="277"/>
        <v>46266</v>
      </c>
      <c r="C774" s="243">
        <f t="shared" si="260"/>
        <v>46295</v>
      </c>
      <c r="D774" s="120">
        <f t="shared" si="261"/>
        <v>30</v>
      </c>
      <c r="E774" s="120">
        <f t="shared" si="262"/>
        <v>9</v>
      </c>
      <c r="F774" s="275">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0.98934354485776799</v>
      </c>
      <c r="P774" s="121">
        <f t="shared" si="273"/>
        <v>0.29166666666666669</v>
      </c>
      <c r="Q774" s="121">
        <f t="shared" si="274"/>
        <v>0.70833333333333326</v>
      </c>
      <c r="R774" s="121">
        <f t="shared" si="275"/>
        <v>0</v>
      </c>
      <c r="AE774" s="160">
        <f t="shared" si="276"/>
        <v>1.019023851203501</v>
      </c>
    </row>
    <row r="775" spans="1:35" x14ac:dyDescent="0.3">
      <c r="A775" s="187">
        <v>22</v>
      </c>
      <c r="B775" s="242">
        <f t="shared" si="277"/>
        <v>46296</v>
      </c>
      <c r="C775" s="243">
        <f t="shared" si="260"/>
        <v>46326</v>
      </c>
      <c r="D775" s="120">
        <f t="shared" si="261"/>
        <v>31</v>
      </c>
      <c r="E775" s="120">
        <f t="shared" si="262"/>
        <v>10</v>
      </c>
      <c r="F775" s="275">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0.99067833698030638</v>
      </c>
      <c r="P775" s="121">
        <f t="shared" si="273"/>
        <v>0.20833333333333334</v>
      </c>
      <c r="Q775" s="121">
        <f t="shared" si="274"/>
        <v>0.79166666666666663</v>
      </c>
      <c r="R775" s="121">
        <f t="shared" si="275"/>
        <v>0</v>
      </c>
      <c r="AE775" s="160">
        <f t="shared" si="276"/>
        <v>1.0203986870897157</v>
      </c>
    </row>
    <row r="776" spans="1:35" x14ac:dyDescent="0.3">
      <c r="A776" s="187">
        <v>23</v>
      </c>
      <c r="B776" s="242">
        <f t="shared" si="277"/>
        <v>46327</v>
      </c>
      <c r="C776" s="243">
        <f t="shared" si="260"/>
        <v>46356</v>
      </c>
      <c r="D776" s="120">
        <f t="shared" si="261"/>
        <v>30</v>
      </c>
      <c r="E776" s="120">
        <f t="shared" si="262"/>
        <v>11</v>
      </c>
      <c r="F776" s="275">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0.99201312910284467</v>
      </c>
      <c r="P776" s="121">
        <f t="shared" si="273"/>
        <v>0.125</v>
      </c>
      <c r="Q776" s="121">
        <f t="shared" si="274"/>
        <v>0.875</v>
      </c>
      <c r="R776" s="121">
        <f t="shared" si="275"/>
        <v>0</v>
      </c>
      <c r="AE776" s="160">
        <f t="shared" si="276"/>
        <v>1.0217735229759299</v>
      </c>
    </row>
    <row r="777" spans="1:35" x14ac:dyDescent="0.3">
      <c r="A777" s="187">
        <v>24</v>
      </c>
      <c r="B777" s="242">
        <f t="shared" si="277"/>
        <v>46357</v>
      </c>
      <c r="C777" s="243">
        <f t="shared" si="260"/>
        <v>46387</v>
      </c>
      <c r="D777" s="120">
        <f t="shared" si="261"/>
        <v>31</v>
      </c>
      <c r="E777" s="120">
        <f t="shared" si="262"/>
        <v>12</v>
      </c>
      <c r="F777" s="275">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0.99334792122538296</v>
      </c>
      <c r="P777" s="121">
        <f t="shared" si="273"/>
        <v>4.1666666666666664E-2</v>
      </c>
      <c r="Q777" s="121">
        <f t="shared" si="274"/>
        <v>0.95833333333333337</v>
      </c>
      <c r="R777" s="121">
        <f t="shared" si="275"/>
        <v>0</v>
      </c>
      <c r="AE777" s="160">
        <f t="shared" si="276"/>
        <v>1.0231483588621444</v>
      </c>
    </row>
    <row r="778" spans="1:35" x14ac:dyDescent="0.3">
      <c r="A778" s="187">
        <v>25</v>
      </c>
      <c r="B778" s="242">
        <f t="shared" si="277"/>
        <v>46388</v>
      </c>
      <c r="C778" s="243">
        <f t="shared" si="260"/>
        <v>46418</v>
      </c>
      <c r="D778" s="120">
        <f t="shared" si="261"/>
        <v>31</v>
      </c>
      <c r="E778" s="120">
        <f t="shared" si="262"/>
        <v>1</v>
      </c>
      <c r="F778" s="275">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0.99470459518599563</v>
      </c>
      <c r="P778" s="121">
        <f t="shared" si="273"/>
        <v>0</v>
      </c>
      <c r="Q778" s="121">
        <f t="shared" si="274"/>
        <v>0.95833333333333337</v>
      </c>
      <c r="R778" s="121">
        <f t="shared" si="275"/>
        <v>4.166666666666663E-2</v>
      </c>
      <c r="W778" s="160">
        <f t="shared" ref="W778:W789" si="278">IF($G778&lt;&gt;$Q$751,$N778,(1-$U$751)*$I778+$U$751*$J778)</f>
        <v>1.03</v>
      </c>
      <c r="X778" s="160">
        <f t="shared" ref="X778:X789" si="279">IF($G778&lt;$Q$751,0,IF($G778&gt;$Q$751,$N778,$U$751*$J778))</f>
        <v>0</v>
      </c>
      <c r="Y778" s="160">
        <f t="shared" ref="Y778:Y789" si="280">IF($F$751=1,$O778/$O766,1)</f>
        <v>1.0163208728313362</v>
      </c>
      <c r="AB778" s="160">
        <f t="shared" ref="AB778:AB789" si="281">IF(AND(N($K$751)&lt;&gt;0,$F778&lt;=$B$752),0,($F778-$B$752)/($C$752-$B$752))</f>
        <v>0.23522975929978118</v>
      </c>
      <c r="AC778" s="220">
        <f t="shared" ref="AC778:AC789" si="282">IF(AND(N($K$751)&lt;&gt;0,$F778&lt;=$B$752),$O778,$F$752*(1-$AB778))</f>
        <v>0.75712253829321663</v>
      </c>
      <c r="AD778" s="160">
        <f t="shared" ref="AD778:AD789" si="283">$H778*($W778+$X778*IF(ISNUMBER($F$802),$F$802,0))/($N766*$O766)</f>
        <v>1.052383294580576</v>
      </c>
      <c r="AE778" s="160">
        <f t="shared" si="276"/>
        <v>1.0245457330415755</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5">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0.99599562363238514</v>
      </c>
      <c r="P779" s="121">
        <f t="shared" si="273"/>
        <v>0</v>
      </c>
      <c r="Q779" s="121">
        <f t="shared" si="274"/>
        <v>0.875</v>
      </c>
      <c r="R779" s="121">
        <f t="shared" si="275"/>
        <v>0.125</v>
      </c>
      <c r="W779" s="160">
        <f t="shared" si="278"/>
        <v>1.03</v>
      </c>
      <c r="X779" s="160">
        <f t="shared" si="279"/>
        <v>0</v>
      </c>
      <c r="Y779" s="160">
        <f t="shared" si="280"/>
        <v>1.0162993725857949</v>
      </c>
      <c r="AB779" s="160">
        <f t="shared" si="281"/>
        <v>0.29978118161925604</v>
      </c>
      <c r="AC779" s="220">
        <f t="shared" si="282"/>
        <v>0.69321663019693647</v>
      </c>
      <c r="AD779" s="160">
        <f t="shared" si="283"/>
        <v>1.0509969410766518</v>
      </c>
      <c r="AE779" s="160">
        <f t="shared" si="276"/>
        <v>1.0258754923413567</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5">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0.99728665207877465</v>
      </c>
      <c r="P780" s="121">
        <f t="shared" si="273"/>
        <v>0</v>
      </c>
      <c r="Q780" s="121">
        <f t="shared" si="274"/>
        <v>0.79166666666666663</v>
      </c>
      <c r="R780" s="121">
        <f t="shared" si="275"/>
        <v>0.20833333333333337</v>
      </c>
      <c r="W780" s="160">
        <f t="shared" si="278"/>
        <v>1.03</v>
      </c>
      <c r="X780" s="160">
        <f t="shared" si="279"/>
        <v>0</v>
      </c>
      <c r="Y780" s="160">
        <f t="shared" si="280"/>
        <v>1.0162779289122776</v>
      </c>
      <c r="AB780" s="160">
        <f t="shared" si="281"/>
        <v>0.36433260393873085</v>
      </c>
      <c r="AC780" s="220">
        <f t="shared" si="282"/>
        <v>0.62931072210065642</v>
      </c>
      <c r="AD780" s="160">
        <f t="shared" si="283"/>
        <v>1.0496142353833118</v>
      </c>
      <c r="AE780" s="160">
        <f t="shared" si="276"/>
        <v>1.0272052516411379</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5">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0.99862144420131294</v>
      </c>
      <c r="P781" s="121">
        <f t="shared" si="273"/>
        <v>0</v>
      </c>
      <c r="Q781" s="121">
        <f t="shared" si="274"/>
        <v>0.70833333333333337</v>
      </c>
      <c r="R781" s="121">
        <f t="shared" si="275"/>
        <v>0.29166666666666663</v>
      </c>
      <c r="W781" s="160">
        <f t="shared" si="278"/>
        <v>1.03</v>
      </c>
      <c r="X781" s="160">
        <f t="shared" si="279"/>
        <v>1.03</v>
      </c>
      <c r="Y781" s="160">
        <f t="shared" si="280"/>
        <v>1.0162558175785512</v>
      </c>
      <c r="AB781" s="160">
        <f t="shared" si="281"/>
        <v>0.4310722100656455</v>
      </c>
      <c r="AC781" s="220">
        <f t="shared" si="282"/>
        <v>0.56323851203501096</v>
      </c>
      <c r="AD781" s="160">
        <f t="shared" si="283"/>
        <v>1.0176587169038234</v>
      </c>
      <c r="AE781" s="160">
        <f t="shared" si="276"/>
        <v>1.0285800875273523</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5">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0.99995623632385122</v>
      </c>
      <c r="P782" s="121">
        <f t="shared" si="273"/>
        <v>0</v>
      </c>
      <c r="Q782" s="121">
        <f t="shared" si="274"/>
        <v>0.625</v>
      </c>
      <c r="R782" s="121">
        <f t="shared" si="275"/>
        <v>0.375</v>
      </c>
      <c r="W782" s="160">
        <f t="shared" si="278"/>
        <v>1.03</v>
      </c>
      <c r="X782" s="160">
        <f t="shared" si="279"/>
        <v>1.03</v>
      </c>
      <c r="Y782" s="160">
        <f t="shared" si="280"/>
        <v>1.0162337662337664</v>
      </c>
      <c r="AB782" s="160">
        <f t="shared" si="281"/>
        <v>0.49781181619256015</v>
      </c>
      <c r="AC782" s="220">
        <f t="shared" si="282"/>
        <v>0.4971663019693654</v>
      </c>
      <c r="AD782" s="160">
        <f t="shared" si="283"/>
        <v>1.0162782423056396</v>
      </c>
      <c r="AE782" s="160">
        <f t="shared" si="276"/>
        <v>1.0299549234135668</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5">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1.0012910284463894</v>
      </c>
      <c r="P783" s="121">
        <f t="shared" si="273"/>
        <v>0</v>
      </c>
      <c r="Q783" s="121">
        <f t="shared" si="274"/>
        <v>0.54166666666666663</v>
      </c>
      <c r="R783" s="121">
        <f t="shared" si="275"/>
        <v>0.45833333333333337</v>
      </c>
      <c r="W783" s="160">
        <f t="shared" si="278"/>
        <v>1.03</v>
      </c>
      <c r="X783" s="160">
        <f t="shared" si="279"/>
        <v>1.03</v>
      </c>
      <c r="Y783" s="160">
        <f t="shared" si="280"/>
        <v>1.0162117746341246</v>
      </c>
      <c r="AB783" s="160">
        <f t="shared" si="281"/>
        <v>0.56455142231947486</v>
      </c>
      <c r="AC783" s="220">
        <f t="shared" si="282"/>
        <v>0.43109409190371989</v>
      </c>
      <c r="AD783" s="160">
        <f t="shared" si="283"/>
        <v>1.0149015079171202</v>
      </c>
      <c r="AE783" s="160">
        <f t="shared" si="276"/>
        <v>1.0313297592997812</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5">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1.0026258205689278</v>
      </c>
      <c r="P784" s="121">
        <f t="shared" si="273"/>
        <v>0</v>
      </c>
      <c r="Q784" s="121">
        <f t="shared" si="274"/>
        <v>0.45833333333333331</v>
      </c>
      <c r="R784" s="121">
        <f t="shared" si="275"/>
        <v>0.54166666666666674</v>
      </c>
      <c r="W784" s="160">
        <f t="shared" si="278"/>
        <v>1.03</v>
      </c>
      <c r="X784" s="160">
        <f t="shared" si="279"/>
        <v>1.03</v>
      </c>
      <c r="Y784" s="160">
        <f t="shared" si="280"/>
        <v>1.0161898425371481</v>
      </c>
      <c r="AB784" s="160">
        <f t="shared" si="281"/>
        <v>0.63129102844638951</v>
      </c>
      <c r="AC784" s="220">
        <f t="shared" si="282"/>
        <v>0.36502188183807438</v>
      </c>
      <c r="AD784" s="160">
        <f t="shared" si="283"/>
        <v>1.0135284985584387</v>
      </c>
      <c r="AE784" s="160">
        <f t="shared" si="276"/>
        <v>1.0327045951859957</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5">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1.0039824945295406</v>
      </c>
      <c r="P785" s="121">
        <f t="shared" si="273"/>
        <v>0</v>
      </c>
      <c r="Q785" s="121">
        <f t="shared" si="274"/>
        <v>0.375</v>
      </c>
      <c r="R785" s="121">
        <f t="shared" si="275"/>
        <v>0.625</v>
      </c>
      <c r="W785" s="160">
        <f t="shared" si="278"/>
        <v>1.03</v>
      </c>
      <c r="X785" s="160">
        <f t="shared" si="279"/>
        <v>1.03</v>
      </c>
      <c r="Y785" s="160">
        <f t="shared" si="280"/>
        <v>1.0161676116229625</v>
      </c>
      <c r="AB785" s="160">
        <f t="shared" si="281"/>
        <v>0.69912472647702406</v>
      </c>
      <c r="AC785" s="220">
        <f t="shared" si="282"/>
        <v>0.29786652078774617</v>
      </c>
      <c r="AD785" s="160">
        <f t="shared" si="283"/>
        <v>1.012136782423813</v>
      </c>
      <c r="AE785" s="160">
        <f t="shared" si="276"/>
        <v>1.0341019693654268</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5">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1.0053172866520788</v>
      </c>
      <c r="P786" s="121">
        <f t="shared" si="273"/>
        <v>0</v>
      </c>
      <c r="Q786" s="121">
        <f t="shared" si="274"/>
        <v>0.29166666666666669</v>
      </c>
      <c r="R786" s="121">
        <f t="shared" si="275"/>
        <v>0.70833333333333326</v>
      </c>
      <c r="W786" s="160">
        <f t="shared" si="278"/>
        <v>1.03</v>
      </c>
      <c r="X786" s="160">
        <f t="shared" si="279"/>
        <v>1.03</v>
      </c>
      <c r="Y786" s="160">
        <f t="shared" si="280"/>
        <v>1.0161457987746887</v>
      </c>
      <c r="AB786" s="160">
        <f t="shared" si="281"/>
        <v>0.76586433260393871</v>
      </c>
      <c r="AC786" s="220">
        <f t="shared" si="282"/>
        <v>0.23179431072210066</v>
      </c>
      <c r="AD786" s="160">
        <f t="shared" si="283"/>
        <v>1.0107712383606486</v>
      </c>
      <c r="AE786" s="160">
        <f t="shared" si="276"/>
        <v>1.0354768052516412</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5">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1.0066520787746172</v>
      </c>
      <c r="P787" s="121">
        <f t="shared" si="273"/>
        <v>0</v>
      </c>
      <c r="Q787" s="121">
        <f t="shared" si="274"/>
        <v>0.20833333333333334</v>
      </c>
      <c r="R787" s="121">
        <f t="shared" si="275"/>
        <v>0.79166666666666663</v>
      </c>
      <c r="W787" s="160">
        <f t="shared" si="278"/>
        <v>1.03</v>
      </c>
      <c r="X787" s="160">
        <f t="shared" si="279"/>
        <v>1.03</v>
      </c>
      <c r="Y787" s="160">
        <f t="shared" si="280"/>
        <v>1.0161240447055706</v>
      </c>
      <c r="AB787" s="160">
        <f t="shared" si="281"/>
        <v>0.83260393873085337</v>
      </c>
      <c r="AC787" s="220">
        <f t="shared" si="282"/>
        <v>0.16572210065645518</v>
      </c>
      <c r="AD787" s="160">
        <f t="shared" si="283"/>
        <v>1.0094093740336616</v>
      </c>
      <c r="AE787" s="160">
        <f t="shared" si="276"/>
        <v>1.0368516411378557</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5">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1.0079868708971553</v>
      </c>
      <c r="P788" s="121">
        <f t="shared" si="273"/>
        <v>0</v>
      </c>
      <c r="Q788" s="121">
        <f t="shared" si="274"/>
        <v>0.125</v>
      </c>
      <c r="R788" s="121">
        <f t="shared" si="275"/>
        <v>0.875</v>
      </c>
      <c r="W788" s="160">
        <f t="shared" si="278"/>
        <v>1.03</v>
      </c>
      <c r="X788" s="160">
        <f t="shared" si="279"/>
        <v>1.03</v>
      </c>
      <c r="Y788" s="160">
        <f t="shared" si="280"/>
        <v>1.016102349178339</v>
      </c>
      <c r="AB788" s="160">
        <f t="shared" si="281"/>
        <v>0.89934354485776802</v>
      </c>
      <c r="AC788" s="220">
        <f t="shared" si="282"/>
        <v>9.9649890590809656E-2</v>
      </c>
      <c r="AD788" s="160">
        <f t="shared" si="283"/>
        <v>1.0080511745891696</v>
      </c>
      <c r="AE788" s="160">
        <f t="shared" si="276"/>
        <v>1.0382264770240701</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5">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1.0093216630196937</v>
      </c>
      <c r="P789" s="121">
        <f t="shared" si="273"/>
        <v>0</v>
      </c>
      <c r="Q789" s="121">
        <f t="shared" si="274"/>
        <v>4.1666666666666664E-2</v>
      </c>
      <c r="R789" s="121">
        <f t="shared" si="275"/>
        <v>0.95833333333333337</v>
      </c>
      <c r="W789" s="160">
        <f t="shared" si="278"/>
        <v>1.03</v>
      </c>
      <c r="X789" s="160">
        <f t="shared" si="279"/>
        <v>1.03</v>
      </c>
      <c r="Y789" s="160">
        <f t="shared" si="280"/>
        <v>1.0160807119570006</v>
      </c>
      <c r="AB789" s="160">
        <f t="shared" si="281"/>
        <v>0.96608315098468267</v>
      </c>
      <c r="AC789" s="220">
        <f t="shared" si="282"/>
        <v>3.3577680525164154E-2</v>
      </c>
      <c r="AD789" s="160">
        <f t="shared" si="283"/>
        <v>1.0066966252533263</v>
      </c>
      <c r="AE789" s="160">
        <f t="shared" si="276"/>
        <v>1.0396013129102846</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5">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1.01</v>
      </c>
      <c r="P790" s="121">
        <f t="shared" si="273"/>
        <v>0</v>
      </c>
      <c r="Q790" s="121">
        <f t="shared" si="274"/>
        <v>0</v>
      </c>
      <c r="R790" s="121">
        <f t="shared" si="275"/>
        <v>0.95833333333333337</v>
      </c>
      <c r="AE790" s="160">
        <f t="shared" si="276"/>
        <v>1.0403</v>
      </c>
    </row>
    <row r="791" spans="1:35" x14ac:dyDescent="0.3">
      <c r="A791" s="187">
        <v>38</v>
      </c>
      <c r="B791" s="242">
        <f t="shared" si="277"/>
        <v>46784</v>
      </c>
      <c r="C791" s="243">
        <f t="shared" si="260"/>
        <v>46812</v>
      </c>
      <c r="D791" s="120">
        <f t="shared" si="261"/>
        <v>29</v>
      </c>
      <c r="E791" s="120">
        <f t="shared" si="262"/>
        <v>2</v>
      </c>
      <c r="F791" s="275">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1.01</v>
      </c>
      <c r="P791" s="121">
        <f t="shared" si="273"/>
        <v>0</v>
      </c>
      <c r="Q791" s="121">
        <f t="shared" si="274"/>
        <v>0</v>
      </c>
      <c r="R791" s="121">
        <f t="shared" si="275"/>
        <v>0.875</v>
      </c>
      <c r="AE791" s="160">
        <f t="shared" si="276"/>
        <v>1.0403</v>
      </c>
    </row>
    <row r="792" spans="1:35" x14ac:dyDescent="0.3">
      <c r="A792" s="187">
        <v>39</v>
      </c>
      <c r="B792" s="242">
        <f t="shared" si="277"/>
        <v>46813</v>
      </c>
      <c r="C792" s="243">
        <f t="shared" si="260"/>
        <v>46843</v>
      </c>
      <c r="D792" s="120">
        <f t="shared" si="261"/>
        <v>31</v>
      </c>
      <c r="E792" s="120">
        <f t="shared" si="262"/>
        <v>3</v>
      </c>
      <c r="F792" s="275">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1.01</v>
      </c>
      <c r="P792" s="121">
        <f t="shared" si="273"/>
        <v>0</v>
      </c>
      <c r="Q792" s="121">
        <f t="shared" si="274"/>
        <v>0</v>
      </c>
      <c r="R792" s="121">
        <f t="shared" si="275"/>
        <v>0.79166666666666663</v>
      </c>
      <c r="AE792" s="160">
        <f t="shared" si="276"/>
        <v>1.0403</v>
      </c>
    </row>
    <row r="793" spans="1:35" x14ac:dyDescent="0.3">
      <c r="A793" s="187">
        <v>40</v>
      </c>
      <c r="B793" s="242">
        <f t="shared" si="277"/>
        <v>46844</v>
      </c>
      <c r="C793" s="243">
        <f t="shared" si="260"/>
        <v>46873</v>
      </c>
      <c r="D793" s="120">
        <f t="shared" si="261"/>
        <v>30</v>
      </c>
      <c r="E793" s="120">
        <f t="shared" si="262"/>
        <v>4</v>
      </c>
      <c r="F793" s="275">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1.01</v>
      </c>
      <c r="P793" s="121">
        <f t="shared" si="273"/>
        <v>0</v>
      </c>
      <c r="Q793" s="121">
        <f t="shared" si="274"/>
        <v>0</v>
      </c>
      <c r="R793" s="121">
        <f t="shared" si="275"/>
        <v>0.70833333333333337</v>
      </c>
      <c r="AE793" s="160">
        <f t="shared" si="276"/>
        <v>1.0403</v>
      </c>
    </row>
    <row r="794" spans="1:35" x14ac:dyDescent="0.3">
      <c r="A794" s="187">
        <v>41</v>
      </c>
      <c r="B794" s="242">
        <f t="shared" si="277"/>
        <v>46874</v>
      </c>
      <c r="C794" s="243">
        <f t="shared" si="260"/>
        <v>46904</v>
      </c>
      <c r="D794" s="120">
        <f t="shared" si="261"/>
        <v>31</v>
      </c>
      <c r="E794" s="120">
        <f t="shared" si="262"/>
        <v>5</v>
      </c>
      <c r="F794" s="275">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1.01</v>
      </c>
      <c r="P794" s="121">
        <f t="shared" si="273"/>
        <v>0</v>
      </c>
      <c r="Q794" s="121">
        <f t="shared" si="274"/>
        <v>0</v>
      </c>
      <c r="R794" s="121">
        <f t="shared" si="275"/>
        <v>0.625</v>
      </c>
      <c r="AE794" s="160">
        <f t="shared" si="276"/>
        <v>1.0403</v>
      </c>
    </row>
    <row r="795" spans="1:35" x14ac:dyDescent="0.3">
      <c r="A795" s="187">
        <v>42</v>
      </c>
      <c r="B795" s="242">
        <f t="shared" si="277"/>
        <v>46905</v>
      </c>
      <c r="C795" s="243">
        <f t="shared" si="260"/>
        <v>46934</v>
      </c>
      <c r="D795" s="120">
        <f t="shared" si="261"/>
        <v>30</v>
      </c>
      <c r="E795" s="120">
        <f t="shared" si="262"/>
        <v>6</v>
      </c>
      <c r="F795" s="275">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1.01</v>
      </c>
      <c r="P795" s="121">
        <f t="shared" si="273"/>
        <v>0</v>
      </c>
      <c r="Q795" s="121">
        <f t="shared" si="274"/>
        <v>0</v>
      </c>
      <c r="R795" s="121">
        <f t="shared" si="275"/>
        <v>0.54166666666666663</v>
      </c>
      <c r="AE795" s="160">
        <f t="shared" si="276"/>
        <v>1.0403</v>
      </c>
    </row>
    <row r="796" spans="1:35" x14ac:dyDescent="0.3">
      <c r="A796" s="187">
        <v>43</v>
      </c>
      <c r="B796" s="242">
        <f t="shared" si="277"/>
        <v>46935</v>
      </c>
      <c r="C796" s="243">
        <f t="shared" si="260"/>
        <v>46965</v>
      </c>
      <c r="D796" s="120">
        <f t="shared" si="261"/>
        <v>31</v>
      </c>
      <c r="E796" s="120">
        <f t="shared" si="262"/>
        <v>7</v>
      </c>
      <c r="F796" s="275">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1.01</v>
      </c>
      <c r="P796" s="121">
        <f t="shared" si="273"/>
        <v>0</v>
      </c>
      <c r="Q796" s="121">
        <f t="shared" si="274"/>
        <v>0</v>
      </c>
      <c r="R796" s="121">
        <f t="shared" si="275"/>
        <v>0.45833333333333331</v>
      </c>
      <c r="AE796" s="160">
        <f t="shared" si="276"/>
        <v>1.0403</v>
      </c>
    </row>
    <row r="797" spans="1:35" x14ac:dyDescent="0.3">
      <c r="A797" s="187">
        <v>44</v>
      </c>
      <c r="B797" s="242">
        <f t="shared" si="277"/>
        <v>46966</v>
      </c>
      <c r="C797" s="243">
        <f t="shared" si="260"/>
        <v>46996</v>
      </c>
      <c r="D797" s="120">
        <f t="shared" si="261"/>
        <v>31</v>
      </c>
      <c r="E797" s="120">
        <f t="shared" si="262"/>
        <v>8</v>
      </c>
      <c r="F797" s="275">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1.01</v>
      </c>
      <c r="P797" s="121">
        <f t="shared" si="273"/>
        <v>0</v>
      </c>
      <c r="Q797" s="121">
        <f t="shared" si="274"/>
        <v>0</v>
      </c>
      <c r="R797" s="121">
        <f t="shared" si="275"/>
        <v>0.375</v>
      </c>
      <c r="AE797" s="160">
        <f t="shared" si="276"/>
        <v>1.0403</v>
      </c>
    </row>
    <row r="798" spans="1:35" x14ac:dyDescent="0.3">
      <c r="A798" s="187">
        <v>45</v>
      </c>
      <c r="B798" s="242">
        <f t="shared" si="277"/>
        <v>46997</v>
      </c>
      <c r="C798" s="243">
        <f t="shared" si="260"/>
        <v>47026</v>
      </c>
      <c r="D798" s="120">
        <f t="shared" si="261"/>
        <v>30</v>
      </c>
      <c r="E798" s="120">
        <f t="shared" si="262"/>
        <v>9</v>
      </c>
      <c r="F798" s="275">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1.01</v>
      </c>
      <c r="P798" s="121">
        <f t="shared" si="273"/>
        <v>0</v>
      </c>
      <c r="Q798" s="121">
        <f t="shared" si="274"/>
        <v>0</v>
      </c>
      <c r="R798" s="121">
        <f t="shared" si="275"/>
        <v>0.29166666666666669</v>
      </c>
      <c r="AE798" s="160">
        <f t="shared" si="276"/>
        <v>1.0403</v>
      </c>
    </row>
    <row r="799" spans="1:35" x14ac:dyDescent="0.3">
      <c r="A799" s="187">
        <v>46</v>
      </c>
      <c r="B799" s="242">
        <f t="shared" si="277"/>
        <v>47027</v>
      </c>
      <c r="C799" s="243">
        <f t="shared" si="260"/>
        <v>47057</v>
      </c>
      <c r="D799" s="120">
        <f t="shared" si="261"/>
        <v>31</v>
      </c>
      <c r="E799" s="120">
        <f t="shared" si="262"/>
        <v>10</v>
      </c>
      <c r="F799" s="275">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1.01</v>
      </c>
      <c r="P799" s="121">
        <f t="shared" si="273"/>
        <v>0</v>
      </c>
      <c r="Q799" s="121">
        <f t="shared" si="274"/>
        <v>0</v>
      </c>
      <c r="R799" s="121">
        <f t="shared" si="275"/>
        <v>0.20833333333333334</v>
      </c>
      <c r="AE799" s="160">
        <f t="shared" si="276"/>
        <v>1.0403</v>
      </c>
    </row>
    <row r="800" spans="1:35" x14ac:dyDescent="0.3">
      <c r="A800" s="187">
        <v>47</v>
      </c>
      <c r="B800" s="242">
        <f t="shared" si="277"/>
        <v>47058</v>
      </c>
      <c r="C800" s="243">
        <f t="shared" si="260"/>
        <v>47087</v>
      </c>
      <c r="D800" s="120">
        <f t="shared" si="261"/>
        <v>30</v>
      </c>
      <c r="E800" s="120">
        <f t="shared" si="262"/>
        <v>11</v>
      </c>
      <c r="F800" s="275">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1.01</v>
      </c>
      <c r="P800" s="121">
        <f t="shared" si="273"/>
        <v>0</v>
      </c>
      <c r="Q800" s="121">
        <f t="shared" si="274"/>
        <v>0</v>
      </c>
      <c r="R800" s="121">
        <f t="shared" si="275"/>
        <v>0.125</v>
      </c>
      <c r="AE800" s="160">
        <f t="shared" si="276"/>
        <v>1.0403</v>
      </c>
    </row>
    <row r="801" spans="1:31" x14ac:dyDescent="0.3">
      <c r="A801" s="187">
        <v>48</v>
      </c>
      <c r="B801" s="242">
        <f t="shared" si="277"/>
        <v>47088</v>
      </c>
      <c r="C801" s="243">
        <f t="shared" si="260"/>
        <v>47118</v>
      </c>
      <c r="D801" s="120">
        <f t="shared" si="261"/>
        <v>31</v>
      </c>
      <c r="E801" s="120">
        <f t="shared" si="262"/>
        <v>12</v>
      </c>
      <c r="F801" s="275">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1.01</v>
      </c>
      <c r="P801" s="121">
        <f t="shared" si="273"/>
        <v>0</v>
      </c>
      <c r="Q801" s="121">
        <f t="shared" si="274"/>
        <v>0</v>
      </c>
      <c r="R801" s="121">
        <f t="shared" si="275"/>
        <v>4.1666666666666664E-2</v>
      </c>
      <c r="AE801" s="160">
        <f t="shared" si="276"/>
        <v>1.0403</v>
      </c>
    </row>
    <row r="802" spans="1:31" x14ac:dyDescent="0.3">
      <c r="A802" s="23" t="s">
        <v>1723</v>
      </c>
      <c r="B802" s="279">
        <f>SUM($H$778:$H$789)</f>
        <v>12</v>
      </c>
      <c r="C802" s="160">
        <f>SUMPRODUCT($H$778:$H$789,$W$778:$W$789/$N$766:$N$777,$Y$778:$Y$789)</f>
        <v>12.285876836781444</v>
      </c>
      <c r="D802" s="160">
        <f>SUMPRODUCT($H$778:$H$789,$X$778:$X$789/$N$766:$N$777,$Y$778:$Y$789)</f>
        <v>9.1455117172221509</v>
      </c>
      <c r="E802" s="281" t="str">
        <f>IF(OR($D$751=0,$P$751=0,$D802=0),"n/a",((1+$E$751)*$B802-$C802)/$D802)</f>
        <v>n/a</v>
      </c>
      <c r="F802" s="281" t="str">
        <f>IF($V$751&lt;&gt;"",$V$751,$E802)</f>
        <v>n/a</v>
      </c>
      <c r="G802" s="281"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2">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1</v>
      </c>
      <c r="H807" s="220">
        <f>IF($C807=0,1,IF(N(INDEX(lr_m0,$C807))=0,1,INDEX(lr_m0,$C807)))</f>
        <v>0.99</v>
      </c>
      <c r="I807" s="278">
        <f>IF($C807=0,DATE(nr_PlanYear-1,10,1),IF(N(INDEX(lr_m0asof,$C807))=0,DATE(nr_PlanYear-1,10,1),INDEX(lr_m0asof,$C807)))</f>
        <v>46295</v>
      </c>
      <c r="J807" s="220">
        <f>IF($C807=0,1,IF(N(INDEX(lr_m1,$C807))=0,1,INDEX(lr_m1,$C807)))</f>
        <v>0.99</v>
      </c>
      <c r="K807" s="220">
        <f>IF($C807=0,0,N(INDEX(lr_mprior,$C807)))</f>
        <v>0</v>
      </c>
      <c r="L807" s="220">
        <f>IF($C807=0,0,N(INDEX(lr_m2,$C807)))</f>
        <v>0</v>
      </c>
      <c r="M807" s="43">
        <f>IF(OR($A807="",COUNTIF(se_state,$A807)=0),0,MATCH($A807,se_state,0))</f>
        <v>0</v>
      </c>
      <c r="N807" s="279">
        <f>IF($M807=0,0,INDEX(se_sum,$M807))</f>
        <v>0</v>
      </c>
      <c r="O807" s="278">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80" t="str">
        <f>IF(ISBLANK('Net Delivery'!$E$19),$Y807,'Net Delivery'!$E$19)</f>
        <v/>
      </c>
      <c r="W807" s="43">
        <f>IF($B807="",0,COUNTIFS(rl_key,$B807,rl_status,"planned",rl_eff,"&gt;="&amp;DATE(nr_PlanYear,1,1),rl_eff,"&lt;="&amp;DATE(nr_PlanYear,12,31)))</f>
        <v>0</v>
      </c>
      <c r="X807" s="278">
        <f>IF($W807=0,nd_DefaultDate,SUMIFS(rl_eff,rl_key,$B807,rl_firstplanned,1))</f>
        <v>46478</v>
      </c>
      <c r="Y807" s="280" t="str">
        <f>IF($W807=0,"",SUMIFS(rl_reff,rl_key,$B807,rl_firstplanned,1))</f>
        <v/>
      </c>
      <c r="Z807" s="280"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5">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0.99</v>
      </c>
      <c r="P810" s="121">
        <f t="shared" ref="P810:P857" si="301">MIN(1,MAX(0,(nr_MEndPm1-$G810+0.5)/nr_TermMonths))-MIN(1,MAX(0,(nr_MStartPm1-1-$G810+0.5)/nr_TermMonths))</f>
        <v>4.166666666666663E-2</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0.99</v>
      </c>
    </row>
    <row r="811" spans="1:31" x14ac:dyDescent="0.3">
      <c r="A811" s="187">
        <v>2</v>
      </c>
      <c r="B811" s="242">
        <f t="shared" ref="B811:B857" si="305">EDATE($B810,1)</f>
        <v>45689</v>
      </c>
      <c r="C811" s="243">
        <f t="shared" si="288"/>
        <v>45716</v>
      </c>
      <c r="D811" s="120">
        <f t="shared" si="289"/>
        <v>28</v>
      </c>
      <c r="E811" s="120">
        <f t="shared" si="290"/>
        <v>2</v>
      </c>
      <c r="F811" s="275">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0.99</v>
      </c>
      <c r="P811" s="121">
        <f t="shared" si="301"/>
        <v>0.125</v>
      </c>
      <c r="Q811" s="121">
        <f t="shared" si="302"/>
        <v>0</v>
      </c>
      <c r="R811" s="121">
        <f t="shared" si="303"/>
        <v>0</v>
      </c>
      <c r="AE811" s="160">
        <f t="shared" si="304"/>
        <v>0.99</v>
      </c>
    </row>
    <row r="812" spans="1:31" x14ac:dyDescent="0.3">
      <c r="A812" s="187">
        <v>3</v>
      </c>
      <c r="B812" s="242">
        <f t="shared" si="305"/>
        <v>45717</v>
      </c>
      <c r="C812" s="243">
        <f t="shared" si="288"/>
        <v>45747</v>
      </c>
      <c r="D812" s="120">
        <f t="shared" si="289"/>
        <v>31</v>
      </c>
      <c r="E812" s="120">
        <f t="shared" si="290"/>
        <v>3</v>
      </c>
      <c r="F812" s="275">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0.99</v>
      </c>
      <c r="P812" s="121">
        <f t="shared" si="301"/>
        <v>0.20833333333333337</v>
      </c>
      <c r="Q812" s="121">
        <f t="shared" si="302"/>
        <v>0</v>
      </c>
      <c r="R812" s="121">
        <f t="shared" si="303"/>
        <v>0</v>
      </c>
      <c r="AE812" s="160">
        <f t="shared" si="304"/>
        <v>0.99</v>
      </c>
    </row>
    <row r="813" spans="1:31" x14ac:dyDescent="0.3">
      <c r="A813" s="187">
        <v>4</v>
      </c>
      <c r="B813" s="242">
        <f t="shared" si="305"/>
        <v>45748</v>
      </c>
      <c r="C813" s="243">
        <f t="shared" si="288"/>
        <v>45777</v>
      </c>
      <c r="D813" s="120">
        <f t="shared" si="289"/>
        <v>30</v>
      </c>
      <c r="E813" s="120">
        <f t="shared" si="290"/>
        <v>4</v>
      </c>
      <c r="F813" s="275">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0.99</v>
      </c>
      <c r="P813" s="121">
        <f t="shared" si="301"/>
        <v>0.29166666666666663</v>
      </c>
      <c r="Q813" s="121">
        <f t="shared" si="302"/>
        <v>0</v>
      </c>
      <c r="R813" s="121">
        <f t="shared" si="303"/>
        <v>0</v>
      </c>
      <c r="AE813" s="160">
        <f t="shared" si="304"/>
        <v>0.99</v>
      </c>
    </row>
    <row r="814" spans="1:31" x14ac:dyDescent="0.3">
      <c r="A814" s="187">
        <v>5</v>
      </c>
      <c r="B814" s="242">
        <f t="shared" si="305"/>
        <v>45778</v>
      </c>
      <c r="C814" s="243">
        <f t="shared" si="288"/>
        <v>45808</v>
      </c>
      <c r="D814" s="120">
        <f t="shared" si="289"/>
        <v>31</v>
      </c>
      <c r="E814" s="120">
        <f t="shared" si="290"/>
        <v>5</v>
      </c>
      <c r="F814" s="275">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0.99</v>
      </c>
      <c r="P814" s="121">
        <f t="shared" si="301"/>
        <v>0.375</v>
      </c>
      <c r="Q814" s="121">
        <f t="shared" si="302"/>
        <v>0</v>
      </c>
      <c r="R814" s="121">
        <f t="shared" si="303"/>
        <v>0</v>
      </c>
      <c r="AE814" s="160">
        <f t="shared" si="304"/>
        <v>0.99</v>
      </c>
    </row>
    <row r="815" spans="1:31" x14ac:dyDescent="0.3">
      <c r="A815" s="187">
        <v>6</v>
      </c>
      <c r="B815" s="242">
        <f t="shared" si="305"/>
        <v>45809</v>
      </c>
      <c r="C815" s="243">
        <f t="shared" si="288"/>
        <v>45838</v>
      </c>
      <c r="D815" s="120">
        <f t="shared" si="289"/>
        <v>30</v>
      </c>
      <c r="E815" s="120">
        <f t="shared" si="290"/>
        <v>6</v>
      </c>
      <c r="F815" s="275">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0.99</v>
      </c>
      <c r="P815" s="121">
        <f t="shared" si="301"/>
        <v>0.45833333333333337</v>
      </c>
      <c r="Q815" s="121">
        <f t="shared" si="302"/>
        <v>0</v>
      </c>
      <c r="R815" s="121">
        <f t="shared" si="303"/>
        <v>0</v>
      </c>
      <c r="AE815" s="160">
        <f t="shared" si="304"/>
        <v>0.99</v>
      </c>
    </row>
    <row r="816" spans="1:31" x14ac:dyDescent="0.3">
      <c r="A816" s="187">
        <v>7</v>
      </c>
      <c r="B816" s="242">
        <f t="shared" si="305"/>
        <v>45839</v>
      </c>
      <c r="C816" s="243">
        <f t="shared" si="288"/>
        <v>45869</v>
      </c>
      <c r="D816" s="120">
        <f t="shared" si="289"/>
        <v>31</v>
      </c>
      <c r="E816" s="120">
        <f t="shared" si="290"/>
        <v>7</v>
      </c>
      <c r="F816" s="275">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0.99</v>
      </c>
      <c r="P816" s="121">
        <f t="shared" si="301"/>
        <v>0.54166666666666674</v>
      </c>
      <c r="Q816" s="121">
        <f t="shared" si="302"/>
        <v>0</v>
      </c>
      <c r="R816" s="121">
        <f t="shared" si="303"/>
        <v>0</v>
      </c>
      <c r="AE816" s="160">
        <f t="shared" si="304"/>
        <v>0.99</v>
      </c>
    </row>
    <row r="817" spans="1:31" x14ac:dyDescent="0.3">
      <c r="A817" s="187">
        <v>8</v>
      </c>
      <c r="B817" s="242">
        <f t="shared" si="305"/>
        <v>45870</v>
      </c>
      <c r="C817" s="243">
        <f t="shared" si="288"/>
        <v>45900</v>
      </c>
      <c r="D817" s="120">
        <f t="shared" si="289"/>
        <v>31</v>
      </c>
      <c r="E817" s="120">
        <f t="shared" si="290"/>
        <v>8</v>
      </c>
      <c r="F817" s="275">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0.99</v>
      </c>
      <c r="P817" s="121">
        <f t="shared" si="301"/>
        <v>0.625</v>
      </c>
      <c r="Q817" s="121">
        <f t="shared" si="302"/>
        <v>0</v>
      </c>
      <c r="R817" s="121">
        <f t="shared" si="303"/>
        <v>0</v>
      </c>
      <c r="AE817" s="160">
        <f t="shared" si="304"/>
        <v>0.99</v>
      </c>
    </row>
    <row r="818" spans="1:31" x14ac:dyDescent="0.3">
      <c r="A818" s="187">
        <v>9</v>
      </c>
      <c r="B818" s="242">
        <f t="shared" si="305"/>
        <v>45901</v>
      </c>
      <c r="C818" s="243">
        <f t="shared" si="288"/>
        <v>45930</v>
      </c>
      <c r="D818" s="120">
        <f t="shared" si="289"/>
        <v>30</v>
      </c>
      <c r="E818" s="120">
        <f t="shared" si="290"/>
        <v>9</v>
      </c>
      <c r="F818" s="275">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0.99</v>
      </c>
      <c r="P818" s="121">
        <f t="shared" si="301"/>
        <v>0.70833333333333326</v>
      </c>
      <c r="Q818" s="121">
        <f t="shared" si="302"/>
        <v>0</v>
      </c>
      <c r="R818" s="121">
        <f t="shared" si="303"/>
        <v>0</v>
      </c>
      <c r="AE818" s="160">
        <f t="shared" si="304"/>
        <v>0.99</v>
      </c>
    </row>
    <row r="819" spans="1:31" x14ac:dyDescent="0.3">
      <c r="A819" s="187">
        <v>10</v>
      </c>
      <c r="B819" s="242">
        <f t="shared" si="305"/>
        <v>45931</v>
      </c>
      <c r="C819" s="243">
        <f t="shared" si="288"/>
        <v>45961</v>
      </c>
      <c r="D819" s="120">
        <f t="shared" si="289"/>
        <v>31</v>
      </c>
      <c r="E819" s="120">
        <f t="shared" si="290"/>
        <v>10</v>
      </c>
      <c r="F819" s="275">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0.99</v>
      </c>
      <c r="P819" s="121">
        <f t="shared" si="301"/>
        <v>0.79166666666666663</v>
      </c>
      <c r="Q819" s="121">
        <f t="shared" si="302"/>
        <v>0</v>
      </c>
      <c r="R819" s="121">
        <f t="shared" si="303"/>
        <v>0</v>
      </c>
      <c r="AE819" s="160">
        <f t="shared" si="304"/>
        <v>0.99</v>
      </c>
    </row>
    <row r="820" spans="1:31" x14ac:dyDescent="0.3">
      <c r="A820" s="187">
        <v>11</v>
      </c>
      <c r="B820" s="242">
        <f t="shared" si="305"/>
        <v>45962</v>
      </c>
      <c r="C820" s="243">
        <f t="shared" si="288"/>
        <v>45991</v>
      </c>
      <c r="D820" s="120">
        <f t="shared" si="289"/>
        <v>30</v>
      </c>
      <c r="E820" s="120">
        <f t="shared" si="290"/>
        <v>11</v>
      </c>
      <c r="F820" s="275">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0.99</v>
      </c>
      <c r="P820" s="121">
        <f t="shared" si="301"/>
        <v>0.875</v>
      </c>
      <c r="Q820" s="121">
        <f t="shared" si="302"/>
        <v>0</v>
      </c>
      <c r="R820" s="121">
        <f t="shared" si="303"/>
        <v>0</v>
      </c>
      <c r="AE820" s="160">
        <f t="shared" si="304"/>
        <v>0.99</v>
      </c>
    </row>
    <row r="821" spans="1:31" x14ac:dyDescent="0.3">
      <c r="A821" s="187">
        <v>12</v>
      </c>
      <c r="B821" s="242">
        <f t="shared" si="305"/>
        <v>45992</v>
      </c>
      <c r="C821" s="243">
        <f t="shared" si="288"/>
        <v>46022</v>
      </c>
      <c r="D821" s="120">
        <f t="shared" si="289"/>
        <v>31</v>
      </c>
      <c r="E821" s="120">
        <f t="shared" si="290"/>
        <v>12</v>
      </c>
      <c r="F821" s="275">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0.99</v>
      </c>
      <c r="P821" s="121">
        <f t="shared" si="301"/>
        <v>0.95833333333333337</v>
      </c>
      <c r="Q821" s="121">
        <f t="shared" si="302"/>
        <v>0</v>
      </c>
      <c r="R821" s="121">
        <f t="shared" si="303"/>
        <v>0</v>
      </c>
      <c r="AE821" s="160">
        <f t="shared" si="304"/>
        <v>0.99</v>
      </c>
    </row>
    <row r="822" spans="1:31" x14ac:dyDescent="0.3">
      <c r="A822" s="187">
        <v>13</v>
      </c>
      <c r="B822" s="242">
        <f t="shared" si="305"/>
        <v>46023</v>
      </c>
      <c r="C822" s="243">
        <f t="shared" si="288"/>
        <v>46053</v>
      </c>
      <c r="D822" s="120">
        <f t="shared" si="289"/>
        <v>31</v>
      </c>
      <c r="E822" s="120">
        <f t="shared" si="290"/>
        <v>1</v>
      </c>
      <c r="F822" s="275">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0.99</v>
      </c>
      <c r="P822" s="121">
        <f t="shared" si="301"/>
        <v>0.95833333333333337</v>
      </c>
      <c r="Q822" s="121">
        <f t="shared" si="302"/>
        <v>4.166666666666663E-2</v>
      </c>
      <c r="R822" s="121">
        <f t="shared" si="303"/>
        <v>0</v>
      </c>
      <c r="AE822" s="160">
        <f t="shared" si="304"/>
        <v>0.99</v>
      </c>
    </row>
    <row r="823" spans="1:31" x14ac:dyDescent="0.3">
      <c r="A823" s="187">
        <v>14</v>
      </c>
      <c r="B823" s="242">
        <f t="shared" si="305"/>
        <v>46054</v>
      </c>
      <c r="C823" s="243">
        <f t="shared" si="288"/>
        <v>46081</v>
      </c>
      <c r="D823" s="120">
        <f t="shared" si="289"/>
        <v>28</v>
      </c>
      <c r="E823" s="120">
        <f t="shared" si="290"/>
        <v>2</v>
      </c>
      <c r="F823" s="275">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0.99</v>
      </c>
      <c r="P823" s="121">
        <f t="shared" si="301"/>
        <v>0.875</v>
      </c>
      <c r="Q823" s="121">
        <f t="shared" si="302"/>
        <v>0.125</v>
      </c>
      <c r="R823" s="121">
        <f t="shared" si="303"/>
        <v>0</v>
      </c>
      <c r="AE823" s="160">
        <f t="shared" si="304"/>
        <v>0.99</v>
      </c>
    </row>
    <row r="824" spans="1:31" x14ac:dyDescent="0.3">
      <c r="A824" s="187">
        <v>15</v>
      </c>
      <c r="B824" s="242">
        <f t="shared" si="305"/>
        <v>46082</v>
      </c>
      <c r="C824" s="243">
        <f t="shared" si="288"/>
        <v>46112</v>
      </c>
      <c r="D824" s="120">
        <f t="shared" si="289"/>
        <v>31</v>
      </c>
      <c r="E824" s="120">
        <f t="shared" si="290"/>
        <v>3</v>
      </c>
      <c r="F824" s="275">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0.99</v>
      </c>
      <c r="P824" s="121">
        <f t="shared" si="301"/>
        <v>0.79166666666666663</v>
      </c>
      <c r="Q824" s="121">
        <f t="shared" si="302"/>
        <v>0.20833333333333337</v>
      </c>
      <c r="R824" s="121">
        <f t="shared" si="303"/>
        <v>0</v>
      </c>
      <c r="AE824" s="160">
        <f t="shared" si="304"/>
        <v>0.99</v>
      </c>
    </row>
    <row r="825" spans="1:31" x14ac:dyDescent="0.3">
      <c r="A825" s="187">
        <v>16</v>
      </c>
      <c r="B825" s="242">
        <f t="shared" si="305"/>
        <v>46113</v>
      </c>
      <c r="C825" s="243">
        <f t="shared" si="288"/>
        <v>46142</v>
      </c>
      <c r="D825" s="120">
        <f t="shared" si="289"/>
        <v>30</v>
      </c>
      <c r="E825" s="120">
        <f t="shared" si="290"/>
        <v>4</v>
      </c>
      <c r="F825" s="275">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0.99</v>
      </c>
      <c r="P825" s="121">
        <f t="shared" si="301"/>
        <v>0.70833333333333337</v>
      </c>
      <c r="Q825" s="121">
        <f t="shared" si="302"/>
        <v>0.29166666666666663</v>
      </c>
      <c r="R825" s="121">
        <f t="shared" si="303"/>
        <v>0</v>
      </c>
      <c r="AE825" s="160">
        <f t="shared" si="304"/>
        <v>0.99</v>
      </c>
    </row>
    <row r="826" spans="1:31" x14ac:dyDescent="0.3">
      <c r="A826" s="187">
        <v>17</v>
      </c>
      <c r="B826" s="242">
        <f t="shared" si="305"/>
        <v>46143</v>
      </c>
      <c r="C826" s="243">
        <f t="shared" si="288"/>
        <v>46173</v>
      </c>
      <c r="D826" s="120">
        <f t="shared" si="289"/>
        <v>31</v>
      </c>
      <c r="E826" s="120">
        <f t="shared" si="290"/>
        <v>5</v>
      </c>
      <c r="F826" s="275">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0.99</v>
      </c>
      <c r="P826" s="121">
        <f t="shared" si="301"/>
        <v>0.625</v>
      </c>
      <c r="Q826" s="121">
        <f t="shared" si="302"/>
        <v>0.375</v>
      </c>
      <c r="R826" s="121">
        <f t="shared" si="303"/>
        <v>0</v>
      </c>
      <c r="AE826" s="160">
        <f t="shared" si="304"/>
        <v>1.0296000000000001</v>
      </c>
    </row>
    <row r="827" spans="1:31" x14ac:dyDescent="0.3">
      <c r="A827" s="187">
        <v>18</v>
      </c>
      <c r="B827" s="242">
        <f t="shared" si="305"/>
        <v>46174</v>
      </c>
      <c r="C827" s="243">
        <f t="shared" si="288"/>
        <v>46203</v>
      </c>
      <c r="D827" s="120">
        <f t="shared" si="289"/>
        <v>30</v>
      </c>
      <c r="E827" s="120">
        <f t="shared" si="290"/>
        <v>6</v>
      </c>
      <c r="F827" s="275">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0.99</v>
      </c>
      <c r="P827" s="121">
        <f t="shared" si="301"/>
        <v>0.54166666666666663</v>
      </c>
      <c r="Q827" s="121">
        <f t="shared" si="302"/>
        <v>0.45833333333333337</v>
      </c>
      <c r="R827" s="121">
        <f t="shared" si="303"/>
        <v>0</v>
      </c>
      <c r="AE827" s="160">
        <f t="shared" si="304"/>
        <v>1.0296000000000001</v>
      </c>
    </row>
    <row r="828" spans="1:31" x14ac:dyDescent="0.3">
      <c r="A828" s="187">
        <v>19</v>
      </c>
      <c r="B828" s="242">
        <f t="shared" si="305"/>
        <v>46204</v>
      </c>
      <c r="C828" s="243">
        <f t="shared" si="288"/>
        <v>46234</v>
      </c>
      <c r="D828" s="120">
        <f t="shared" si="289"/>
        <v>31</v>
      </c>
      <c r="E828" s="120">
        <f t="shared" si="290"/>
        <v>7</v>
      </c>
      <c r="F828" s="275">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0.99</v>
      </c>
      <c r="P828" s="121">
        <f t="shared" si="301"/>
        <v>0.45833333333333331</v>
      </c>
      <c r="Q828" s="121">
        <f t="shared" si="302"/>
        <v>0.54166666666666674</v>
      </c>
      <c r="R828" s="121">
        <f t="shared" si="303"/>
        <v>0</v>
      </c>
      <c r="AE828" s="160">
        <f t="shared" si="304"/>
        <v>1.0296000000000001</v>
      </c>
    </row>
    <row r="829" spans="1:31" x14ac:dyDescent="0.3">
      <c r="A829" s="187">
        <v>20</v>
      </c>
      <c r="B829" s="242">
        <f t="shared" si="305"/>
        <v>46235</v>
      </c>
      <c r="C829" s="243">
        <f t="shared" si="288"/>
        <v>46265</v>
      </c>
      <c r="D829" s="120">
        <f t="shared" si="289"/>
        <v>31</v>
      </c>
      <c r="E829" s="120">
        <f t="shared" si="290"/>
        <v>8</v>
      </c>
      <c r="F829" s="275">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0.99</v>
      </c>
      <c r="P829" s="121">
        <f t="shared" si="301"/>
        <v>0.375</v>
      </c>
      <c r="Q829" s="121">
        <f t="shared" si="302"/>
        <v>0.625</v>
      </c>
      <c r="R829" s="121">
        <f t="shared" si="303"/>
        <v>0</v>
      </c>
      <c r="AE829" s="160">
        <f t="shared" si="304"/>
        <v>1.0296000000000001</v>
      </c>
    </row>
    <row r="830" spans="1:31" x14ac:dyDescent="0.3">
      <c r="A830" s="187">
        <v>21</v>
      </c>
      <c r="B830" s="242">
        <f t="shared" si="305"/>
        <v>46266</v>
      </c>
      <c r="C830" s="243">
        <f t="shared" si="288"/>
        <v>46295</v>
      </c>
      <c r="D830" s="120">
        <f t="shared" si="289"/>
        <v>30</v>
      </c>
      <c r="E830" s="120">
        <f t="shared" si="290"/>
        <v>9</v>
      </c>
      <c r="F830" s="275">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0.99</v>
      </c>
      <c r="P830" s="121">
        <f t="shared" si="301"/>
        <v>0.29166666666666669</v>
      </c>
      <c r="Q830" s="121">
        <f t="shared" si="302"/>
        <v>0.70833333333333326</v>
      </c>
      <c r="R830" s="121">
        <f t="shared" si="303"/>
        <v>0</v>
      </c>
      <c r="AE830" s="160">
        <f t="shared" si="304"/>
        <v>1.0296000000000001</v>
      </c>
    </row>
    <row r="831" spans="1:31" x14ac:dyDescent="0.3">
      <c r="A831" s="187">
        <v>22</v>
      </c>
      <c r="B831" s="242">
        <f t="shared" si="305"/>
        <v>46296</v>
      </c>
      <c r="C831" s="243">
        <f t="shared" si="288"/>
        <v>46326</v>
      </c>
      <c r="D831" s="120">
        <f t="shared" si="289"/>
        <v>31</v>
      </c>
      <c r="E831" s="120">
        <f t="shared" si="290"/>
        <v>10</v>
      </c>
      <c r="F831" s="275">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0.99</v>
      </c>
      <c r="P831" s="121">
        <f t="shared" si="301"/>
        <v>0.20833333333333334</v>
      </c>
      <c r="Q831" s="121">
        <f t="shared" si="302"/>
        <v>0.79166666666666663</v>
      </c>
      <c r="R831" s="121">
        <f t="shared" si="303"/>
        <v>0</v>
      </c>
      <c r="AE831" s="160">
        <f t="shared" si="304"/>
        <v>1.0296000000000001</v>
      </c>
    </row>
    <row r="832" spans="1:31" x14ac:dyDescent="0.3">
      <c r="A832" s="187">
        <v>23</v>
      </c>
      <c r="B832" s="242">
        <f t="shared" si="305"/>
        <v>46327</v>
      </c>
      <c r="C832" s="243">
        <f t="shared" si="288"/>
        <v>46356</v>
      </c>
      <c r="D832" s="120">
        <f t="shared" si="289"/>
        <v>30</v>
      </c>
      <c r="E832" s="120">
        <f t="shared" si="290"/>
        <v>11</v>
      </c>
      <c r="F832" s="275">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0.99</v>
      </c>
      <c r="P832" s="121">
        <f t="shared" si="301"/>
        <v>0.125</v>
      </c>
      <c r="Q832" s="121">
        <f t="shared" si="302"/>
        <v>0.875</v>
      </c>
      <c r="R832" s="121">
        <f t="shared" si="303"/>
        <v>0</v>
      </c>
      <c r="AE832" s="160">
        <f t="shared" si="304"/>
        <v>1.0296000000000001</v>
      </c>
    </row>
    <row r="833" spans="1:35" x14ac:dyDescent="0.3">
      <c r="A833" s="187">
        <v>24</v>
      </c>
      <c r="B833" s="242">
        <f t="shared" si="305"/>
        <v>46357</v>
      </c>
      <c r="C833" s="243">
        <f t="shared" si="288"/>
        <v>46387</v>
      </c>
      <c r="D833" s="120">
        <f t="shared" si="289"/>
        <v>31</v>
      </c>
      <c r="E833" s="120">
        <f t="shared" si="290"/>
        <v>12</v>
      </c>
      <c r="F833" s="275">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0.99</v>
      </c>
      <c r="P833" s="121">
        <f t="shared" si="301"/>
        <v>4.1666666666666664E-2</v>
      </c>
      <c r="Q833" s="121">
        <f t="shared" si="302"/>
        <v>0.95833333333333337</v>
      </c>
      <c r="R833" s="121">
        <f t="shared" si="303"/>
        <v>0</v>
      </c>
      <c r="AE833" s="160">
        <f t="shared" si="304"/>
        <v>1.0296000000000001</v>
      </c>
    </row>
    <row r="834" spans="1:35" x14ac:dyDescent="0.3">
      <c r="A834" s="187">
        <v>25</v>
      </c>
      <c r="B834" s="242">
        <f t="shared" si="305"/>
        <v>46388</v>
      </c>
      <c r="C834" s="243">
        <f t="shared" si="288"/>
        <v>46418</v>
      </c>
      <c r="D834" s="120">
        <f t="shared" si="289"/>
        <v>31</v>
      </c>
      <c r="E834" s="120">
        <f t="shared" si="290"/>
        <v>1</v>
      </c>
      <c r="F834" s="275">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0.99</v>
      </c>
      <c r="P834" s="121">
        <f t="shared" si="301"/>
        <v>0</v>
      </c>
      <c r="Q834" s="121">
        <f t="shared" si="302"/>
        <v>0.95833333333333337</v>
      </c>
      <c r="R834" s="121">
        <f t="shared" si="303"/>
        <v>4.166666666666663E-2</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0.75712253829321663</v>
      </c>
      <c r="AD834" s="160">
        <f t="shared" ref="AD834:AD845" si="311">$H834*($W834+$X834*IF(ISNUMBER($F$858),$F$858,0))/($N822*$O822)</f>
        <v>1.0505050505050506</v>
      </c>
      <c r="AE834" s="160">
        <f t="shared" si="304"/>
        <v>1.0296000000000001</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5">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0.99</v>
      </c>
      <c r="P835" s="121">
        <f t="shared" si="301"/>
        <v>0</v>
      </c>
      <c r="Q835" s="121">
        <f t="shared" si="302"/>
        <v>0.875</v>
      </c>
      <c r="R835" s="121">
        <f t="shared" si="303"/>
        <v>0.125</v>
      </c>
      <c r="W835" s="160">
        <f t="shared" si="306"/>
        <v>1.04</v>
      </c>
      <c r="X835" s="160">
        <f t="shared" si="307"/>
        <v>0</v>
      </c>
      <c r="Y835" s="160">
        <f t="shared" si="308"/>
        <v>1</v>
      </c>
      <c r="AB835" s="160">
        <f t="shared" si="309"/>
        <v>0.29978118161925604</v>
      </c>
      <c r="AC835" s="220">
        <f t="shared" si="310"/>
        <v>0.69321663019693647</v>
      </c>
      <c r="AD835" s="160">
        <f t="shared" si="311"/>
        <v>1.0505050505050506</v>
      </c>
      <c r="AE835" s="160">
        <f t="shared" si="304"/>
        <v>1.0296000000000001</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5">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0.99</v>
      </c>
      <c r="P836" s="121">
        <f t="shared" si="301"/>
        <v>0</v>
      </c>
      <c r="Q836" s="121">
        <f t="shared" si="302"/>
        <v>0.79166666666666663</v>
      </c>
      <c r="R836" s="121">
        <f t="shared" si="303"/>
        <v>0.20833333333333337</v>
      </c>
      <c r="W836" s="160">
        <f t="shared" si="306"/>
        <v>1.04</v>
      </c>
      <c r="X836" s="160">
        <f t="shared" si="307"/>
        <v>0</v>
      </c>
      <c r="Y836" s="160">
        <f t="shared" si="308"/>
        <v>1</v>
      </c>
      <c r="AB836" s="160">
        <f t="shared" si="309"/>
        <v>0.36433260393873085</v>
      </c>
      <c r="AC836" s="220">
        <f t="shared" si="310"/>
        <v>0.62931072210065642</v>
      </c>
      <c r="AD836" s="160">
        <f t="shared" si="311"/>
        <v>1.0505050505050506</v>
      </c>
      <c r="AE836" s="160">
        <f t="shared" si="304"/>
        <v>1.0296000000000001</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5">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0.99</v>
      </c>
      <c r="P837" s="121">
        <f t="shared" si="301"/>
        <v>0</v>
      </c>
      <c r="Q837" s="121">
        <f t="shared" si="302"/>
        <v>0.70833333333333337</v>
      </c>
      <c r="R837" s="121">
        <f t="shared" si="303"/>
        <v>0.29166666666666663</v>
      </c>
      <c r="W837" s="160">
        <f t="shared" si="306"/>
        <v>1.04</v>
      </c>
      <c r="X837" s="160">
        <f t="shared" si="307"/>
        <v>1.04</v>
      </c>
      <c r="Y837" s="160">
        <f t="shared" si="308"/>
        <v>1</v>
      </c>
      <c r="AB837" s="160">
        <f t="shared" si="309"/>
        <v>0.4310722100656455</v>
      </c>
      <c r="AC837" s="220">
        <f t="shared" si="310"/>
        <v>0.56323851203501096</v>
      </c>
      <c r="AD837" s="160">
        <f t="shared" si="311"/>
        <v>1.0505050505050506</v>
      </c>
      <c r="AE837" s="160">
        <f t="shared" si="304"/>
        <v>1.0296000000000001</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5">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0.99</v>
      </c>
      <c r="P838" s="121">
        <f t="shared" si="301"/>
        <v>0</v>
      </c>
      <c r="Q838" s="121">
        <f t="shared" si="302"/>
        <v>0.625</v>
      </c>
      <c r="R838" s="121">
        <f t="shared" si="303"/>
        <v>0.375</v>
      </c>
      <c r="W838" s="160">
        <f t="shared" si="306"/>
        <v>1.04</v>
      </c>
      <c r="X838" s="160">
        <f t="shared" si="307"/>
        <v>1.04</v>
      </c>
      <c r="Y838" s="160">
        <f t="shared" si="308"/>
        <v>1</v>
      </c>
      <c r="AB838" s="160">
        <f t="shared" si="309"/>
        <v>0.49781181619256015</v>
      </c>
      <c r="AC838" s="220">
        <f t="shared" si="310"/>
        <v>0.4971663019693654</v>
      </c>
      <c r="AD838" s="160">
        <f t="shared" si="311"/>
        <v>1.0101010101010102</v>
      </c>
      <c r="AE838" s="160">
        <f t="shared" si="304"/>
        <v>1.0296000000000001</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5">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0.99</v>
      </c>
      <c r="P839" s="121">
        <f t="shared" si="301"/>
        <v>0</v>
      </c>
      <c r="Q839" s="121">
        <f t="shared" si="302"/>
        <v>0.54166666666666663</v>
      </c>
      <c r="R839" s="121">
        <f t="shared" si="303"/>
        <v>0.45833333333333337</v>
      </c>
      <c r="W839" s="160">
        <f t="shared" si="306"/>
        <v>1.04</v>
      </c>
      <c r="X839" s="160">
        <f t="shared" si="307"/>
        <v>1.04</v>
      </c>
      <c r="Y839" s="160">
        <f t="shared" si="308"/>
        <v>1</v>
      </c>
      <c r="AB839" s="160">
        <f t="shared" si="309"/>
        <v>0.56455142231947486</v>
      </c>
      <c r="AC839" s="220">
        <f t="shared" si="310"/>
        <v>0.43109409190371989</v>
      </c>
      <c r="AD839" s="160">
        <f t="shared" si="311"/>
        <v>1.0101010101010102</v>
      </c>
      <c r="AE839" s="160">
        <f t="shared" si="304"/>
        <v>1.0296000000000001</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5">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0.99</v>
      </c>
      <c r="P840" s="121">
        <f t="shared" si="301"/>
        <v>0</v>
      </c>
      <c r="Q840" s="121">
        <f t="shared" si="302"/>
        <v>0.45833333333333331</v>
      </c>
      <c r="R840" s="121">
        <f t="shared" si="303"/>
        <v>0.54166666666666674</v>
      </c>
      <c r="W840" s="160">
        <f t="shared" si="306"/>
        <v>1.04</v>
      </c>
      <c r="X840" s="160">
        <f t="shared" si="307"/>
        <v>1.04</v>
      </c>
      <c r="Y840" s="160">
        <f t="shared" si="308"/>
        <v>1</v>
      </c>
      <c r="AB840" s="160">
        <f t="shared" si="309"/>
        <v>0.63129102844638951</v>
      </c>
      <c r="AC840" s="220">
        <f t="shared" si="310"/>
        <v>0.36502188183807438</v>
      </c>
      <c r="AD840" s="160">
        <f t="shared" si="311"/>
        <v>1.0101010101010102</v>
      </c>
      <c r="AE840" s="160">
        <f t="shared" si="304"/>
        <v>1.0296000000000001</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5">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0.99</v>
      </c>
      <c r="P841" s="121">
        <f t="shared" si="301"/>
        <v>0</v>
      </c>
      <c r="Q841" s="121">
        <f t="shared" si="302"/>
        <v>0.375</v>
      </c>
      <c r="R841" s="121">
        <f t="shared" si="303"/>
        <v>0.625</v>
      </c>
      <c r="W841" s="160">
        <f t="shared" si="306"/>
        <v>1.04</v>
      </c>
      <c r="X841" s="160">
        <f t="shared" si="307"/>
        <v>1.04</v>
      </c>
      <c r="Y841" s="160">
        <f t="shared" si="308"/>
        <v>1</v>
      </c>
      <c r="AB841" s="160">
        <f t="shared" si="309"/>
        <v>0.69912472647702406</v>
      </c>
      <c r="AC841" s="220">
        <f t="shared" si="310"/>
        <v>0.29786652078774617</v>
      </c>
      <c r="AD841" s="160">
        <f t="shared" si="311"/>
        <v>1.0101010101010102</v>
      </c>
      <c r="AE841" s="160">
        <f t="shared" si="304"/>
        <v>1.0296000000000001</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5">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0.99</v>
      </c>
      <c r="P842" s="121">
        <f t="shared" si="301"/>
        <v>0</v>
      </c>
      <c r="Q842" s="121">
        <f t="shared" si="302"/>
        <v>0.29166666666666669</v>
      </c>
      <c r="R842" s="121">
        <f t="shared" si="303"/>
        <v>0.70833333333333326</v>
      </c>
      <c r="W842" s="160">
        <f t="shared" si="306"/>
        <v>1.04</v>
      </c>
      <c r="X842" s="160">
        <f t="shared" si="307"/>
        <v>1.04</v>
      </c>
      <c r="Y842" s="160">
        <f t="shared" si="308"/>
        <v>1</v>
      </c>
      <c r="AB842" s="160">
        <f t="shared" si="309"/>
        <v>0.76586433260393871</v>
      </c>
      <c r="AC842" s="220">
        <f t="shared" si="310"/>
        <v>0.23179431072210066</v>
      </c>
      <c r="AD842" s="160">
        <f t="shared" si="311"/>
        <v>1.0101010101010102</v>
      </c>
      <c r="AE842" s="160">
        <f t="shared" si="304"/>
        <v>1.0296000000000001</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5">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0.99</v>
      </c>
      <c r="P843" s="121">
        <f t="shared" si="301"/>
        <v>0</v>
      </c>
      <c r="Q843" s="121">
        <f t="shared" si="302"/>
        <v>0.20833333333333334</v>
      </c>
      <c r="R843" s="121">
        <f t="shared" si="303"/>
        <v>0.79166666666666663</v>
      </c>
      <c r="W843" s="160">
        <f t="shared" si="306"/>
        <v>1.04</v>
      </c>
      <c r="X843" s="160">
        <f t="shared" si="307"/>
        <v>1.04</v>
      </c>
      <c r="Y843" s="160">
        <f t="shared" si="308"/>
        <v>1</v>
      </c>
      <c r="AB843" s="160">
        <f t="shared" si="309"/>
        <v>0.83260393873085337</v>
      </c>
      <c r="AC843" s="220">
        <f t="shared" si="310"/>
        <v>0.16572210065645518</v>
      </c>
      <c r="AD843" s="160">
        <f t="shared" si="311"/>
        <v>1.0101010101010102</v>
      </c>
      <c r="AE843" s="160">
        <f t="shared" si="304"/>
        <v>1.0296000000000001</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5">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0.99</v>
      </c>
      <c r="P844" s="121">
        <f t="shared" si="301"/>
        <v>0</v>
      </c>
      <c r="Q844" s="121">
        <f t="shared" si="302"/>
        <v>0.125</v>
      </c>
      <c r="R844" s="121">
        <f t="shared" si="303"/>
        <v>0.875</v>
      </c>
      <c r="W844" s="160">
        <f t="shared" si="306"/>
        <v>1.04</v>
      </c>
      <c r="X844" s="160">
        <f t="shared" si="307"/>
        <v>1.04</v>
      </c>
      <c r="Y844" s="160">
        <f t="shared" si="308"/>
        <v>1</v>
      </c>
      <c r="AB844" s="160">
        <f t="shared" si="309"/>
        <v>0.89934354485776802</v>
      </c>
      <c r="AC844" s="220">
        <f t="shared" si="310"/>
        <v>9.9649890590809656E-2</v>
      </c>
      <c r="AD844" s="160">
        <f t="shared" si="311"/>
        <v>1.0101010101010102</v>
      </c>
      <c r="AE844" s="160">
        <f t="shared" si="304"/>
        <v>1.0296000000000001</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5">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0.99</v>
      </c>
      <c r="P845" s="121">
        <f t="shared" si="301"/>
        <v>0</v>
      </c>
      <c r="Q845" s="121">
        <f t="shared" si="302"/>
        <v>4.1666666666666664E-2</v>
      </c>
      <c r="R845" s="121">
        <f t="shared" si="303"/>
        <v>0.95833333333333337</v>
      </c>
      <c r="W845" s="160">
        <f t="shared" si="306"/>
        <v>1.04</v>
      </c>
      <c r="X845" s="160">
        <f t="shared" si="307"/>
        <v>1.04</v>
      </c>
      <c r="Y845" s="160">
        <f t="shared" si="308"/>
        <v>1</v>
      </c>
      <c r="AB845" s="160">
        <f t="shared" si="309"/>
        <v>0.96608315098468267</v>
      </c>
      <c r="AC845" s="220">
        <f t="shared" si="310"/>
        <v>3.3577680525164154E-2</v>
      </c>
      <c r="AD845" s="160">
        <f t="shared" si="311"/>
        <v>1.0101010101010102</v>
      </c>
      <c r="AE845" s="160">
        <f t="shared" si="304"/>
        <v>1.0296000000000001</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5">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0.99</v>
      </c>
      <c r="P846" s="121">
        <f t="shared" si="301"/>
        <v>0</v>
      </c>
      <c r="Q846" s="121">
        <f t="shared" si="302"/>
        <v>0</v>
      </c>
      <c r="R846" s="121">
        <f t="shared" si="303"/>
        <v>0.95833333333333337</v>
      </c>
      <c r="AE846" s="160">
        <f t="shared" si="304"/>
        <v>1.0296000000000001</v>
      </c>
    </row>
    <row r="847" spans="1:35" x14ac:dyDescent="0.3">
      <c r="A847" s="187">
        <v>38</v>
      </c>
      <c r="B847" s="242">
        <f t="shared" si="305"/>
        <v>46784</v>
      </c>
      <c r="C847" s="243">
        <f t="shared" si="288"/>
        <v>46812</v>
      </c>
      <c r="D847" s="120">
        <f t="shared" si="289"/>
        <v>29</v>
      </c>
      <c r="E847" s="120">
        <f t="shared" si="290"/>
        <v>2</v>
      </c>
      <c r="F847" s="275">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0.99</v>
      </c>
      <c r="P847" s="121">
        <f t="shared" si="301"/>
        <v>0</v>
      </c>
      <c r="Q847" s="121">
        <f t="shared" si="302"/>
        <v>0</v>
      </c>
      <c r="R847" s="121">
        <f t="shared" si="303"/>
        <v>0.875</v>
      </c>
      <c r="AE847" s="160">
        <f t="shared" si="304"/>
        <v>1.0296000000000001</v>
      </c>
    </row>
    <row r="848" spans="1:35" x14ac:dyDescent="0.3">
      <c r="A848" s="187">
        <v>39</v>
      </c>
      <c r="B848" s="242">
        <f t="shared" si="305"/>
        <v>46813</v>
      </c>
      <c r="C848" s="243">
        <f t="shared" si="288"/>
        <v>46843</v>
      </c>
      <c r="D848" s="120">
        <f t="shared" si="289"/>
        <v>31</v>
      </c>
      <c r="E848" s="120">
        <f t="shared" si="290"/>
        <v>3</v>
      </c>
      <c r="F848" s="275">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0.99</v>
      </c>
      <c r="P848" s="121">
        <f t="shared" si="301"/>
        <v>0</v>
      </c>
      <c r="Q848" s="121">
        <f t="shared" si="302"/>
        <v>0</v>
      </c>
      <c r="R848" s="121">
        <f t="shared" si="303"/>
        <v>0.79166666666666663</v>
      </c>
      <c r="AE848" s="160">
        <f t="shared" si="304"/>
        <v>1.0296000000000001</v>
      </c>
    </row>
    <row r="849" spans="1:31" x14ac:dyDescent="0.3">
      <c r="A849" s="187">
        <v>40</v>
      </c>
      <c r="B849" s="242">
        <f t="shared" si="305"/>
        <v>46844</v>
      </c>
      <c r="C849" s="243">
        <f t="shared" si="288"/>
        <v>46873</v>
      </c>
      <c r="D849" s="120">
        <f t="shared" si="289"/>
        <v>30</v>
      </c>
      <c r="E849" s="120">
        <f t="shared" si="290"/>
        <v>4</v>
      </c>
      <c r="F849" s="275">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0.99</v>
      </c>
      <c r="P849" s="121">
        <f t="shared" si="301"/>
        <v>0</v>
      </c>
      <c r="Q849" s="121">
        <f t="shared" si="302"/>
        <v>0</v>
      </c>
      <c r="R849" s="121">
        <f t="shared" si="303"/>
        <v>0.70833333333333337</v>
      </c>
      <c r="AE849" s="160">
        <f t="shared" si="304"/>
        <v>1.0296000000000001</v>
      </c>
    </row>
    <row r="850" spans="1:31" x14ac:dyDescent="0.3">
      <c r="A850" s="187">
        <v>41</v>
      </c>
      <c r="B850" s="242">
        <f t="shared" si="305"/>
        <v>46874</v>
      </c>
      <c r="C850" s="243">
        <f t="shared" si="288"/>
        <v>46904</v>
      </c>
      <c r="D850" s="120">
        <f t="shared" si="289"/>
        <v>31</v>
      </c>
      <c r="E850" s="120">
        <f t="shared" si="290"/>
        <v>5</v>
      </c>
      <c r="F850" s="275">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0.99</v>
      </c>
      <c r="P850" s="121">
        <f t="shared" si="301"/>
        <v>0</v>
      </c>
      <c r="Q850" s="121">
        <f t="shared" si="302"/>
        <v>0</v>
      </c>
      <c r="R850" s="121">
        <f t="shared" si="303"/>
        <v>0.625</v>
      </c>
      <c r="AE850" s="160">
        <f t="shared" si="304"/>
        <v>1.0296000000000001</v>
      </c>
    </row>
    <row r="851" spans="1:31" x14ac:dyDescent="0.3">
      <c r="A851" s="187">
        <v>42</v>
      </c>
      <c r="B851" s="242">
        <f t="shared" si="305"/>
        <v>46905</v>
      </c>
      <c r="C851" s="243">
        <f t="shared" si="288"/>
        <v>46934</v>
      </c>
      <c r="D851" s="120">
        <f t="shared" si="289"/>
        <v>30</v>
      </c>
      <c r="E851" s="120">
        <f t="shared" si="290"/>
        <v>6</v>
      </c>
      <c r="F851" s="275">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0.99</v>
      </c>
      <c r="P851" s="121">
        <f t="shared" si="301"/>
        <v>0</v>
      </c>
      <c r="Q851" s="121">
        <f t="shared" si="302"/>
        <v>0</v>
      </c>
      <c r="R851" s="121">
        <f t="shared" si="303"/>
        <v>0.54166666666666663</v>
      </c>
      <c r="AE851" s="160">
        <f t="shared" si="304"/>
        <v>1.0296000000000001</v>
      </c>
    </row>
    <row r="852" spans="1:31" x14ac:dyDescent="0.3">
      <c r="A852" s="187">
        <v>43</v>
      </c>
      <c r="B852" s="242">
        <f t="shared" si="305"/>
        <v>46935</v>
      </c>
      <c r="C852" s="243">
        <f t="shared" si="288"/>
        <v>46965</v>
      </c>
      <c r="D852" s="120">
        <f t="shared" si="289"/>
        <v>31</v>
      </c>
      <c r="E852" s="120">
        <f t="shared" si="290"/>
        <v>7</v>
      </c>
      <c r="F852" s="275">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0.99</v>
      </c>
      <c r="P852" s="121">
        <f t="shared" si="301"/>
        <v>0</v>
      </c>
      <c r="Q852" s="121">
        <f t="shared" si="302"/>
        <v>0</v>
      </c>
      <c r="R852" s="121">
        <f t="shared" si="303"/>
        <v>0.45833333333333331</v>
      </c>
      <c r="AE852" s="160">
        <f t="shared" si="304"/>
        <v>1.0296000000000001</v>
      </c>
    </row>
    <row r="853" spans="1:31" x14ac:dyDescent="0.3">
      <c r="A853" s="187">
        <v>44</v>
      </c>
      <c r="B853" s="242">
        <f t="shared" si="305"/>
        <v>46966</v>
      </c>
      <c r="C853" s="243">
        <f t="shared" si="288"/>
        <v>46996</v>
      </c>
      <c r="D853" s="120">
        <f t="shared" si="289"/>
        <v>31</v>
      </c>
      <c r="E853" s="120">
        <f t="shared" si="290"/>
        <v>8</v>
      </c>
      <c r="F853" s="275">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0.99</v>
      </c>
      <c r="P853" s="121">
        <f t="shared" si="301"/>
        <v>0</v>
      </c>
      <c r="Q853" s="121">
        <f t="shared" si="302"/>
        <v>0</v>
      </c>
      <c r="R853" s="121">
        <f t="shared" si="303"/>
        <v>0.375</v>
      </c>
      <c r="AE853" s="160">
        <f t="shared" si="304"/>
        <v>1.0296000000000001</v>
      </c>
    </row>
    <row r="854" spans="1:31" x14ac:dyDescent="0.3">
      <c r="A854" s="187">
        <v>45</v>
      </c>
      <c r="B854" s="242">
        <f t="shared" si="305"/>
        <v>46997</v>
      </c>
      <c r="C854" s="243">
        <f t="shared" si="288"/>
        <v>47026</v>
      </c>
      <c r="D854" s="120">
        <f t="shared" si="289"/>
        <v>30</v>
      </c>
      <c r="E854" s="120">
        <f t="shared" si="290"/>
        <v>9</v>
      </c>
      <c r="F854" s="275">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0.99</v>
      </c>
      <c r="P854" s="121">
        <f t="shared" si="301"/>
        <v>0</v>
      </c>
      <c r="Q854" s="121">
        <f t="shared" si="302"/>
        <v>0</v>
      </c>
      <c r="R854" s="121">
        <f t="shared" si="303"/>
        <v>0.29166666666666669</v>
      </c>
      <c r="AE854" s="160">
        <f t="shared" si="304"/>
        <v>1.0296000000000001</v>
      </c>
    </row>
    <row r="855" spans="1:31" x14ac:dyDescent="0.3">
      <c r="A855" s="187">
        <v>46</v>
      </c>
      <c r="B855" s="242">
        <f t="shared" si="305"/>
        <v>47027</v>
      </c>
      <c r="C855" s="243">
        <f t="shared" si="288"/>
        <v>47057</v>
      </c>
      <c r="D855" s="120">
        <f t="shared" si="289"/>
        <v>31</v>
      </c>
      <c r="E855" s="120">
        <f t="shared" si="290"/>
        <v>10</v>
      </c>
      <c r="F855" s="275">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0.99</v>
      </c>
      <c r="P855" s="121">
        <f t="shared" si="301"/>
        <v>0</v>
      </c>
      <c r="Q855" s="121">
        <f t="shared" si="302"/>
        <v>0</v>
      </c>
      <c r="R855" s="121">
        <f t="shared" si="303"/>
        <v>0.20833333333333334</v>
      </c>
      <c r="AE855" s="160">
        <f t="shared" si="304"/>
        <v>1.0296000000000001</v>
      </c>
    </row>
    <row r="856" spans="1:31" x14ac:dyDescent="0.3">
      <c r="A856" s="187">
        <v>47</v>
      </c>
      <c r="B856" s="242">
        <f t="shared" si="305"/>
        <v>47058</v>
      </c>
      <c r="C856" s="243">
        <f t="shared" si="288"/>
        <v>47087</v>
      </c>
      <c r="D856" s="120">
        <f t="shared" si="289"/>
        <v>30</v>
      </c>
      <c r="E856" s="120">
        <f t="shared" si="290"/>
        <v>11</v>
      </c>
      <c r="F856" s="275">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0.99</v>
      </c>
      <c r="P856" s="121">
        <f t="shared" si="301"/>
        <v>0</v>
      </c>
      <c r="Q856" s="121">
        <f t="shared" si="302"/>
        <v>0</v>
      </c>
      <c r="R856" s="121">
        <f t="shared" si="303"/>
        <v>0.125</v>
      </c>
      <c r="AE856" s="160">
        <f t="shared" si="304"/>
        <v>1.0296000000000001</v>
      </c>
    </row>
    <row r="857" spans="1:31" x14ac:dyDescent="0.3">
      <c r="A857" s="187">
        <v>48</v>
      </c>
      <c r="B857" s="242">
        <f t="shared" si="305"/>
        <v>47088</v>
      </c>
      <c r="C857" s="243">
        <f t="shared" si="288"/>
        <v>47118</v>
      </c>
      <c r="D857" s="120">
        <f t="shared" si="289"/>
        <v>31</v>
      </c>
      <c r="E857" s="120">
        <f t="shared" si="290"/>
        <v>12</v>
      </c>
      <c r="F857" s="275">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0.99</v>
      </c>
      <c r="P857" s="121">
        <f t="shared" si="301"/>
        <v>0</v>
      </c>
      <c r="Q857" s="121">
        <f t="shared" si="302"/>
        <v>0</v>
      </c>
      <c r="R857" s="121">
        <f t="shared" si="303"/>
        <v>4.1666666666666664E-2</v>
      </c>
      <c r="AE857" s="160">
        <f t="shared" si="304"/>
        <v>1.0296000000000001</v>
      </c>
    </row>
    <row r="858" spans="1:31" x14ac:dyDescent="0.3">
      <c r="A858" s="23" t="s">
        <v>1723</v>
      </c>
      <c r="B858" s="279">
        <f>SUM($H$834:$H$845)</f>
        <v>12</v>
      </c>
      <c r="C858" s="160">
        <f>SUMPRODUCT($H$834:$H$845,$W$834:$W$845/$N$822:$N$833,$Y$834:$Y$845)</f>
        <v>12.16</v>
      </c>
      <c r="D858" s="160">
        <f>SUMPRODUCT($H$834:$H$845,$X$834:$X$845/$N$822:$N$833,$Y$834:$Y$845)</f>
        <v>9.0399999999999991</v>
      </c>
      <c r="E858" s="281" t="str">
        <f>IF(OR($D$807=0,$P$807=0,$D858=0),"n/a",((1+$E$807)*$B858-$C858)/$D858)</f>
        <v>n/a</v>
      </c>
      <c r="F858" s="281" t="str">
        <f>IF($V$807&lt;&gt;"",$V$807,$E858)</f>
        <v>n/a</v>
      </c>
      <c r="G858" s="281"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2">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1</v>
      </c>
      <c r="H863" s="220">
        <f>IF($C863=0,1,IF(N(INDEX(lr_m0,$C863))=0,1,INDEX(lr_m0,$C863)))</f>
        <v>0.99</v>
      </c>
      <c r="I863" s="278">
        <f>IF($C863=0,DATE(nr_PlanYear-1,10,1),IF(N(INDEX(lr_m0asof,$C863))=0,DATE(nr_PlanYear-1,10,1),INDEX(lr_m0asof,$C863)))</f>
        <v>46295</v>
      </c>
      <c r="J863" s="220">
        <f>IF($C863=0,1,IF(N(INDEX(lr_m1,$C863))=0,1,INDEX(lr_m1,$C863)))</f>
        <v>1.0049999999999999</v>
      </c>
      <c r="K863" s="220">
        <f>IF($C863=0,0,N(INDEX(lr_mprior,$C863)))</f>
        <v>0</v>
      </c>
      <c r="L863" s="220">
        <f>IF($C863=0,0,N(INDEX(lr_m2,$C863)))</f>
        <v>0</v>
      </c>
      <c r="M863" s="43">
        <f>IF(OR($A863="",COUNTIF(se_state,$A863)=0),0,MATCH($A863,se_state,0))</f>
        <v>0</v>
      </c>
      <c r="N863" s="279">
        <f>IF($M863=0,0,INDEX(se_sum,$M863))</f>
        <v>0</v>
      </c>
      <c r="O863" s="278">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80">
        <f>IF(ISBLANK('Net Delivery'!$E$20),$Y863,'Net Delivery'!$E$20)</f>
        <v>0.04</v>
      </c>
      <c r="W863" s="43">
        <f>IF($B863="",0,COUNTIFS(rl_key,$B863,rl_status,"planned",rl_eff,"&gt;="&amp;DATE(nr_PlanYear,1,1),rl_eff,"&lt;="&amp;DATE(nr_PlanYear,12,31)))</f>
        <v>1</v>
      </c>
      <c r="X863" s="278">
        <f>IF($W863=0,nd_DefaultDate,SUMIFS(rl_eff,rl_key,$B863,rl_firstplanned,1))</f>
        <v>46478</v>
      </c>
      <c r="Y863" s="280">
        <f>IF($W863=0,"",SUMIFS(rl_reff,rl_key,$B863,rl_firstplanned,1))</f>
        <v>0.04</v>
      </c>
      <c r="Z863" s="280">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5">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0.96956783369803068</v>
      </c>
      <c r="P866" s="121">
        <f t="shared" ref="P866:P913" si="329">MIN(1,MAX(0,(nr_MEndPm1-$G866+0.5)/nr_TermMonths))-MIN(1,MAX(0,(nr_MStartPm1-1-$G866+0.5)/nr_TermMonths))</f>
        <v>4.166666666666663E-2</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0.96956783369803068</v>
      </c>
    </row>
    <row r="867" spans="1:31" x14ac:dyDescent="0.3">
      <c r="A867" s="187">
        <v>2</v>
      </c>
      <c r="B867" s="242">
        <f t="shared" ref="B867:B913" si="333">EDATE($B866,1)</f>
        <v>45689</v>
      </c>
      <c r="C867" s="243">
        <f t="shared" si="316"/>
        <v>45716</v>
      </c>
      <c r="D867" s="120">
        <f t="shared" si="317"/>
        <v>28</v>
      </c>
      <c r="E867" s="120">
        <f t="shared" si="318"/>
        <v>2</v>
      </c>
      <c r="F867" s="275">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0.97053610503282284</v>
      </c>
      <c r="P867" s="121">
        <f t="shared" si="329"/>
        <v>0.125</v>
      </c>
      <c r="Q867" s="121">
        <f t="shared" si="330"/>
        <v>0</v>
      </c>
      <c r="R867" s="121">
        <f t="shared" si="331"/>
        <v>0</v>
      </c>
      <c r="AE867" s="160">
        <f t="shared" si="332"/>
        <v>0.97053610503282284</v>
      </c>
    </row>
    <row r="868" spans="1:31" x14ac:dyDescent="0.3">
      <c r="A868" s="187">
        <v>3</v>
      </c>
      <c r="B868" s="242">
        <f t="shared" si="333"/>
        <v>45717</v>
      </c>
      <c r="C868" s="243">
        <f t="shared" si="316"/>
        <v>45747</v>
      </c>
      <c r="D868" s="120">
        <f t="shared" si="317"/>
        <v>31</v>
      </c>
      <c r="E868" s="120">
        <f t="shared" si="318"/>
        <v>3</v>
      </c>
      <c r="F868" s="275">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0.971504376367615</v>
      </c>
      <c r="P868" s="121">
        <f t="shared" si="329"/>
        <v>0.20833333333333337</v>
      </c>
      <c r="Q868" s="121">
        <f t="shared" si="330"/>
        <v>0</v>
      </c>
      <c r="R868" s="121">
        <f t="shared" si="331"/>
        <v>0</v>
      </c>
      <c r="AE868" s="160">
        <f t="shared" si="332"/>
        <v>0.971504376367615</v>
      </c>
    </row>
    <row r="869" spans="1:31" x14ac:dyDescent="0.3">
      <c r="A869" s="187">
        <v>4</v>
      </c>
      <c r="B869" s="242">
        <f t="shared" si="333"/>
        <v>45748</v>
      </c>
      <c r="C869" s="243">
        <f t="shared" si="316"/>
        <v>45777</v>
      </c>
      <c r="D869" s="120">
        <f t="shared" si="317"/>
        <v>30</v>
      </c>
      <c r="E869" s="120">
        <f t="shared" si="318"/>
        <v>4</v>
      </c>
      <c r="F869" s="275">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0.97250547045951863</v>
      </c>
      <c r="P869" s="121">
        <f t="shared" si="329"/>
        <v>0.29166666666666663</v>
      </c>
      <c r="Q869" s="121">
        <f t="shared" si="330"/>
        <v>0</v>
      </c>
      <c r="R869" s="121">
        <f t="shared" si="331"/>
        <v>0</v>
      </c>
      <c r="AE869" s="160">
        <f t="shared" si="332"/>
        <v>0.97250547045951863</v>
      </c>
    </row>
    <row r="870" spans="1:31" x14ac:dyDescent="0.3">
      <c r="A870" s="187">
        <v>5</v>
      </c>
      <c r="B870" s="242">
        <f t="shared" si="333"/>
        <v>45778</v>
      </c>
      <c r="C870" s="243">
        <f t="shared" si="316"/>
        <v>45808</v>
      </c>
      <c r="D870" s="120">
        <f t="shared" si="317"/>
        <v>31</v>
      </c>
      <c r="E870" s="120">
        <f t="shared" si="318"/>
        <v>5</v>
      </c>
      <c r="F870" s="275">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0.97350656455142237</v>
      </c>
      <c r="P870" s="121">
        <f t="shared" si="329"/>
        <v>0.375</v>
      </c>
      <c r="Q870" s="121">
        <f t="shared" si="330"/>
        <v>0</v>
      </c>
      <c r="R870" s="121">
        <f t="shared" si="331"/>
        <v>0</v>
      </c>
      <c r="AE870" s="160">
        <f t="shared" si="332"/>
        <v>0.97350656455142237</v>
      </c>
    </row>
    <row r="871" spans="1:31" x14ac:dyDescent="0.3">
      <c r="A871" s="187">
        <v>6</v>
      </c>
      <c r="B871" s="242">
        <f t="shared" si="333"/>
        <v>45809</v>
      </c>
      <c r="C871" s="243">
        <f t="shared" si="316"/>
        <v>45838</v>
      </c>
      <c r="D871" s="120">
        <f t="shared" si="317"/>
        <v>30</v>
      </c>
      <c r="E871" s="120">
        <f t="shared" si="318"/>
        <v>6</v>
      </c>
      <c r="F871" s="275">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0.97450765864332611</v>
      </c>
      <c r="P871" s="121">
        <f t="shared" si="329"/>
        <v>0.45833333333333337</v>
      </c>
      <c r="Q871" s="121">
        <f t="shared" si="330"/>
        <v>0</v>
      </c>
      <c r="R871" s="121">
        <f t="shared" si="331"/>
        <v>0</v>
      </c>
      <c r="AE871" s="160">
        <f t="shared" si="332"/>
        <v>0.97450765864332611</v>
      </c>
    </row>
    <row r="872" spans="1:31" x14ac:dyDescent="0.3">
      <c r="A872" s="187">
        <v>7</v>
      </c>
      <c r="B872" s="242">
        <f t="shared" si="333"/>
        <v>45839</v>
      </c>
      <c r="C872" s="243">
        <f t="shared" si="316"/>
        <v>45869</v>
      </c>
      <c r="D872" s="120">
        <f t="shared" si="317"/>
        <v>31</v>
      </c>
      <c r="E872" s="120">
        <f t="shared" si="318"/>
        <v>7</v>
      </c>
      <c r="F872" s="275">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0.97550875273522986</v>
      </c>
      <c r="P872" s="121">
        <f t="shared" si="329"/>
        <v>0.54166666666666674</v>
      </c>
      <c r="Q872" s="121">
        <f t="shared" si="330"/>
        <v>0</v>
      </c>
      <c r="R872" s="121">
        <f t="shared" si="331"/>
        <v>0</v>
      </c>
      <c r="AE872" s="160">
        <f t="shared" si="332"/>
        <v>0.97550875273522986</v>
      </c>
    </row>
    <row r="873" spans="1:31" x14ac:dyDescent="0.3">
      <c r="A873" s="187">
        <v>8</v>
      </c>
      <c r="B873" s="242">
        <f t="shared" si="333"/>
        <v>45870</v>
      </c>
      <c r="C873" s="243">
        <f t="shared" si="316"/>
        <v>45900</v>
      </c>
      <c r="D873" s="120">
        <f t="shared" si="317"/>
        <v>31</v>
      </c>
      <c r="E873" s="120">
        <f t="shared" si="318"/>
        <v>8</v>
      </c>
      <c r="F873" s="275">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0.97652625820568928</v>
      </c>
      <c r="P873" s="121">
        <f t="shared" si="329"/>
        <v>0.625</v>
      </c>
      <c r="Q873" s="121">
        <f t="shared" si="330"/>
        <v>0</v>
      </c>
      <c r="R873" s="121">
        <f t="shared" si="331"/>
        <v>0</v>
      </c>
      <c r="AE873" s="160">
        <f t="shared" si="332"/>
        <v>0.97652625820568928</v>
      </c>
    </row>
    <row r="874" spans="1:31" x14ac:dyDescent="0.3">
      <c r="A874" s="187">
        <v>9</v>
      </c>
      <c r="B874" s="242">
        <f t="shared" si="333"/>
        <v>45901</v>
      </c>
      <c r="C874" s="243">
        <f t="shared" si="316"/>
        <v>45930</v>
      </c>
      <c r="D874" s="120">
        <f t="shared" si="317"/>
        <v>30</v>
      </c>
      <c r="E874" s="120">
        <f t="shared" si="318"/>
        <v>9</v>
      </c>
      <c r="F874" s="275">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0.97752735229759302</v>
      </c>
      <c r="P874" s="121">
        <f t="shared" si="329"/>
        <v>0.70833333333333326</v>
      </c>
      <c r="Q874" s="121">
        <f t="shared" si="330"/>
        <v>0</v>
      </c>
      <c r="R874" s="121">
        <f t="shared" si="331"/>
        <v>0</v>
      </c>
      <c r="AE874" s="160">
        <f t="shared" si="332"/>
        <v>0.97752735229759302</v>
      </c>
    </row>
    <row r="875" spans="1:31" x14ac:dyDescent="0.3">
      <c r="A875" s="187">
        <v>10</v>
      </c>
      <c r="B875" s="242">
        <f t="shared" si="333"/>
        <v>45931</v>
      </c>
      <c r="C875" s="243">
        <f t="shared" si="316"/>
        <v>45961</v>
      </c>
      <c r="D875" s="120">
        <f t="shared" si="317"/>
        <v>31</v>
      </c>
      <c r="E875" s="120">
        <f t="shared" si="318"/>
        <v>10</v>
      </c>
      <c r="F875" s="275">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0.97852844638949676</v>
      </c>
      <c r="P875" s="121">
        <f t="shared" si="329"/>
        <v>0.79166666666666663</v>
      </c>
      <c r="Q875" s="121">
        <f t="shared" si="330"/>
        <v>0</v>
      </c>
      <c r="R875" s="121">
        <f t="shared" si="331"/>
        <v>0</v>
      </c>
      <c r="AE875" s="160">
        <f t="shared" si="332"/>
        <v>0.97852844638949676</v>
      </c>
    </row>
    <row r="876" spans="1:31" x14ac:dyDescent="0.3">
      <c r="A876" s="187">
        <v>11</v>
      </c>
      <c r="B876" s="242">
        <f t="shared" si="333"/>
        <v>45962</v>
      </c>
      <c r="C876" s="243">
        <f t="shared" si="316"/>
        <v>45991</v>
      </c>
      <c r="D876" s="120">
        <f t="shared" si="317"/>
        <v>30</v>
      </c>
      <c r="E876" s="120">
        <f t="shared" si="318"/>
        <v>11</v>
      </c>
      <c r="F876" s="275">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0.97952954048140051</v>
      </c>
      <c r="P876" s="121">
        <f t="shared" si="329"/>
        <v>0.875</v>
      </c>
      <c r="Q876" s="121">
        <f t="shared" si="330"/>
        <v>0</v>
      </c>
      <c r="R876" s="121">
        <f t="shared" si="331"/>
        <v>0</v>
      </c>
      <c r="AE876" s="160">
        <f t="shared" si="332"/>
        <v>0.97952954048140051</v>
      </c>
    </row>
    <row r="877" spans="1:31" x14ac:dyDescent="0.3">
      <c r="A877" s="187">
        <v>12</v>
      </c>
      <c r="B877" s="242">
        <f t="shared" si="333"/>
        <v>45992</v>
      </c>
      <c r="C877" s="243">
        <f t="shared" si="316"/>
        <v>46022</v>
      </c>
      <c r="D877" s="120">
        <f t="shared" si="317"/>
        <v>31</v>
      </c>
      <c r="E877" s="120">
        <f t="shared" si="318"/>
        <v>12</v>
      </c>
      <c r="F877" s="275">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0.98053063457330414</v>
      </c>
      <c r="P877" s="121">
        <f t="shared" si="329"/>
        <v>0.95833333333333337</v>
      </c>
      <c r="Q877" s="121">
        <f t="shared" si="330"/>
        <v>0</v>
      </c>
      <c r="R877" s="121">
        <f t="shared" si="331"/>
        <v>0</v>
      </c>
      <c r="AE877" s="160">
        <f t="shared" si="332"/>
        <v>0.98053063457330414</v>
      </c>
    </row>
    <row r="878" spans="1:31" x14ac:dyDescent="0.3">
      <c r="A878" s="187">
        <v>13</v>
      </c>
      <c r="B878" s="242">
        <f t="shared" si="333"/>
        <v>46023</v>
      </c>
      <c r="C878" s="243">
        <f t="shared" si="316"/>
        <v>46053</v>
      </c>
      <c r="D878" s="120">
        <f t="shared" si="317"/>
        <v>31</v>
      </c>
      <c r="E878" s="120">
        <f t="shared" si="318"/>
        <v>1</v>
      </c>
      <c r="F878" s="275">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0.98154814004376367</v>
      </c>
      <c r="P878" s="121">
        <f t="shared" si="329"/>
        <v>0.95833333333333337</v>
      </c>
      <c r="Q878" s="121">
        <f t="shared" si="330"/>
        <v>4.166666666666663E-2</v>
      </c>
      <c r="R878" s="121">
        <f t="shared" si="331"/>
        <v>0</v>
      </c>
      <c r="AE878" s="160">
        <f t="shared" si="332"/>
        <v>0.98154814004376367</v>
      </c>
    </row>
    <row r="879" spans="1:31" x14ac:dyDescent="0.3">
      <c r="A879" s="187">
        <v>14</v>
      </c>
      <c r="B879" s="242">
        <f t="shared" si="333"/>
        <v>46054</v>
      </c>
      <c r="C879" s="243">
        <f t="shared" si="316"/>
        <v>46081</v>
      </c>
      <c r="D879" s="120">
        <f t="shared" si="317"/>
        <v>28</v>
      </c>
      <c r="E879" s="120">
        <f t="shared" si="318"/>
        <v>2</v>
      </c>
      <c r="F879" s="275">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0.98251641137855583</v>
      </c>
      <c r="P879" s="121">
        <f t="shared" si="329"/>
        <v>0.875</v>
      </c>
      <c r="Q879" s="121">
        <f t="shared" si="330"/>
        <v>0.125</v>
      </c>
      <c r="R879" s="121">
        <f t="shared" si="331"/>
        <v>0</v>
      </c>
      <c r="AE879" s="160">
        <f t="shared" si="332"/>
        <v>0.98251641137855583</v>
      </c>
    </row>
    <row r="880" spans="1:31" x14ac:dyDescent="0.3">
      <c r="A880" s="187">
        <v>15</v>
      </c>
      <c r="B880" s="242">
        <f t="shared" si="333"/>
        <v>46082</v>
      </c>
      <c r="C880" s="243">
        <f t="shared" si="316"/>
        <v>46112</v>
      </c>
      <c r="D880" s="120">
        <f t="shared" si="317"/>
        <v>31</v>
      </c>
      <c r="E880" s="120">
        <f t="shared" si="318"/>
        <v>3</v>
      </c>
      <c r="F880" s="275">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0.98348468271334799</v>
      </c>
      <c r="P880" s="121">
        <f t="shared" si="329"/>
        <v>0.79166666666666663</v>
      </c>
      <c r="Q880" s="121">
        <f t="shared" si="330"/>
        <v>0.20833333333333337</v>
      </c>
      <c r="R880" s="121">
        <f t="shared" si="331"/>
        <v>0</v>
      </c>
      <c r="AE880" s="160">
        <f t="shared" si="332"/>
        <v>0.98348468271334799</v>
      </c>
    </row>
    <row r="881" spans="1:35" x14ac:dyDescent="0.3">
      <c r="A881" s="187">
        <v>16</v>
      </c>
      <c r="B881" s="242">
        <f t="shared" si="333"/>
        <v>46113</v>
      </c>
      <c r="C881" s="243">
        <f t="shared" si="316"/>
        <v>46142</v>
      </c>
      <c r="D881" s="120">
        <f t="shared" si="317"/>
        <v>30</v>
      </c>
      <c r="E881" s="120">
        <f t="shared" si="318"/>
        <v>4</v>
      </c>
      <c r="F881" s="275">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0.98448577680525162</v>
      </c>
      <c r="P881" s="121">
        <f t="shared" si="329"/>
        <v>0.70833333333333337</v>
      </c>
      <c r="Q881" s="121">
        <f t="shared" si="330"/>
        <v>0.29166666666666663</v>
      </c>
      <c r="R881" s="121">
        <f t="shared" si="331"/>
        <v>0</v>
      </c>
      <c r="AE881" s="160">
        <f t="shared" si="332"/>
        <v>0.98448577680525162</v>
      </c>
    </row>
    <row r="882" spans="1:35" x14ac:dyDescent="0.3">
      <c r="A882" s="187">
        <v>17</v>
      </c>
      <c r="B882" s="242">
        <f t="shared" si="333"/>
        <v>46143</v>
      </c>
      <c r="C882" s="243">
        <f t="shared" si="316"/>
        <v>46173</v>
      </c>
      <c r="D882" s="120">
        <f t="shared" si="317"/>
        <v>31</v>
      </c>
      <c r="E882" s="120">
        <f t="shared" si="318"/>
        <v>5</v>
      </c>
      <c r="F882" s="275">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0.98548687089715536</v>
      </c>
      <c r="P882" s="121">
        <f t="shared" si="329"/>
        <v>0.625</v>
      </c>
      <c r="Q882" s="121">
        <f t="shared" si="330"/>
        <v>0.375</v>
      </c>
      <c r="R882" s="121">
        <f t="shared" si="331"/>
        <v>0</v>
      </c>
      <c r="AE882" s="160">
        <f t="shared" si="332"/>
        <v>0.98548687089715536</v>
      </c>
    </row>
    <row r="883" spans="1:35" x14ac:dyDescent="0.3">
      <c r="A883" s="187">
        <v>18</v>
      </c>
      <c r="B883" s="242">
        <f t="shared" si="333"/>
        <v>46174</v>
      </c>
      <c r="C883" s="243">
        <f t="shared" si="316"/>
        <v>46203</v>
      </c>
      <c r="D883" s="120">
        <f t="shared" si="317"/>
        <v>30</v>
      </c>
      <c r="E883" s="120">
        <f t="shared" si="318"/>
        <v>6</v>
      </c>
      <c r="F883" s="275">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0.98648796498905911</v>
      </c>
      <c r="P883" s="121">
        <f t="shared" si="329"/>
        <v>0.54166666666666663</v>
      </c>
      <c r="Q883" s="121">
        <f t="shared" si="330"/>
        <v>0.45833333333333337</v>
      </c>
      <c r="R883" s="121">
        <f t="shared" si="331"/>
        <v>0</v>
      </c>
      <c r="AE883" s="160">
        <f t="shared" si="332"/>
        <v>0.98648796498905911</v>
      </c>
    </row>
    <row r="884" spans="1:35" x14ac:dyDescent="0.3">
      <c r="A884" s="187">
        <v>19</v>
      </c>
      <c r="B884" s="242">
        <f t="shared" si="333"/>
        <v>46204</v>
      </c>
      <c r="C884" s="243">
        <f t="shared" si="316"/>
        <v>46234</v>
      </c>
      <c r="D884" s="120">
        <f t="shared" si="317"/>
        <v>31</v>
      </c>
      <c r="E884" s="120">
        <f t="shared" si="318"/>
        <v>7</v>
      </c>
      <c r="F884" s="275">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0.98748905908096285</v>
      </c>
      <c r="P884" s="121">
        <f t="shared" si="329"/>
        <v>0.45833333333333331</v>
      </c>
      <c r="Q884" s="121">
        <f t="shared" si="330"/>
        <v>0.54166666666666674</v>
      </c>
      <c r="R884" s="121">
        <f t="shared" si="331"/>
        <v>0</v>
      </c>
      <c r="AE884" s="160">
        <f t="shared" si="332"/>
        <v>0.98748905908096285</v>
      </c>
    </row>
    <row r="885" spans="1:35" x14ac:dyDescent="0.3">
      <c r="A885" s="187">
        <v>20</v>
      </c>
      <c r="B885" s="242">
        <f t="shared" si="333"/>
        <v>46235</v>
      </c>
      <c r="C885" s="243">
        <f t="shared" si="316"/>
        <v>46265</v>
      </c>
      <c r="D885" s="120">
        <f t="shared" si="317"/>
        <v>31</v>
      </c>
      <c r="E885" s="120">
        <f t="shared" si="318"/>
        <v>8</v>
      </c>
      <c r="F885" s="275">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0.98850656455142227</v>
      </c>
      <c r="P885" s="121">
        <f t="shared" si="329"/>
        <v>0.375</v>
      </c>
      <c r="Q885" s="121">
        <f t="shared" si="330"/>
        <v>0.625</v>
      </c>
      <c r="R885" s="121">
        <f t="shared" si="331"/>
        <v>0</v>
      </c>
      <c r="AE885" s="160">
        <f t="shared" si="332"/>
        <v>0.98850656455142227</v>
      </c>
    </row>
    <row r="886" spans="1:35" x14ac:dyDescent="0.3">
      <c r="A886" s="187">
        <v>21</v>
      </c>
      <c r="B886" s="242">
        <f t="shared" si="333"/>
        <v>46266</v>
      </c>
      <c r="C886" s="243">
        <f t="shared" si="316"/>
        <v>46295</v>
      </c>
      <c r="D886" s="120">
        <f t="shared" si="317"/>
        <v>30</v>
      </c>
      <c r="E886" s="120">
        <f t="shared" si="318"/>
        <v>9</v>
      </c>
      <c r="F886" s="275">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0.98950765864332602</v>
      </c>
      <c r="P886" s="121">
        <f t="shared" si="329"/>
        <v>0.29166666666666669</v>
      </c>
      <c r="Q886" s="121">
        <f t="shared" si="330"/>
        <v>0.70833333333333326</v>
      </c>
      <c r="R886" s="121">
        <f t="shared" si="331"/>
        <v>0</v>
      </c>
      <c r="AE886" s="160">
        <f t="shared" si="332"/>
        <v>0.98950765864332602</v>
      </c>
    </row>
    <row r="887" spans="1:35" x14ac:dyDescent="0.3">
      <c r="A887" s="187">
        <v>22</v>
      </c>
      <c r="B887" s="242">
        <f t="shared" si="333"/>
        <v>46296</v>
      </c>
      <c r="C887" s="243">
        <f t="shared" si="316"/>
        <v>46326</v>
      </c>
      <c r="D887" s="120">
        <f t="shared" si="317"/>
        <v>31</v>
      </c>
      <c r="E887" s="120">
        <f t="shared" si="318"/>
        <v>10</v>
      </c>
      <c r="F887" s="275">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0.99050875273522976</v>
      </c>
      <c r="P887" s="121">
        <f t="shared" si="329"/>
        <v>0.20833333333333334</v>
      </c>
      <c r="Q887" s="121">
        <f t="shared" si="330"/>
        <v>0.79166666666666663</v>
      </c>
      <c r="R887" s="121">
        <f t="shared" si="331"/>
        <v>0</v>
      </c>
      <c r="AE887" s="160">
        <f t="shared" si="332"/>
        <v>0.99050875273522976</v>
      </c>
    </row>
    <row r="888" spans="1:35" x14ac:dyDescent="0.3">
      <c r="A888" s="187">
        <v>23</v>
      </c>
      <c r="B888" s="242">
        <f t="shared" si="333"/>
        <v>46327</v>
      </c>
      <c r="C888" s="243">
        <f t="shared" si="316"/>
        <v>46356</v>
      </c>
      <c r="D888" s="120">
        <f t="shared" si="317"/>
        <v>30</v>
      </c>
      <c r="E888" s="120">
        <f t="shared" si="318"/>
        <v>11</v>
      </c>
      <c r="F888" s="275">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0.9915098468271335</v>
      </c>
      <c r="P888" s="121">
        <f t="shared" si="329"/>
        <v>0.125</v>
      </c>
      <c r="Q888" s="121">
        <f t="shared" si="330"/>
        <v>0.875</v>
      </c>
      <c r="R888" s="121">
        <f t="shared" si="331"/>
        <v>0</v>
      </c>
      <c r="AE888" s="160">
        <f t="shared" si="332"/>
        <v>0.9915098468271335</v>
      </c>
    </row>
    <row r="889" spans="1:35" x14ac:dyDescent="0.3">
      <c r="A889" s="187">
        <v>24</v>
      </c>
      <c r="B889" s="242">
        <f t="shared" si="333"/>
        <v>46357</v>
      </c>
      <c r="C889" s="243">
        <f t="shared" si="316"/>
        <v>46387</v>
      </c>
      <c r="D889" s="120">
        <f t="shared" si="317"/>
        <v>31</v>
      </c>
      <c r="E889" s="120">
        <f t="shared" si="318"/>
        <v>12</v>
      </c>
      <c r="F889" s="275">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0.99251094091903713</v>
      </c>
      <c r="P889" s="121">
        <f t="shared" si="329"/>
        <v>4.1666666666666664E-2</v>
      </c>
      <c r="Q889" s="121">
        <f t="shared" si="330"/>
        <v>0.95833333333333337</v>
      </c>
      <c r="R889" s="121">
        <f t="shared" si="331"/>
        <v>0</v>
      </c>
      <c r="AE889" s="160">
        <f t="shared" si="332"/>
        <v>0.99251094091903713</v>
      </c>
    </row>
    <row r="890" spans="1:35" x14ac:dyDescent="0.3">
      <c r="A890" s="187">
        <v>25</v>
      </c>
      <c r="B890" s="242">
        <f t="shared" si="333"/>
        <v>46388</v>
      </c>
      <c r="C890" s="243">
        <f t="shared" si="316"/>
        <v>46418</v>
      </c>
      <c r="D890" s="120">
        <f t="shared" si="317"/>
        <v>31</v>
      </c>
      <c r="E890" s="120">
        <f t="shared" si="318"/>
        <v>1</v>
      </c>
      <c r="F890" s="275">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0.99352844638949667</v>
      </c>
      <c r="P890" s="121">
        <f t="shared" si="329"/>
        <v>0</v>
      </c>
      <c r="Q890" s="121">
        <f t="shared" si="330"/>
        <v>0.95833333333333337</v>
      </c>
      <c r="R890" s="121">
        <f t="shared" si="331"/>
        <v>4.166666666666663E-2</v>
      </c>
      <c r="W890" s="160">
        <f t="shared" ref="W890:W901" si="334">IF($G890&lt;&gt;$Q$863,$N890,(1-$U$863)*$I890+$U$863*$J890)</f>
        <v>1</v>
      </c>
      <c r="X890" s="160">
        <f t="shared" ref="X890:X901" si="335">IF($G890&lt;$Q$863,0,IF($G890&gt;$Q$863,$N890,$U$863*$J890))</f>
        <v>0</v>
      </c>
      <c r="Y890" s="160">
        <f t="shared" ref="Y890:Y901" si="336">IF($F$863=1,$O890/$O878,1)</f>
        <v>1.0122055209082246</v>
      </c>
      <c r="AB890" s="160">
        <f t="shared" ref="AB890:AB901" si="337">IF(AND(N($K$863)&lt;&gt;0,$F890&lt;=$B$864),0,($F890-$B$864)/($C$864-$B$864))</f>
        <v>0.23522975929978118</v>
      </c>
      <c r="AC890" s="220">
        <f t="shared" ref="AC890:AC901" si="338">IF(AND(N($K$863)&lt;&gt;0,$F890&lt;=$B$864),$O890,$F$864*(1-$AB890))</f>
        <v>0.75712253829321663</v>
      </c>
      <c r="AD890" s="160">
        <f t="shared" ref="AD890:AD901" si="339">$H890*($W890+$X890*IF(ISNUMBER($F$914),$F$914,0))/($N878*$O878)</f>
        <v>1.0187987315175531</v>
      </c>
      <c r="AE890" s="160">
        <f t="shared" si="332"/>
        <v>0.97758806600780601</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5">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0.99449671772428883</v>
      </c>
      <c r="P891" s="121">
        <f t="shared" si="329"/>
        <v>0</v>
      </c>
      <c r="Q891" s="121">
        <f t="shared" si="330"/>
        <v>0.875</v>
      </c>
      <c r="R891" s="121">
        <f t="shared" si="331"/>
        <v>0.125</v>
      </c>
      <c r="W891" s="160">
        <f t="shared" si="334"/>
        <v>1</v>
      </c>
      <c r="X891" s="160">
        <f t="shared" si="335"/>
        <v>0</v>
      </c>
      <c r="Y891" s="160">
        <f t="shared" si="336"/>
        <v>1.0121934923498364</v>
      </c>
      <c r="AB891" s="160">
        <f t="shared" si="337"/>
        <v>0.29978118161925604</v>
      </c>
      <c r="AC891" s="220">
        <f t="shared" si="338"/>
        <v>0.69321663019693647</v>
      </c>
      <c r="AD891" s="160">
        <f t="shared" si="339"/>
        <v>1.0177947039041446</v>
      </c>
      <c r="AE891" s="160">
        <f t="shared" si="332"/>
        <v>0.97418200040064573</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5">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0.99546498905908087</v>
      </c>
      <c r="P892" s="121">
        <f t="shared" si="329"/>
        <v>0</v>
      </c>
      <c r="Q892" s="121">
        <f t="shared" si="330"/>
        <v>0.79166666666666663</v>
      </c>
      <c r="R892" s="121">
        <f t="shared" si="331"/>
        <v>0.20833333333333337</v>
      </c>
      <c r="W892" s="160">
        <f t="shared" si="334"/>
        <v>1</v>
      </c>
      <c r="X892" s="160">
        <f t="shared" si="335"/>
        <v>0</v>
      </c>
      <c r="Y892" s="160">
        <f t="shared" si="336"/>
        <v>1.0121814874764294</v>
      </c>
      <c r="AB892" s="160">
        <f t="shared" si="337"/>
        <v>0.36433260393873085</v>
      </c>
      <c r="AC892" s="220">
        <f t="shared" si="338"/>
        <v>0.62931072210065642</v>
      </c>
      <c r="AD892" s="160">
        <f t="shared" si="339"/>
        <v>1.0167926532837173</v>
      </c>
      <c r="AE892" s="160">
        <f t="shared" si="332"/>
        <v>0.97077593479348556</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5">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0.99646608315098462</v>
      </c>
      <c r="P893" s="121">
        <f t="shared" si="329"/>
        <v>0</v>
      </c>
      <c r="Q893" s="121">
        <f t="shared" si="330"/>
        <v>0.70833333333333337</v>
      </c>
      <c r="R893" s="121">
        <f t="shared" si="331"/>
        <v>0.29166666666666663</v>
      </c>
      <c r="W893" s="160">
        <f t="shared" si="334"/>
        <v>1</v>
      </c>
      <c r="X893" s="160">
        <f t="shared" si="335"/>
        <v>1</v>
      </c>
      <c r="Y893" s="160">
        <f t="shared" si="336"/>
        <v>1.0121691004867639</v>
      </c>
      <c r="AB893" s="160">
        <f t="shared" si="337"/>
        <v>0.4310722100656455</v>
      </c>
      <c r="AC893" s="220">
        <f t="shared" si="338"/>
        <v>0.56323851203501096</v>
      </c>
      <c r="AD893" s="160">
        <f t="shared" si="339"/>
        <v>1.0563890555888955</v>
      </c>
      <c r="AE893" s="160">
        <f t="shared" si="332"/>
        <v>1.0059445857086446</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5">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0.99746717724288836</v>
      </c>
      <c r="P894" s="121">
        <f t="shared" si="329"/>
        <v>0</v>
      </c>
      <c r="Q894" s="121">
        <f t="shared" si="330"/>
        <v>0.625</v>
      </c>
      <c r="R894" s="121">
        <f t="shared" si="331"/>
        <v>0.375</v>
      </c>
      <c r="W894" s="160">
        <f t="shared" si="334"/>
        <v>1</v>
      </c>
      <c r="X894" s="160">
        <f t="shared" si="335"/>
        <v>1</v>
      </c>
      <c r="Y894" s="160">
        <f t="shared" si="336"/>
        <v>1.0121567386634249</v>
      </c>
      <c r="AB894" s="160">
        <f t="shared" si="337"/>
        <v>0.49781181619256015</v>
      </c>
      <c r="AC894" s="220">
        <f t="shared" si="338"/>
        <v>0.4971663019693654</v>
      </c>
      <c r="AD894" s="160">
        <f t="shared" si="339"/>
        <v>1.0553159364296936</v>
      </c>
      <c r="AE894" s="160">
        <f t="shared" si="332"/>
        <v>1.0022821992320641</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5">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0.9984682713347921</v>
      </c>
      <c r="P895" s="121">
        <f t="shared" si="329"/>
        <v>0</v>
      </c>
      <c r="Q895" s="121">
        <f t="shared" si="330"/>
        <v>0.54166666666666663</v>
      </c>
      <c r="R895" s="121">
        <f t="shared" si="331"/>
        <v>0.45833333333333337</v>
      </c>
      <c r="W895" s="160">
        <f t="shared" si="334"/>
        <v>1</v>
      </c>
      <c r="X895" s="160">
        <f t="shared" si="335"/>
        <v>1</v>
      </c>
      <c r="Y895" s="160">
        <f t="shared" si="336"/>
        <v>1.0121444019297954</v>
      </c>
      <c r="AB895" s="160">
        <f t="shared" si="337"/>
        <v>0.56455142231947486</v>
      </c>
      <c r="AC895" s="220">
        <f t="shared" si="338"/>
        <v>0.43109409190371989</v>
      </c>
      <c r="AD895" s="160">
        <f t="shared" si="339"/>
        <v>1.0542449952864192</v>
      </c>
      <c r="AE895" s="160">
        <f t="shared" si="332"/>
        <v>0.99861981275548384</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5">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0.99946936542669573</v>
      </c>
      <c r="P896" s="121">
        <f t="shared" si="329"/>
        <v>0</v>
      </c>
      <c r="Q896" s="121">
        <f t="shared" si="330"/>
        <v>0.45833333333333331</v>
      </c>
      <c r="R896" s="121">
        <f t="shared" si="331"/>
        <v>0.54166666666666674</v>
      </c>
      <c r="W896" s="160">
        <f t="shared" si="334"/>
        <v>1</v>
      </c>
      <c r="X896" s="160">
        <f t="shared" si="335"/>
        <v>1</v>
      </c>
      <c r="Y896" s="160">
        <f t="shared" si="336"/>
        <v>1.0121320902095692</v>
      </c>
      <c r="AB896" s="160">
        <f t="shared" si="337"/>
        <v>0.63129102844638951</v>
      </c>
      <c r="AC896" s="220">
        <f t="shared" si="338"/>
        <v>0.36502188183807438</v>
      </c>
      <c r="AD896" s="160">
        <f t="shared" si="339"/>
        <v>1.053176225535003</v>
      </c>
      <c r="AE896" s="160">
        <f t="shared" si="332"/>
        <v>0.99495742627890349</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5">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1.0004868708971553</v>
      </c>
      <c r="P897" s="121">
        <f t="shared" si="329"/>
        <v>0</v>
      </c>
      <c r="Q897" s="121">
        <f t="shared" si="330"/>
        <v>0.375</v>
      </c>
      <c r="R897" s="121">
        <f t="shared" si="331"/>
        <v>0.625</v>
      </c>
      <c r="W897" s="160">
        <f t="shared" si="334"/>
        <v>1</v>
      </c>
      <c r="X897" s="160">
        <f t="shared" si="335"/>
        <v>1</v>
      </c>
      <c r="Y897" s="160">
        <f t="shared" si="336"/>
        <v>1.0121196022114123</v>
      </c>
      <c r="AB897" s="160">
        <f t="shared" si="337"/>
        <v>0.69912472647702406</v>
      </c>
      <c r="AC897" s="220">
        <f t="shared" si="338"/>
        <v>0.29786652078774617</v>
      </c>
      <c r="AD897" s="160">
        <f t="shared" si="339"/>
        <v>1.0520921532493264</v>
      </c>
      <c r="AE897" s="160">
        <f t="shared" si="332"/>
        <v>0.99123500067975623</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5">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1.0014879649890589</v>
      </c>
      <c r="P898" s="121">
        <f t="shared" si="329"/>
        <v>0</v>
      </c>
      <c r="Q898" s="121">
        <f t="shared" si="330"/>
        <v>0.29166666666666669</v>
      </c>
      <c r="R898" s="121">
        <f t="shared" si="331"/>
        <v>0.70833333333333326</v>
      </c>
      <c r="W898" s="160">
        <f t="shared" si="334"/>
        <v>1</v>
      </c>
      <c r="X898" s="160">
        <f t="shared" si="335"/>
        <v>1</v>
      </c>
      <c r="Y898" s="160">
        <f t="shared" si="336"/>
        <v>1.0121073406972501</v>
      </c>
      <c r="AB898" s="160">
        <f t="shared" si="337"/>
        <v>0.76586433260393871</v>
      </c>
      <c r="AC898" s="220">
        <f t="shared" si="338"/>
        <v>0.23179431072210066</v>
      </c>
      <c r="AD898" s="160">
        <f t="shared" si="339"/>
        <v>1.0510277418427483</v>
      </c>
      <c r="AE898" s="160">
        <f t="shared" si="332"/>
        <v>0.98757261420317566</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5">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1.0024890590809628</v>
      </c>
      <c r="P899" s="121">
        <f t="shared" si="329"/>
        <v>0</v>
      </c>
      <c r="Q899" s="121">
        <f t="shared" si="330"/>
        <v>0.20833333333333334</v>
      </c>
      <c r="R899" s="121">
        <f t="shared" si="331"/>
        <v>0.79166666666666663</v>
      </c>
      <c r="W899" s="160">
        <f t="shared" si="334"/>
        <v>1</v>
      </c>
      <c r="X899" s="160">
        <f t="shared" si="335"/>
        <v>1</v>
      </c>
      <c r="Y899" s="160">
        <f t="shared" si="336"/>
        <v>1.0120951039681882</v>
      </c>
      <c r="AB899" s="160">
        <f t="shared" si="337"/>
        <v>0.83260393873085337</v>
      </c>
      <c r="AC899" s="220">
        <f t="shared" si="338"/>
        <v>0.16572210065645518</v>
      </c>
      <c r="AD899" s="160">
        <f t="shared" si="339"/>
        <v>1.0499654820092232</v>
      </c>
      <c r="AE899" s="160">
        <f t="shared" si="332"/>
        <v>0.98391022772659531</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5">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1.0034901531728664</v>
      </c>
      <c r="P900" s="121">
        <f t="shared" si="329"/>
        <v>0</v>
      </c>
      <c r="Q900" s="121">
        <f t="shared" si="330"/>
        <v>0.125</v>
      </c>
      <c r="R900" s="121">
        <f t="shared" si="331"/>
        <v>0.875</v>
      </c>
      <c r="W900" s="160">
        <f t="shared" si="334"/>
        <v>1</v>
      </c>
      <c r="X900" s="160">
        <f t="shared" si="335"/>
        <v>1</v>
      </c>
      <c r="Y900" s="160">
        <f t="shared" si="336"/>
        <v>1.0120828919491525</v>
      </c>
      <c r="AB900" s="160">
        <f t="shared" si="337"/>
        <v>0.89934354485776802</v>
      </c>
      <c r="AC900" s="220">
        <f t="shared" si="338"/>
        <v>9.9649890590809656E-2</v>
      </c>
      <c r="AD900" s="160">
        <f t="shared" si="339"/>
        <v>1.0489053672316384</v>
      </c>
      <c r="AE900" s="160">
        <f t="shared" si="332"/>
        <v>0.98024784125001485</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5">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1.0044912472647702</v>
      </c>
      <c r="P901" s="121">
        <f t="shared" si="329"/>
        <v>0</v>
      </c>
      <c r="Q901" s="121">
        <f t="shared" si="330"/>
        <v>4.1666666666666664E-2</v>
      </c>
      <c r="R901" s="121">
        <f t="shared" si="331"/>
        <v>0.95833333333333337</v>
      </c>
      <c r="W901" s="160">
        <f t="shared" si="334"/>
        <v>1</v>
      </c>
      <c r="X901" s="160">
        <f t="shared" si="335"/>
        <v>1</v>
      </c>
      <c r="Y901" s="160">
        <f t="shared" si="336"/>
        <v>1.0120707045653721</v>
      </c>
      <c r="AB901" s="160">
        <f t="shared" si="337"/>
        <v>0.96608315098468267</v>
      </c>
      <c r="AC901" s="220">
        <f t="shared" si="338"/>
        <v>3.3577680525164154E-2</v>
      </c>
      <c r="AD901" s="160">
        <f t="shared" si="339"/>
        <v>1.0478473910191755</v>
      </c>
      <c r="AE901" s="160">
        <f t="shared" si="332"/>
        <v>0.9765854547734345</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5">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1.0049999999999999</v>
      </c>
      <c r="P902" s="121">
        <f t="shared" si="329"/>
        <v>0</v>
      </c>
      <c r="Q902" s="121">
        <f t="shared" si="330"/>
        <v>0</v>
      </c>
      <c r="R902" s="121">
        <f t="shared" si="331"/>
        <v>0.95833333333333337</v>
      </c>
      <c r="AE902" s="160">
        <f t="shared" si="332"/>
        <v>1.0049999999999999</v>
      </c>
    </row>
    <row r="903" spans="1:35" x14ac:dyDescent="0.3">
      <c r="A903" s="187">
        <v>38</v>
      </c>
      <c r="B903" s="242">
        <f t="shared" si="333"/>
        <v>46784</v>
      </c>
      <c r="C903" s="243">
        <f t="shared" si="316"/>
        <v>46812</v>
      </c>
      <c r="D903" s="120">
        <f t="shared" si="317"/>
        <v>29</v>
      </c>
      <c r="E903" s="120">
        <f t="shared" si="318"/>
        <v>2</v>
      </c>
      <c r="F903" s="275">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1.0049999999999999</v>
      </c>
      <c r="P903" s="121">
        <f t="shared" si="329"/>
        <v>0</v>
      </c>
      <c r="Q903" s="121">
        <f t="shared" si="330"/>
        <v>0</v>
      </c>
      <c r="R903" s="121">
        <f t="shared" si="331"/>
        <v>0.875</v>
      </c>
      <c r="AE903" s="160">
        <f t="shared" si="332"/>
        <v>1.0049999999999999</v>
      </c>
    </row>
    <row r="904" spans="1:35" x14ac:dyDescent="0.3">
      <c r="A904" s="187">
        <v>39</v>
      </c>
      <c r="B904" s="242">
        <f t="shared" si="333"/>
        <v>46813</v>
      </c>
      <c r="C904" s="243">
        <f t="shared" si="316"/>
        <v>46843</v>
      </c>
      <c r="D904" s="120">
        <f t="shared" si="317"/>
        <v>31</v>
      </c>
      <c r="E904" s="120">
        <f t="shared" si="318"/>
        <v>3</v>
      </c>
      <c r="F904" s="275">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1.0049999999999999</v>
      </c>
      <c r="P904" s="121">
        <f t="shared" si="329"/>
        <v>0</v>
      </c>
      <c r="Q904" s="121">
        <f t="shared" si="330"/>
        <v>0</v>
      </c>
      <c r="R904" s="121">
        <f t="shared" si="331"/>
        <v>0.79166666666666663</v>
      </c>
      <c r="AE904" s="160">
        <f t="shared" si="332"/>
        <v>1.0049999999999999</v>
      </c>
    </row>
    <row r="905" spans="1:35" x14ac:dyDescent="0.3">
      <c r="A905" s="187">
        <v>40</v>
      </c>
      <c r="B905" s="242">
        <f t="shared" si="333"/>
        <v>46844</v>
      </c>
      <c r="C905" s="243">
        <f t="shared" si="316"/>
        <v>46873</v>
      </c>
      <c r="D905" s="120">
        <f t="shared" si="317"/>
        <v>30</v>
      </c>
      <c r="E905" s="120">
        <f t="shared" si="318"/>
        <v>4</v>
      </c>
      <c r="F905" s="275">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1.0049999999999999</v>
      </c>
      <c r="P905" s="121">
        <f t="shared" si="329"/>
        <v>0</v>
      </c>
      <c r="Q905" s="121">
        <f t="shared" si="330"/>
        <v>0</v>
      </c>
      <c r="R905" s="121">
        <f t="shared" si="331"/>
        <v>0.70833333333333337</v>
      </c>
      <c r="AE905" s="160">
        <f t="shared" si="332"/>
        <v>1.0049999999999999</v>
      </c>
    </row>
    <row r="906" spans="1:35" x14ac:dyDescent="0.3">
      <c r="A906" s="187">
        <v>41</v>
      </c>
      <c r="B906" s="242">
        <f t="shared" si="333"/>
        <v>46874</v>
      </c>
      <c r="C906" s="243">
        <f t="shared" si="316"/>
        <v>46904</v>
      </c>
      <c r="D906" s="120">
        <f t="shared" si="317"/>
        <v>31</v>
      </c>
      <c r="E906" s="120">
        <f t="shared" si="318"/>
        <v>5</v>
      </c>
      <c r="F906" s="275">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1.0049999999999999</v>
      </c>
      <c r="P906" s="121">
        <f t="shared" si="329"/>
        <v>0</v>
      </c>
      <c r="Q906" s="121">
        <f t="shared" si="330"/>
        <v>0</v>
      </c>
      <c r="R906" s="121">
        <f t="shared" si="331"/>
        <v>0.625</v>
      </c>
      <c r="AE906" s="160">
        <f t="shared" si="332"/>
        <v>1.0049999999999999</v>
      </c>
    </row>
    <row r="907" spans="1:35" x14ac:dyDescent="0.3">
      <c r="A907" s="187">
        <v>42</v>
      </c>
      <c r="B907" s="242">
        <f t="shared" si="333"/>
        <v>46905</v>
      </c>
      <c r="C907" s="243">
        <f t="shared" si="316"/>
        <v>46934</v>
      </c>
      <c r="D907" s="120">
        <f t="shared" si="317"/>
        <v>30</v>
      </c>
      <c r="E907" s="120">
        <f t="shared" si="318"/>
        <v>6</v>
      </c>
      <c r="F907" s="275">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1.0049999999999999</v>
      </c>
      <c r="P907" s="121">
        <f t="shared" si="329"/>
        <v>0</v>
      </c>
      <c r="Q907" s="121">
        <f t="shared" si="330"/>
        <v>0</v>
      </c>
      <c r="R907" s="121">
        <f t="shared" si="331"/>
        <v>0.54166666666666663</v>
      </c>
      <c r="AE907" s="160">
        <f t="shared" si="332"/>
        <v>1.0049999999999999</v>
      </c>
    </row>
    <row r="908" spans="1:35" x14ac:dyDescent="0.3">
      <c r="A908" s="187">
        <v>43</v>
      </c>
      <c r="B908" s="242">
        <f t="shared" si="333"/>
        <v>46935</v>
      </c>
      <c r="C908" s="243">
        <f t="shared" si="316"/>
        <v>46965</v>
      </c>
      <c r="D908" s="120">
        <f t="shared" si="317"/>
        <v>31</v>
      </c>
      <c r="E908" s="120">
        <f t="shared" si="318"/>
        <v>7</v>
      </c>
      <c r="F908" s="275">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1.0049999999999999</v>
      </c>
      <c r="P908" s="121">
        <f t="shared" si="329"/>
        <v>0</v>
      </c>
      <c r="Q908" s="121">
        <f t="shared" si="330"/>
        <v>0</v>
      </c>
      <c r="R908" s="121">
        <f t="shared" si="331"/>
        <v>0.45833333333333331</v>
      </c>
      <c r="AE908" s="160">
        <f t="shared" si="332"/>
        <v>1.0049999999999999</v>
      </c>
    </row>
    <row r="909" spans="1:35" x14ac:dyDescent="0.3">
      <c r="A909" s="187">
        <v>44</v>
      </c>
      <c r="B909" s="242">
        <f t="shared" si="333"/>
        <v>46966</v>
      </c>
      <c r="C909" s="243">
        <f t="shared" si="316"/>
        <v>46996</v>
      </c>
      <c r="D909" s="120">
        <f t="shared" si="317"/>
        <v>31</v>
      </c>
      <c r="E909" s="120">
        <f t="shared" si="318"/>
        <v>8</v>
      </c>
      <c r="F909" s="275">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1.0049999999999999</v>
      </c>
      <c r="P909" s="121">
        <f t="shared" si="329"/>
        <v>0</v>
      </c>
      <c r="Q909" s="121">
        <f t="shared" si="330"/>
        <v>0</v>
      </c>
      <c r="R909" s="121">
        <f t="shared" si="331"/>
        <v>0.375</v>
      </c>
      <c r="AE909" s="160">
        <f t="shared" si="332"/>
        <v>1.0049999999999999</v>
      </c>
    </row>
    <row r="910" spans="1:35" x14ac:dyDescent="0.3">
      <c r="A910" s="187">
        <v>45</v>
      </c>
      <c r="B910" s="242">
        <f t="shared" si="333"/>
        <v>46997</v>
      </c>
      <c r="C910" s="243">
        <f t="shared" si="316"/>
        <v>47026</v>
      </c>
      <c r="D910" s="120">
        <f t="shared" si="317"/>
        <v>30</v>
      </c>
      <c r="E910" s="120">
        <f t="shared" si="318"/>
        <v>9</v>
      </c>
      <c r="F910" s="275">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1.0049999999999999</v>
      </c>
      <c r="P910" s="121">
        <f t="shared" si="329"/>
        <v>0</v>
      </c>
      <c r="Q910" s="121">
        <f t="shared" si="330"/>
        <v>0</v>
      </c>
      <c r="R910" s="121">
        <f t="shared" si="331"/>
        <v>0.29166666666666669</v>
      </c>
      <c r="AE910" s="160">
        <f t="shared" si="332"/>
        <v>1.0049999999999999</v>
      </c>
    </row>
    <row r="911" spans="1:35" x14ac:dyDescent="0.3">
      <c r="A911" s="187">
        <v>46</v>
      </c>
      <c r="B911" s="242">
        <f t="shared" si="333"/>
        <v>47027</v>
      </c>
      <c r="C911" s="243">
        <f t="shared" si="316"/>
        <v>47057</v>
      </c>
      <c r="D911" s="120">
        <f t="shared" si="317"/>
        <v>31</v>
      </c>
      <c r="E911" s="120">
        <f t="shared" si="318"/>
        <v>10</v>
      </c>
      <c r="F911" s="275">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1.0049999999999999</v>
      </c>
      <c r="P911" s="121">
        <f t="shared" si="329"/>
        <v>0</v>
      </c>
      <c r="Q911" s="121">
        <f t="shared" si="330"/>
        <v>0</v>
      </c>
      <c r="R911" s="121">
        <f t="shared" si="331"/>
        <v>0.20833333333333334</v>
      </c>
      <c r="AE911" s="160">
        <f t="shared" si="332"/>
        <v>1.0049999999999999</v>
      </c>
    </row>
    <row r="912" spans="1:35" x14ac:dyDescent="0.3">
      <c r="A912" s="187">
        <v>47</v>
      </c>
      <c r="B912" s="242">
        <f t="shared" si="333"/>
        <v>47058</v>
      </c>
      <c r="C912" s="243">
        <f t="shared" si="316"/>
        <v>47087</v>
      </c>
      <c r="D912" s="120">
        <f t="shared" si="317"/>
        <v>30</v>
      </c>
      <c r="E912" s="120">
        <f t="shared" si="318"/>
        <v>11</v>
      </c>
      <c r="F912" s="275">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1.0049999999999999</v>
      </c>
      <c r="P912" s="121">
        <f t="shared" si="329"/>
        <v>0</v>
      </c>
      <c r="Q912" s="121">
        <f t="shared" si="330"/>
        <v>0</v>
      </c>
      <c r="R912" s="121">
        <f t="shared" si="331"/>
        <v>0.125</v>
      </c>
      <c r="AE912" s="160">
        <f t="shared" si="332"/>
        <v>1.0049999999999999</v>
      </c>
    </row>
    <row r="913" spans="1:31" x14ac:dyDescent="0.3">
      <c r="A913" s="187">
        <v>48</v>
      </c>
      <c r="B913" s="242">
        <f t="shared" si="333"/>
        <v>47088</v>
      </c>
      <c r="C913" s="243">
        <f t="shared" si="316"/>
        <v>47118</v>
      </c>
      <c r="D913" s="120">
        <f t="shared" si="317"/>
        <v>31</v>
      </c>
      <c r="E913" s="120">
        <f t="shared" si="318"/>
        <v>12</v>
      </c>
      <c r="F913" s="275">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1.0049999999999999</v>
      </c>
      <c r="P913" s="121">
        <f t="shared" si="329"/>
        <v>0</v>
      </c>
      <c r="Q913" s="121">
        <f t="shared" si="330"/>
        <v>0</v>
      </c>
      <c r="R913" s="121">
        <f t="shared" si="331"/>
        <v>4.1666666666666664E-2</v>
      </c>
      <c r="AE913" s="160">
        <f t="shared" si="332"/>
        <v>1.0049999999999999</v>
      </c>
    </row>
    <row r="914" spans="1:31" x14ac:dyDescent="0.3">
      <c r="A914" s="23" t="s">
        <v>1723</v>
      </c>
      <c r="B914" s="279">
        <f>SUM($H$890:$H$901)</f>
        <v>12</v>
      </c>
      <c r="C914" s="160">
        <f>SUMPRODUCT($H$890:$H$901,$W$890:$W$901/$N$878:$N$889,$Y$890:$Y$901)</f>
        <v>12.145658475415418</v>
      </c>
      <c r="D914" s="160">
        <f>SUMPRODUCT($H$890:$H$901,$X$890:$X$901/$N$878:$N$889,$Y$890:$Y$901)</f>
        <v>9.1090779746809289</v>
      </c>
      <c r="E914" s="281" t="str">
        <f>IF(OR($D$863=0,$P$863=0,$D914=0),"n/a",((1+$E$863)*$B914-$C914)/$D914)</f>
        <v>n/a</v>
      </c>
      <c r="F914" s="281">
        <f>IF($V$863&lt;&gt;"",$V$863,$E914)</f>
        <v>0.04</v>
      </c>
      <c r="G914" s="281">
        <f>IF(OR(NOT(ISNUMBER($F914)),nd_Ach=0),"n/a",$F914/nd_Ach)</f>
        <v>0.04</v>
      </c>
      <c r="H914" s="220">
        <f>IF(OR(NOT(ISNUMBER($F914)),$F$863=0,SUMPRODUCT($AD$890:$AD$901,$AB$890:$AB$901)=0),"n/a",((1+$E$863)*$B914-SUMPRODUCT($AD$890:$AD$901,$AC$890:$AC$901))/SUMPRODUCT($AD$890:$AD$901,$AB$890:$AB$901))</f>
        <v>0.93723484805178925</v>
      </c>
      <c r="I914" s="183">
        <f>IF(NOT(ISNUMBER($F914)),"n/a",SUMPRODUCT($H$890:$H$901,($W$890:$W$901+$X$890:$X$901*$F914)/$N$878:$N$889)/$B914-1)</f>
        <v>2.9999999999999583E-2</v>
      </c>
      <c r="J914" s="183">
        <f>IF(OR(NOT(ISNUMBER($I914)),$F$863=0),"n/a",(1+$E$863)/(1+$I914)-1)</f>
        <v>-2.9126213592232664E-2</v>
      </c>
      <c r="K914" s="183">
        <f>IF(NOT(ISNUMBER($F914)),"n/a",($C914+$D914*$F914)/$B914-1)</f>
        <v>4.2501799533554596E-2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2">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1</v>
      </c>
      <c r="H919" s="220">
        <f>IF($C919=0,1,IF(N(INDEX(lr_m0,$C919))=0,1,INDEX(lr_m0,$C919)))</f>
        <v>0.99</v>
      </c>
      <c r="I919" s="278">
        <f>IF($C919=0,DATE(nr_PlanYear-1,10,1),IF(N(INDEX(lr_m0asof,$C919))=0,DATE(nr_PlanYear-1,10,1),INDEX(lr_m0asof,$C919)))</f>
        <v>46295</v>
      </c>
      <c r="J919" s="220">
        <f>IF($C919=0,1,IF(N(INDEX(lr_m1,$C919))=0,1,INDEX(lr_m1,$C919)))</f>
        <v>0.98499999999999999</v>
      </c>
      <c r="K919" s="220">
        <f>IF($C919=0,0,N(INDEX(lr_mprior,$C919)))</f>
        <v>0</v>
      </c>
      <c r="L919" s="220">
        <f>IF($C919=0,0,N(INDEX(lr_m2,$C919)))</f>
        <v>0</v>
      </c>
      <c r="M919" s="43">
        <f>IF(OR($A919="",COUNTIF(se_state,$A919)=0),0,MATCH($A919,se_state,0))</f>
        <v>0</v>
      </c>
      <c r="N919" s="279">
        <f>IF($M919=0,0,INDEX(se_sum,$M919))</f>
        <v>0</v>
      </c>
      <c r="O919" s="278">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80" t="str">
        <f>IF(ISBLANK('Net Delivery'!$E$21),$Y919,'Net Delivery'!$E$21)</f>
        <v/>
      </c>
      <c r="W919" s="43">
        <f>IF($B919="",0,COUNTIFS(rl_key,$B919,rl_status,"planned",rl_eff,"&gt;="&amp;DATE(nr_PlanYear,1,1),rl_eff,"&lt;="&amp;DATE(nr_PlanYear,12,31)))</f>
        <v>0</v>
      </c>
      <c r="X919" s="278">
        <f>IF($W919=0,nd_DefaultDate,SUMIFS(rl_eff,rl_key,$B919,rl_firstplanned,1))</f>
        <v>46478</v>
      </c>
      <c r="Y919" s="280" t="str">
        <f>IF($W919=0,"",SUMIFS(rl_reff,rl_key,$B919,rl_firstplanned,1))</f>
        <v/>
      </c>
      <c r="Z919" s="280"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5">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0.99681072210065647</v>
      </c>
      <c r="P922" s="121">
        <f t="shared" ref="P922:P969" si="357">MIN(1,MAX(0,(nr_MEndPm1-$G922+0.5)/nr_TermMonths))-MIN(1,MAX(0,(nr_MStartPm1-1-$G922+0.5)/nr_TermMonths))</f>
        <v>4.166666666666663E-2</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0.99681072210065647</v>
      </c>
    </row>
    <row r="923" spans="1:31" x14ac:dyDescent="0.3">
      <c r="A923" s="187">
        <v>2</v>
      </c>
      <c r="B923" s="242">
        <f t="shared" ref="B923:B969" si="361">EDATE($B922,1)</f>
        <v>45689</v>
      </c>
      <c r="C923" s="243">
        <f t="shared" si="344"/>
        <v>45716</v>
      </c>
      <c r="D923" s="120">
        <f t="shared" si="345"/>
        <v>28</v>
      </c>
      <c r="E923" s="120">
        <f t="shared" si="346"/>
        <v>2</v>
      </c>
      <c r="F923" s="275">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0.99648796498905901</v>
      </c>
      <c r="P923" s="121">
        <f t="shared" si="357"/>
        <v>0.125</v>
      </c>
      <c r="Q923" s="121">
        <f t="shared" si="358"/>
        <v>0</v>
      </c>
      <c r="R923" s="121">
        <f t="shared" si="359"/>
        <v>0</v>
      </c>
      <c r="AE923" s="160">
        <f t="shared" si="360"/>
        <v>0.99648796498905901</v>
      </c>
    </row>
    <row r="924" spans="1:31" x14ac:dyDescent="0.3">
      <c r="A924" s="187">
        <v>3</v>
      </c>
      <c r="B924" s="242">
        <f t="shared" si="361"/>
        <v>45717</v>
      </c>
      <c r="C924" s="243">
        <f t="shared" si="344"/>
        <v>45747</v>
      </c>
      <c r="D924" s="120">
        <f t="shared" si="345"/>
        <v>31</v>
      </c>
      <c r="E924" s="120">
        <f t="shared" si="346"/>
        <v>3</v>
      </c>
      <c r="F924" s="275">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0.99616520787746166</v>
      </c>
      <c r="P924" s="121">
        <f t="shared" si="357"/>
        <v>0.20833333333333337</v>
      </c>
      <c r="Q924" s="121">
        <f t="shared" si="358"/>
        <v>0</v>
      </c>
      <c r="R924" s="121">
        <f t="shared" si="359"/>
        <v>0</v>
      </c>
      <c r="AE924" s="160">
        <f t="shared" si="360"/>
        <v>0.99616520787746166</v>
      </c>
    </row>
    <row r="925" spans="1:31" x14ac:dyDescent="0.3">
      <c r="A925" s="187">
        <v>4</v>
      </c>
      <c r="B925" s="242">
        <f t="shared" si="361"/>
        <v>45748</v>
      </c>
      <c r="C925" s="243">
        <f t="shared" si="344"/>
        <v>45777</v>
      </c>
      <c r="D925" s="120">
        <f t="shared" si="345"/>
        <v>30</v>
      </c>
      <c r="E925" s="120">
        <f t="shared" si="346"/>
        <v>4</v>
      </c>
      <c r="F925" s="275">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0.99583150984682711</v>
      </c>
      <c r="P925" s="121">
        <f t="shared" si="357"/>
        <v>0.29166666666666663</v>
      </c>
      <c r="Q925" s="121">
        <f t="shared" si="358"/>
        <v>0</v>
      </c>
      <c r="R925" s="121">
        <f t="shared" si="359"/>
        <v>0</v>
      </c>
      <c r="AE925" s="160">
        <f t="shared" si="360"/>
        <v>0.99583150984682711</v>
      </c>
    </row>
    <row r="926" spans="1:31" x14ac:dyDescent="0.3">
      <c r="A926" s="187">
        <v>5</v>
      </c>
      <c r="B926" s="242">
        <f t="shared" si="361"/>
        <v>45778</v>
      </c>
      <c r="C926" s="243">
        <f t="shared" si="344"/>
        <v>45808</v>
      </c>
      <c r="D926" s="120">
        <f t="shared" si="345"/>
        <v>31</v>
      </c>
      <c r="E926" s="120">
        <f t="shared" si="346"/>
        <v>5</v>
      </c>
      <c r="F926" s="275">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0.99549781181619257</v>
      </c>
      <c r="P926" s="121">
        <f t="shared" si="357"/>
        <v>0.375</v>
      </c>
      <c r="Q926" s="121">
        <f t="shared" si="358"/>
        <v>0</v>
      </c>
      <c r="R926" s="121">
        <f t="shared" si="359"/>
        <v>0</v>
      </c>
      <c r="AE926" s="160">
        <f t="shared" si="360"/>
        <v>0.99549781181619257</v>
      </c>
    </row>
    <row r="927" spans="1:31" x14ac:dyDescent="0.3">
      <c r="A927" s="187">
        <v>6</v>
      </c>
      <c r="B927" s="242">
        <f t="shared" si="361"/>
        <v>45809</v>
      </c>
      <c r="C927" s="243">
        <f t="shared" si="344"/>
        <v>45838</v>
      </c>
      <c r="D927" s="120">
        <f t="shared" si="345"/>
        <v>30</v>
      </c>
      <c r="E927" s="120">
        <f t="shared" si="346"/>
        <v>6</v>
      </c>
      <c r="F927" s="275">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0.99516411378555791</v>
      </c>
      <c r="P927" s="121">
        <f t="shared" si="357"/>
        <v>0.45833333333333337</v>
      </c>
      <c r="Q927" s="121">
        <f t="shared" si="358"/>
        <v>0</v>
      </c>
      <c r="R927" s="121">
        <f t="shared" si="359"/>
        <v>0</v>
      </c>
      <c r="AE927" s="160">
        <f t="shared" si="360"/>
        <v>0.99516411378555791</v>
      </c>
    </row>
    <row r="928" spans="1:31" x14ac:dyDescent="0.3">
      <c r="A928" s="187">
        <v>7</v>
      </c>
      <c r="B928" s="242">
        <f t="shared" si="361"/>
        <v>45839</v>
      </c>
      <c r="C928" s="243">
        <f t="shared" si="344"/>
        <v>45869</v>
      </c>
      <c r="D928" s="120">
        <f t="shared" si="345"/>
        <v>31</v>
      </c>
      <c r="E928" s="120">
        <f t="shared" si="346"/>
        <v>7</v>
      </c>
      <c r="F928" s="275">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0.99483041575492337</v>
      </c>
      <c r="P928" s="121">
        <f t="shared" si="357"/>
        <v>0.54166666666666674</v>
      </c>
      <c r="Q928" s="121">
        <f t="shared" si="358"/>
        <v>0</v>
      </c>
      <c r="R928" s="121">
        <f t="shared" si="359"/>
        <v>0</v>
      </c>
      <c r="AE928" s="160">
        <f t="shared" si="360"/>
        <v>0.99483041575492337</v>
      </c>
    </row>
    <row r="929" spans="1:31" x14ac:dyDescent="0.3">
      <c r="A929" s="187">
        <v>8</v>
      </c>
      <c r="B929" s="242">
        <f t="shared" si="361"/>
        <v>45870</v>
      </c>
      <c r="C929" s="243">
        <f t="shared" si="344"/>
        <v>45900</v>
      </c>
      <c r="D929" s="120">
        <f t="shared" si="345"/>
        <v>31</v>
      </c>
      <c r="E929" s="120">
        <f t="shared" si="346"/>
        <v>8</v>
      </c>
      <c r="F929" s="275">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0.99449124726477023</v>
      </c>
      <c r="P929" s="121">
        <f t="shared" si="357"/>
        <v>0.625</v>
      </c>
      <c r="Q929" s="121">
        <f t="shared" si="358"/>
        <v>0</v>
      </c>
      <c r="R929" s="121">
        <f t="shared" si="359"/>
        <v>0</v>
      </c>
      <c r="AE929" s="160">
        <f t="shared" si="360"/>
        <v>0.99449124726477023</v>
      </c>
    </row>
    <row r="930" spans="1:31" x14ac:dyDescent="0.3">
      <c r="A930" s="187">
        <v>9</v>
      </c>
      <c r="B930" s="242">
        <f t="shared" si="361"/>
        <v>45901</v>
      </c>
      <c r="C930" s="243">
        <f t="shared" si="344"/>
        <v>45930</v>
      </c>
      <c r="D930" s="120">
        <f t="shared" si="345"/>
        <v>30</v>
      </c>
      <c r="E930" s="120">
        <f t="shared" si="346"/>
        <v>9</v>
      </c>
      <c r="F930" s="275">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0.99415754923413568</v>
      </c>
      <c r="P930" s="121">
        <f t="shared" si="357"/>
        <v>0.70833333333333326</v>
      </c>
      <c r="Q930" s="121">
        <f t="shared" si="358"/>
        <v>0</v>
      </c>
      <c r="R930" s="121">
        <f t="shared" si="359"/>
        <v>0</v>
      </c>
      <c r="AE930" s="160">
        <f t="shared" si="360"/>
        <v>0.99415754923413568</v>
      </c>
    </row>
    <row r="931" spans="1:31" x14ac:dyDescent="0.3">
      <c r="A931" s="187">
        <v>10</v>
      </c>
      <c r="B931" s="242">
        <f t="shared" si="361"/>
        <v>45931</v>
      </c>
      <c r="C931" s="243">
        <f t="shared" si="344"/>
        <v>45961</v>
      </c>
      <c r="D931" s="120">
        <f t="shared" si="345"/>
        <v>31</v>
      </c>
      <c r="E931" s="120">
        <f t="shared" si="346"/>
        <v>10</v>
      </c>
      <c r="F931" s="275">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0.99382385120350103</v>
      </c>
      <c r="P931" s="121">
        <f t="shared" si="357"/>
        <v>0.79166666666666663</v>
      </c>
      <c r="Q931" s="121">
        <f t="shared" si="358"/>
        <v>0</v>
      </c>
      <c r="R931" s="121">
        <f t="shared" si="359"/>
        <v>0</v>
      </c>
      <c r="AE931" s="160">
        <f t="shared" si="360"/>
        <v>0.99382385120350103</v>
      </c>
    </row>
    <row r="932" spans="1:31" x14ac:dyDescent="0.3">
      <c r="A932" s="187">
        <v>11</v>
      </c>
      <c r="B932" s="242">
        <f t="shared" si="361"/>
        <v>45962</v>
      </c>
      <c r="C932" s="243">
        <f t="shared" si="344"/>
        <v>45991</v>
      </c>
      <c r="D932" s="120">
        <f t="shared" si="345"/>
        <v>30</v>
      </c>
      <c r="E932" s="120">
        <f t="shared" si="346"/>
        <v>11</v>
      </c>
      <c r="F932" s="275">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0.99349015317286649</v>
      </c>
      <c r="P932" s="121">
        <f t="shared" si="357"/>
        <v>0.875</v>
      </c>
      <c r="Q932" s="121">
        <f t="shared" si="358"/>
        <v>0</v>
      </c>
      <c r="R932" s="121">
        <f t="shared" si="359"/>
        <v>0</v>
      </c>
      <c r="AE932" s="160">
        <f t="shared" si="360"/>
        <v>0.99349015317286649</v>
      </c>
    </row>
    <row r="933" spans="1:31" x14ac:dyDescent="0.3">
      <c r="A933" s="187">
        <v>12</v>
      </c>
      <c r="B933" s="242">
        <f t="shared" si="361"/>
        <v>45992</v>
      </c>
      <c r="C933" s="243">
        <f t="shared" si="344"/>
        <v>46022</v>
      </c>
      <c r="D933" s="120">
        <f t="shared" si="345"/>
        <v>31</v>
      </c>
      <c r="E933" s="120">
        <f t="shared" si="346"/>
        <v>12</v>
      </c>
      <c r="F933" s="275">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0.99315645514223194</v>
      </c>
      <c r="P933" s="121">
        <f t="shared" si="357"/>
        <v>0.95833333333333337</v>
      </c>
      <c r="Q933" s="121">
        <f t="shared" si="358"/>
        <v>0</v>
      </c>
      <c r="R933" s="121">
        <f t="shared" si="359"/>
        <v>0</v>
      </c>
      <c r="AE933" s="160">
        <f t="shared" si="360"/>
        <v>0.99315645514223194</v>
      </c>
    </row>
    <row r="934" spans="1:31" x14ac:dyDescent="0.3">
      <c r="A934" s="187">
        <v>13</v>
      </c>
      <c r="B934" s="242">
        <f t="shared" si="361"/>
        <v>46023</v>
      </c>
      <c r="C934" s="243">
        <f t="shared" si="344"/>
        <v>46053</v>
      </c>
      <c r="D934" s="120">
        <f t="shared" si="345"/>
        <v>31</v>
      </c>
      <c r="E934" s="120">
        <f t="shared" si="346"/>
        <v>1</v>
      </c>
      <c r="F934" s="275">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0.9928172866520788</v>
      </c>
      <c r="P934" s="121">
        <f t="shared" si="357"/>
        <v>0.95833333333333337</v>
      </c>
      <c r="Q934" s="121">
        <f t="shared" si="358"/>
        <v>4.166666666666663E-2</v>
      </c>
      <c r="R934" s="121">
        <f t="shared" si="359"/>
        <v>0</v>
      </c>
      <c r="AE934" s="160">
        <f t="shared" si="360"/>
        <v>0.9928172866520788</v>
      </c>
    </row>
    <row r="935" spans="1:31" x14ac:dyDescent="0.3">
      <c r="A935" s="187">
        <v>14</v>
      </c>
      <c r="B935" s="242">
        <f t="shared" si="361"/>
        <v>46054</v>
      </c>
      <c r="C935" s="243">
        <f t="shared" si="344"/>
        <v>46081</v>
      </c>
      <c r="D935" s="120">
        <f t="shared" si="345"/>
        <v>28</v>
      </c>
      <c r="E935" s="120">
        <f t="shared" si="346"/>
        <v>2</v>
      </c>
      <c r="F935" s="275">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0.99249452954048134</v>
      </c>
      <c r="P935" s="121">
        <f t="shared" si="357"/>
        <v>0.875</v>
      </c>
      <c r="Q935" s="121">
        <f t="shared" si="358"/>
        <v>0.125</v>
      </c>
      <c r="R935" s="121">
        <f t="shared" si="359"/>
        <v>0</v>
      </c>
      <c r="AE935" s="160">
        <f t="shared" si="360"/>
        <v>0.99249452954048134</v>
      </c>
    </row>
    <row r="936" spans="1:31" x14ac:dyDescent="0.3">
      <c r="A936" s="187">
        <v>15</v>
      </c>
      <c r="B936" s="242">
        <f t="shared" si="361"/>
        <v>46082</v>
      </c>
      <c r="C936" s="243">
        <f t="shared" si="344"/>
        <v>46112</v>
      </c>
      <c r="D936" s="120">
        <f t="shared" si="345"/>
        <v>31</v>
      </c>
      <c r="E936" s="120">
        <f t="shared" si="346"/>
        <v>3</v>
      </c>
      <c r="F936" s="275">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0.99217177242888399</v>
      </c>
      <c r="P936" s="121">
        <f t="shared" si="357"/>
        <v>0.79166666666666663</v>
      </c>
      <c r="Q936" s="121">
        <f t="shared" si="358"/>
        <v>0.20833333333333337</v>
      </c>
      <c r="R936" s="121">
        <f t="shared" si="359"/>
        <v>0</v>
      </c>
      <c r="AE936" s="160">
        <f t="shared" si="360"/>
        <v>0.99217177242888399</v>
      </c>
    </row>
    <row r="937" spans="1:31" x14ac:dyDescent="0.3">
      <c r="A937" s="187">
        <v>16</v>
      </c>
      <c r="B937" s="242">
        <f t="shared" si="361"/>
        <v>46113</v>
      </c>
      <c r="C937" s="243">
        <f t="shared" si="344"/>
        <v>46142</v>
      </c>
      <c r="D937" s="120">
        <f t="shared" si="345"/>
        <v>30</v>
      </c>
      <c r="E937" s="120">
        <f t="shared" si="346"/>
        <v>4</v>
      </c>
      <c r="F937" s="275">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0.99183807439824945</v>
      </c>
      <c r="P937" s="121">
        <f t="shared" si="357"/>
        <v>0.70833333333333337</v>
      </c>
      <c r="Q937" s="121">
        <f t="shared" si="358"/>
        <v>0.29166666666666663</v>
      </c>
      <c r="R937" s="121">
        <f t="shared" si="359"/>
        <v>0</v>
      </c>
      <c r="AE937" s="160">
        <f t="shared" si="360"/>
        <v>0.99183807439824945</v>
      </c>
    </row>
    <row r="938" spans="1:31" x14ac:dyDescent="0.3">
      <c r="A938" s="187">
        <v>17</v>
      </c>
      <c r="B938" s="242">
        <f t="shared" si="361"/>
        <v>46143</v>
      </c>
      <c r="C938" s="243">
        <f t="shared" si="344"/>
        <v>46173</v>
      </c>
      <c r="D938" s="120">
        <f t="shared" si="345"/>
        <v>31</v>
      </c>
      <c r="E938" s="120">
        <f t="shared" si="346"/>
        <v>5</v>
      </c>
      <c r="F938" s="275">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0.9915043763676149</v>
      </c>
      <c r="P938" s="121">
        <f t="shared" si="357"/>
        <v>0.625</v>
      </c>
      <c r="Q938" s="121">
        <f t="shared" si="358"/>
        <v>0.375</v>
      </c>
      <c r="R938" s="121">
        <f t="shared" si="359"/>
        <v>0</v>
      </c>
      <c r="AE938" s="160">
        <f t="shared" si="360"/>
        <v>0.9915043763676149</v>
      </c>
    </row>
    <row r="939" spans="1:31" x14ac:dyDescent="0.3">
      <c r="A939" s="187">
        <v>18</v>
      </c>
      <c r="B939" s="242">
        <f t="shared" si="361"/>
        <v>46174</v>
      </c>
      <c r="C939" s="243">
        <f t="shared" si="344"/>
        <v>46203</v>
      </c>
      <c r="D939" s="120">
        <f t="shared" si="345"/>
        <v>30</v>
      </c>
      <c r="E939" s="120">
        <f t="shared" si="346"/>
        <v>6</v>
      </c>
      <c r="F939" s="275">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0.99117067833698025</v>
      </c>
      <c r="P939" s="121">
        <f t="shared" si="357"/>
        <v>0.54166666666666663</v>
      </c>
      <c r="Q939" s="121">
        <f t="shared" si="358"/>
        <v>0.45833333333333337</v>
      </c>
      <c r="R939" s="121">
        <f t="shared" si="359"/>
        <v>0</v>
      </c>
      <c r="AE939" s="160">
        <f t="shared" si="360"/>
        <v>0.99117067833698025</v>
      </c>
    </row>
    <row r="940" spans="1:31" x14ac:dyDescent="0.3">
      <c r="A940" s="187">
        <v>19</v>
      </c>
      <c r="B940" s="242">
        <f t="shared" si="361"/>
        <v>46204</v>
      </c>
      <c r="C940" s="243">
        <f t="shared" si="344"/>
        <v>46234</v>
      </c>
      <c r="D940" s="120">
        <f t="shared" si="345"/>
        <v>31</v>
      </c>
      <c r="E940" s="120">
        <f t="shared" si="346"/>
        <v>7</v>
      </c>
      <c r="F940" s="275">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0.9908369803063457</v>
      </c>
      <c r="P940" s="121">
        <f t="shared" si="357"/>
        <v>0.45833333333333331</v>
      </c>
      <c r="Q940" s="121">
        <f t="shared" si="358"/>
        <v>0.54166666666666674</v>
      </c>
      <c r="R940" s="121">
        <f t="shared" si="359"/>
        <v>0</v>
      </c>
      <c r="AE940" s="160">
        <f t="shared" si="360"/>
        <v>1.0502871991247265</v>
      </c>
    </row>
    <row r="941" spans="1:31" x14ac:dyDescent="0.3">
      <c r="A941" s="187">
        <v>20</v>
      </c>
      <c r="B941" s="242">
        <f t="shared" si="361"/>
        <v>46235</v>
      </c>
      <c r="C941" s="243">
        <f t="shared" si="344"/>
        <v>46265</v>
      </c>
      <c r="D941" s="120">
        <f t="shared" si="345"/>
        <v>31</v>
      </c>
      <c r="E941" s="120">
        <f t="shared" si="346"/>
        <v>8</v>
      </c>
      <c r="F941" s="275">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0.99049781181619256</v>
      </c>
      <c r="P941" s="121">
        <f t="shared" si="357"/>
        <v>0.375</v>
      </c>
      <c r="Q941" s="121">
        <f t="shared" si="358"/>
        <v>0.625</v>
      </c>
      <c r="R941" s="121">
        <f t="shared" si="359"/>
        <v>0</v>
      </c>
      <c r="AE941" s="160">
        <f t="shared" si="360"/>
        <v>1.0499276805251643</v>
      </c>
    </row>
    <row r="942" spans="1:31" x14ac:dyDescent="0.3">
      <c r="A942" s="187">
        <v>21</v>
      </c>
      <c r="B942" s="242">
        <f t="shared" si="361"/>
        <v>46266</v>
      </c>
      <c r="C942" s="243">
        <f t="shared" si="344"/>
        <v>46295</v>
      </c>
      <c r="D942" s="120">
        <f t="shared" si="345"/>
        <v>30</v>
      </c>
      <c r="E942" s="120">
        <f t="shared" si="346"/>
        <v>9</v>
      </c>
      <c r="F942" s="275">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0.99016411378555802</v>
      </c>
      <c r="P942" s="121">
        <f t="shared" si="357"/>
        <v>0.29166666666666669</v>
      </c>
      <c r="Q942" s="121">
        <f t="shared" si="358"/>
        <v>0.70833333333333326</v>
      </c>
      <c r="R942" s="121">
        <f t="shared" si="359"/>
        <v>0</v>
      </c>
      <c r="AE942" s="160">
        <f t="shared" si="360"/>
        <v>1.0495739606126915</v>
      </c>
    </row>
    <row r="943" spans="1:31" x14ac:dyDescent="0.3">
      <c r="A943" s="187">
        <v>22</v>
      </c>
      <c r="B943" s="242">
        <f t="shared" si="361"/>
        <v>46296</v>
      </c>
      <c r="C943" s="243">
        <f t="shared" si="344"/>
        <v>46326</v>
      </c>
      <c r="D943" s="120">
        <f t="shared" si="345"/>
        <v>31</v>
      </c>
      <c r="E943" s="120">
        <f t="shared" si="346"/>
        <v>10</v>
      </c>
      <c r="F943" s="275">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0.98983041575492337</v>
      </c>
      <c r="P943" s="121">
        <f t="shared" si="357"/>
        <v>0.20833333333333334</v>
      </c>
      <c r="Q943" s="121">
        <f t="shared" si="358"/>
        <v>0.79166666666666663</v>
      </c>
      <c r="R943" s="121">
        <f t="shared" si="359"/>
        <v>0</v>
      </c>
      <c r="AE943" s="160">
        <f t="shared" si="360"/>
        <v>1.0492202407002189</v>
      </c>
    </row>
    <row r="944" spans="1:31" x14ac:dyDescent="0.3">
      <c r="A944" s="187">
        <v>23</v>
      </c>
      <c r="B944" s="242">
        <f t="shared" si="361"/>
        <v>46327</v>
      </c>
      <c r="C944" s="243">
        <f t="shared" si="344"/>
        <v>46356</v>
      </c>
      <c r="D944" s="120">
        <f t="shared" si="345"/>
        <v>30</v>
      </c>
      <c r="E944" s="120">
        <f t="shared" si="346"/>
        <v>11</v>
      </c>
      <c r="F944" s="275">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0.98949671772428882</v>
      </c>
      <c r="P944" s="121">
        <f t="shared" si="357"/>
        <v>0.125</v>
      </c>
      <c r="Q944" s="121">
        <f t="shared" si="358"/>
        <v>0.875</v>
      </c>
      <c r="R944" s="121">
        <f t="shared" si="359"/>
        <v>0</v>
      </c>
      <c r="AE944" s="160">
        <f t="shared" si="360"/>
        <v>1.0488665207877461</v>
      </c>
    </row>
    <row r="945" spans="1:35" x14ac:dyDescent="0.3">
      <c r="A945" s="187">
        <v>24</v>
      </c>
      <c r="B945" s="242">
        <f t="shared" si="361"/>
        <v>46357</v>
      </c>
      <c r="C945" s="243">
        <f t="shared" si="344"/>
        <v>46387</v>
      </c>
      <c r="D945" s="120">
        <f t="shared" si="345"/>
        <v>31</v>
      </c>
      <c r="E945" s="120">
        <f t="shared" si="346"/>
        <v>12</v>
      </c>
      <c r="F945" s="275">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0.98916301969365428</v>
      </c>
      <c r="P945" s="121">
        <f t="shared" si="357"/>
        <v>4.1666666666666664E-2</v>
      </c>
      <c r="Q945" s="121">
        <f t="shared" si="358"/>
        <v>0.95833333333333337</v>
      </c>
      <c r="R945" s="121">
        <f t="shared" si="359"/>
        <v>0</v>
      </c>
      <c r="AE945" s="160">
        <f t="shared" si="360"/>
        <v>1.0485128008752735</v>
      </c>
    </row>
    <row r="946" spans="1:35" x14ac:dyDescent="0.3">
      <c r="A946" s="187">
        <v>25</v>
      </c>
      <c r="B946" s="242">
        <f t="shared" si="361"/>
        <v>46388</v>
      </c>
      <c r="C946" s="243">
        <f t="shared" si="344"/>
        <v>46418</v>
      </c>
      <c r="D946" s="120">
        <f t="shared" si="345"/>
        <v>31</v>
      </c>
      <c r="E946" s="120">
        <f t="shared" si="346"/>
        <v>1</v>
      </c>
      <c r="F946" s="275">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0.98882385120350114</v>
      </c>
      <c r="P946" s="121">
        <f t="shared" si="357"/>
        <v>0</v>
      </c>
      <c r="Q946" s="121">
        <f t="shared" si="358"/>
        <v>0.95833333333333337</v>
      </c>
      <c r="R946" s="121">
        <f t="shared" si="359"/>
        <v>4.166666666666663E-2</v>
      </c>
      <c r="W946" s="160">
        <f t="shared" ref="W946:W957" si="362">IF($G946&lt;&gt;$Q$919,$N946,(1-$U$919)*$I946+$U$919*$J946)</f>
        <v>1.06</v>
      </c>
      <c r="X946" s="160">
        <f t="shared" ref="X946:X957" si="363">IF($G946&lt;$Q$919,0,IF($G946&gt;$Q$919,$N946,$U$919*$J946))</f>
        <v>0</v>
      </c>
      <c r="Y946" s="160">
        <f t="shared" ref="Y946:Y957" si="364">IF($F$919=1,$O946/$O934,1)</f>
        <v>0.99597767333197418</v>
      </c>
      <c r="AB946" s="160">
        <f t="shared" ref="AB946:AB957" si="365">IF(AND(N($K$919)&lt;&gt;0,$F946&lt;=$B$920),0,($F946-$B$920)/($C$920-$B$920))</f>
        <v>0.23522975929978118</v>
      </c>
      <c r="AC946" s="220">
        <f t="shared" ref="AC946:AC957" si="366">IF(AND(N($K$919)&lt;&gt;0,$F946&lt;=$B$920),$O946,$F$920*(1-$AB946))</f>
        <v>0.75712253829321663</v>
      </c>
      <c r="AD946" s="160">
        <f t="shared" ref="AD946:AD957" si="367">$H946*($W946+$X946*IF(ISNUMBER($F$970),$F$970,0))/($N934*$O934)</f>
        <v>1.0676687586438698</v>
      </c>
      <c r="AE946" s="160">
        <f t="shared" si="360"/>
        <v>1.0481532822757111</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5">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0.98850109409190368</v>
      </c>
      <c r="P947" s="121">
        <f t="shared" si="357"/>
        <v>0</v>
      </c>
      <c r="Q947" s="121">
        <f t="shared" si="358"/>
        <v>0.875</v>
      </c>
      <c r="R947" s="121">
        <f t="shared" si="359"/>
        <v>0.125</v>
      </c>
      <c r="W947" s="160">
        <f t="shared" si="362"/>
        <v>1.06</v>
      </c>
      <c r="X947" s="160">
        <f t="shared" si="363"/>
        <v>0</v>
      </c>
      <c r="Y947" s="160">
        <f t="shared" si="364"/>
        <v>0.99597636527989064</v>
      </c>
      <c r="AB947" s="160">
        <f t="shared" si="365"/>
        <v>0.29978118161925604</v>
      </c>
      <c r="AC947" s="220">
        <f t="shared" si="366"/>
        <v>0.69321663019693647</v>
      </c>
      <c r="AD947" s="160">
        <f t="shared" si="367"/>
        <v>1.0680159622549994</v>
      </c>
      <c r="AE947" s="160">
        <f t="shared" si="360"/>
        <v>1.047811159737418</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5">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0.98817833698030633</v>
      </c>
      <c r="P948" s="121">
        <f t="shared" si="357"/>
        <v>0</v>
      </c>
      <c r="Q948" s="121">
        <f t="shared" si="358"/>
        <v>0.79166666666666663</v>
      </c>
      <c r="R948" s="121">
        <f t="shared" si="359"/>
        <v>0.20833333333333337</v>
      </c>
      <c r="W948" s="160">
        <f t="shared" si="362"/>
        <v>1.06</v>
      </c>
      <c r="X948" s="160">
        <f t="shared" si="363"/>
        <v>0</v>
      </c>
      <c r="Y948" s="160">
        <f t="shared" si="364"/>
        <v>0.99597505637677886</v>
      </c>
      <c r="AB948" s="160">
        <f t="shared" si="365"/>
        <v>0.36433260393873085</v>
      </c>
      <c r="AC948" s="220">
        <f t="shared" si="366"/>
        <v>0.62931072210065642</v>
      </c>
      <c r="AD948" s="160">
        <f t="shared" si="367"/>
        <v>1.0683633917593416</v>
      </c>
      <c r="AE948" s="160">
        <f t="shared" si="360"/>
        <v>1.0474690371991247</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5">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0.98784463894967178</v>
      </c>
      <c r="P949" s="121">
        <f t="shared" si="357"/>
        <v>0</v>
      </c>
      <c r="Q949" s="121">
        <f t="shared" si="358"/>
        <v>0.70833333333333337</v>
      </c>
      <c r="R949" s="121">
        <f t="shared" si="359"/>
        <v>0.29166666666666663</v>
      </c>
      <c r="W949" s="160">
        <f t="shared" si="362"/>
        <v>1.06</v>
      </c>
      <c r="X949" s="160">
        <f t="shared" si="363"/>
        <v>1.06</v>
      </c>
      <c r="Y949" s="160">
        <f t="shared" si="364"/>
        <v>0.99597370220839676</v>
      </c>
      <c r="AB949" s="160">
        <f t="shared" si="365"/>
        <v>0.4310722100656455</v>
      </c>
      <c r="AC949" s="220">
        <f t="shared" si="366"/>
        <v>0.56323851203501096</v>
      </c>
      <c r="AD949" s="160">
        <f t="shared" si="367"/>
        <v>1.0687228362785979</v>
      </c>
      <c r="AE949" s="160">
        <f t="shared" si="360"/>
        <v>1.0471153172866521</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5">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0.98751094091903724</v>
      </c>
      <c r="P950" s="121">
        <f t="shared" si="357"/>
        <v>0</v>
      </c>
      <c r="Q950" s="121">
        <f t="shared" si="358"/>
        <v>0.625</v>
      </c>
      <c r="R950" s="121">
        <f t="shared" si="359"/>
        <v>0.375</v>
      </c>
      <c r="W950" s="160">
        <f t="shared" si="362"/>
        <v>1.06</v>
      </c>
      <c r="X950" s="160">
        <f t="shared" si="363"/>
        <v>1.06</v>
      </c>
      <c r="Y950" s="160">
        <f t="shared" si="364"/>
        <v>0.99597234712850424</v>
      </c>
      <c r="AB950" s="160">
        <f t="shared" si="365"/>
        <v>0.49781181619256015</v>
      </c>
      <c r="AC950" s="220">
        <f t="shared" si="366"/>
        <v>0.4971663019693654</v>
      </c>
      <c r="AD950" s="160">
        <f t="shared" si="367"/>
        <v>1.0690825227452041</v>
      </c>
      <c r="AE950" s="160">
        <f t="shared" si="360"/>
        <v>1.0467615973741795</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5">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0.98717724288840258</v>
      </c>
      <c r="P951" s="121">
        <f t="shared" si="357"/>
        <v>0</v>
      </c>
      <c r="Q951" s="121">
        <f t="shared" si="358"/>
        <v>0.54166666666666663</v>
      </c>
      <c r="R951" s="121">
        <f t="shared" si="359"/>
        <v>0.45833333333333337</v>
      </c>
      <c r="W951" s="160">
        <f t="shared" si="362"/>
        <v>1.06</v>
      </c>
      <c r="X951" s="160">
        <f t="shared" si="363"/>
        <v>1.06</v>
      </c>
      <c r="Y951" s="160">
        <f t="shared" si="364"/>
        <v>0.99597099113618048</v>
      </c>
      <c r="AB951" s="160">
        <f t="shared" si="365"/>
        <v>0.56455142231947486</v>
      </c>
      <c r="AC951" s="220">
        <f t="shared" si="366"/>
        <v>0.43109409190371989</v>
      </c>
      <c r="AD951" s="160">
        <f t="shared" si="367"/>
        <v>1.0694424514035301</v>
      </c>
      <c r="AE951" s="160">
        <f t="shared" si="360"/>
        <v>1.0464078774617069</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5">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0.98684354485776804</v>
      </c>
      <c r="P952" s="121">
        <f t="shared" si="357"/>
        <v>0</v>
      </c>
      <c r="Q952" s="121">
        <f t="shared" si="358"/>
        <v>0.45833333333333331</v>
      </c>
      <c r="R952" s="121">
        <f t="shared" si="359"/>
        <v>0.54166666666666674</v>
      </c>
      <c r="W952" s="160">
        <f t="shared" si="362"/>
        <v>1.06</v>
      </c>
      <c r="X952" s="160">
        <f t="shared" si="363"/>
        <v>1.06</v>
      </c>
      <c r="Y952" s="160">
        <f t="shared" si="364"/>
        <v>0.99596963423050378</v>
      </c>
      <c r="AB952" s="160">
        <f t="shared" si="365"/>
        <v>0.63129102844638951</v>
      </c>
      <c r="AC952" s="220">
        <f t="shared" si="366"/>
        <v>0.36502188183807438</v>
      </c>
      <c r="AD952" s="160">
        <f t="shared" si="367"/>
        <v>1.0092477570738441</v>
      </c>
      <c r="AE952" s="160">
        <f t="shared" si="360"/>
        <v>1.0460541575492341</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5">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0.9865043763676149</v>
      </c>
      <c r="P953" s="121">
        <f t="shared" si="357"/>
        <v>0</v>
      </c>
      <c r="Q953" s="121">
        <f t="shared" si="358"/>
        <v>0.375</v>
      </c>
      <c r="R953" s="121">
        <f t="shared" si="359"/>
        <v>0.625</v>
      </c>
      <c r="W953" s="160">
        <f t="shared" si="362"/>
        <v>1.06</v>
      </c>
      <c r="X953" s="160">
        <f t="shared" si="363"/>
        <v>1.06</v>
      </c>
      <c r="Y953" s="160">
        <f t="shared" si="364"/>
        <v>0.99596825414358536</v>
      </c>
      <c r="AB953" s="160">
        <f t="shared" si="365"/>
        <v>0.69912472647702406</v>
      </c>
      <c r="AC953" s="220">
        <f t="shared" si="366"/>
        <v>0.29786652078774617</v>
      </c>
      <c r="AD953" s="160">
        <f t="shared" si="367"/>
        <v>1.0095933459624549</v>
      </c>
      <c r="AE953" s="160">
        <f t="shared" si="360"/>
        <v>1.0456946389496717</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5">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0.98617067833698024</v>
      </c>
      <c r="P954" s="121">
        <f t="shared" si="357"/>
        <v>0</v>
      </c>
      <c r="Q954" s="121">
        <f t="shared" si="358"/>
        <v>0.29166666666666669</v>
      </c>
      <c r="R954" s="121">
        <f t="shared" si="359"/>
        <v>0.70833333333333326</v>
      </c>
      <c r="W954" s="160">
        <f t="shared" si="362"/>
        <v>1.06</v>
      </c>
      <c r="X954" s="160">
        <f t="shared" si="363"/>
        <v>1.06</v>
      </c>
      <c r="Y954" s="160">
        <f t="shared" si="364"/>
        <v>0.99596689539342098</v>
      </c>
      <c r="AB954" s="160">
        <f t="shared" si="365"/>
        <v>0.76586433260393871</v>
      </c>
      <c r="AC954" s="220">
        <f t="shared" si="366"/>
        <v>0.23179431072210066</v>
      </c>
      <c r="AD954" s="160">
        <f t="shared" si="367"/>
        <v>1.0099335918940122</v>
      </c>
      <c r="AE954" s="160">
        <f t="shared" si="360"/>
        <v>1.0453409190371992</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5">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0.9858369803063457</v>
      </c>
      <c r="P955" s="121">
        <f t="shared" si="357"/>
        <v>0</v>
      </c>
      <c r="Q955" s="121">
        <f t="shared" si="358"/>
        <v>0.20833333333333334</v>
      </c>
      <c r="R955" s="121">
        <f t="shared" si="359"/>
        <v>0.79166666666666663</v>
      </c>
      <c r="W955" s="160">
        <f t="shared" si="362"/>
        <v>1.06</v>
      </c>
      <c r="X955" s="160">
        <f t="shared" si="363"/>
        <v>1.06</v>
      </c>
      <c r="Y955" s="160">
        <f t="shared" si="364"/>
        <v>0.99596553572711544</v>
      </c>
      <c r="AB955" s="160">
        <f t="shared" si="365"/>
        <v>0.83260393873085337</v>
      </c>
      <c r="AC955" s="220">
        <f t="shared" si="366"/>
        <v>0.16572210065645518</v>
      </c>
      <c r="AD955" s="160">
        <f t="shared" si="367"/>
        <v>1.0102740672373867</v>
      </c>
      <c r="AE955" s="160">
        <f t="shared" si="360"/>
        <v>1.0449871991247266</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5">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0.98550328227571116</v>
      </c>
      <c r="P956" s="121">
        <f t="shared" si="357"/>
        <v>0</v>
      </c>
      <c r="Q956" s="121">
        <f t="shared" si="358"/>
        <v>0.125</v>
      </c>
      <c r="R956" s="121">
        <f t="shared" si="359"/>
        <v>0.875</v>
      </c>
      <c r="W956" s="160">
        <f t="shared" si="362"/>
        <v>1.06</v>
      </c>
      <c r="X956" s="160">
        <f t="shared" si="363"/>
        <v>1.06</v>
      </c>
      <c r="Y956" s="160">
        <f t="shared" si="364"/>
        <v>0.99596417514374169</v>
      </c>
      <c r="AB956" s="160">
        <f t="shared" si="365"/>
        <v>0.89934354485776802</v>
      </c>
      <c r="AC956" s="220">
        <f t="shared" si="366"/>
        <v>9.9649890590809656E-2</v>
      </c>
      <c r="AD956" s="160">
        <f t="shared" si="367"/>
        <v>1.0106147722246794</v>
      </c>
      <c r="AE956" s="160">
        <f t="shared" si="360"/>
        <v>1.0446334792122538</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5">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0.98516958424507661</v>
      </c>
      <c r="P957" s="121">
        <f t="shared" si="357"/>
        <v>0</v>
      </c>
      <c r="Q957" s="121">
        <f t="shared" si="358"/>
        <v>4.1666666666666664E-2</v>
      </c>
      <c r="R957" s="121">
        <f t="shared" si="359"/>
        <v>0.95833333333333337</v>
      </c>
      <c r="W957" s="160">
        <f t="shared" si="362"/>
        <v>1.06</v>
      </c>
      <c r="X957" s="160">
        <f t="shared" si="363"/>
        <v>1.06</v>
      </c>
      <c r="Y957" s="160">
        <f t="shared" si="364"/>
        <v>0.99596281364237171</v>
      </c>
      <c r="AB957" s="160">
        <f t="shared" si="365"/>
        <v>0.96608315098468267</v>
      </c>
      <c r="AC957" s="220">
        <f t="shared" si="366"/>
        <v>3.3577680525164154E-2</v>
      </c>
      <c r="AD957" s="160">
        <f t="shared" si="367"/>
        <v>1.0109557070883037</v>
      </c>
      <c r="AE957" s="160">
        <f t="shared" si="360"/>
        <v>1.0442797592997812</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5">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0.98499999999999999</v>
      </c>
      <c r="P958" s="121">
        <f t="shared" si="357"/>
        <v>0</v>
      </c>
      <c r="Q958" s="121">
        <f t="shared" si="358"/>
        <v>0</v>
      </c>
      <c r="R958" s="121">
        <f t="shared" si="359"/>
        <v>0.95833333333333337</v>
      </c>
      <c r="AE958" s="160">
        <f t="shared" si="360"/>
        <v>1.0441</v>
      </c>
    </row>
    <row r="959" spans="1:35" x14ac:dyDescent="0.3">
      <c r="A959" s="187">
        <v>38</v>
      </c>
      <c r="B959" s="242">
        <f t="shared" si="361"/>
        <v>46784</v>
      </c>
      <c r="C959" s="243">
        <f t="shared" si="344"/>
        <v>46812</v>
      </c>
      <c r="D959" s="120">
        <f t="shared" si="345"/>
        <v>29</v>
      </c>
      <c r="E959" s="120">
        <f t="shared" si="346"/>
        <v>2</v>
      </c>
      <c r="F959" s="275">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0.98499999999999999</v>
      </c>
      <c r="P959" s="121">
        <f t="shared" si="357"/>
        <v>0</v>
      </c>
      <c r="Q959" s="121">
        <f t="shared" si="358"/>
        <v>0</v>
      </c>
      <c r="R959" s="121">
        <f t="shared" si="359"/>
        <v>0.875</v>
      </c>
      <c r="AE959" s="160">
        <f t="shared" si="360"/>
        <v>1.0441</v>
      </c>
    </row>
    <row r="960" spans="1:35" x14ac:dyDescent="0.3">
      <c r="A960" s="187">
        <v>39</v>
      </c>
      <c r="B960" s="242">
        <f t="shared" si="361"/>
        <v>46813</v>
      </c>
      <c r="C960" s="243">
        <f t="shared" si="344"/>
        <v>46843</v>
      </c>
      <c r="D960" s="120">
        <f t="shared" si="345"/>
        <v>31</v>
      </c>
      <c r="E960" s="120">
        <f t="shared" si="346"/>
        <v>3</v>
      </c>
      <c r="F960" s="275">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0.98499999999999999</v>
      </c>
      <c r="P960" s="121">
        <f t="shared" si="357"/>
        <v>0</v>
      </c>
      <c r="Q960" s="121">
        <f t="shared" si="358"/>
        <v>0</v>
      </c>
      <c r="R960" s="121">
        <f t="shared" si="359"/>
        <v>0.79166666666666663</v>
      </c>
      <c r="AE960" s="160">
        <f t="shared" si="360"/>
        <v>1.0441</v>
      </c>
    </row>
    <row r="961" spans="1:31" x14ac:dyDescent="0.3">
      <c r="A961" s="187">
        <v>40</v>
      </c>
      <c r="B961" s="242">
        <f t="shared" si="361"/>
        <v>46844</v>
      </c>
      <c r="C961" s="243">
        <f t="shared" si="344"/>
        <v>46873</v>
      </c>
      <c r="D961" s="120">
        <f t="shared" si="345"/>
        <v>30</v>
      </c>
      <c r="E961" s="120">
        <f t="shared" si="346"/>
        <v>4</v>
      </c>
      <c r="F961" s="275">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0.98499999999999999</v>
      </c>
      <c r="P961" s="121">
        <f t="shared" si="357"/>
        <v>0</v>
      </c>
      <c r="Q961" s="121">
        <f t="shared" si="358"/>
        <v>0</v>
      </c>
      <c r="R961" s="121">
        <f t="shared" si="359"/>
        <v>0.70833333333333337</v>
      </c>
      <c r="AE961" s="160">
        <f t="shared" si="360"/>
        <v>1.0441</v>
      </c>
    </row>
    <row r="962" spans="1:31" x14ac:dyDescent="0.3">
      <c r="A962" s="187">
        <v>41</v>
      </c>
      <c r="B962" s="242">
        <f t="shared" si="361"/>
        <v>46874</v>
      </c>
      <c r="C962" s="243">
        <f t="shared" si="344"/>
        <v>46904</v>
      </c>
      <c r="D962" s="120">
        <f t="shared" si="345"/>
        <v>31</v>
      </c>
      <c r="E962" s="120">
        <f t="shared" si="346"/>
        <v>5</v>
      </c>
      <c r="F962" s="275">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0.98499999999999999</v>
      </c>
      <c r="P962" s="121">
        <f t="shared" si="357"/>
        <v>0</v>
      </c>
      <c r="Q962" s="121">
        <f t="shared" si="358"/>
        <v>0</v>
      </c>
      <c r="R962" s="121">
        <f t="shared" si="359"/>
        <v>0.625</v>
      </c>
      <c r="AE962" s="160">
        <f t="shared" si="360"/>
        <v>1.0441</v>
      </c>
    </row>
    <row r="963" spans="1:31" x14ac:dyDescent="0.3">
      <c r="A963" s="187">
        <v>42</v>
      </c>
      <c r="B963" s="242">
        <f t="shared" si="361"/>
        <v>46905</v>
      </c>
      <c r="C963" s="243">
        <f t="shared" si="344"/>
        <v>46934</v>
      </c>
      <c r="D963" s="120">
        <f t="shared" si="345"/>
        <v>30</v>
      </c>
      <c r="E963" s="120">
        <f t="shared" si="346"/>
        <v>6</v>
      </c>
      <c r="F963" s="275">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0.98499999999999999</v>
      </c>
      <c r="P963" s="121">
        <f t="shared" si="357"/>
        <v>0</v>
      </c>
      <c r="Q963" s="121">
        <f t="shared" si="358"/>
        <v>0</v>
      </c>
      <c r="R963" s="121">
        <f t="shared" si="359"/>
        <v>0.54166666666666663</v>
      </c>
      <c r="AE963" s="160">
        <f t="shared" si="360"/>
        <v>1.0441</v>
      </c>
    </row>
    <row r="964" spans="1:31" x14ac:dyDescent="0.3">
      <c r="A964" s="187">
        <v>43</v>
      </c>
      <c r="B964" s="242">
        <f t="shared" si="361"/>
        <v>46935</v>
      </c>
      <c r="C964" s="243">
        <f t="shared" si="344"/>
        <v>46965</v>
      </c>
      <c r="D964" s="120">
        <f t="shared" si="345"/>
        <v>31</v>
      </c>
      <c r="E964" s="120">
        <f t="shared" si="346"/>
        <v>7</v>
      </c>
      <c r="F964" s="275">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0.98499999999999999</v>
      </c>
      <c r="P964" s="121">
        <f t="shared" si="357"/>
        <v>0</v>
      </c>
      <c r="Q964" s="121">
        <f t="shared" si="358"/>
        <v>0</v>
      </c>
      <c r="R964" s="121">
        <f t="shared" si="359"/>
        <v>0.45833333333333331</v>
      </c>
      <c r="AE964" s="160">
        <f t="shared" si="360"/>
        <v>1.0441</v>
      </c>
    </row>
    <row r="965" spans="1:31" x14ac:dyDescent="0.3">
      <c r="A965" s="187">
        <v>44</v>
      </c>
      <c r="B965" s="242">
        <f t="shared" si="361"/>
        <v>46966</v>
      </c>
      <c r="C965" s="243">
        <f t="shared" si="344"/>
        <v>46996</v>
      </c>
      <c r="D965" s="120">
        <f t="shared" si="345"/>
        <v>31</v>
      </c>
      <c r="E965" s="120">
        <f t="shared" si="346"/>
        <v>8</v>
      </c>
      <c r="F965" s="275">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0.98499999999999999</v>
      </c>
      <c r="P965" s="121">
        <f t="shared" si="357"/>
        <v>0</v>
      </c>
      <c r="Q965" s="121">
        <f t="shared" si="358"/>
        <v>0</v>
      </c>
      <c r="R965" s="121">
        <f t="shared" si="359"/>
        <v>0.375</v>
      </c>
      <c r="AE965" s="160">
        <f t="shared" si="360"/>
        <v>1.0441</v>
      </c>
    </row>
    <row r="966" spans="1:31" x14ac:dyDescent="0.3">
      <c r="A966" s="187">
        <v>45</v>
      </c>
      <c r="B966" s="242">
        <f t="shared" si="361"/>
        <v>46997</v>
      </c>
      <c r="C966" s="243">
        <f t="shared" si="344"/>
        <v>47026</v>
      </c>
      <c r="D966" s="120">
        <f t="shared" si="345"/>
        <v>30</v>
      </c>
      <c r="E966" s="120">
        <f t="shared" si="346"/>
        <v>9</v>
      </c>
      <c r="F966" s="275">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0.98499999999999999</v>
      </c>
      <c r="P966" s="121">
        <f t="shared" si="357"/>
        <v>0</v>
      </c>
      <c r="Q966" s="121">
        <f t="shared" si="358"/>
        <v>0</v>
      </c>
      <c r="R966" s="121">
        <f t="shared" si="359"/>
        <v>0.29166666666666669</v>
      </c>
      <c r="AE966" s="160">
        <f t="shared" si="360"/>
        <v>1.0441</v>
      </c>
    </row>
    <row r="967" spans="1:31" x14ac:dyDescent="0.3">
      <c r="A967" s="187">
        <v>46</v>
      </c>
      <c r="B967" s="242">
        <f t="shared" si="361"/>
        <v>47027</v>
      </c>
      <c r="C967" s="243">
        <f t="shared" si="344"/>
        <v>47057</v>
      </c>
      <c r="D967" s="120">
        <f t="shared" si="345"/>
        <v>31</v>
      </c>
      <c r="E967" s="120">
        <f t="shared" si="346"/>
        <v>10</v>
      </c>
      <c r="F967" s="275">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0.98499999999999999</v>
      </c>
      <c r="P967" s="121">
        <f t="shared" si="357"/>
        <v>0</v>
      </c>
      <c r="Q967" s="121">
        <f t="shared" si="358"/>
        <v>0</v>
      </c>
      <c r="R967" s="121">
        <f t="shared" si="359"/>
        <v>0.20833333333333334</v>
      </c>
      <c r="AE967" s="160">
        <f t="shared" si="360"/>
        <v>1.0441</v>
      </c>
    </row>
    <row r="968" spans="1:31" x14ac:dyDescent="0.3">
      <c r="A968" s="187">
        <v>47</v>
      </c>
      <c r="B968" s="242">
        <f t="shared" si="361"/>
        <v>47058</v>
      </c>
      <c r="C968" s="243">
        <f t="shared" si="344"/>
        <v>47087</v>
      </c>
      <c r="D968" s="120">
        <f t="shared" si="345"/>
        <v>30</v>
      </c>
      <c r="E968" s="120">
        <f t="shared" si="346"/>
        <v>11</v>
      </c>
      <c r="F968" s="275">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0.98499999999999999</v>
      </c>
      <c r="P968" s="121">
        <f t="shared" si="357"/>
        <v>0</v>
      </c>
      <c r="Q968" s="121">
        <f t="shared" si="358"/>
        <v>0</v>
      </c>
      <c r="R968" s="121">
        <f t="shared" si="359"/>
        <v>0.125</v>
      </c>
      <c r="AE968" s="160">
        <f t="shared" si="360"/>
        <v>1.0441</v>
      </c>
    </row>
    <row r="969" spans="1:31" x14ac:dyDescent="0.3">
      <c r="A969" s="187">
        <v>48</v>
      </c>
      <c r="B969" s="242">
        <f t="shared" si="361"/>
        <v>47088</v>
      </c>
      <c r="C969" s="243">
        <f t="shared" si="344"/>
        <v>47118</v>
      </c>
      <c r="D969" s="120">
        <f t="shared" si="345"/>
        <v>31</v>
      </c>
      <c r="E969" s="120">
        <f t="shared" si="346"/>
        <v>12</v>
      </c>
      <c r="F969" s="275">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0.98499999999999999</v>
      </c>
      <c r="P969" s="121">
        <f t="shared" si="357"/>
        <v>0</v>
      </c>
      <c r="Q969" s="121">
        <f t="shared" si="358"/>
        <v>0</v>
      </c>
      <c r="R969" s="121">
        <f t="shared" si="359"/>
        <v>4.1666666666666664E-2</v>
      </c>
      <c r="AE969" s="160">
        <f t="shared" si="360"/>
        <v>1.0441</v>
      </c>
    </row>
    <row r="970" spans="1:31" x14ac:dyDescent="0.3">
      <c r="A970" s="23" t="s">
        <v>1723</v>
      </c>
      <c r="B970" s="279">
        <f>SUM($H$946:$H$957)</f>
        <v>12</v>
      </c>
      <c r="C970" s="160">
        <f>SUMPRODUCT($H$946:$H$957,$W$946:$W$957/$N$934:$N$945,$Y$946:$Y$957)</f>
        <v>12.310194211870169</v>
      </c>
      <c r="D970" s="160">
        <f>SUMPRODUCT($H$946:$H$957,$X$946:$X$957/$N$934:$N$945,$Y$946:$Y$957)</f>
        <v>9.142989371182205</v>
      </c>
      <c r="E970" s="281" t="str">
        <f>IF(OR($D$919=0,$P$919=0,$D970=0),"n/a",((1+$E$919)*$B970-$C970)/$D970)</f>
        <v>n/a</v>
      </c>
      <c r="F970" s="281" t="str">
        <f>IF($V$919&lt;&gt;"",$V$919,$E970)</f>
        <v>n/a</v>
      </c>
      <c r="G970" s="281"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2">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1</v>
      </c>
      <c r="H975" s="220">
        <f>IF($C975=0,1,IF(N(INDEX(lr_m0,$C975))=0,1,INDEX(lr_m0,$C975)))</f>
        <v>0.99</v>
      </c>
      <c r="I975" s="278">
        <f>IF($C975=0,DATE(nr_PlanYear-1,10,1),IF(N(INDEX(lr_m0asof,$C975))=0,DATE(nr_PlanYear-1,10,1),INDEX(lr_m0asof,$C975)))</f>
        <v>46295</v>
      </c>
      <c r="J975" s="220">
        <f>IF($C975=0,1,IF(N(INDEX(lr_m1,$C975))=0,1,INDEX(lr_m1,$C975)))</f>
        <v>1</v>
      </c>
      <c r="K975" s="220">
        <f>IF($C975=0,0,N(INDEX(lr_mprior,$C975)))</f>
        <v>0</v>
      </c>
      <c r="L975" s="220">
        <f>IF($C975=0,0,N(INDEX(lr_m2,$C975)))</f>
        <v>0</v>
      </c>
      <c r="M975" s="43">
        <f>IF(OR($A975="",COUNTIF(se_state,$A975)=0),0,MATCH($A975,se_state,0))</f>
        <v>0</v>
      </c>
      <c r="N975" s="279">
        <f>IF($M975=0,0,INDEX(se_sum,$M975))</f>
        <v>0</v>
      </c>
      <c r="O975" s="278">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80" t="str">
        <f>IF(ISBLANK('Net Delivery'!$E$22),$Y975,'Net Delivery'!$E$22)</f>
        <v/>
      </c>
      <c r="W975" s="43">
        <f>IF($B975="",0,COUNTIFS(rl_key,$B975,rl_status,"planned",rl_eff,"&gt;="&amp;DATE(nr_PlanYear,1,1),rl_eff,"&lt;="&amp;DATE(nr_PlanYear,12,31)))</f>
        <v>0</v>
      </c>
      <c r="X975" s="278">
        <f>IF($W975=0,nd_DefaultDate,SUMIFS(rl_eff,rl_key,$B975,rl_firstplanned,1))</f>
        <v>46478</v>
      </c>
      <c r="Y975" s="280" t="str">
        <f>IF($W975=0,"",SUMIFS(rl_reff,rl_key,$B975,rl_firstplanned,1))</f>
        <v/>
      </c>
      <c r="Z975" s="280"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5">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0.97637855579868715</v>
      </c>
      <c r="P978" s="121">
        <f t="shared" ref="P978:P1025" si="385">MIN(1,MAX(0,(nr_MEndPm1-$G978+0.5)/nr_TermMonths))-MIN(1,MAX(0,(nr_MStartPm1-1-$G978+0.5)/nr_TermMonths))</f>
        <v>4.166666666666663E-2</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0.97637855579868715</v>
      </c>
    </row>
    <row r="979" spans="1:31" x14ac:dyDescent="0.3">
      <c r="A979" s="187">
        <v>2</v>
      </c>
      <c r="B979" s="242">
        <f t="shared" ref="B979:B1025" si="389">EDATE($B978,1)</f>
        <v>45689</v>
      </c>
      <c r="C979" s="243">
        <f t="shared" si="372"/>
        <v>45716</v>
      </c>
      <c r="D979" s="120">
        <f t="shared" si="373"/>
        <v>28</v>
      </c>
      <c r="E979" s="120">
        <f t="shared" si="374"/>
        <v>2</v>
      </c>
      <c r="F979" s="275">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0.97702407002188185</v>
      </c>
      <c r="P979" s="121">
        <f t="shared" si="385"/>
        <v>0.125</v>
      </c>
      <c r="Q979" s="121">
        <f t="shared" si="386"/>
        <v>0</v>
      </c>
      <c r="R979" s="121">
        <f t="shared" si="387"/>
        <v>0</v>
      </c>
      <c r="AE979" s="160">
        <f t="shared" si="388"/>
        <v>0.97702407002188185</v>
      </c>
    </row>
    <row r="980" spans="1:31" x14ac:dyDescent="0.3">
      <c r="A980" s="187">
        <v>3</v>
      </c>
      <c r="B980" s="242">
        <f t="shared" si="389"/>
        <v>45717</v>
      </c>
      <c r="C980" s="243">
        <f t="shared" si="372"/>
        <v>45747</v>
      </c>
      <c r="D980" s="120">
        <f t="shared" si="373"/>
        <v>31</v>
      </c>
      <c r="E980" s="120">
        <f t="shared" si="374"/>
        <v>3</v>
      </c>
      <c r="F980" s="275">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0.97766958424507666</v>
      </c>
      <c r="P980" s="121">
        <f t="shared" si="385"/>
        <v>0.20833333333333337</v>
      </c>
      <c r="Q980" s="121">
        <f t="shared" si="386"/>
        <v>0</v>
      </c>
      <c r="R980" s="121">
        <f t="shared" si="387"/>
        <v>0</v>
      </c>
      <c r="AE980" s="160">
        <f t="shared" si="388"/>
        <v>0.97766958424507666</v>
      </c>
    </row>
    <row r="981" spans="1:31" x14ac:dyDescent="0.3">
      <c r="A981" s="187">
        <v>4</v>
      </c>
      <c r="B981" s="242">
        <f t="shared" si="389"/>
        <v>45748</v>
      </c>
      <c r="C981" s="243">
        <f t="shared" si="372"/>
        <v>45777</v>
      </c>
      <c r="D981" s="120">
        <f t="shared" si="373"/>
        <v>30</v>
      </c>
      <c r="E981" s="120">
        <f t="shared" si="374"/>
        <v>4</v>
      </c>
      <c r="F981" s="275">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0.97833698030634575</v>
      </c>
      <c r="P981" s="121">
        <f t="shared" si="385"/>
        <v>0.29166666666666663</v>
      </c>
      <c r="Q981" s="121">
        <f t="shared" si="386"/>
        <v>0</v>
      </c>
      <c r="R981" s="121">
        <f t="shared" si="387"/>
        <v>0</v>
      </c>
      <c r="AE981" s="160">
        <f t="shared" si="388"/>
        <v>0.97833698030634575</v>
      </c>
    </row>
    <row r="982" spans="1:31" x14ac:dyDescent="0.3">
      <c r="A982" s="187">
        <v>5</v>
      </c>
      <c r="B982" s="242">
        <f t="shared" si="389"/>
        <v>45778</v>
      </c>
      <c r="C982" s="243">
        <f t="shared" si="372"/>
        <v>45808</v>
      </c>
      <c r="D982" s="120">
        <f t="shared" si="373"/>
        <v>31</v>
      </c>
      <c r="E982" s="120">
        <f t="shared" si="374"/>
        <v>5</v>
      </c>
      <c r="F982" s="275">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0.97900437636761495</v>
      </c>
      <c r="P982" s="121">
        <f t="shared" si="385"/>
        <v>0.375</v>
      </c>
      <c r="Q982" s="121">
        <f t="shared" si="386"/>
        <v>0</v>
      </c>
      <c r="R982" s="121">
        <f t="shared" si="387"/>
        <v>0</v>
      </c>
      <c r="AE982" s="160">
        <f t="shared" si="388"/>
        <v>0.97900437636761495</v>
      </c>
    </row>
    <row r="983" spans="1:31" x14ac:dyDescent="0.3">
      <c r="A983" s="187">
        <v>6</v>
      </c>
      <c r="B983" s="242">
        <f t="shared" si="389"/>
        <v>45809</v>
      </c>
      <c r="C983" s="243">
        <f t="shared" si="372"/>
        <v>45838</v>
      </c>
      <c r="D983" s="120">
        <f t="shared" si="373"/>
        <v>30</v>
      </c>
      <c r="E983" s="120">
        <f t="shared" si="374"/>
        <v>6</v>
      </c>
      <c r="F983" s="275">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0.97967177242888404</v>
      </c>
      <c r="P983" s="121">
        <f t="shared" si="385"/>
        <v>0.45833333333333337</v>
      </c>
      <c r="Q983" s="121">
        <f t="shared" si="386"/>
        <v>0</v>
      </c>
      <c r="R983" s="121">
        <f t="shared" si="387"/>
        <v>0</v>
      </c>
      <c r="AE983" s="160">
        <f t="shared" si="388"/>
        <v>0.97967177242888404</v>
      </c>
    </row>
    <row r="984" spans="1:31" x14ac:dyDescent="0.3">
      <c r="A984" s="187">
        <v>7</v>
      </c>
      <c r="B984" s="242">
        <f t="shared" si="389"/>
        <v>45839</v>
      </c>
      <c r="C984" s="243">
        <f t="shared" si="372"/>
        <v>45869</v>
      </c>
      <c r="D984" s="120">
        <f t="shared" si="373"/>
        <v>31</v>
      </c>
      <c r="E984" s="120">
        <f t="shared" si="374"/>
        <v>7</v>
      </c>
      <c r="F984" s="275">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0.98033916849015323</v>
      </c>
      <c r="P984" s="121">
        <f t="shared" si="385"/>
        <v>0.54166666666666674</v>
      </c>
      <c r="Q984" s="121">
        <f t="shared" si="386"/>
        <v>0</v>
      </c>
      <c r="R984" s="121">
        <f t="shared" si="387"/>
        <v>0</v>
      </c>
      <c r="AE984" s="160">
        <f t="shared" si="388"/>
        <v>0.98033916849015323</v>
      </c>
    </row>
    <row r="985" spans="1:31" x14ac:dyDescent="0.3">
      <c r="A985" s="187">
        <v>8</v>
      </c>
      <c r="B985" s="242">
        <f t="shared" si="389"/>
        <v>45870</v>
      </c>
      <c r="C985" s="243">
        <f t="shared" si="372"/>
        <v>45900</v>
      </c>
      <c r="D985" s="120">
        <f t="shared" si="373"/>
        <v>31</v>
      </c>
      <c r="E985" s="120">
        <f t="shared" si="374"/>
        <v>8</v>
      </c>
      <c r="F985" s="275">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0.98101750547045952</v>
      </c>
      <c r="P985" s="121">
        <f t="shared" si="385"/>
        <v>0.625</v>
      </c>
      <c r="Q985" s="121">
        <f t="shared" si="386"/>
        <v>0</v>
      </c>
      <c r="R985" s="121">
        <f t="shared" si="387"/>
        <v>0</v>
      </c>
      <c r="AE985" s="160">
        <f t="shared" si="388"/>
        <v>0.98101750547045952</v>
      </c>
    </row>
    <row r="986" spans="1:31" x14ac:dyDescent="0.3">
      <c r="A986" s="187">
        <v>9</v>
      </c>
      <c r="B986" s="242">
        <f t="shared" si="389"/>
        <v>45901</v>
      </c>
      <c r="C986" s="243">
        <f t="shared" si="372"/>
        <v>45930</v>
      </c>
      <c r="D986" s="120">
        <f t="shared" si="373"/>
        <v>30</v>
      </c>
      <c r="E986" s="120">
        <f t="shared" si="374"/>
        <v>9</v>
      </c>
      <c r="F986" s="275">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0.98168490153172872</v>
      </c>
      <c r="P986" s="121">
        <f t="shared" si="385"/>
        <v>0.70833333333333326</v>
      </c>
      <c r="Q986" s="121">
        <f t="shared" si="386"/>
        <v>0</v>
      </c>
      <c r="R986" s="121">
        <f t="shared" si="387"/>
        <v>0</v>
      </c>
      <c r="AE986" s="160">
        <f t="shared" si="388"/>
        <v>0.98168490153172872</v>
      </c>
    </row>
    <row r="987" spans="1:31" x14ac:dyDescent="0.3">
      <c r="A987" s="187">
        <v>10</v>
      </c>
      <c r="B987" s="242">
        <f t="shared" si="389"/>
        <v>45931</v>
      </c>
      <c r="C987" s="243">
        <f t="shared" si="372"/>
        <v>45961</v>
      </c>
      <c r="D987" s="120">
        <f t="shared" si="373"/>
        <v>31</v>
      </c>
      <c r="E987" s="120">
        <f t="shared" si="374"/>
        <v>10</v>
      </c>
      <c r="F987" s="275">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0.9823522975929978</v>
      </c>
      <c r="P987" s="121">
        <f t="shared" si="385"/>
        <v>0.79166666666666663</v>
      </c>
      <c r="Q987" s="121">
        <f t="shared" si="386"/>
        <v>0</v>
      </c>
      <c r="R987" s="121">
        <f t="shared" si="387"/>
        <v>0</v>
      </c>
      <c r="AE987" s="160">
        <f t="shared" si="388"/>
        <v>0.9823522975929978</v>
      </c>
    </row>
    <row r="988" spans="1:31" x14ac:dyDescent="0.3">
      <c r="A988" s="187">
        <v>11</v>
      </c>
      <c r="B988" s="242">
        <f t="shared" si="389"/>
        <v>45962</v>
      </c>
      <c r="C988" s="243">
        <f t="shared" si="372"/>
        <v>45991</v>
      </c>
      <c r="D988" s="120">
        <f t="shared" si="373"/>
        <v>30</v>
      </c>
      <c r="E988" s="120">
        <f t="shared" si="374"/>
        <v>11</v>
      </c>
      <c r="F988" s="275">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0.983019693654267</v>
      </c>
      <c r="P988" s="121">
        <f t="shared" si="385"/>
        <v>0.875</v>
      </c>
      <c r="Q988" s="121">
        <f t="shared" si="386"/>
        <v>0</v>
      </c>
      <c r="R988" s="121">
        <f t="shared" si="387"/>
        <v>0</v>
      </c>
      <c r="AE988" s="160">
        <f t="shared" si="388"/>
        <v>0.983019693654267</v>
      </c>
    </row>
    <row r="989" spans="1:31" x14ac:dyDescent="0.3">
      <c r="A989" s="187">
        <v>12</v>
      </c>
      <c r="B989" s="242">
        <f t="shared" si="389"/>
        <v>45992</v>
      </c>
      <c r="C989" s="243">
        <f t="shared" si="372"/>
        <v>46022</v>
      </c>
      <c r="D989" s="120">
        <f t="shared" si="373"/>
        <v>31</v>
      </c>
      <c r="E989" s="120">
        <f t="shared" si="374"/>
        <v>12</v>
      </c>
      <c r="F989" s="275">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0.98368708971553609</v>
      </c>
      <c r="P989" s="121">
        <f t="shared" si="385"/>
        <v>0.95833333333333337</v>
      </c>
      <c r="Q989" s="121">
        <f t="shared" si="386"/>
        <v>0</v>
      </c>
      <c r="R989" s="121">
        <f t="shared" si="387"/>
        <v>0</v>
      </c>
      <c r="AE989" s="160">
        <f t="shared" si="388"/>
        <v>0.98368708971553609</v>
      </c>
    </row>
    <row r="990" spans="1:31" x14ac:dyDescent="0.3">
      <c r="A990" s="187">
        <v>13</v>
      </c>
      <c r="B990" s="242">
        <f t="shared" si="389"/>
        <v>46023</v>
      </c>
      <c r="C990" s="243">
        <f t="shared" si="372"/>
        <v>46053</v>
      </c>
      <c r="D990" s="120">
        <f t="shared" si="373"/>
        <v>31</v>
      </c>
      <c r="E990" s="120">
        <f t="shared" si="374"/>
        <v>1</v>
      </c>
      <c r="F990" s="275">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0.98436542669584248</v>
      </c>
      <c r="P990" s="121">
        <f t="shared" si="385"/>
        <v>0.95833333333333337</v>
      </c>
      <c r="Q990" s="121">
        <f t="shared" si="386"/>
        <v>4.166666666666663E-2</v>
      </c>
      <c r="R990" s="121">
        <f t="shared" si="387"/>
        <v>0</v>
      </c>
      <c r="AE990" s="160">
        <f t="shared" si="388"/>
        <v>0.98436542669584248</v>
      </c>
    </row>
    <row r="991" spans="1:31" x14ac:dyDescent="0.3">
      <c r="A991" s="187">
        <v>14</v>
      </c>
      <c r="B991" s="242">
        <f t="shared" si="389"/>
        <v>46054</v>
      </c>
      <c r="C991" s="243">
        <f t="shared" si="372"/>
        <v>46081</v>
      </c>
      <c r="D991" s="120">
        <f t="shared" si="373"/>
        <v>28</v>
      </c>
      <c r="E991" s="120">
        <f t="shared" si="374"/>
        <v>2</v>
      </c>
      <c r="F991" s="275">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0.98501094091903718</v>
      </c>
      <c r="P991" s="121">
        <f t="shared" si="385"/>
        <v>0.875</v>
      </c>
      <c r="Q991" s="121">
        <f t="shared" si="386"/>
        <v>0.125</v>
      </c>
      <c r="R991" s="121">
        <f t="shared" si="387"/>
        <v>0</v>
      </c>
      <c r="AE991" s="160">
        <f t="shared" si="388"/>
        <v>0.98501094091903718</v>
      </c>
    </row>
    <row r="992" spans="1:31" x14ac:dyDescent="0.3">
      <c r="A992" s="187">
        <v>15</v>
      </c>
      <c r="B992" s="242">
        <f t="shared" si="389"/>
        <v>46082</v>
      </c>
      <c r="C992" s="243">
        <f t="shared" si="372"/>
        <v>46112</v>
      </c>
      <c r="D992" s="120">
        <f t="shared" si="373"/>
        <v>31</v>
      </c>
      <c r="E992" s="120">
        <f t="shared" si="374"/>
        <v>3</v>
      </c>
      <c r="F992" s="275">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0.98565645514223199</v>
      </c>
      <c r="P992" s="121">
        <f t="shared" si="385"/>
        <v>0.79166666666666663</v>
      </c>
      <c r="Q992" s="121">
        <f t="shared" si="386"/>
        <v>0.20833333333333337</v>
      </c>
      <c r="R992" s="121">
        <f t="shared" si="387"/>
        <v>0</v>
      </c>
      <c r="AE992" s="160">
        <f t="shared" si="388"/>
        <v>0.98565645514223199</v>
      </c>
    </row>
    <row r="993" spans="1:35" x14ac:dyDescent="0.3">
      <c r="A993" s="187">
        <v>16</v>
      </c>
      <c r="B993" s="242">
        <f t="shared" si="389"/>
        <v>46113</v>
      </c>
      <c r="C993" s="243">
        <f t="shared" si="372"/>
        <v>46142</v>
      </c>
      <c r="D993" s="120">
        <f t="shared" si="373"/>
        <v>30</v>
      </c>
      <c r="E993" s="120">
        <f t="shared" si="374"/>
        <v>4</v>
      </c>
      <c r="F993" s="275">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0.98632385120350108</v>
      </c>
      <c r="P993" s="121">
        <f t="shared" si="385"/>
        <v>0.70833333333333337</v>
      </c>
      <c r="Q993" s="121">
        <f t="shared" si="386"/>
        <v>0.29166666666666663</v>
      </c>
      <c r="R993" s="121">
        <f t="shared" si="387"/>
        <v>0</v>
      </c>
      <c r="AE993" s="160">
        <f t="shared" si="388"/>
        <v>0.98632385120350108</v>
      </c>
    </row>
    <row r="994" spans="1:35" x14ac:dyDescent="0.3">
      <c r="A994" s="187">
        <v>17</v>
      </c>
      <c r="B994" s="242">
        <f t="shared" si="389"/>
        <v>46143</v>
      </c>
      <c r="C994" s="243">
        <f t="shared" si="372"/>
        <v>46173</v>
      </c>
      <c r="D994" s="120">
        <f t="shared" si="373"/>
        <v>31</v>
      </c>
      <c r="E994" s="120">
        <f t="shared" si="374"/>
        <v>5</v>
      </c>
      <c r="F994" s="275">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0.98699124726477028</v>
      </c>
      <c r="P994" s="121">
        <f t="shared" si="385"/>
        <v>0.625</v>
      </c>
      <c r="Q994" s="121">
        <f t="shared" si="386"/>
        <v>0.375</v>
      </c>
      <c r="R994" s="121">
        <f t="shared" si="387"/>
        <v>0</v>
      </c>
      <c r="AE994" s="160">
        <f t="shared" si="388"/>
        <v>0.98699124726477028</v>
      </c>
    </row>
    <row r="995" spans="1:35" x14ac:dyDescent="0.3">
      <c r="A995" s="187">
        <v>18</v>
      </c>
      <c r="B995" s="242">
        <f t="shared" si="389"/>
        <v>46174</v>
      </c>
      <c r="C995" s="243">
        <f t="shared" si="372"/>
        <v>46203</v>
      </c>
      <c r="D995" s="120">
        <f t="shared" si="373"/>
        <v>30</v>
      </c>
      <c r="E995" s="120">
        <f t="shared" si="374"/>
        <v>6</v>
      </c>
      <c r="F995" s="275">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0.98765864332603936</v>
      </c>
      <c r="P995" s="121">
        <f t="shared" si="385"/>
        <v>0.54166666666666663</v>
      </c>
      <c r="Q995" s="121">
        <f t="shared" si="386"/>
        <v>0.45833333333333337</v>
      </c>
      <c r="R995" s="121">
        <f t="shared" si="387"/>
        <v>0</v>
      </c>
      <c r="AE995" s="160">
        <f t="shared" si="388"/>
        <v>0.98765864332603936</v>
      </c>
    </row>
    <row r="996" spans="1:35" x14ac:dyDescent="0.3">
      <c r="A996" s="187">
        <v>19</v>
      </c>
      <c r="B996" s="242">
        <f t="shared" si="389"/>
        <v>46204</v>
      </c>
      <c r="C996" s="243">
        <f t="shared" si="372"/>
        <v>46234</v>
      </c>
      <c r="D996" s="120">
        <f t="shared" si="373"/>
        <v>31</v>
      </c>
      <c r="E996" s="120">
        <f t="shared" si="374"/>
        <v>7</v>
      </c>
      <c r="F996" s="275">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0.98832603938730856</v>
      </c>
      <c r="P996" s="121">
        <f t="shared" si="385"/>
        <v>0.45833333333333331</v>
      </c>
      <c r="Q996" s="121">
        <f t="shared" si="386"/>
        <v>0.54166666666666674</v>
      </c>
      <c r="R996" s="121">
        <f t="shared" si="387"/>
        <v>0</v>
      </c>
      <c r="AE996" s="160">
        <f t="shared" si="388"/>
        <v>0.98832603938730856</v>
      </c>
    </row>
    <row r="997" spans="1:35" x14ac:dyDescent="0.3">
      <c r="A997" s="187">
        <v>20</v>
      </c>
      <c r="B997" s="242">
        <f t="shared" si="389"/>
        <v>46235</v>
      </c>
      <c r="C997" s="243">
        <f t="shared" si="372"/>
        <v>46265</v>
      </c>
      <c r="D997" s="120">
        <f t="shared" si="373"/>
        <v>31</v>
      </c>
      <c r="E997" s="120">
        <f t="shared" si="374"/>
        <v>8</v>
      </c>
      <c r="F997" s="275">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0.98900437636761485</v>
      </c>
      <c r="P997" s="121">
        <f t="shared" si="385"/>
        <v>0.375</v>
      </c>
      <c r="Q997" s="121">
        <f t="shared" si="386"/>
        <v>0.625</v>
      </c>
      <c r="R997" s="121">
        <f t="shared" si="387"/>
        <v>0</v>
      </c>
      <c r="AE997" s="160">
        <f t="shared" si="388"/>
        <v>1.0087844638949672</v>
      </c>
    </row>
    <row r="998" spans="1:35" x14ac:dyDescent="0.3">
      <c r="A998" s="187">
        <v>21</v>
      </c>
      <c r="B998" s="242">
        <f t="shared" si="389"/>
        <v>46266</v>
      </c>
      <c r="C998" s="243">
        <f t="shared" si="372"/>
        <v>46295</v>
      </c>
      <c r="D998" s="120">
        <f t="shared" si="373"/>
        <v>30</v>
      </c>
      <c r="E998" s="120">
        <f t="shared" si="374"/>
        <v>9</v>
      </c>
      <c r="F998" s="275">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0.98967177242888404</v>
      </c>
      <c r="P998" s="121">
        <f t="shared" si="385"/>
        <v>0.29166666666666669</v>
      </c>
      <c r="Q998" s="121">
        <f t="shared" si="386"/>
        <v>0.70833333333333326</v>
      </c>
      <c r="R998" s="121">
        <f t="shared" si="387"/>
        <v>0</v>
      </c>
      <c r="AE998" s="160">
        <f t="shared" si="388"/>
        <v>1.0094652078774617</v>
      </c>
    </row>
    <row r="999" spans="1:35" x14ac:dyDescent="0.3">
      <c r="A999" s="187">
        <v>22</v>
      </c>
      <c r="B999" s="242">
        <f t="shared" si="389"/>
        <v>46296</v>
      </c>
      <c r="C999" s="243">
        <f t="shared" si="372"/>
        <v>46326</v>
      </c>
      <c r="D999" s="120">
        <f t="shared" si="373"/>
        <v>31</v>
      </c>
      <c r="E999" s="120">
        <f t="shared" si="374"/>
        <v>10</v>
      </c>
      <c r="F999" s="275">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0.99033916849015313</v>
      </c>
      <c r="P999" s="121">
        <f t="shared" si="385"/>
        <v>0.20833333333333334</v>
      </c>
      <c r="Q999" s="121">
        <f t="shared" si="386"/>
        <v>0.79166666666666663</v>
      </c>
      <c r="R999" s="121">
        <f t="shared" si="387"/>
        <v>0</v>
      </c>
      <c r="AE999" s="160">
        <f t="shared" si="388"/>
        <v>1.0101459518599563</v>
      </c>
    </row>
    <row r="1000" spans="1:35" x14ac:dyDescent="0.3">
      <c r="A1000" s="187">
        <v>23</v>
      </c>
      <c r="B1000" s="242">
        <f t="shared" si="389"/>
        <v>46327</v>
      </c>
      <c r="C1000" s="243">
        <f t="shared" si="372"/>
        <v>46356</v>
      </c>
      <c r="D1000" s="120">
        <f t="shared" si="373"/>
        <v>30</v>
      </c>
      <c r="E1000" s="120">
        <f t="shared" si="374"/>
        <v>11</v>
      </c>
      <c r="F1000" s="275">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0.99100656455142233</v>
      </c>
      <c r="P1000" s="121">
        <f t="shared" si="385"/>
        <v>0.125</v>
      </c>
      <c r="Q1000" s="121">
        <f t="shared" si="386"/>
        <v>0.875</v>
      </c>
      <c r="R1000" s="121">
        <f t="shared" si="387"/>
        <v>0</v>
      </c>
      <c r="AE1000" s="160">
        <f t="shared" si="388"/>
        <v>1.0108266958424508</v>
      </c>
    </row>
    <row r="1001" spans="1:35" x14ac:dyDescent="0.3">
      <c r="A1001" s="187">
        <v>24</v>
      </c>
      <c r="B1001" s="242">
        <f t="shared" si="389"/>
        <v>46357</v>
      </c>
      <c r="C1001" s="243">
        <f t="shared" si="372"/>
        <v>46387</v>
      </c>
      <c r="D1001" s="120">
        <f t="shared" si="373"/>
        <v>31</v>
      </c>
      <c r="E1001" s="120">
        <f t="shared" si="374"/>
        <v>12</v>
      </c>
      <c r="F1001" s="275">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0.99167396061269142</v>
      </c>
      <c r="P1001" s="121">
        <f t="shared" si="385"/>
        <v>4.1666666666666664E-2</v>
      </c>
      <c r="Q1001" s="121">
        <f t="shared" si="386"/>
        <v>0.95833333333333337</v>
      </c>
      <c r="R1001" s="121">
        <f t="shared" si="387"/>
        <v>0</v>
      </c>
      <c r="AE1001" s="160">
        <f t="shared" si="388"/>
        <v>1.0115074398249453</v>
      </c>
    </row>
    <row r="1002" spans="1:35" x14ac:dyDescent="0.3">
      <c r="A1002" s="187">
        <v>25</v>
      </c>
      <c r="B1002" s="242">
        <f t="shared" si="389"/>
        <v>46388</v>
      </c>
      <c r="C1002" s="243">
        <f t="shared" si="372"/>
        <v>46418</v>
      </c>
      <c r="D1002" s="120">
        <f t="shared" si="373"/>
        <v>31</v>
      </c>
      <c r="E1002" s="120">
        <f t="shared" si="374"/>
        <v>1</v>
      </c>
      <c r="F1002" s="275">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0.99235229759299781</v>
      </c>
      <c r="P1002" s="121">
        <f t="shared" si="385"/>
        <v>0</v>
      </c>
      <c r="Q1002" s="121">
        <f t="shared" si="386"/>
        <v>0.95833333333333337</v>
      </c>
      <c r="R1002" s="121">
        <f t="shared" si="387"/>
        <v>4.166666666666663E-2</v>
      </c>
      <c r="W1002" s="160">
        <f t="shared" ref="W1002:W1013" si="390">IF($G1002&lt;&gt;$Q$975,$N1002,(1-$U$975)*$I1002+$U$975*$J1002)</f>
        <v>1.02</v>
      </c>
      <c r="X1002" s="160">
        <f t="shared" ref="X1002:X1013" si="391">IF($G1002&lt;$Q$975,0,IF($G1002&gt;$Q$975,$N1002,$U$975*$J1002))</f>
        <v>0</v>
      </c>
      <c r="Y1002" s="160">
        <f t="shared" ref="Y1002:Y1013" si="392">IF($F$975=1,$O1002/$O990,1)</f>
        <v>1.0081137255337831</v>
      </c>
      <c r="AB1002" s="160">
        <f t="shared" ref="AB1002:AB1013" si="393">IF(AND(N($K$975)&lt;&gt;0,$F1002&lt;=$B$976),0,($F1002-$B$976)/($C$976-$B$976))</f>
        <v>0.23522975929978118</v>
      </c>
      <c r="AC1002" s="220">
        <f t="shared" ref="AC1002:AC1013" si="394">IF(AND(N($K$975)&lt;&gt;0,$F1002&lt;=$B$976),$O1002,$F$976*(1-$AB1002))</f>
        <v>0.75712253829321663</v>
      </c>
      <c r="AD1002" s="160">
        <f t="shared" ref="AD1002:AD1013" si="395">$H1002*($W1002+$X1002*IF(ISNUMBER($F$1026),$F$1026,0))/($N990*$O990)</f>
        <v>1.0362005535116872</v>
      </c>
      <c r="AE1002" s="160">
        <f t="shared" si="388"/>
        <v>1.0121993435448577</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5">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0.99299781181619251</v>
      </c>
      <c r="P1003" s="121">
        <f t="shared" si="385"/>
        <v>0</v>
      </c>
      <c r="Q1003" s="121">
        <f t="shared" si="386"/>
        <v>0.875</v>
      </c>
      <c r="R1003" s="121">
        <f t="shared" si="387"/>
        <v>0.125</v>
      </c>
      <c r="W1003" s="160">
        <f t="shared" si="390"/>
        <v>1.02</v>
      </c>
      <c r="X1003" s="160">
        <f t="shared" si="391"/>
        <v>0</v>
      </c>
      <c r="Y1003" s="160">
        <f t="shared" si="392"/>
        <v>1.0081084083083416</v>
      </c>
      <c r="AB1003" s="160">
        <f t="shared" si="393"/>
        <v>0.29978118161925604</v>
      </c>
      <c r="AC1003" s="220">
        <f t="shared" si="394"/>
        <v>0.69321663019693647</v>
      </c>
      <c r="AD1003" s="160">
        <f t="shared" si="395"/>
        <v>1.0355214928357215</v>
      </c>
      <c r="AE1003" s="160">
        <f t="shared" si="388"/>
        <v>1.0128577680525164</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5">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0.99364332603938732</v>
      </c>
      <c r="P1004" s="121">
        <f t="shared" si="385"/>
        <v>0</v>
      </c>
      <c r="Q1004" s="121">
        <f t="shared" si="386"/>
        <v>0.79166666666666663</v>
      </c>
      <c r="R1004" s="121">
        <f t="shared" si="387"/>
        <v>0.20833333333333337</v>
      </c>
      <c r="W1004" s="160">
        <f t="shared" si="390"/>
        <v>1.02</v>
      </c>
      <c r="X1004" s="160">
        <f t="shared" si="391"/>
        <v>0</v>
      </c>
      <c r="Y1004" s="160">
        <f t="shared" si="392"/>
        <v>1.0081030980474863</v>
      </c>
      <c r="AB1004" s="160">
        <f t="shared" si="393"/>
        <v>0.36433260393873085</v>
      </c>
      <c r="AC1004" s="220">
        <f t="shared" si="394"/>
        <v>0.62931072210065642</v>
      </c>
      <c r="AD1004" s="160">
        <f t="shared" si="395"/>
        <v>1.0348433216041915</v>
      </c>
      <c r="AE1004" s="160">
        <f t="shared" si="388"/>
        <v>1.013516192560175</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5">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0.99431072210065641</v>
      </c>
      <c r="P1005" s="121">
        <f t="shared" si="385"/>
        <v>0</v>
      </c>
      <c r="Q1005" s="121">
        <f t="shared" si="386"/>
        <v>0.70833333333333337</v>
      </c>
      <c r="R1005" s="121">
        <f t="shared" si="387"/>
        <v>0.29166666666666663</v>
      </c>
      <c r="W1005" s="160">
        <f t="shared" si="390"/>
        <v>1.02</v>
      </c>
      <c r="X1005" s="160">
        <f t="shared" si="391"/>
        <v>1.02</v>
      </c>
      <c r="Y1005" s="160">
        <f t="shared" si="392"/>
        <v>1.0080976150859677</v>
      </c>
      <c r="AB1005" s="160">
        <f t="shared" si="393"/>
        <v>0.4310722100656455</v>
      </c>
      <c r="AC1005" s="220">
        <f t="shared" si="394"/>
        <v>0.56323851203501096</v>
      </c>
      <c r="AD1005" s="160">
        <f t="shared" si="395"/>
        <v>1.0341430948419301</v>
      </c>
      <c r="AE1005" s="160">
        <f t="shared" si="388"/>
        <v>1.0141969365426695</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5">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0.99497811816192561</v>
      </c>
      <c r="P1006" s="121">
        <f t="shared" si="385"/>
        <v>0</v>
      </c>
      <c r="Q1006" s="121">
        <f t="shared" si="386"/>
        <v>0.625</v>
      </c>
      <c r="R1006" s="121">
        <f t="shared" si="387"/>
        <v>0.375</v>
      </c>
      <c r="W1006" s="160">
        <f t="shared" si="390"/>
        <v>1.02</v>
      </c>
      <c r="X1006" s="160">
        <f t="shared" si="391"/>
        <v>1.02</v>
      </c>
      <c r="Y1006" s="160">
        <f t="shared" si="392"/>
        <v>1.0080921395395239</v>
      </c>
      <c r="AB1006" s="160">
        <f t="shared" si="393"/>
        <v>0.49781181619256015</v>
      </c>
      <c r="AC1006" s="220">
        <f t="shared" si="394"/>
        <v>0.4971663019693654</v>
      </c>
      <c r="AD1006" s="160">
        <f t="shared" si="395"/>
        <v>1.0334438150558136</v>
      </c>
      <c r="AE1006" s="160">
        <f t="shared" si="388"/>
        <v>1.014877680525164</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5">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0.99564551422319469</v>
      </c>
      <c r="P1007" s="121">
        <f t="shared" si="385"/>
        <v>0</v>
      </c>
      <c r="Q1007" s="121">
        <f t="shared" si="386"/>
        <v>0.54166666666666663</v>
      </c>
      <c r="R1007" s="121">
        <f t="shared" si="387"/>
        <v>0.45833333333333337</v>
      </c>
      <c r="W1007" s="160">
        <f t="shared" si="390"/>
        <v>1.02</v>
      </c>
      <c r="X1007" s="160">
        <f t="shared" si="391"/>
        <v>1.02</v>
      </c>
      <c r="Y1007" s="160">
        <f t="shared" si="392"/>
        <v>1.0080866713931229</v>
      </c>
      <c r="AB1007" s="160">
        <f t="shared" si="393"/>
        <v>0.56455142231947486</v>
      </c>
      <c r="AC1007" s="220">
        <f t="shared" si="394"/>
        <v>0.43109409190371989</v>
      </c>
      <c r="AD1007" s="160">
        <f t="shared" si="395"/>
        <v>1.0327454803261256</v>
      </c>
      <c r="AE1007" s="160">
        <f t="shared" si="388"/>
        <v>1.0155584245076588</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5">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0.99631291028446389</v>
      </c>
      <c r="P1008" s="121">
        <f t="shared" si="385"/>
        <v>0</v>
      </c>
      <c r="Q1008" s="121">
        <f t="shared" si="386"/>
        <v>0.45833333333333331</v>
      </c>
      <c r="R1008" s="121">
        <f t="shared" si="387"/>
        <v>0.54166666666666674</v>
      </c>
      <c r="W1008" s="160">
        <f t="shared" si="390"/>
        <v>1.02</v>
      </c>
      <c r="X1008" s="160">
        <f t="shared" si="391"/>
        <v>1.02</v>
      </c>
      <c r="Y1008" s="160">
        <f t="shared" si="392"/>
        <v>1.0080812106317736</v>
      </c>
      <c r="AB1008" s="160">
        <f t="shared" si="393"/>
        <v>0.63129102844638951</v>
      </c>
      <c r="AC1008" s="220">
        <f t="shared" si="394"/>
        <v>0.36502188183807438</v>
      </c>
      <c r="AD1008" s="160">
        <f t="shared" si="395"/>
        <v>1.0320480887383348</v>
      </c>
      <c r="AE1008" s="160">
        <f t="shared" si="388"/>
        <v>1.0162391684901533</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5">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0.99699124726477029</v>
      </c>
      <c r="P1009" s="121">
        <f t="shared" si="385"/>
        <v>0</v>
      </c>
      <c r="Q1009" s="121">
        <f t="shared" si="386"/>
        <v>0.375</v>
      </c>
      <c r="R1009" s="121">
        <f t="shared" si="387"/>
        <v>0.625</v>
      </c>
      <c r="W1009" s="160">
        <f t="shared" si="390"/>
        <v>1.02</v>
      </c>
      <c r="X1009" s="160">
        <f t="shared" si="391"/>
        <v>1.02</v>
      </c>
      <c r="Y1009" s="160">
        <f t="shared" si="392"/>
        <v>1.0080756679019858</v>
      </c>
      <c r="AB1009" s="160">
        <f t="shared" si="393"/>
        <v>0.69912472647702406</v>
      </c>
      <c r="AC1009" s="220">
        <f t="shared" si="394"/>
        <v>0.29786652078774617</v>
      </c>
      <c r="AD1009" s="160">
        <f t="shared" si="395"/>
        <v>1.0111178715636926</v>
      </c>
      <c r="AE1009" s="160">
        <f t="shared" si="388"/>
        <v>1.0169310722100655</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5">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0.99765864332603937</v>
      </c>
      <c r="P1010" s="121">
        <f t="shared" si="385"/>
        <v>0</v>
      </c>
      <c r="Q1010" s="121">
        <f t="shared" si="386"/>
        <v>0.29166666666666669</v>
      </c>
      <c r="R1010" s="121">
        <f t="shared" si="387"/>
        <v>0.70833333333333326</v>
      </c>
      <c r="W1010" s="160">
        <f t="shared" si="390"/>
        <v>1.02</v>
      </c>
      <c r="X1010" s="160">
        <f t="shared" si="391"/>
        <v>1.02</v>
      </c>
      <c r="Y1010" s="160">
        <f t="shared" si="392"/>
        <v>1.0080702219863802</v>
      </c>
      <c r="AB1010" s="160">
        <f t="shared" si="393"/>
        <v>0.76586433260393871</v>
      </c>
      <c r="AC1010" s="220">
        <f t="shared" si="394"/>
        <v>0.23179431072210066</v>
      </c>
      <c r="AD1010" s="160">
        <f t="shared" si="395"/>
        <v>1.0104360130892367</v>
      </c>
      <c r="AE1010" s="160">
        <f t="shared" si="388"/>
        <v>1.0176118161925602</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5">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0.99832603938730857</v>
      </c>
      <c r="P1011" s="121">
        <f t="shared" si="385"/>
        <v>0</v>
      </c>
      <c r="Q1011" s="121">
        <f t="shared" si="386"/>
        <v>0.20833333333333334</v>
      </c>
      <c r="R1011" s="121">
        <f t="shared" si="387"/>
        <v>0.79166666666666663</v>
      </c>
      <c r="W1011" s="160">
        <f t="shared" si="390"/>
        <v>1.02</v>
      </c>
      <c r="X1011" s="160">
        <f t="shared" si="391"/>
        <v>1.02</v>
      </c>
      <c r="Y1011" s="160">
        <f t="shared" si="392"/>
        <v>1.0080647834108512</v>
      </c>
      <c r="AB1011" s="160">
        <f t="shared" si="393"/>
        <v>0.83260393873085337</v>
      </c>
      <c r="AC1011" s="220">
        <f t="shared" si="394"/>
        <v>0.16572210065645518</v>
      </c>
      <c r="AD1011" s="160">
        <f t="shared" si="395"/>
        <v>1.0097550736325773</v>
      </c>
      <c r="AE1011" s="160">
        <f t="shared" si="388"/>
        <v>1.0182925601750548</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5">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0.99899343544857766</v>
      </c>
      <c r="P1012" s="121">
        <f t="shared" si="385"/>
        <v>0</v>
      </c>
      <c r="Q1012" s="121">
        <f t="shared" si="386"/>
        <v>0.125</v>
      </c>
      <c r="R1012" s="121">
        <f t="shared" si="387"/>
        <v>0.875</v>
      </c>
      <c r="W1012" s="160">
        <f t="shared" si="390"/>
        <v>1.02</v>
      </c>
      <c r="X1012" s="160">
        <f t="shared" si="391"/>
        <v>1.02</v>
      </c>
      <c r="Y1012" s="160">
        <f t="shared" si="392"/>
        <v>1.0080593521605687</v>
      </c>
      <c r="AB1012" s="160">
        <f t="shared" si="393"/>
        <v>0.89934354485776802</v>
      </c>
      <c r="AC1012" s="220">
        <f t="shared" si="394"/>
        <v>9.9649890590809656E-2</v>
      </c>
      <c r="AD1012" s="160">
        <f t="shared" si="395"/>
        <v>1.0090750513369693</v>
      </c>
      <c r="AE1012" s="160">
        <f t="shared" si="388"/>
        <v>1.0189733041575493</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5">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0.99966083150984686</v>
      </c>
      <c r="P1013" s="121">
        <f t="shared" si="385"/>
        <v>0</v>
      </c>
      <c r="Q1013" s="121">
        <f t="shared" si="386"/>
        <v>4.1666666666666664E-2</v>
      </c>
      <c r="R1013" s="121">
        <f t="shared" si="387"/>
        <v>0.95833333333333337</v>
      </c>
      <c r="W1013" s="160">
        <f t="shared" si="390"/>
        <v>1.02</v>
      </c>
      <c r="X1013" s="160">
        <f t="shared" si="391"/>
        <v>1.02</v>
      </c>
      <c r="Y1013" s="160">
        <f t="shared" si="392"/>
        <v>1.0080539282207439</v>
      </c>
      <c r="AB1013" s="160">
        <f t="shared" si="393"/>
        <v>0.96608315098468267</v>
      </c>
      <c r="AC1013" s="220">
        <f t="shared" si="394"/>
        <v>3.3577680525164154E-2</v>
      </c>
      <c r="AD1013" s="160">
        <f t="shared" si="395"/>
        <v>1.0083959443506658</v>
      </c>
      <c r="AE1013" s="160">
        <f t="shared" si="388"/>
        <v>1.0196540481400438</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5">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1</v>
      </c>
      <c r="P1014" s="121">
        <f t="shared" si="385"/>
        <v>0</v>
      </c>
      <c r="Q1014" s="121">
        <f t="shared" si="386"/>
        <v>0</v>
      </c>
      <c r="R1014" s="121">
        <f t="shared" si="387"/>
        <v>0.95833333333333337</v>
      </c>
      <c r="AE1014" s="160">
        <f t="shared" si="388"/>
        <v>1.02</v>
      </c>
    </row>
    <row r="1015" spans="1:35" x14ac:dyDescent="0.3">
      <c r="A1015" s="187">
        <v>38</v>
      </c>
      <c r="B1015" s="242">
        <f t="shared" si="389"/>
        <v>46784</v>
      </c>
      <c r="C1015" s="243">
        <f t="shared" si="372"/>
        <v>46812</v>
      </c>
      <c r="D1015" s="120">
        <f t="shared" si="373"/>
        <v>29</v>
      </c>
      <c r="E1015" s="120">
        <f t="shared" si="374"/>
        <v>2</v>
      </c>
      <c r="F1015" s="275">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1</v>
      </c>
      <c r="P1015" s="121">
        <f t="shared" si="385"/>
        <v>0</v>
      </c>
      <c r="Q1015" s="121">
        <f t="shared" si="386"/>
        <v>0</v>
      </c>
      <c r="R1015" s="121">
        <f t="shared" si="387"/>
        <v>0.875</v>
      </c>
      <c r="AE1015" s="160">
        <f t="shared" si="388"/>
        <v>1.02</v>
      </c>
    </row>
    <row r="1016" spans="1:35" x14ac:dyDescent="0.3">
      <c r="A1016" s="187">
        <v>39</v>
      </c>
      <c r="B1016" s="242">
        <f t="shared" si="389"/>
        <v>46813</v>
      </c>
      <c r="C1016" s="243">
        <f t="shared" si="372"/>
        <v>46843</v>
      </c>
      <c r="D1016" s="120">
        <f t="shared" si="373"/>
        <v>31</v>
      </c>
      <c r="E1016" s="120">
        <f t="shared" si="374"/>
        <v>3</v>
      </c>
      <c r="F1016" s="275">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1</v>
      </c>
      <c r="P1016" s="121">
        <f t="shared" si="385"/>
        <v>0</v>
      </c>
      <c r="Q1016" s="121">
        <f t="shared" si="386"/>
        <v>0</v>
      </c>
      <c r="R1016" s="121">
        <f t="shared" si="387"/>
        <v>0.79166666666666663</v>
      </c>
      <c r="AE1016" s="160">
        <f t="shared" si="388"/>
        <v>1.02</v>
      </c>
    </row>
    <row r="1017" spans="1:35" x14ac:dyDescent="0.3">
      <c r="A1017" s="187">
        <v>40</v>
      </c>
      <c r="B1017" s="242">
        <f t="shared" si="389"/>
        <v>46844</v>
      </c>
      <c r="C1017" s="243">
        <f t="shared" si="372"/>
        <v>46873</v>
      </c>
      <c r="D1017" s="120">
        <f t="shared" si="373"/>
        <v>30</v>
      </c>
      <c r="E1017" s="120">
        <f t="shared" si="374"/>
        <v>4</v>
      </c>
      <c r="F1017" s="275">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1</v>
      </c>
      <c r="P1017" s="121">
        <f t="shared" si="385"/>
        <v>0</v>
      </c>
      <c r="Q1017" s="121">
        <f t="shared" si="386"/>
        <v>0</v>
      </c>
      <c r="R1017" s="121">
        <f t="shared" si="387"/>
        <v>0.70833333333333337</v>
      </c>
      <c r="AE1017" s="160">
        <f t="shared" si="388"/>
        <v>1.02</v>
      </c>
    </row>
    <row r="1018" spans="1:35" x14ac:dyDescent="0.3">
      <c r="A1018" s="187">
        <v>41</v>
      </c>
      <c r="B1018" s="242">
        <f t="shared" si="389"/>
        <v>46874</v>
      </c>
      <c r="C1018" s="243">
        <f t="shared" si="372"/>
        <v>46904</v>
      </c>
      <c r="D1018" s="120">
        <f t="shared" si="373"/>
        <v>31</v>
      </c>
      <c r="E1018" s="120">
        <f t="shared" si="374"/>
        <v>5</v>
      </c>
      <c r="F1018" s="275">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1</v>
      </c>
      <c r="P1018" s="121">
        <f t="shared" si="385"/>
        <v>0</v>
      </c>
      <c r="Q1018" s="121">
        <f t="shared" si="386"/>
        <v>0</v>
      </c>
      <c r="R1018" s="121">
        <f t="shared" si="387"/>
        <v>0.625</v>
      </c>
      <c r="AE1018" s="160">
        <f t="shared" si="388"/>
        <v>1.02</v>
      </c>
    </row>
    <row r="1019" spans="1:35" x14ac:dyDescent="0.3">
      <c r="A1019" s="187">
        <v>42</v>
      </c>
      <c r="B1019" s="242">
        <f t="shared" si="389"/>
        <v>46905</v>
      </c>
      <c r="C1019" s="243">
        <f t="shared" si="372"/>
        <v>46934</v>
      </c>
      <c r="D1019" s="120">
        <f t="shared" si="373"/>
        <v>30</v>
      </c>
      <c r="E1019" s="120">
        <f t="shared" si="374"/>
        <v>6</v>
      </c>
      <c r="F1019" s="275">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1</v>
      </c>
      <c r="P1019" s="121">
        <f t="shared" si="385"/>
        <v>0</v>
      </c>
      <c r="Q1019" s="121">
        <f t="shared" si="386"/>
        <v>0</v>
      </c>
      <c r="R1019" s="121">
        <f t="shared" si="387"/>
        <v>0.54166666666666663</v>
      </c>
      <c r="AE1019" s="160">
        <f t="shared" si="388"/>
        <v>1.02</v>
      </c>
    </row>
    <row r="1020" spans="1:35" x14ac:dyDescent="0.3">
      <c r="A1020" s="187">
        <v>43</v>
      </c>
      <c r="B1020" s="242">
        <f t="shared" si="389"/>
        <v>46935</v>
      </c>
      <c r="C1020" s="243">
        <f t="shared" si="372"/>
        <v>46965</v>
      </c>
      <c r="D1020" s="120">
        <f t="shared" si="373"/>
        <v>31</v>
      </c>
      <c r="E1020" s="120">
        <f t="shared" si="374"/>
        <v>7</v>
      </c>
      <c r="F1020" s="275">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1</v>
      </c>
      <c r="P1020" s="121">
        <f t="shared" si="385"/>
        <v>0</v>
      </c>
      <c r="Q1020" s="121">
        <f t="shared" si="386"/>
        <v>0</v>
      </c>
      <c r="R1020" s="121">
        <f t="shared" si="387"/>
        <v>0.45833333333333331</v>
      </c>
      <c r="AE1020" s="160">
        <f t="shared" si="388"/>
        <v>1.02</v>
      </c>
    </row>
    <row r="1021" spans="1:35" x14ac:dyDescent="0.3">
      <c r="A1021" s="187">
        <v>44</v>
      </c>
      <c r="B1021" s="242">
        <f t="shared" si="389"/>
        <v>46966</v>
      </c>
      <c r="C1021" s="243">
        <f t="shared" si="372"/>
        <v>46996</v>
      </c>
      <c r="D1021" s="120">
        <f t="shared" si="373"/>
        <v>31</v>
      </c>
      <c r="E1021" s="120">
        <f t="shared" si="374"/>
        <v>8</v>
      </c>
      <c r="F1021" s="275">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1</v>
      </c>
      <c r="P1021" s="121">
        <f t="shared" si="385"/>
        <v>0</v>
      </c>
      <c r="Q1021" s="121">
        <f t="shared" si="386"/>
        <v>0</v>
      </c>
      <c r="R1021" s="121">
        <f t="shared" si="387"/>
        <v>0.375</v>
      </c>
      <c r="AE1021" s="160">
        <f t="shared" si="388"/>
        <v>1.02</v>
      </c>
    </row>
    <row r="1022" spans="1:35" x14ac:dyDescent="0.3">
      <c r="A1022" s="187">
        <v>45</v>
      </c>
      <c r="B1022" s="242">
        <f t="shared" si="389"/>
        <v>46997</v>
      </c>
      <c r="C1022" s="243">
        <f t="shared" si="372"/>
        <v>47026</v>
      </c>
      <c r="D1022" s="120">
        <f t="shared" si="373"/>
        <v>30</v>
      </c>
      <c r="E1022" s="120">
        <f t="shared" si="374"/>
        <v>9</v>
      </c>
      <c r="F1022" s="275">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1</v>
      </c>
      <c r="P1022" s="121">
        <f t="shared" si="385"/>
        <v>0</v>
      </c>
      <c r="Q1022" s="121">
        <f t="shared" si="386"/>
        <v>0</v>
      </c>
      <c r="R1022" s="121">
        <f t="shared" si="387"/>
        <v>0.29166666666666669</v>
      </c>
      <c r="AE1022" s="160">
        <f t="shared" si="388"/>
        <v>1.02</v>
      </c>
    </row>
    <row r="1023" spans="1:35" x14ac:dyDescent="0.3">
      <c r="A1023" s="187">
        <v>46</v>
      </c>
      <c r="B1023" s="242">
        <f t="shared" si="389"/>
        <v>47027</v>
      </c>
      <c r="C1023" s="243">
        <f t="shared" si="372"/>
        <v>47057</v>
      </c>
      <c r="D1023" s="120">
        <f t="shared" si="373"/>
        <v>31</v>
      </c>
      <c r="E1023" s="120">
        <f t="shared" si="374"/>
        <v>10</v>
      </c>
      <c r="F1023" s="275">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1</v>
      </c>
      <c r="P1023" s="121">
        <f t="shared" si="385"/>
        <v>0</v>
      </c>
      <c r="Q1023" s="121">
        <f t="shared" si="386"/>
        <v>0</v>
      </c>
      <c r="R1023" s="121">
        <f t="shared" si="387"/>
        <v>0.20833333333333334</v>
      </c>
      <c r="AE1023" s="160">
        <f t="shared" si="388"/>
        <v>1.02</v>
      </c>
    </row>
    <row r="1024" spans="1:35" x14ac:dyDescent="0.3">
      <c r="A1024" s="187">
        <v>47</v>
      </c>
      <c r="B1024" s="242">
        <f t="shared" si="389"/>
        <v>47058</v>
      </c>
      <c r="C1024" s="243">
        <f t="shared" si="372"/>
        <v>47087</v>
      </c>
      <c r="D1024" s="120">
        <f t="shared" si="373"/>
        <v>30</v>
      </c>
      <c r="E1024" s="120">
        <f t="shared" si="374"/>
        <v>11</v>
      </c>
      <c r="F1024" s="275">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1</v>
      </c>
      <c r="P1024" s="121">
        <f t="shared" si="385"/>
        <v>0</v>
      </c>
      <c r="Q1024" s="121">
        <f t="shared" si="386"/>
        <v>0</v>
      </c>
      <c r="R1024" s="121">
        <f t="shared" si="387"/>
        <v>0.125</v>
      </c>
      <c r="AE1024" s="160">
        <f t="shared" si="388"/>
        <v>1.02</v>
      </c>
    </row>
    <row r="1025" spans="1:31" x14ac:dyDescent="0.3">
      <c r="A1025" s="187">
        <v>48</v>
      </c>
      <c r="B1025" s="242">
        <f t="shared" si="389"/>
        <v>47088</v>
      </c>
      <c r="C1025" s="243">
        <f t="shared" si="372"/>
        <v>47118</v>
      </c>
      <c r="D1025" s="120">
        <f t="shared" si="373"/>
        <v>31</v>
      </c>
      <c r="E1025" s="120">
        <f t="shared" si="374"/>
        <v>12</v>
      </c>
      <c r="F1025" s="275">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1</v>
      </c>
      <c r="P1025" s="121">
        <f t="shared" si="385"/>
        <v>0</v>
      </c>
      <c r="Q1025" s="121">
        <f t="shared" si="386"/>
        <v>0</v>
      </c>
      <c r="R1025" s="121">
        <f t="shared" si="387"/>
        <v>4.1666666666666664E-2</v>
      </c>
      <c r="AE1025" s="160">
        <f t="shared" si="388"/>
        <v>1.02</v>
      </c>
    </row>
    <row r="1026" spans="1:31" x14ac:dyDescent="0.3">
      <c r="A1026" s="23" t="s">
        <v>1723</v>
      </c>
      <c r="B1026" s="279">
        <f>SUM($H$1002:$H$1013)</f>
        <v>12</v>
      </c>
      <c r="C1026" s="160">
        <f>SUMPRODUCT($H$1002:$H$1013,$W$1002:$W$1013/$N$990:$N$1001,$Y$1002:$Y$1013)</f>
        <v>12.238140479591328</v>
      </c>
      <c r="D1026" s="160">
        <f>SUMPRODUCT($H$1002:$H$1013,$X$1002:$X$1013/$N$990:$N$1001,$Y$1002:$Y$1013)</f>
        <v>9.1533287430639252</v>
      </c>
      <c r="E1026" s="281" t="str">
        <f>IF(OR($D$975=0,$P$975=0,$D1026=0),"n/a",((1+$E$975)*$B1026-$C1026)/$D1026)</f>
        <v>n/a</v>
      </c>
      <c r="F1026" s="281" t="str">
        <f>IF($V$975&lt;&gt;"",$V$975,$E1026)</f>
        <v>n/a</v>
      </c>
      <c r="G1026" s="281"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2">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1</v>
      </c>
      <c r="H1031" s="220">
        <f>IF($C1031=0,1,IF(N(INDEX(lr_m0,$C1031))=0,1,INDEX(lr_m0,$C1031)))</f>
        <v>0.99</v>
      </c>
      <c r="I1031" s="278">
        <f>IF($C1031=0,DATE(nr_PlanYear-1,10,1),IF(N(INDEX(lr_m0asof,$C1031))=0,DATE(nr_PlanYear-1,10,1),INDEX(lr_m0asof,$C1031)))</f>
        <v>46295</v>
      </c>
      <c r="J1031" s="220">
        <f>IF($C1031=0,1,IF(N(INDEX(lr_m1,$C1031))=0,1,INDEX(lr_m1,$C1031)))</f>
        <v>0.98</v>
      </c>
      <c r="K1031" s="220">
        <f>IF($C1031=0,0,N(INDEX(lr_mprior,$C1031)))</f>
        <v>0</v>
      </c>
      <c r="L1031" s="220">
        <f>IF($C1031=0,0,N(INDEX(lr_m2,$C1031)))</f>
        <v>0</v>
      </c>
      <c r="M1031" s="43">
        <f>IF(OR($A1031="",COUNTIF(se_state,$A1031)=0),0,MATCH($A1031,se_state,0))</f>
        <v>0</v>
      </c>
      <c r="N1031" s="279">
        <f>IF($M1031=0,0,INDEX(se_sum,$M1031))</f>
        <v>0</v>
      </c>
      <c r="O1031" s="278">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80" t="str">
        <f>IF(ISBLANK('Net Delivery'!$E$23),$Y1031,'Net Delivery'!$E$23)</f>
        <v/>
      </c>
      <c r="W1031" s="43">
        <f>IF($B1031="",0,COUNTIFS(rl_key,$B1031,rl_status,"planned",rl_eff,"&gt;="&amp;DATE(nr_PlanYear,1,1),rl_eff,"&lt;="&amp;DATE(nr_PlanYear,12,31)))</f>
        <v>0</v>
      </c>
      <c r="X1031" s="278">
        <f>IF($W1031=0,nd_DefaultDate,SUMIFS(rl_eff,rl_key,$B1031,rl_firstplanned,1))</f>
        <v>46478</v>
      </c>
      <c r="Y1031" s="280" t="str">
        <f>IF($W1031=0,"",SUMIFS(rl_reff,rl_key,$B1031,rl_firstplanned,1))</f>
        <v/>
      </c>
      <c r="Z1031" s="280"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5">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1.0036214442013129</v>
      </c>
      <c r="P1034" s="121">
        <f t="shared" ref="P1034:P1081" si="413">MIN(1,MAX(0,(nr_MEndPm1-$G1034+0.5)/nr_TermMonths))-MIN(1,MAX(0,(nr_MStartPm1-1-$G1034+0.5)/nr_TermMonths))</f>
        <v>4.166666666666663E-2</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1.0036214442013129</v>
      </c>
    </row>
    <row r="1035" spans="1:31" x14ac:dyDescent="0.3">
      <c r="A1035" s="187">
        <v>2</v>
      </c>
      <c r="B1035" s="242">
        <f t="shared" ref="B1035:B1081" si="417">EDATE($B1034,1)</f>
        <v>45689</v>
      </c>
      <c r="C1035" s="243">
        <f t="shared" si="400"/>
        <v>45716</v>
      </c>
      <c r="D1035" s="120">
        <f t="shared" si="401"/>
        <v>28</v>
      </c>
      <c r="E1035" s="120">
        <f t="shared" si="402"/>
        <v>2</v>
      </c>
      <c r="F1035" s="275">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1.002975929978118</v>
      </c>
      <c r="P1035" s="121">
        <f t="shared" si="413"/>
        <v>0.125</v>
      </c>
      <c r="Q1035" s="121">
        <f t="shared" si="414"/>
        <v>0</v>
      </c>
      <c r="R1035" s="121">
        <f t="shared" si="415"/>
        <v>0</v>
      </c>
      <c r="AE1035" s="160">
        <f t="shared" si="416"/>
        <v>1.002975929978118</v>
      </c>
    </row>
    <row r="1036" spans="1:31" x14ac:dyDescent="0.3">
      <c r="A1036" s="187">
        <v>3</v>
      </c>
      <c r="B1036" s="242">
        <f t="shared" si="417"/>
        <v>45717</v>
      </c>
      <c r="C1036" s="243">
        <f t="shared" si="400"/>
        <v>45747</v>
      </c>
      <c r="D1036" s="120">
        <f t="shared" si="401"/>
        <v>31</v>
      </c>
      <c r="E1036" s="120">
        <f t="shared" si="402"/>
        <v>3</v>
      </c>
      <c r="F1036" s="275">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1.0023304157549233</v>
      </c>
      <c r="P1036" s="121">
        <f t="shared" si="413"/>
        <v>0.20833333333333337</v>
      </c>
      <c r="Q1036" s="121">
        <f t="shared" si="414"/>
        <v>0</v>
      </c>
      <c r="R1036" s="121">
        <f t="shared" si="415"/>
        <v>0</v>
      </c>
      <c r="AE1036" s="160">
        <f t="shared" si="416"/>
        <v>1.0023304157549233</v>
      </c>
    </row>
    <row r="1037" spans="1:31" x14ac:dyDescent="0.3">
      <c r="A1037" s="187">
        <v>4</v>
      </c>
      <c r="B1037" s="242">
        <f t="shared" si="417"/>
        <v>45748</v>
      </c>
      <c r="C1037" s="243">
        <f t="shared" si="400"/>
        <v>45777</v>
      </c>
      <c r="D1037" s="120">
        <f t="shared" si="401"/>
        <v>30</v>
      </c>
      <c r="E1037" s="120">
        <f t="shared" si="402"/>
        <v>4</v>
      </c>
      <c r="F1037" s="275">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1.0016630196936542</v>
      </c>
      <c r="P1037" s="121">
        <f t="shared" si="413"/>
        <v>0.29166666666666663</v>
      </c>
      <c r="Q1037" s="121">
        <f t="shared" si="414"/>
        <v>0</v>
      </c>
      <c r="R1037" s="121">
        <f t="shared" si="415"/>
        <v>0</v>
      </c>
      <c r="AE1037" s="160">
        <f t="shared" si="416"/>
        <v>1.0016630196936542</v>
      </c>
    </row>
    <row r="1038" spans="1:31" x14ac:dyDescent="0.3">
      <c r="A1038" s="187">
        <v>5</v>
      </c>
      <c r="B1038" s="242">
        <f t="shared" si="417"/>
        <v>45778</v>
      </c>
      <c r="C1038" s="243">
        <f t="shared" si="400"/>
        <v>45808</v>
      </c>
      <c r="D1038" s="120">
        <f t="shared" si="401"/>
        <v>31</v>
      </c>
      <c r="E1038" s="120">
        <f t="shared" si="402"/>
        <v>5</v>
      </c>
      <c r="F1038" s="275">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1.0009956236323851</v>
      </c>
      <c r="P1038" s="121">
        <f t="shared" si="413"/>
        <v>0.375</v>
      </c>
      <c r="Q1038" s="121">
        <f t="shared" si="414"/>
        <v>0</v>
      </c>
      <c r="R1038" s="121">
        <f t="shared" si="415"/>
        <v>0</v>
      </c>
      <c r="AE1038" s="160">
        <f t="shared" si="416"/>
        <v>1.0009956236323851</v>
      </c>
    </row>
    <row r="1039" spans="1:31" x14ac:dyDescent="0.3">
      <c r="A1039" s="187">
        <v>6</v>
      </c>
      <c r="B1039" s="242">
        <f t="shared" si="417"/>
        <v>45809</v>
      </c>
      <c r="C1039" s="243">
        <f t="shared" si="400"/>
        <v>45838</v>
      </c>
      <c r="D1039" s="120">
        <f t="shared" si="401"/>
        <v>30</v>
      </c>
      <c r="E1039" s="120">
        <f t="shared" si="402"/>
        <v>6</v>
      </c>
      <c r="F1039" s="275">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1.0003282275711158</v>
      </c>
      <c r="P1039" s="121">
        <f t="shared" si="413"/>
        <v>0.45833333333333337</v>
      </c>
      <c r="Q1039" s="121">
        <f t="shared" si="414"/>
        <v>0</v>
      </c>
      <c r="R1039" s="121">
        <f t="shared" si="415"/>
        <v>0</v>
      </c>
      <c r="AE1039" s="160">
        <f t="shared" si="416"/>
        <v>1.0003282275711158</v>
      </c>
    </row>
    <row r="1040" spans="1:31" x14ac:dyDescent="0.3">
      <c r="A1040" s="187">
        <v>7</v>
      </c>
      <c r="B1040" s="242">
        <f t="shared" si="417"/>
        <v>45839</v>
      </c>
      <c r="C1040" s="243">
        <f t="shared" si="400"/>
        <v>45869</v>
      </c>
      <c r="D1040" s="120">
        <f t="shared" si="401"/>
        <v>31</v>
      </c>
      <c r="E1040" s="120">
        <f t="shared" si="402"/>
        <v>7</v>
      </c>
      <c r="F1040" s="275">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0.99966083150984675</v>
      </c>
      <c r="P1040" s="121">
        <f t="shared" si="413"/>
        <v>0.54166666666666674</v>
      </c>
      <c r="Q1040" s="121">
        <f t="shared" si="414"/>
        <v>0</v>
      </c>
      <c r="R1040" s="121">
        <f t="shared" si="415"/>
        <v>0</v>
      </c>
      <c r="AE1040" s="160">
        <f t="shared" si="416"/>
        <v>0.99966083150984675</v>
      </c>
    </row>
    <row r="1041" spans="1:31" x14ac:dyDescent="0.3">
      <c r="A1041" s="187">
        <v>8</v>
      </c>
      <c r="B1041" s="242">
        <f t="shared" si="417"/>
        <v>45870</v>
      </c>
      <c r="C1041" s="243">
        <f t="shared" si="400"/>
        <v>45900</v>
      </c>
      <c r="D1041" s="120">
        <f t="shared" si="401"/>
        <v>31</v>
      </c>
      <c r="E1041" s="120">
        <f t="shared" si="402"/>
        <v>8</v>
      </c>
      <c r="F1041" s="275">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0.99898249452954047</v>
      </c>
      <c r="P1041" s="121">
        <f t="shared" si="413"/>
        <v>0.625</v>
      </c>
      <c r="Q1041" s="121">
        <f t="shared" si="414"/>
        <v>0</v>
      </c>
      <c r="R1041" s="121">
        <f t="shared" si="415"/>
        <v>0</v>
      </c>
      <c r="AE1041" s="160">
        <f t="shared" si="416"/>
        <v>0.99898249452954047</v>
      </c>
    </row>
    <row r="1042" spans="1:31" x14ac:dyDescent="0.3">
      <c r="A1042" s="187">
        <v>9</v>
      </c>
      <c r="B1042" s="242">
        <f t="shared" si="417"/>
        <v>45901</v>
      </c>
      <c r="C1042" s="243">
        <f t="shared" si="400"/>
        <v>45930</v>
      </c>
      <c r="D1042" s="120">
        <f t="shared" si="401"/>
        <v>30</v>
      </c>
      <c r="E1042" s="120">
        <f t="shared" si="402"/>
        <v>9</v>
      </c>
      <c r="F1042" s="275">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0.99831509846827127</v>
      </c>
      <c r="P1042" s="121">
        <f t="shared" si="413"/>
        <v>0.70833333333333326</v>
      </c>
      <c r="Q1042" s="121">
        <f t="shared" si="414"/>
        <v>0</v>
      </c>
      <c r="R1042" s="121">
        <f t="shared" si="415"/>
        <v>0</v>
      </c>
      <c r="AE1042" s="160">
        <f t="shared" si="416"/>
        <v>0.99831509846827127</v>
      </c>
    </row>
    <row r="1043" spans="1:31" x14ac:dyDescent="0.3">
      <c r="A1043" s="187">
        <v>10</v>
      </c>
      <c r="B1043" s="242">
        <f t="shared" si="417"/>
        <v>45931</v>
      </c>
      <c r="C1043" s="243">
        <f t="shared" si="400"/>
        <v>45961</v>
      </c>
      <c r="D1043" s="120">
        <f t="shared" si="401"/>
        <v>31</v>
      </c>
      <c r="E1043" s="120">
        <f t="shared" si="402"/>
        <v>10</v>
      </c>
      <c r="F1043" s="275">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0.99764770240700218</v>
      </c>
      <c r="P1043" s="121">
        <f t="shared" si="413"/>
        <v>0.79166666666666663</v>
      </c>
      <c r="Q1043" s="121">
        <f t="shared" si="414"/>
        <v>0</v>
      </c>
      <c r="R1043" s="121">
        <f t="shared" si="415"/>
        <v>0</v>
      </c>
      <c r="AE1043" s="160">
        <f t="shared" si="416"/>
        <v>0.99764770240700218</v>
      </c>
    </row>
    <row r="1044" spans="1:31" x14ac:dyDescent="0.3">
      <c r="A1044" s="187">
        <v>11</v>
      </c>
      <c r="B1044" s="242">
        <f t="shared" si="417"/>
        <v>45962</v>
      </c>
      <c r="C1044" s="243">
        <f t="shared" si="400"/>
        <v>45991</v>
      </c>
      <c r="D1044" s="120">
        <f t="shared" si="401"/>
        <v>30</v>
      </c>
      <c r="E1044" s="120">
        <f t="shared" si="402"/>
        <v>11</v>
      </c>
      <c r="F1044" s="275">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0.99698030634573298</v>
      </c>
      <c r="P1044" s="121">
        <f t="shared" si="413"/>
        <v>0.875</v>
      </c>
      <c r="Q1044" s="121">
        <f t="shared" si="414"/>
        <v>0</v>
      </c>
      <c r="R1044" s="121">
        <f t="shared" si="415"/>
        <v>0</v>
      </c>
      <c r="AE1044" s="160">
        <f t="shared" si="416"/>
        <v>0.99698030634573298</v>
      </c>
    </row>
    <row r="1045" spans="1:31" x14ac:dyDescent="0.3">
      <c r="A1045" s="187">
        <v>12</v>
      </c>
      <c r="B1045" s="242">
        <f t="shared" si="417"/>
        <v>45992</v>
      </c>
      <c r="C1045" s="243">
        <f t="shared" si="400"/>
        <v>46022</v>
      </c>
      <c r="D1045" s="120">
        <f t="shared" si="401"/>
        <v>31</v>
      </c>
      <c r="E1045" s="120">
        <f t="shared" si="402"/>
        <v>12</v>
      </c>
      <c r="F1045" s="275">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0.99631291028446389</v>
      </c>
      <c r="P1045" s="121">
        <f t="shared" si="413"/>
        <v>0.95833333333333337</v>
      </c>
      <c r="Q1045" s="121">
        <f t="shared" si="414"/>
        <v>0</v>
      </c>
      <c r="R1045" s="121">
        <f t="shared" si="415"/>
        <v>0</v>
      </c>
      <c r="AE1045" s="160">
        <f t="shared" si="416"/>
        <v>0.99631291028446389</v>
      </c>
    </row>
    <row r="1046" spans="1:31" x14ac:dyDescent="0.3">
      <c r="A1046" s="187">
        <v>13</v>
      </c>
      <c r="B1046" s="242">
        <f t="shared" si="417"/>
        <v>46023</v>
      </c>
      <c r="C1046" s="243">
        <f t="shared" si="400"/>
        <v>46053</v>
      </c>
      <c r="D1046" s="120">
        <f t="shared" si="401"/>
        <v>31</v>
      </c>
      <c r="E1046" s="120">
        <f t="shared" si="402"/>
        <v>1</v>
      </c>
      <c r="F1046" s="275">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0.9956345733041575</v>
      </c>
      <c r="P1046" s="121">
        <f t="shared" si="413"/>
        <v>0.95833333333333337</v>
      </c>
      <c r="Q1046" s="121">
        <f t="shared" si="414"/>
        <v>4.166666666666663E-2</v>
      </c>
      <c r="R1046" s="121">
        <f t="shared" si="415"/>
        <v>0</v>
      </c>
      <c r="AE1046" s="160">
        <f t="shared" si="416"/>
        <v>0.9956345733041575</v>
      </c>
    </row>
    <row r="1047" spans="1:31" x14ac:dyDescent="0.3">
      <c r="A1047" s="187">
        <v>14</v>
      </c>
      <c r="B1047" s="242">
        <f t="shared" si="417"/>
        <v>46054</v>
      </c>
      <c r="C1047" s="243">
        <f t="shared" si="400"/>
        <v>46081</v>
      </c>
      <c r="D1047" s="120">
        <f t="shared" si="401"/>
        <v>28</v>
      </c>
      <c r="E1047" s="120">
        <f t="shared" si="402"/>
        <v>2</v>
      </c>
      <c r="F1047" s="275">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0.9949890590809628</v>
      </c>
      <c r="P1047" s="121">
        <f t="shared" si="413"/>
        <v>0.875</v>
      </c>
      <c r="Q1047" s="121">
        <f t="shared" si="414"/>
        <v>0.125</v>
      </c>
      <c r="R1047" s="121">
        <f t="shared" si="415"/>
        <v>0</v>
      </c>
      <c r="AE1047" s="160">
        <f t="shared" si="416"/>
        <v>0.9949890590809628</v>
      </c>
    </row>
    <row r="1048" spans="1:31" x14ac:dyDescent="0.3">
      <c r="A1048" s="187">
        <v>15</v>
      </c>
      <c r="B1048" s="242">
        <f t="shared" si="417"/>
        <v>46082</v>
      </c>
      <c r="C1048" s="243">
        <f t="shared" si="400"/>
        <v>46112</v>
      </c>
      <c r="D1048" s="120">
        <f t="shared" si="401"/>
        <v>31</v>
      </c>
      <c r="E1048" s="120">
        <f t="shared" si="402"/>
        <v>3</v>
      </c>
      <c r="F1048" s="275">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0.99434354485776799</v>
      </c>
      <c r="P1048" s="121">
        <f t="shared" si="413"/>
        <v>0.79166666666666663</v>
      </c>
      <c r="Q1048" s="121">
        <f t="shared" si="414"/>
        <v>0.20833333333333337</v>
      </c>
      <c r="R1048" s="121">
        <f t="shared" si="415"/>
        <v>0</v>
      </c>
      <c r="AE1048" s="160">
        <f t="shared" si="416"/>
        <v>0.99434354485776799</v>
      </c>
    </row>
    <row r="1049" spans="1:31" x14ac:dyDescent="0.3">
      <c r="A1049" s="187">
        <v>16</v>
      </c>
      <c r="B1049" s="242">
        <f t="shared" si="417"/>
        <v>46113</v>
      </c>
      <c r="C1049" s="243">
        <f t="shared" si="400"/>
        <v>46142</v>
      </c>
      <c r="D1049" s="120">
        <f t="shared" si="401"/>
        <v>30</v>
      </c>
      <c r="E1049" s="120">
        <f t="shared" si="402"/>
        <v>4</v>
      </c>
      <c r="F1049" s="275">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0.9936761487964989</v>
      </c>
      <c r="P1049" s="121">
        <f t="shared" si="413"/>
        <v>0.70833333333333337</v>
      </c>
      <c r="Q1049" s="121">
        <f t="shared" si="414"/>
        <v>0.29166666666666663</v>
      </c>
      <c r="R1049" s="121">
        <f t="shared" si="415"/>
        <v>0</v>
      </c>
      <c r="AE1049" s="160">
        <f t="shared" si="416"/>
        <v>0.9936761487964989</v>
      </c>
    </row>
    <row r="1050" spans="1:31" x14ac:dyDescent="0.3">
      <c r="A1050" s="187">
        <v>17</v>
      </c>
      <c r="B1050" s="242">
        <f t="shared" si="417"/>
        <v>46143</v>
      </c>
      <c r="C1050" s="243">
        <f t="shared" si="400"/>
        <v>46173</v>
      </c>
      <c r="D1050" s="120">
        <f t="shared" si="401"/>
        <v>31</v>
      </c>
      <c r="E1050" s="120">
        <f t="shared" si="402"/>
        <v>5</v>
      </c>
      <c r="F1050" s="275">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0.9930087527352297</v>
      </c>
      <c r="P1050" s="121">
        <f t="shared" si="413"/>
        <v>0.625</v>
      </c>
      <c r="Q1050" s="121">
        <f t="shared" si="414"/>
        <v>0.375</v>
      </c>
      <c r="R1050" s="121">
        <f t="shared" si="415"/>
        <v>0</v>
      </c>
      <c r="AE1050" s="160">
        <f t="shared" si="416"/>
        <v>0.9930087527352297</v>
      </c>
    </row>
    <row r="1051" spans="1:31" x14ac:dyDescent="0.3">
      <c r="A1051" s="187">
        <v>18</v>
      </c>
      <c r="B1051" s="242">
        <f t="shared" si="417"/>
        <v>46174</v>
      </c>
      <c r="C1051" s="243">
        <f t="shared" si="400"/>
        <v>46203</v>
      </c>
      <c r="D1051" s="120">
        <f t="shared" si="401"/>
        <v>30</v>
      </c>
      <c r="E1051" s="120">
        <f t="shared" si="402"/>
        <v>6</v>
      </c>
      <c r="F1051" s="275">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0.99234135667396062</v>
      </c>
      <c r="P1051" s="121">
        <f t="shared" si="413"/>
        <v>0.54166666666666663</v>
      </c>
      <c r="Q1051" s="121">
        <f t="shared" si="414"/>
        <v>0.45833333333333337</v>
      </c>
      <c r="R1051" s="121">
        <f t="shared" si="415"/>
        <v>0</v>
      </c>
      <c r="AE1051" s="160">
        <f t="shared" si="416"/>
        <v>0.99234135667396062</v>
      </c>
    </row>
    <row r="1052" spans="1:31" x14ac:dyDescent="0.3">
      <c r="A1052" s="187">
        <v>19</v>
      </c>
      <c r="B1052" s="242">
        <f t="shared" si="417"/>
        <v>46204</v>
      </c>
      <c r="C1052" s="243">
        <f t="shared" si="400"/>
        <v>46234</v>
      </c>
      <c r="D1052" s="120">
        <f t="shared" si="401"/>
        <v>31</v>
      </c>
      <c r="E1052" s="120">
        <f t="shared" si="402"/>
        <v>7</v>
      </c>
      <c r="F1052" s="275">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0.99167396061269142</v>
      </c>
      <c r="P1052" s="121">
        <f t="shared" si="413"/>
        <v>0.45833333333333331</v>
      </c>
      <c r="Q1052" s="121">
        <f t="shared" si="414"/>
        <v>0.54166666666666674</v>
      </c>
      <c r="R1052" s="121">
        <f t="shared" si="415"/>
        <v>0</v>
      </c>
      <c r="AE1052" s="160">
        <f t="shared" si="416"/>
        <v>0.99167396061269142</v>
      </c>
    </row>
    <row r="1053" spans="1:31" x14ac:dyDescent="0.3">
      <c r="A1053" s="187">
        <v>20</v>
      </c>
      <c r="B1053" s="242">
        <f t="shared" si="417"/>
        <v>46235</v>
      </c>
      <c r="C1053" s="243">
        <f t="shared" si="400"/>
        <v>46265</v>
      </c>
      <c r="D1053" s="120">
        <f t="shared" si="401"/>
        <v>31</v>
      </c>
      <c r="E1053" s="120">
        <f t="shared" si="402"/>
        <v>8</v>
      </c>
      <c r="F1053" s="275">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0.99099562363238514</v>
      </c>
      <c r="P1053" s="121">
        <f t="shared" si="413"/>
        <v>0.375</v>
      </c>
      <c r="Q1053" s="121">
        <f t="shared" si="414"/>
        <v>0.625</v>
      </c>
      <c r="R1053" s="121">
        <f t="shared" si="415"/>
        <v>0</v>
      </c>
      <c r="AE1053" s="160">
        <f t="shared" si="416"/>
        <v>0.99099562363238514</v>
      </c>
    </row>
    <row r="1054" spans="1:31" x14ac:dyDescent="0.3">
      <c r="A1054" s="187">
        <v>21</v>
      </c>
      <c r="B1054" s="242">
        <f t="shared" si="417"/>
        <v>46266</v>
      </c>
      <c r="C1054" s="243">
        <f t="shared" si="400"/>
        <v>46295</v>
      </c>
      <c r="D1054" s="120">
        <f t="shared" si="401"/>
        <v>30</v>
      </c>
      <c r="E1054" s="120">
        <f t="shared" si="402"/>
        <v>9</v>
      </c>
      <c r="F1054" s="275">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0.99032822757111594</v>
      </c>
      <c r="P1054" s="121">
        <f t="shared" si="413"/>
        <v>0.29166666666666669</v>
      </c>
      <c r="Q1054" s="121">
        <f t="shared" si="414"/>
        <v>0.70833333333333326</v>
      </c>
      <c r="R1054" s="121">
        <f t="shared" si="415"/>
        <v>0</v>
      </c>
      <c r="AE1054" s="160">
        <f t="shared" si="416"/>
        <v>0.99032822757111594</v>
      </c>
    </row>
    <row r="1055" spans="1:31" x14ac:dyDescent="0.3">
      <c r="A1055" s="187">
        <v>22</v>
      </c>
      <c r="B1055" s="242">
        <f t="shared" si="417"/>
        <v>46296</v>
      </c>
      <c r="C1055" s="243">
        <f t="shared" si="400"/>
        <v>46326</v>
      </c>
      <c r="D1055" s="120">
        <f t="shared" si="401"/>
        <v>31</v>
      </c>
      <c r="E1055" s="120">
        <f t="shared" si="402"/>
        <v>10</v>
      </c>
      <c r="F1055" s="275">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0.98966083150984685</v>
      </c>
      <c r="P1055" s="121">
        <f t="shared" si="413"/>
        <v>0.20833333333333334</v>
      </c>
      <c r="Q1055" s="121">
        <f t="shared" si="414"/>
        <v>0.79166666666666663</v>
      </c>
      <c r="R1055" s="121">
        <f t="shared" si="415"/>
        <v>0</v>
      </c>
      <c r="AE1055" s="160">
        <f t="shared" si="416"/>
        <v>0.98966083150984685</v>
      </c>
    </row>
    <row r="1056" spans="1:31" x14ac:dyDescent="0.3">
      <c r="A1056" s="187">
        <v>23</v>
      </c>
      <c r="B1056" s="242">
        <f t="shared" si="417"/>
        <v>46327</v>
      </c>
      <c r="C1056" s="243">
        <f t="shared" si="400"/>
        <v>46356</v>
      </c>
      <c r="D1056" s="120">
        <f t="shared" si="401"/>
        <v>30</v>
      </c>
      <c r="E1056" s="120">
        <f t="shared" si="402"/>
        <v>11</v>
      </c>
      <c r="F1056" s="275">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0.98899343544857765</v>
      </c>
      <c r="P1056" s="121">
        <f t="shared" si="413"/>
        <v>0.125</v>
      </c>
      <c r="Q1056" s="121">
        <f t="shared" si="414"/>
        <v>0.875</v>
      </c>
      <c r="R1056" s="121">
        <f t="shared" si="415"/>
        <v>0</v>
      </c>
      <c r="AE1056" s="160">
        <f t="shared" si="416"/>
        <v>0.98899343544857765</v>
      </c>
    </row>
    <row r="1057" spans="1:35" x14ac:dyDescent="0.3">
      <c r="A1057" s="187">
        <v>24</v>
      </c>
      <c r="B1057" s="242">
        <f t="shared" si="417"/>
        <v>46357</v>
      </c>
      <c r="C1057" s="243">
        <f t="shared" si="400"/>
        <v>46387</v>
      </c>
      <c r="D1057" s="120">
        <f t="shared" si="401"/>
        <v>31</v>
      </c>
      <c r="E1057" s="120">
        <f t="shared" si="402"/>
        <v>12</v>
      </c>
      <c r="F1057" s="275">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0.98832603938730856</v>
      </c>
      <c r="P1057" s="121">
        <f t="shared" si="413"/>
        <v>4.1666666666666664E-2</v>
      </c>
      <c r="Q1057" s="121">
        <f t="shared" si="414"/>
        <v>0.95833333333333337</v>
      </c>
      <c r="R1057" s="121">
        <f t="shared" si="415"/>
        <v>0</v>
      </c>
      <c r="AE1057" s="160">
        <f t="shared" si="416"/>
        <v>0.98832603938730856</v>
      </c>
    </row>
    <row r="1058" spans="1:35" x14ac:dyDescent="0.3">
      <c r="A1058" s="187">
        <v>25</v>
      </c>
      <c r="B1058" s="242">
        <f t="shared" si="417"/>
        <v>46388</v>
      </c>
      <c r="C1058" s="243">
        <f t="shared" si="400"/>
        <v>46418</v>
      </c>
      <c r="D1058" s="120">
        <f t="shared" si="401"/>
        <v>31</v>
      </c>
      <c r="E1058" s="120">
        <f t="shared" si="402"/>
        <v>1</v>
      </c>
      <c r="F1058" s="275">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0.98764770240700217</v>
      </c>
      <c r="P1058" s="121">
        <f t="shared" si="413"/>
        <v>0</v>
      </c>
      <c r="Q1058" s="121">
        <f t="shared" si="414"/>
        <v>0.95833333333333337</v>
      </c>
      <c r="R1058" s="121">
        <f t="shared" si="415"/>
        <v>4.166666666666663E-2</v>
      </c>
      <c r="W1058" s="160">
        <f t="shared" ref="W1058:W1069" si="418">IF($G1058&lt;&gt;$Q$1031,$N1058,(1-$U$1031)*$I1058+$U$1031*$J1058)</f>
        <v>1</v>
      </c>
      <c r="X1058" s="160">
        <f t="shared" ref="X1058:X1069" si="419">IF($G1058&lt;$Q$1031,0,IF($G1058&gt;$Q$1031,$N1058,$U$1031*$J1058))</f>
        <v>0</v>
      </c>
      <c r="Y1058" s="160">
        <f t="shared" ref="Y1058:Y1069" si="420">IF($F$1031=1,$O1058/$O1046,1)</f>
        <v>0.99197811013065795</v>
      </c>
      <c r="AB1058" s="160">
        <f t="shared" ref="AB1058:AB1069" si="421">IF(AND(N($K$1031)&lt;&gt;0,$F1058&lt;=$B$1032),0,($F1058-$B$1032)/($C$1032-$B$1032))</f>
        <v>0.23522975929978118</v>
      </c>
      <c r="AC1058" s="220">
        <f t="shared" ref="AC1058:AC1069" si="422">IF(AND(N($K$1031)&lt;&gt;0,$F1058&lt;=$B$1032),$O1058,$F$1032*(1-$AB1058))</f>
        <v>0.75712253829321663</v>
      </c>
      <c r="AD1058" s="160">
        <f t="shared" ref="AD1058:AD1069" si="423">$H1058*($W1058+$X1058*IF(ISNUMBER($F$1082),$F$1082,0))/($N1046*$O1046)</f>
        <v>1.0043845672025582</v>
      </c>
      <c r="AE1058" s="160">
        <f t="shared" si="416"/>
        <v>0.98764770240700217</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5">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0.98700218818380747</v>
      </c>
      <c r="P1059" s="121">
        <f t="shared" si="413"/>
        <v>0</v>
      </c>
      <c r="Q1059" s="121">
        <f t="shared" si="414"/>
        <v>0.875</v>
      </c>
      <c r="R1059" s="121">
        <f t="shared" si="415"/>
        <v>0.125</v>
      </c>
      <c r="W1059" s="160">
        <f t="shared" si="418"/>
        <v>1</v>
      </c>
      <c r="X1059" s="160">
        <f t="shared" si="419"/>
        <v>0</v>
      </c>
      <c r="Y1059" s="160">
        <f t="shared" si="420"/>
        <v>0.99197290580809749</v>
      </c>
      <c r="AB1059" s="160">
        <f t="shared" si="421"/>
        <v>0.29978118161925604</v>
      </c>
      <c r="AC1059" s="220">
        <f t="shared" si="422"/>
        <v>0.69321663019693647</v>
      </c>
      <c r="AD1059" s="160">
        <f t="shared" si="423"/>
        <v>1.0050361769039609</v>
      </c>
      <c r="AE1059" s="160">
        <f t="shared" si="416"/>
        <v>0.98700218818380736</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5">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0.98635667396061266</v>
      </c>
      <c r="P1060" s="121">
        <f t="shared" si="413"/>
        <v>0</v>
      </c>
      <c r="Q1060" s="121">
        <f t="shared" si="414"/>
        <v>0.79166666666666663</v>
      </c>
      <c r="R1060" s="121">
        <f t="shared" si="415"/>
        <v>0.20833333333333337</v>
      </c>
      <c r="W1060" s="160">
        <f t="shared" si="418"/>
        <v>1</v>
      </c>
      <c r="X1060" s="160">
        <f t="shared" si="419"/>
        <v>0</v>
      </c>
      <c r="Y1060" s="160">
        <f t="shared" si="420"/>
        <v>0.99196769472838708</v>
      </c>
      <c r="AB1060" s="160">
        <f t="shared" si="421"/>
        <v>0.36433260393873085</v>
      </c>
      <c r="AC1060" s="220">
        <f t="shared" si="422"/>
        <v>0.62931072210065642</v>
      </c>
      <c r="AD1060" s="160">
        <f t="shared" si="423"/>
        <v>1.0056886326375671</v>
      </c>
      <c r="AE1060" s="160">
        <f t="shared" si="416"/>
        <v>0.98635667396061266</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5">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0.98568927789934357</v>
      </c>
      <c r="P1061" s="121">
        <f t="shared" si="413"/>
        <v>0</v>
      </c>
      <c r="Q1061" s="121">
        <f t="shared" si="414"/>
        <v>0.70833333333333337</v>
      </c>
      <c r="R1061" s="121">
        <f t="shared" si="415"/>
        <v>0.29166666666666663</v>
      </c>
      <c r="W1061" s="160">
        <f t="shared" si="418"/>
        <v>1</v>
      </c>
      <c r="X1061" s="160">
        <f t="shared" si="419"/>
        <v>1</v>
      </c>
      <c r="Y1061" s="160">
        <f t="shared" si="420"/>
        <v>0.99196229988328821</v>
      </c>
      <c r="AB1061" s="160">
        <f t="shared" si="421"/>
        <v>0.4310722100656455</v>
      </c>
      <c r="AC1061" s="220">
        <f t="shared" si="422"/>
        <v>0.56323851203501096</v>
      </c>
      <c r="AD1061" s="160">
        <f t="shared" si="423"/>
        <v>1.0063640968047389</v>
      </c>
      <c r="AE1061" s="160">
        <f t="shared" si="416"/>
        <v>0.98568927789934357</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5">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0.98502188183807438</v>
      </c>
      <c r="P1062" s="121">
        <f t="shared" si="413"/>
        <v>0</v>
      </c>
      <c r="Q1062" s="121">
        <f t="shared" si="414"/>
        <v>0.625</v>
      </c>
      <c r="R1062" s="121">
        <f t="shared" si="415"/>
        <v>0.375</v>
      </c>
      <c r="W1062" s="160">
        <f t="shared" si="418"/>
        <v>1</v>
      </c>
      <c r="X1062" s="160">
        <f t="shared" si="419"/>
        <v>1</v>
      </c>
      <c r="Y1062" s="160">
        <f t="shared" si="420"/>
        <v>0.99195689778649421</v>
      </c>
      <c r="AB1062" s="160">
        <f t="shared" si="421"/>
        <v>0.49781181619256015</v>
      </c>
      <c r="AC1062" s="220">
        <f t="shared" si="422"/>
        <v>0.4971663019693654</v>
      </c>
      <c r="AD1062" s="160">
        <f t="shared" si="423"/>
        <v>1.007040468923877</v>
      </c>
      <c r="AE1062" s="160">
        <f t="shared" si="416"/>
        <v>0.98502188183807426</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5">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0.98435448577680529</v>
      </c>
      <c r="P1063" s="121">
        <f t="shared" si="413"/>
        <v>0</v>
      </c>
      <c r="Q1063" s="121">
        <f t="shared" si="414"/>
        <v>0.54166666666666663</v>
      </c>
      <c r="R1063" s="121">
        <f t="shared" si="415"/>
        <v>0.45833333333333337</v>
      </c>
      <c r="W1063" s="160">
        <f t="shared" si="418"/>
        <v>1</v>
      </c>
      <c r="X1063" s="160">
        <f t="shared" si="419"/>
        <v>1</v>
      </c>
      <c r="Y1063" s="160">
        <f t="shared" si="420"/>
        <v>0.99195148842337377</v>
      </c>
      <c r="AB1063" s="160">
        <f t="shared" si="421"/>
        <v>0.56455142231947486</v>
      </c>
      <c r="AC1063" s="220">
        <f t="shared" si="422"/>
        <v>0.43109409190371989</v>
      </c>
      <c r="AD1063" s="160">
        <f t="shared" si="423"/>
        <v>1.007717750826902</v>
      </c>
      <c r="AE1063" s="160">
        <f t="shared" si="416"/>
        <v>0.98435448577680518</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5">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0.98368708971553609</v>
      </c>
      <c r="P1064" s="121">
        <f t="shared" si="413"/>
        <v>0</v>
      </c>
      <c r="Q1064" s="121">
        <f t="shared" si="414"/>
        <v>0.45833333333333331</v>
      </c>
      <c r="R1064" s="121">
        <f t="shared" si="415"/>
        <v>0.54166666666666674</v>
      </c>
      <c r="W1064" s="160">
        <f t="shared" si="418"/>
        <v>1</v>
      </c>
      <c r="X1064" s="160">
        <f t="shared" si="419"/>
        <v>1</v>
      </c>
      <c r="Y1064" s="160">
        <f t="shared" si="420"/>
        <v>0.9919460717792562</v>
      </c>
      <c r="AB1064" s="160">
        <f t="shared" si="421"/>
        <v>0.63129102844638951</v>
      </c>
      <c r="AC1064" s="220">
        <f t="shared" si="422"/>
        <v>0.36502188183807438</v>
      </c>
      <c r="AD1064" s="160">
        <f t="shared" si="423"/>
        <v>1.0083959443506658</v>
      </c>
      <c r="AE1064" s="160">
        <f t="shared" si="416"/>
        <v>0.98368708971553609</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5">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0.9830087527352297</v>
      </c>
      <c r="P1065" s="121">
        <f t="shared" si="413"/>
        <v>0</v>
      </c>
      <c r="Q1065" s="121">
        <f t="shared" si="414"/>
        <v>0.375</v>
      </c>
      <c r="R1065" s="121">
        <f t="shared" si="415"/>
        <v>0.625</v>
      </c>
      <c r="W1065" s="160">
        <f t="shared" si="418"/>
        <v>1</v>
      </c>
      <c r="X1065" s="160">
        <f t="shared" si="419"/>
        <v>1</v>
      </c>
      <c r="Y1065" s="160">
        <f t="shared" si="420"/>
        <v>0.9919405588615211</v>
      </c>
      <c r="AB1065" s="160">
        <f t="shared" si="421"/>
        <v>0.69912472647702406</v>
      </c>
      <c r="AC1065" s="220">
        <f t="shared" si="422"/>
        <v>0.29786652078774617</v>
      </c>
      <c r="AD1065" s="160">
        <f t="shared" si="423"/>
        <v>1.0090861918588605</v>
      </c>
      <c r="AE1065" s="160">
        <f t="shared" si="416"/>
        <v>0.98300875273522981</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5">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0.98234135667396061</v>
      </c>
      <c r="P1066" s="121">
        <f t="shared" si="413"/>
        <v>0</v>
      </c>
      <c r="Q1066" s="121">
        <f t="shared" si="414"/>
        <v>0.29166666666666669</v>
      </c>
      <c r="R1066" s="121">
        <f t="shared" si="415"/>
        <v>0.70833333333333326</v>
      </c>
      <c r="W1066" s="160">
        <f t="shared" si="418"/>
        <v>1</v>
      </c>
      <c r="X1066" s="160">
        <f t="shared" si="419"/>
        <v>1</v>
      </c>
      <c r="Y1066" s="160">
        <f t="shared" si="420"/>
        <v>0.99193512749127233</v>
      </c>
      <c r="AB1066" s="160">
        <f t="shared" si="421"/>
        <v>0.76586433260393871</v>
      </c>
      <c r="AC1066" s="220">
        <f t="shared" si="422"/>
        <v>0.23179431072210066</v>
      </c>
      <c r="AD1066" s="160">
        <f t="shared" si="423"/>
        <v>1.0097662291749525</v>
      </c>
      <c r="AE1066" s="160">
        <f t="shared" si="416"/>
        <v>0.98234135667396061</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5">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0.98167396061269141</v>
      </c>
      <c r="P1067" s="121">
        <f t="shared" si="413"/>
        <v>0</v>
      </c>
      <c r="Q1067" s="121">
        <f t="shared" si="414"/>
        <v>0.20833333333333334</v>
      </c>
      <c r="R1067" s="121">
        <f t="shared" si="415"/>
        <v>0.79166666666666663</v>
      </c>
      <c r="W1067" s="160">
        <f t="shared" si="418"/>
        <v>1</v>
      </c>
      <c r="X1067" s="160">
        <f t="shared" si="419"/>
        <v>1</v>
      </c>
      <c r="Y1067" s="160">
        <f t="shared" si="420"/>
        <v>0.99192968879553356</v>
      </c>
      <c r="AB1067" s="160">
        <f t="shared" si="421"/>
        <v>0.83260393873085337</v>
      </c>
      <c r="AC1067" s="220">
        <f t="shared" si="422"/>
        <v>0.16572210065645518</v>
      </c>
      <c r="AD1067" s="160">
        <f t="shared" si="423"/>
        <v>1.010447183682494</v>
      </c>
      <c r="AE1067" s="160">
        <f t="shared" si="416"/>
        <v>0.98167396061269152</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5">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0.98100656455142232</v>
      </c>
      <c r="P1068" s="121">
        <f t="shared" si="413"/>
        <v>0</v>
      </c>
      <c r="Q1068" s="121">
        <f t="shared" si="414"/>
        <v>0.125</v>
      </c>
      <c r="R1068" s="121">
        <f t="shared" si="415"/>
        <v>0.875</v>
      </c>
      <c r="W1068" s="160">
        <f t="shared" si="418"/>
        <v>1</v>
      </c>
      <c r="X1068" s="160">
        <f t="shared" si="419"/>
        <v>1</v>
      </c>
      <c r="Y1068" s="160">
        <f t="shared" si="420"/>
        <v>0.99192424275947522</v>
      </c>
      <c r="AB1068" s="160">
        <f t="shared" si="421"/>
        <v>0.89934354485776802</v>
      </c>
      <c r="AC1068" s="220">
        <f t="shared" si="422"/>
        <v>9.9649890590809656E-2</v>
      </c>
      <c r="AD1068" s="160">
        <f t="shared" si="423"/>
        <v>1.0111290572383123</v>
      </c>
      <c r="AE1068" s="160">
        <f t="shared" si="416"/>
        <v>0.98100656455142232</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5">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0.98033916849015312</v>
      </c>
      <c r="P1069" s="121">
        <f t="shared" si="413"/>
        <v>0</v>
      </c>
      <c r="Q1069" s="121">
        <f t="shared" si="414"/>
        <v>4.1666666666666664E-2</v>
      </c>
      <c r="R1069" s="121">
        <f t="shared" si="415"/>
        <v>0.95833333333333337</v>
      </c>
      <c r="W1069" s="160">
        <f t="shared" si="418"/>
        <v>1</v>
      </c>
      <c r="X1069" s="160">
        <f t="shared" si="419"/>
        <v>1</v>
      </c>
      <c r="Y1069" s="160">
        <f t="shared" si="420"/>
        <v>0.99191878936822642</v>
      </c>
      <c r="AB1069" s="160">
        <f t="shared" si="421"/>
        <v>0.96608315098468267</v>
      </c>
      <c r="AC1069" s="220">
        <f t="shared" si="422"/>
        <v>3.3577680525164154E-2</v>
      </c>
      <c r="AD1069" s="160">
        <f t="shared" si="423"/>
        <v>1.0118118517042498</v>
      </c>
      <c r="AE1069" s="160">
        <f t="shared" si="416"/>
        <v>0.98033916849015323</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5">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0.98</v>
      </c>
      <c r="P1070" s="121">
        <f t="shared" si="413"/>
        <v>0</v>
      </c>
      <c r="Q1070" s="121">
        <f t="shared" si="414"/>
        <v>0</v>
      </c>
      <c r="R1070" s="121">
        <f t="shared" si="415"/>
        <v>0.95833333333333337</v>
      </c>
      <c r="AE1070" s="160">
        <f t="shared" si="416"/>
        <v>0.98</v>
      </c>
    </row>
    <row r="1071" spans="1:35" x14ac:dyDescent="0.3">
      <c r="A1071" s="187">
        <v>38</v>
      </c>
      <c r="B1071" s="242">
        <f t="shared" si="417"/>
        <v>46784</v>
      </c>
      <c r="C1071" s="243">
        <f t="shared" si="400"/>
        <v>46812</v>
      </c>
      <c r="D1071" s="120">
        <f t="shared" si="401"/>
        <v>29</v>
      </c>
      <c r="E1071" s="120">
        <f t="shared" si="402"/>
        <v>2</v>
      </c>
      <c r="F1071" s="275">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0.98</v>
      </c>
      <c r="P1071" s="121">
        <f t="shared" si="413"/>
        <v>0</v>
      </c>
      <c r="Q1071" s="121">
        <f t="shared" si="414"/>
        <v>0</v>
      </c>
      <c r="R1071" s="121">
        <f t="shared" si="415"/>
        <v>0.875</v>
      </c>
      <c r="AE1071" s="160">
        <f t="shared" si="416"/>
        <v>0.98</v>
      </c>
    </row>
    <row r="1072" spans="1:35" x14ac:dyDescent="0.3">
      <c r="A1072" s="187">
        <v>39</v>
      </c>
      <c r="B1072" s="242">
        <f t="shared" si="417"/>
        <v>46813</v>
      </c>
      <c r="C1072" s="243">
        <f t="shared" si="400"/>
        <v>46843</v>
      </c>
      <c r="D1072" s="120">
        <f t="shared" si="401"/>
        <v>31</v>
      </c>
      <c r="E1072" s="120">
        <f t="shared" si="402"/>
        <v>3</v>
      </c>
      <c r="F1072" s="275">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0.98</v>
      </c>
      <c r="P1072" s="121">
        <f t="shared" si="413"/>
        <v>0</v>
      </c>
      <c r="Q1072" s="121">
        <f t="shared" si="414"/>
        <v>0</v>
      </c>
      <c r="R1072" s="121">
        <f t="shared" si="415"/>
        <v>0.79166666666666663</v>
      </c>
      <c r="AE1072" s="160">
        <f t="shared" si="416"/>
        <v>0.98</v>
      </c>
    </row>
    <row r="1073" spans="1:31" x14ac:dyDescent="0.3">
      <c r="A1073" s="187">
        <v>40</v>
      </c>
      <c r="B1073" s="242">
        <f t="shared" si="417"/>
        <v>46844</v>
      </c>
      <c r="C1073" s="243">
        <f t="shared" si="400"/>
        <v>46873</v>
      </c>
      <c r="D1073" s="120">
        <f t="shared" si="401"/>
        <v>30</v>
      </c>
      <c r="E1073" s="120">
        <f t="shared" si="402"/>
        <v>4</v>
      </c>
      <c r="F1073" s="275">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0.98</v>
      </c>
      <c r="P1073" s="121">
        <f t="shared" si="413"/>
        <v>0</v>
      </c>
      <c r="Q1073" s="121">
        <f t="shared" si="414"/>
        <v>0</v>
      </c>
      <c r="R1073" s="121">
        <f t="shared" si="415"/>
        <v>0.70833333333333337</v>
      </c>
      <c r="AE1073" s="160">
        <f t="shared" si="416"/>
        <v>0.98</v>
      </c>
    </row>
    <row r="1074" spans="1:31" x14ac:dyDescent="0.3">
      <c r="A1074" s="187">
        <v>41</v>
      </c>
      <c r="B1074" s="242">
        <f t="shared" si="417"/>
        <v>46874</v>
      </c>
      <c r="C1074" s="243">
        <f t="shared" si="400"/>
        <v>46904</v>
      </c>
      <c r="D1074" s="120">
        <f t="shared" si="401"/>
        <v>31</v>
      </c>
      <c r="E1074" s="120">
        <f t="shared" si="402"/>
        <v>5</v>
      </c>
      <c r="F1074" s="275">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0.98</v>
      </c>
      <c r="P1074" s="121">
        <f t="shared" si="413"/>
        <v>0</v>
      </c>
      <c r="Q1074" s="121">
        <f t="shared" si="414"/>
        <v>0</v>
      </c>
      <c r="R1074" s="121">
        <f t="shared" si="415"/>
        <v>0.625</v>
      </c>
      <c r="AE1074" s="160">
        <f t="shared" si="416"/>
        <v>0.98</v>
      </c>
    </row>
    <row r="1075" spans="1:31" x14ac:dyDescent="0.3">
      <c r="A1075" s="187">
        <v>42</v>
      </c>
      <c r="B1075" s="242">
        <f t="shared" si="417"/>
        <v>46905</v>
      </c>
      <c r="C1075" s="243">
        <f t="shared" si="400"/>
        <v>46934</v>
      </c>
      <c r="D1075" s="120">
        <f t="shared" si="401"/>
        <v>30</v>
      </c>
      <c r="E1075" s="120">
        <f t="shared" si="402"/>
        <v>6</v>
      </c>
      <c r="F1075" s="275">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0.98</v>
      </c>
      <c r="P1075" s="121">
        <f t="shared" si="413"/>
        <v>0</v>
      </c>
      <c r="Q1075" s="121">
        <f t="shared" si="414"/>
        <v>0</v>
      </c>
      <c r="R1075" s="121">
        <f t="shared" si="415"/>
        <v>0.54166666666666663</v>
      </c>
      <c r="AE1075" s="160">
        <f t="shared" si="416"/>
        <v>0.98</v>
      </c>
    </row>
    <row r="1076" spans="1:31" x14ac:dyDescent="0.3">
      <c r="A1076" s="187">
        <v>43</v>
      </c>
      <c r="B1076" s="242">
        <f t="shared" si="417"/>
        <v>46935</v>
      </c>
      <c r="C1076" s="243">
        <f t="shared" si="400"/>
        <v>46965</v>
      </c>
      <c r="D1076" s="120">
        <f t="shared" si="401"/>
        <v>31</v>
      </c>
      <c r="E1076" s="120">
        <f t="shared" si="402"/>
        <v>7</v>
      </c>
      <c r="F1076" s="275">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0.98</v>
      </c>
      <c r="P1076" s="121">
        <f t="shared" si="413"/>
        <v>0</v>
      </c>
      <c r="Q1076" s="121">
        <f t="shared" si="414"/>
        <v>0</v>
      </c>
      <c r="R1076" s="121">
        <f t="shared" si="415"/>
        <v>0.45833333333333331</v>
      </c>
      <c r="AE1076" s="160">
        <f t="shared" si="416"/>
        <v>0.98</v>
      </c>
    </row>
    <row r="1077" spans="1:31" x14ac:dyDescent="0.3">
      <c r="A1077" s="187">
        <v>44</v>
      </c>
      <c r="B1077" s="242">
        <f t="shared" si="417"/>
        <v>46966</v>
      </c>
      <c r="C1077" s="243">
        <f t="shared" si="400"/>
        <v>46996</v>
      </c>
      <c r="D1077" s="120">
        <f t="shared" si="401"/>
        <v>31</v>
      </c>
      <c r="E1077" s="120">
        <f t="shared" si="402"/>
        <v>8</v>
      </c>
      <c r="F1077" s="275">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0.98</v>
      </c>
      <c r="P1077" s="121">
        <f t="shared" si="413"/>
        <v>0</v>
      </c>
      <c r="Q1077" s="121">
        <f t="shared" si="414"/>
        <v>0</v>
      </c>
      <c r="R1077" s="121">
        <f t="shared" si="415"/>
        <v>0.375</v>
      </c>
      <c r="AE1077" s="160">
        <f t="shared" si="416"/>
        <v>0.98</v>
      </c>
    </row>
    <row r="1078" spans="1:31" x14ac:dyDescent="0.3">
      <c r="A1078" s="187">
        <v>45</v>
      </c>
      <c r="B1078" s="242">
        <f t="shared" si="417"/>
        <v>46997</v>
      </c>
      <c r="C1078" s="243">
        <f t="shared" si="400"/>
        <v>47026</v>
      </c>
      <c r="D1078" s="120">
        <f t="shared" si="401"/>
        <v>30</v>
      </c>
      <c r="E1078" s="120">
        <f t="shared" si="402"/>
        <v>9</v>
      </c>
      <c r="F1078" s="275">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0.98</v>
      </c>
      <c r="P1078" s="121">
        <f t="shared" si="413"/>
        <v>0</v>
      </c>
      <c r="Q1078" s="121">
        <f t="shared" si="414"/>
        <v>0</v>
      </c>
      <c r="R1078" s="121">
        <f t="shared" si="415"/>
        <v>0.29166666666666669</v>
      </c>
      <c r="AE1078" s="160">
        <f t="shared" si="416"/>
        <v>0.98</v>
      </c>
    </row>
    <row r="1079" spans="1:31" x14ac:dyDescent="0.3">
      <c r="A1079" s="187">
        <v>46</v>
      </c>
      <c r="B1079" s="242">
        <f t="shared" si="417"/>
        <v>47027</v>
      </c>
      <c r="C1079" s="243">
        <f t="shared" si="400"/>
        <v>47057</v>
      </c>
      <c r="D1079" s="120">
        <f t="shared" si="401"/>
        <v>31</v>
      </c>
      <c r="E1079" s="120">
        <f t="shared" si="402"/>
        <v>10</v>
      </c>
      <c r="F1079" s="275">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0.98</v>
      </c>
      <c r="P1079" s="121">
        <f t="shared" si="413"/>
        <v>0</v>
      </c>
      <c r="Q1079" s="121">
        <f t="shared" si="414"/>
        <v>0</v>
      </c>
      <c r="R1079" s="121">
        <f t="shared" si="415"/>
        <v>0.20833333333333334</v>
      </c>
      <c r="AE1079" s="160">
        <f t="shared" si="416"/>
        <v>0.98</v>
      </c>
    </row>
    <row r="1080" spans="1:31" x14ac:dyDescent="0.3">
      <c r="A1080" s="187">
        <v>47</v>
      </c>
      <c r="B1080" s="242">
        <f t="shared" si="417"/>
        <v>47058</v>
      </c>
      <c r="C1080" s="243">
        <f t="shared" si="400"/>
        <v>47087</v>
      </c>
      <c r="D1080" s="120">
        <f t="shared" si="401"/>
        <v>30</v>
      </c>
      <c r="E1080" s="120">
        <f t="shared" si="402"/>
        <v>11</v>
      </c>
      <c r="F1080" s="275">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0.98</v>
      </c>
      <c r="P1080" s="121">
        <f t="shared" si="413"/>
        <v>0</v>
      </c>
      <c r="Q1080" s="121">
        <f t="shared" si="414"/>
        <v>0</v>
      </c>
      <c r="R1080" s="121">
        <f t="shared" si="415"/>
        <v>0.125</v>
      </c>
      <c r="AE1080" s="160">
        <f t="shared" si="416"/>
        <v>0.98</v>
      </c>
    </row>
    <row r="1081" spans="1:31" x14ac:dyDescent="0.3">
      <c r="A1081" s="187">
        <v>48</v>
      </c>
      <c r="B1081" s="242">
        <f t="shared" si="417"/>
        <v>47088</v>
      </c>
      <c r="C1081" s="243">
        <f t="shared" si="400"/>
        <v>47118</v>
      </c>
      <c r="D1081" s="120">
        <f t="shared" si="401"/>
        <v>31</v>
      </c>
      <c r="E1081" s="120">
        <f t="shared" si="402"/>
        <v>12</v>
      </c>
      <c r="F1081" s="275">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0.98</v>
      </c>
      <c r="P1081" s="121">
        <f t="shared" si="413"/>
        <v>0</v>
      </c>
      <c r="Q1081" s="121">
        <f t="shared" si="414"/>
        <v>0</v>
      </c>
      <c r="R1081" s="121">
        <f t="shared" si="415"/>
        <v>4.1666666666666664E-2</v>
      </c>
      <c r="AE1081" s="160">
        <f t="shared" si="416"/>
        <v>0.98</v>
      </c>
    </row>
    <row r="1082" spans="1:31" x14ac:dyDescent="0.3">
      <c r="A1082" s="23" t="s">
        <v>1723</v>
      </c>
      <c r="B1082" s="279">
        <f>SUM($H$1058:$H$1069)</f>
        <v>12</v>
      </c>
      <c r="C1082" s="160">
        <f>SUMPRODUCT($H$1058:$H$1069,$W$1058:$W$1069/$N$1046:$N$1057,$Y$1058:$Y$1069)</f>
        <v>11.903383875815583</v>
      </c>
      <c r="D1082" s="160">
        <f>SUMPRODUCT($H$1058:$H$1069,$X$1058:$X$1069/$N$1046:$N$1057,$Y$1058:$Y$1069)</f>
        <v>8.9274651651484405</v>
      </c>
      <c r="E1082" s="281" t="str">
        <f>IF(OR($D$1031=0,$P$1031=0,$D1082=0),"n/a",((1+$E$1031)*$B1082-$C1082)/$D1082)</f>
        <v>n/a</v>
      </c>
      <c r="F1082" s="281" t="str">
        <f>IF($V$1031&lt;&gt;"",$V$1031,$E1082)</f>
        <v>n/a</v>
      </c>
      <c r="G1082" s="281"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2">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1</v>
      </c>
      <c r="H1087" s="220">
        <f>IF($C1087=0,1,IF(N(INDEX(lr_m0,$C1087))=0,1,INDEX(lr_m0,$C1087)))</f>
        <v>0.99</v>
      </c>
      <c r="I1087" s="278">
        <f>IF($C1087=0,DATE(nr_PlanYear-1,10,1),IF(N(INDEX(lr_m0asof,$C1087))=0,DATE(nr_PlanYear-1,10,1),INDEX(lr_m0asof,$C1087)))</f>
        <v>46295</v>
      </c>
      <c r="J1087" s="220">
        <f>IF($C1087=0,1,IF(N(INDEX(lr_m1,$C1087))=0,1,INDEX(lr_m1,$C1087)))</f>
        <v>0.995</v>
      </c>
      <c r="K1087" s="220">
        <f>IF($C1087=0,0,N(INDEX(lr_mprior,$C1087)))</f>
        <v>0</v>
      </c>
      <c r="L1087" s="220">
        <f>IF($C1087=0,0,N(INDEX(lr_m2,$C1087)))</f>
        <v>0</v>
      </c>
      <c r="M1087" s="43">
        <f>IF(OR($A1087="",COUNTIF(se_state,$A1087)=0),0,MATCH($A1087,se_state,0))</f>
        <v>0</v>
      </c>
      <c r="N1087" s="279">
        <f>IF($M1087=0,0,INDEX(se_sum,$M1087))</f>
        <v>0</v>
      </c>
      <c r="O1087" s="278">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80">
        <f>IF(ISBLANK('Net Delivery'!$E$24),$Y1087,'Net Delivery'!$E$24)</f>
        <v>0.04</v>
      </c>
      <c r="W1087" s="43">
        <f>IF($B1087="",0,COUNTIFS(rl_key,$B1087,rl_status,"planned",rl_eff,"&gt;="&amp;DATE(nr_PlanYear,1,1),rl_eff,"&lt;="&amp;DATE(nr_PlanYear,12,31)))</f>
        <v>1</v>
      </c>
      <c r="X1087" s="278">
        <f>IF($W1087=0,nd_DefaultDate,SUMIFS(rl_eff,rl_key,$B1087,rl_firstplanned,1))</f>
        <v>46600</v>
      </c>
      <c r="Y1087" s="280">
        <f>IF($W1087=0,"",SUMIFS(rl_reff,rl_key,$B1087,rl_firstplanned,1))</f>
        <v>0.04</v>
      </c>
      <c r="Z1087" s="280">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5">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0.98318927789934352</v>
      </c>
      <c r="P1090" s="121">
        <f t="shared" ref="P1090:P1137" si="441">MIN(1,MAX(0,(nr_MEndPm1-$G1090+0.5)/nr_TermMonths))-MIN(1,MAX(0,(nr_MStartPm1-1-$G1090+0.5)/nr_TermMonths))</f>
        <v>4.166666666666663E-2</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0.98318927789934352</v>
      </c>
    </row>
    <row r="1091" spans="1:31" x14ac:dyDescent="0.3">
      <c r="A1091" s="187">
        <v>2</v>
      </c>
      <c r="B1091" s="242">
        <f t="shared" ref="B1091:B1137" si="445">EDATE($B1090,1)</f>
        <v>45689</v>
      </c>
      <c r="C1091" s="243">
        <f t="shared" si="428"/>
        <v>45716</v>
      </c>
      <c r="D1091" s="120">
        <f t="shared" si="429"/>
        <v>28</v>
      </c>
      <c r="E1091" s="120">
        <f t="shared" si="430"/>
        <v>2</v>
      </c>
      <c r="F1091" s="275">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0.98351203501094098</v>
      </c>
      <c r="P1091" s="121">
        <f t="shared" si="441"/>
        <v>0.125</v>
      </c>
      <c r="Q1091" s="121">
        <f t="shared" si="442"/>
        <v>0</v>
      </c>
      <c r="R1091" s="121">
        <f t="shared" si="443"/>
        <v>0</v>
      </c>
      <c r="AE1091" s="160">
        <f t="shared" si="444"/>
        <v>0.98351203501094098</v>
      </c>
    </row>
    <row r="1092" spans="1:31" x14ac:dyDescent="0.3">
      <c r="A1092" s="187">
        <v>3</v>
      </c>
      <c r="B1092" s="242">
        <f t="shared" si="445"/>
        <v>45717</v>
      </c>
      <c r="C1092" s="243">
        <f t="shared" si="428"/>
        <v>45747</v>
      </c>
      <c r="D1092" s="120">
        <f t="shared" si="429"/>
        <v>31</v>
      </c>
      <c r="E1092" s="120">
        <f t="shared" si="430"/>
        <v>3</v>
      </c>
      <c r="F1092" s="275">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0.98383479212253833</v>
      </c>
      <c r="P1092" s="121">
        <f t="shared" si="441"/>
        <v>0.20833333333333337</v>
      </c>
      <c r="Q1092" s="121">
        <f t="shared" si="442"/>
        <v>0</v>
      </c>
      <c r="R1092" s="121">
        <f t="shared" si="443"/>
        <v>0</v>
      </c>
      <c r="AE1092" s="160">
        <f t="shared" si="444"/>
        <v>0.98383479212253833</v>
      </c>
    </row>
    <row r="1093" spans="1:31" x14ac:dyDescent="0.3">
      <c r="A1093" s="187">
        <v>4</v>
      </c>
      <c r="B1093" s="242">
        <f t="shared" si="445"/>
        <v>45748</v>
      </c>
      <c r="C1093" s="243">
        <f t="shared" si="428"/>
        <v>45777</v>
      </c>
      <c r="D1093" s="120">
        <f t="shared" si="429"/>
        <v>30</v>
      </c>
      <c r="E1093" s="120">
        <f t="shared" si="430"/>
        <v>4</v>
      </c>
      <c r="F1093" s="275">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0.98416849015317287</v>
      </c>
      <c r="P1093" s="121">
        <f t="shared" si="441"/>
        <v>0.29166666666666663</v>
      </c>
      <c r="Q1093" s="121">
        <f t="shared" si="442"/>
        <v>0</v>
      </c>
      <c r="R1093" s="121">
        <f t="shared" si="443"/>
        <v>0</v>
      </c>
      <c r="AE1093" s="160">
        <f t="shared" si="444"/>
        <v>0.98416849015317287</v>
      </c>
    </row>
    <row r="1094" spans="1:31" x14ac:dyDescent="0.3">
      <c r="A1094" s="187">
        <v>5</v>
      </c>
      <c r="B1094" s="242">
        <f t="shared" si="445"/>
        <v>45778</v>
      </c>
      <c r="C1094" s="243">
        <f t="shared" si="428"/>
        <v>45808</v>
      </c>
      <c r="D1094" s="120">
        <f t="shared" si="429"/>
        <v>31</v>
      </c>
      <c r="E1094" s="120">
        <f t="shared" si="430"/>
        <v>5</v>
      </c>
      <c r="F1094" s="275">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0.98450218818380741</v>
      </c>
      <c r="P1094" s="121">
        <f t="shared" si="441"/>
        <v>0.375</v>
      </c>
      <c r="Q1094" s="121">
        <f t="shared" si="442"/>
        <v>0</v>
      </c>
      <c r="R1094" s="121">
        <f t="shared" si="443"/>
        <v>0</v>
      </c>
      <c r="AE1094" s="160">
        <f t="shared" si="444"/>
        <v>0.98450218818380741</v>
      </c>
    </row>
    <row r="1095" spans="1:31" x14ac:dyDescent="0.3">
      <c r="A1095" s="187">
        <v>6</v>
      </c>
      <c r="B1095" s="242">
        <f t="shared" si="445"/>
        <v>45809</v>
      </c>
      <c r="C1095" s="243">
        <f t="shared" si="428"/>
        <v>45838</v>
      </c>
      <c r="D1095" s="120">
        <f t="shared" si="429"/>
        <v>30</v>
      </c>
      <c r="E1095" s="120">
        <f t="shared" si="430"/>
        <v>6</v>
      </c>
      <c r="F1095" s="275">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0.98483588621444207</v>
      </c>
      <c r="P1095" s="121">
        <f t="shared" si="441"/>
        <v>0.45833333333333337</v>
      </c>
      <c r="Q1095" s="121">
        <f t="shared" si="442"/>
        <v>0</v>
      </c>
      <c r="R1095" s="121">
        <f t="shared" si="443"/>
        <v>0</v>
      </c>
      <c r="AE1095" s="160">
        <f t="shared" si="444"/>
        <v>0.98483588621444207</v>
      </c>
    </row>
    <row r="1096" spans="1:31" x14ac:dyDescent="0.3">
      <c r="A1096" s="187">
        <v>7</v>
      </c>
      <c r="B1096" s="242">
        <f t="shared" si="445"/>
        <v>45839</v>
      </c>
      <c r="C1096" s="243">
        <f t="shared" si="428"/>
        <v>45869</v>
      </c>
      <c r="D1096" s="120">
        <f t="shared" si="429"/>
        <v>31</v>
      </c>
      <c r="E1096" s="120">
        <f t="shared" si="430"/>
        <v>7</v>
      </c>
      <c r="F1096" s="275">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0.98516958424507661</v>
      </c>
      <c r="P1096" s="121">
        <f t="shared" si="441"/>
        <v>0.54166666666666674</v>
      </c>
      <c r="Q1096" s="121">
        <f t="shared" si="442"/>
        <v>0</v>
      </c>
      <c r="R1096" s="121">
        <f t="shared" si="443"/>
        <v>0</v>
      </c>
      <c r="AE1096" s="160">
        <f t="shared" si="444"/>
        <v>0.98516958424507661</v>
      </c>
    </row>
    <row r="1097" spans="1:31" x14ac:dyDescent="0.3">
      <c r="A1097" s="187">
        <v>8</v>
      </c>
      <c r="B1097" s="242">
        <f t="shared" si="445"/>
        <v>45870</v>
      </c>
      <c r="C1097" s="243">
        <f t="shared" si="428"/>
        <v>45900</v>
      </c>
      <c r="D1097" s="120">
        <f t="shared" si="429"/>
        <v>31</v>
      </c>
      <c r="E1097" s="120">
        <f t="shared" si="430"/>
        <v>8</v>
      </c>
      <c r="F1097" s="275">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0.98550875273522975</v>
      </c>
      <c r="P1097" s="121">
        <f t="shared" si="441"/>
        <v>0.625</v>
      </c>
      <c r="Q1097" s="121">
        <f t="shared" si="442"/>
        <v>0</v>
      </c>
      <c r="R1097" s="121">
        <f t="shared" si="443"/>
        <v>0</v>
      </c>
      <c r="AE1097" s="160">
        <f t="shared" si="444"/>
        <v>0.98550875273522975</v>
      </c>
    </row>
    <row r="1098" spans="1:31" x14ac:dyDescent="0.3">
      <c r="A1098" s="187">
        <v>9</v>
      </c>
      <c r="B1098" s="242">
        <f t="shared" si="445"/>
        <v>45901</v>
      </c>
      <c r="C1098" s="243">
        <f t="shared" si="428"/>
        <v>45930</v>
      </c>
      <c r="D1098" s="120">
        <f t="shared" si="429"/>
        <v>30</v>
      </c>
      <c r="E1098" s="120">
        <f t="shared" si="430"/>
        <v>9</v>
      </c>
      <c r="F1098" s="275">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0.9858424507658643</v>
      </c>
      <c r="P1098" s="121">
        <f t="shared" si="441"/>
        <v>0.70833333333333326</v>
      </c>
      <c r="Q1098" s="121">
        <f t="shared" si="442"/>
        <v>0</v>
      </c>
      <c r="R1098" s="121">
        <f t="shared" si="443"/>
        <v>0</v>
      </c>
      <c r="AE1098" s="160">
        <f t="shared" si="444"/>
        <v>0.9858424507658643</v>
      </c>
    </row>
    <row r="1099" spans="1:31" x14ac:dyDescent="0.3">
      <c r="A1099" s="187">
        <v>10</v>
      </c>
      <c r="B1099" s="242">
        <f t="shared" si="445"/>
        <v>45931</v>
      </c>
      <c r="C1099" s="243">
        <f t="shared" si="428"/>
        <v>45961</v>
      </c>
      <c r="D1099" s="120">
        <f t="shared" si="429"/>
        <v>31</v>
      </c>
      <c r="E1099" s="120">
        <f t="shared" si="430"/>
        <v>10</v>
      </c>
      <c r="F1099" s="275">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0.98617614879649895</v>
      </c>
      <c r="P1099" s="121">
        <f t="shared" si="441"/>
        <v>0.79166666666666663</v>
      </c>
      <c r="Q1099" s="121">
        <f t="shared" si="442"/>
        <v>0</v>
      </c>
      <c r="R1099" s="121">
        <f t="shared" si="443"/>
        <v>0</v>
      </c>
      <c r="AE1099" s="160">
        <f t="shared" si="444"/>
        <v>0.98617614879649895</v>
      </c>
    </row>
    <row r="1100" spans="1:31" x14ac:dyDescent="0.3">
      <c r="A1100" s="187">
        <v>11</v>
      </c>
      <c r="B1100" s="242">
        <f t="shared" si="445"/>
        <v>45962</v>
      </c>
      <c r="C1100" s="243">
        <f t="shared" si="428"/>
        <v>45991</v>
      </c>
      <c r="D1100" s="120">
        <f t="shared" si="429"/>
        <v>30</v>
      </c>
      <c r="E1100" s="120">
        <f t="shared" si="430"/>
        <v>11</v>
      </c>
      <c r="F1100" s="275">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0.9865098468271335</v>
      </c>
      <c r="P1100" s="121">
        <f t="shared" si="441"/>
        <v>0.875</v>
      </c>
      <c r="Q1100" s="121">
        <f t="shared" si="442"/>
        <v>0</v>
      </c>
      <c r="R1100" s="121">
        <f t="shared" si="443"/>
        <v>0</v>
      </c>
      <c r="AE1100" s="160">
        <f t="shared" si="444"/>
        <v>0.9865098468271335</v>
      </c>
    </row>
    <row r="1101" spans="1:31" x14ac:dyDescent="0.3">
      <c r="A1101" s="187">
        <v>12</v>
      </c>
      <c r="B1101" s="242">
        <f t="shared" si="445"/>
        <v>45992</v>
      </c>
      <c r="C1101" s="243">
        <f t="shared" si="428"/>
        <v>46022</v>
      </c>
      <c r="D1101" s="120">
        <f t="shared" si="429"/>
        <v>31</v>
      </c>
      <c r="E1101" s="120">
        <f t="shared" si="430"/>
        <v>12</v>
      </c>
      <c r="F1101" s="275">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0.98684354485776804</v>
      </c>
      <c r="P1101" s="121">
        <f t="shared" si="441"/>
        <v>0.95833333333333337</v>
      </c>
      <c r="Q1101" s="121">
        <f t="shared" si="442"/>
        <v>0</v>
      </c>
      <c r="R1101" s="121">
        <f t="shared" si="443"/>
        <v>0</v>
      </c>
      <c r="AE1101" s="160">
        <f t="shared" si="444"/>
        <v>0.98684354485776804</v>
      </c>
    </row>
    <row r="1102" spans="1:31" x14ac:dyDescent="0.3">
      <c r="A1102" s="187">
        <v>13</v>
      </c>
      <c r="B1102" s="242">
        <f t="shared" si="445"/>
        <v>46023</v>
      </c>
      <c r="C1102" s="243">
        <f t="shared" si="428"/>
        <v>46053</v>
      </c>
      <c r="D1102" s="120">
        <f t="shared" si="429"/>
        <v>31</v>
      </c>
      <c r="E1102" s="120">
        <f t="shared" si="430"/>
        <v>1</v>
      </c>
      <c r="F1102" s="275">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0.98718271334792118</v>
      </c>
      <c r="P1102" s="121">
        <f t="shared" si="441"/>
        <v>0.95833333333333337</v>
      </c>
      <c r="Q1102" s="121">
        <f t="shared" si="442"/>
        <v>4.166666666666663E-2</v>
      </c>
      <c r="R1102" s="121">
        <f t="shared" si="443"/>
        <v>0</v>
      </c>
      <c r="AE1102" s="160">
        <f t="shared" si="444"/>
        <v>0.98718271334792118</v>
      </c>
    </row>
    <row r="1103" spans="1:31" x14ac:dyDescent="0.3">
      <c r="A1103" s="187">
        <v>14</v>
      </c>
      <c r="B1103" s="242">
        <f t="shared" si="445"/>
        <v>46054</v>
      </c>
      <c r="C1103" s="243">
        <f t="shared" si="428"/>
        <v>46081</v>
      </c>
      <c r="D1103" s="120">
        <f t="shared" si="429"/>
        <v>28</v>
      </c>
      <c r="E1103" s="120">
        <f t="shared" si="430"/>
        <v>2</v>
      </c>
      <c r="F1103" s="275">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0.98750547045951864</v>
      </c>
      <c r="P1103" s="121">
        <f t="shared" si="441"/>
        <v>0.875</v>
      </c>
      <c r="Q1103" s="121">
        <f t="shared" si="442"/>
        <v>0.125</v>
      </c>
      <c r="R1103" s="121">
        <f t="shared" si="443"/>
        <v>0</v>
      </c>
      <c r="AE1103" s="160">
        <f t="shared" si="444"/>
        <v>0.98750547045951864</v>
      </c>
    </row>
    <row r="1104" spans="1:31" x14ac:dyDescent="0.3">
      <c r="A1104" s="187">
        <v>15</v>
      </c>
      <c r="B1104" s="242">
        <f t="shared" si="445"/>
        <v>46082</v>
      </c>
      <c r="C1104" s="243">
        <f t="shared" si="428"/>
        <v>46112</v>
      </c>
      <c r="D1104" s="120">
        <f t="shared" si="429"/>
        <v>31</v>
      </c>
      <c r="E1104" s="120">
        <f t="shared" si="430"/>
        <v>3</v>
      </c>
      <c r="F1104" s="275">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0.98782822757111599</v>
      </c>
      <c r="P1104" s="121">
        <f t="shared" si="441"/>
        <v>0.79166666666666663</v>
      </c>
      <c r="Q1104" s="121">
        <f t="shared" si="442"/>
        <v>0.20833333333333337</v>
      </c>
      <c r="R1104" s="121">
        <f t="shared" si="443"/>
        <v>0</v>
      </c>
      <c r="AE1104" s="160">
        <f t="shared" si="444"/>
        <v>0.98782822757111599</v>
      </c>
    </row>
    <row r="1105" spans="1:35" x14ac:dyDescent="0.3">
      <c r="A1105" s="187">
        <v>16</v>
      </c>
      <c r="B1105" s="242">
        <f t="shared" si="445"/>
        <v>46113</v>
      </c>
      <c r="C1105" s="243">
        <f t="shared" si="428"/>
        <v>46142</v>
      </c>
      <c r="D1105" s="120">
        <f t="shared" si="429"/>
        <v>30</v>
      </c>
      <c r="E1105" s="120">
        <f t="shared" si="430"/>
        <v>4</v>
      </c>
      <c r="F1105" s="275">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0.98816192560175053</v>
      </c>
      <c r="P1105" s="121">
        <f t="shared" si="441"/>
        <v>0.70833333333333337</v>
      </c>
      <c r="Q1105" s="121">
        <f t="shared" si="442"/>
        <v>0.29166666666666663</v>
      </c>
      <c r="R1105" s="121">
        <f t="shared" si="443"/>
        <v>0</v>
      </c>
      <c r="AE1105" s="160">
        <f t="shared" si="444"/>
        <v>0.98816192560175053</v>
      </c>
    </row>
    <row r="1106" spans="1:35" x14ac:dyDescent="0.3">
      <c r="A1106" s="187">
        <v>17</v>
      </c>
      <c r="B1106" s="242">
        <f t="shared" si="445"/>
        <v>46143</v>
      </c>
      <c r="C1106" s="243">
        <f t="shared" si="428"/>
        <v>46173</v>
      </c>
      <c r="D1106" s="120">
        <f t="shared" si="429"/>
        <v>31</v>
      </c>
      <c r="E1106" s="120">
        <f t="shared" si="430"/>
        <v>5</v>
      </c>
      <c r="F1106" s="275">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0.98849562363238508</v>
      </c>
      <c r="P1106" s="121">
        <f t="shared" si="441"/>
        <v>0.625</v>
      </c>
      <c r="Q1106" s="121">
        <f t="shared" si="442"/>
        <v>0.375</v>
      </c>
      <c r="R1106" s="121">
        <f t="shared" si="443"/>
        <v>0</v>
      </c>
      <c r="AE1106" s="160">
        <f t="shared" si="444"/>
        <v>0.98849562363238508</v>
      </c>
    </row>
    <row r="1107" spans="1:35" x14ac:dyDescent="0.3">
      <c r="A1107" s="187">
        <v>18</v>
      </c>
      <c r="B1107" s="242">
        <f t="shared" si="445"/>
        <v>46174</v>
      </c>
      <c r="C1107" s="243">
        <f t="shared" si="428"/>
        <v>46203</v>
      </c>
      <c r="D1107" s="120">
        <f t="shared" si="429"/>
        <v>30</v>
      </c>
      <c r="E1107" s="120">
        <f t="shared" si="430"/>
        <v>6</v>
      </c>
      <c r="F1107" s="275">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0.98882932166301973</v>
      </c>
      <c r="P1107" s="121">
        <f t="shared" si="441"/>
        <v>0.54166666666666663</v>
      </c>
      <c r="Q1107" s="121">
        <f t="shared" si="442"/>
        <v>0.45833333333333337</v>
      </c>
      <c r="R1107" s="121">
        <f t="shared" si="443"/>
        <v>0</v>
      </c>
      <c r="AE1107" s="160">
        <f t="shared" si="444"/>
        <v>0.98882932166301973</v>
      </c>
    </row>
    <row r="1108" spans="1:35" x14ac:dyDescent="0.3">
      <c r="A1108" s="187">
        <v>19</v>
      </c>
      <c r="B1108" s="242">
        <f t="shared" si="445"/>
        <v>46204</v>
      </c>
      <c r="C1108" s="243">
        <f t="shared" si="428"/>
        <v>46234</v>
      </c>
      <c r="D1108" s="120">
        <f t="shared" si="429"/>
        <v>31</v>
      </c>
      <c r="E1108" s="120">
        <f t="shared" si="430"/>
        <v>7</v>
      </c>
      <c r="F1108" s="275">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0.98916301969365428</v>
      </c>
      <c r="P1108" s="121">
        <f t="shared" si="441"/>
        <v>0.45833333333333331</v>
      </c>
      <c r="Q1108" s="121">
        <f t="shared" si="442"/>
        <v>0.54166666666666674</v>
      </c>
      <c r="R1108" s="121">
        <f t="shared" si="443"/>
        <v>0</v>
      </c>
      <c r="AE1108" s="160">
        <f t="shared" si="444"/>
        <v>0.98916301969365428</v>
      </c>
    </row>
    <row r="1109" spans="1:35" x14ac:dyDescent="0.3">
      <c r="A1109" s="187">
        <v>20</v>
      </c>
      <c r="B1109" s="242">
        <f t="shared" si="445"/>
        <v>46235</v>
      </c>
      <c r="C1109" s="243">
        <f t="shared" si="428"/>
        <v>46265</v>
      </c>
      <c r="D1109" s="120">
        <f t="shared" si="429"/>
        <v>31</v>
      </c>
      <c r="E1109" s="120">
        <f t="shared" si="430"/>
        <v>8</v>
      </c>
      <c r="F1109" s="275">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0.98950218818380742</v>
      </c>
      <c r="P1109" s="121">
        <f t="shared" si="441"/>
        <v>0.375</v>
      </c>
      <c r="Q1109" s="121">
        <f t="shared" si="442"/>
        <v>0.625</v>
      </c>
      <c r="R1109" s="121">
        <f t="shared" si="443"/>
        <v>0</v>
      </c>
      <c r="AE1109" s="160">
        <f t="shared" si="444"/>
        <v>0.98950218818380742</v>
      </c>
    </row>
    <row r="1110" spans="1:35" x14ac:dyDescent="0.3">
      <c r="A1110" s="187">
        <v>21</v>
      </c>
      <c r="B1110" s="242">
        <f t="shared" si="445"/>
        <v>46266</v>
      </c>
      <c r="C1110" s="243">
        <f t="shared" si="428"/>
        <v>46295</v>
      </c>
      <c r="D1110" s="120">
        <f t="shared" si="429"/>
        <v>30</v>
      </c>
      <c r="E1110" s="120">
        <f t="shared" si="430"/>
        <v>9</v>
      </c>
      <c r="F1110" s="275">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0.98983588621444196</v>
      </c>
      <c r="P1110" s="121">
        <f t="shared" si="441"/>
        <v>0.29166666666666669</v>
      </c>
      <c r="Q1110" s="121">
        <f t="shared" si="442"/>
        <v>0.70833333333333326</v>
      </c>
      <c r="R1110" s="121">
        <f t="shared" si="443"/>
        <v>0</v>
      </c>
      <c r="AE1110" s="160">
        <f t="shared" si="444"/>
        <v>0.98983588621444196</v>
      </c>
    </row>
    <row r="1111" spans="1:35" x14ac:dyDescent="0.3">
      <c r="A1111" s="187">
        <v>22</v>
      </c>
      <c r="B1111" s="242">
        <f t="shared" si="445"/>
        <v>46296</v>
      </c>
      <c r="C1111" s="243">
        <f t="shared" si="428"/>
        <v>46326</v>
      </c>
      <c r="D1111" s="120">
        <f t="shared" si="429"/>
        <v>31</v>
      </c>
      <c r="E1111" s="120">
        <f t="shared" si="430"/>
        <v>10</v>
      </c>
      <c r="F1111" s="275">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0.99016958424507662</v>
      </c>
      <c r="P1111" s="121">
        <f t="shared" si="441"/>
        <v>0.20833333333333334</v>
      </c>
      <c r="Q1111" s="121">
        <f t="shared" si="442"/>
        <v>0.79166666666666663</v>
      </c>
      <c r="R1111" s="121">
        <f t="shared" si="443"/>
        <v>0</v>
      </c>
      <c r="AE1111" s="160">
        <f t="shared" si="444"/>
        <v>1.0297763676148797</v>
      </c>
    </row>
    <row r="1112" spans="1:35" x14ac:dyDescent="0.3">
      <c r="A1112" s="187">
        <v>23</v>
      </c>
      <c r="B1112" s="242">
        <f t="shared" si="445"/>
        <v>46327</v>
      </c>
      <c r="C1112" s="243">
        <f t="shared" si="428"/>
        <v>46356</v>
      </c>
      <c r="D1112" s="120">
        <f t="shared" si="429"/>
        <v>30</v>
      </c>
      <c r="E1112" s="120">
        <f t="shared" si="430"/>
        <v>11</v>
      </c>
      <c r="F1112" s="275">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0.99050328227571116</v>
      </c>
      <c r="P1112" s="121">
        <f t="shared" si="441"/>
        <v>0.125</v>
      </c>
      <c r="Q1112" s="121">
        <f t="shared" si="442"/>
        <v>0.875</v>
      </c>
      <c r="R1112" s="121">
        <f t="shared" si="443"/>
        <v>0</v>
      </c>
      <c r="AE1112" s="160">
        <f t="shared" si="444"/>
        <v>1.0301234135667396</v>
      </c>
    </row>
    <row r="1113" spans="1:35" x14ac:dyDescent="0.3">
      <c r="A1113" s="187">
        <v>24</v>
      </c>
      <c r="B1113" s="242">
        <f t="shared" si="445"/>
        <v>46357</v>
      </c>
      <c r="C1113" s="243">
        <f t="shared" si="428"/>
        <v>46387</v>
      </c>
      <c r="D1113" s="120">
        <f t="shared" si="429"/>
        <v>31</v>
      </c>
      <c r="E1113" s="120">
        <f t="shared" si="430"/>
        <v>12</v>
      </c>
      <c r="F1113" s="275">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0.9908369803063457</v>
      </c>
      <c r="P1113" s="121">
        <f t="shared" si="441"/>
        <v>4.1666666666666664E-2</v>
      </c>
      <c r="Q1113" s="121">
        <f t="shared" si="442"/>
        <v>0.95833333333333337</v>
      </c>
      <c r="R1113" s="121">
        <f t="shared" si="443"/>
        <v>0</v>
      </c>
      <c r="AE1113" s="160">
        <f t="shared" si="444"/>
        <v>1.0304704595185996</v>
      </c>
    </row>
    <row r="1114" spans="1:35" x14ac:dyDescent="0.3">
      <c r="A1114" s="187">
        <v>25</v>
      </c>
      <c r="B1114" s="242">
        <f t="shared" si="445"/>
        <v>46388</v>
      </c>
      <c r="C1114" s="243">
        <f t="shared" si="428"/>
        <v>46418</v>
      </c>
      <c r="D1114" s="120">
        <f t="shared" si="429"/>
        <v>31</v>
      </c>
      <c r="E1114" s="120">
        <f t="shared" si="430"/>
        <v>1</v>
      </c>
      <c r="F1114" s="275">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0.99117614879649885</v>
      </c>
      <c r="P1114" s="121">
        <f t="shared" si="441"/>
        <v>0</v>
      </c>
      <c r="Q1114" s="121">
        <f t="shared" si="442"/>
        <v>0.95833333333333337</v>
      </c>
      <c r="R1114" s="121">
        <f t="shared" si="443"/>
        <v>4.166666666666663E-2</v>
      </c>
      <c r="W1114" s="160">
        <f t="shared" ref="W1114:W1125" si="446">IF($G1114&lt;&gt;$Q$1087,$N1114,(1-$U$1087)*$I1114+$U$1087*$J1114)</f>
        <v>1.04</v>
      </c>
      <c r="X1114" s="160">
        <f t="shared" ref="X1114:X1125" si="447">IF($G1114&lt;$Q$1087,0,IF($G1114&gt;$Q$1087,$N1114,$U$1087*$J1114))</f>
        <v>0</v>
      </c>
      <c r="Y1114" s="160">
        <f t="shared" ref="Y1114:Y1125" si="448">IF($F$1087=1,$O1114/$O1102,1)</f>
        <v>1.0040452850263497</v>
      </c>
      <c r="AB1114" s="160">
        <f t="shared" ref="AB1114:AB1125" si="449">IF(AND(N($K$1087)&lt;&gt;0,$F1114&lt;=$B$1088),0,($F1114-$B$1088)/($C$1088-$B$1088))</f>
        <v>0.23522975929978118</v>
      </c>
      <c r="AC1114" s="220">
        <f t="shared" ref="AC1114:AC1125" si="450">IF(AND(N($K$1087)&lt;&gt;0,$F1114&lt;=$B$1088),$O1114,$F$1088*(1-$AB1114))</f>
        <v>0.75712253829321663</v>
      </c>
      <c r="AD1114" s="160">
        <f t="shared" ref="AD1114:AD1125" si="451">$H1114*($W1114+$X1114*IF(ISNUMBER($F$1138),$F$1138,0))/($N1102*$O1102)</f>
        <v>1.0535030505882288</v>
      </c>
      <c r="AE1114" s="160">
        <f t="shared" si="444"/>
        <v>1.0111025471956521</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5">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0.99149890590809631</v>
      </c>
      <c r="P1115" s="121">
        <f t="shared" si="441"/>
        <v>0</v>
      </c>
      <c r="Q1115" s="121">
        <f t="shared" si="442"/>
        <v>0.875</v>
      </c>
      <c r="R1115" s="121">
        <f t="shared" si="443"/>
        <v>0.125</v>
      </c>
      <c r="W1115" s="160">
        <f t="shared" si="446"/>
        <v>1.04</v>
      </c>
      <c r="X1115" s="160">
        <f t="shared" si="447"/>
        <v>0</v>
      </c>
      <c r="Y1115" s="160">
        <f t="shared" si="448"/>
        <v>1.0040439628620177</v>
      </c>
      <c r="AB1115" s="160">
        <f t="shared" si="449"/>
        <v>0.29978118161925604</v>
      </c>
      <c r="AC1115" s="220">
        <f t="shared" si="450"/>
        <v>0.69321663019693647</v>
      </c>
      <c r="AD1115" s="160">
        <f t="shared" si="451"/>
        <v>1.0531587227724966</v>
      </c>
      <c r="AE1115" s="160">
        <f t="shared" si="444"/>
        <v>1.0060265020074823</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5">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0.99182166301969366</v>
      </c>
      <c r="P1116" s="121">
        <f t="shared" si="441"/>
        <v>0</v>
      </c>
      <c r="Q1116" s="121">
        <f t="shared" si="442"/>
        <v>0.79166666666666663</v>
      </c>
      <c r="R1116" s="121">
        <f t="shared" si="443"/>
        <v>0.20833333333333337</v>
      </c>
      <c r="W1116" s="160">
        <f t="shared" si="446"/>
        <v>1.04</v>
      </c>
      <c r="X1116" s="160">
        <f t="shared" si="447"/>
        <v>0</v>
      </c>
      <c r="Y1116" s="160">
        <f t="shared" si="448"/>
        <v>1.0040426415616779</v>
      </c>
      <c r="AB1116" s="160">
        <f t="shared" si="449"/>
        <v>0.36433260393873085</v>
      </c>
      <c r="AC1116" s="220">
        <f t="shared" si="450"/>
        <v>0.62931072210065642</v>
      </c>
      <c r="AD1116" s="160">
        <f t="shared" si="451"/>
        <v>1.0528146199640038</v>
      </c>
      <c r="AE1116" s="160">
        <f t="shared" si="444"/>
        <v>1.0009504568193124</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5">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0.9921553610503282</v>
      </c>
      <c r="P1117" s="121">
        <f t="shared" si="441"/>
        <v>0</v>
      </c>
      <c r="Q1117" s="121">
        <f t="shared" si="442"/>
        <v>0.70833333333333337</v>
      </c>
      <c r="R1117" s="121">
        <f t="shared" si="443"/>
        <v>0.29166666666666663</v>
      </c>
      <c r="W1117" s="160">
        <f t="shared" si="446"/>
        <v>1.04</v>
      </c>
      <c r="X1117" s="160">
        <f t="shared" si="447"/>
        <v>0</v>
      </c>
      <c r="Y1117" s="160">
        <f t="shared" si="448"/>
        <v>1.0040412763790163</v>
      </c>
      <c r="AB1117" s="160">
        <f t="shared" si="449"/>
        <v>0.4310722100656455</v>
      </c>
      <c r="AC1117" s="220">
        <f t="shared" si="450"/>
        <v>0.56323851203501096</v>
      </c>
      <c r="AD1117" s="160">
        <f t="shared" si="451"/>
        <v>1.0524590889966563</v>
      </c>
      <c r="AE1117" s="160">
        <f t="shared" si="444"/>
        <v>0.99570234230273014</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5">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0.99248905908096274</v>
      </c>
      <c r="P1118" s="121">
        <f t="shared" si="441"/>
        <v>0</v>
      </c>
      <c r="Q1118" s="121">
        <f t="shared" si="442"/>
        <v>0.625</v>
      </c>
      <c r="R1118" s="121">
        <f t="shared" si="443"/>
        <v>0.375</v>
      </c>
      <c r="W1118" s="160">
        <f t="shared" si="446"/>
        <v>1.04</v>
      </c>
      <c r="X1118" s="160">
        <f t="shared" si="447"/>
        <v>0</v>
      </c>
      <c r="Y1118" s="160">
        <f t="shared" si="448"/>
        <v>1.0040399121180761</v>
      </c>
      <c r="AB1118" s="160">
        <f t="shared" si="449"/>
        <v>0.49781181619256015</v>
      </c>
      <c r="AC1118" s="220">
        <f t="shared" si="450"/>
        <v>0.4971663019693654</v>
      </c>
      <c r="AD1118" s="160">
        <f t="shared" si="451"/>
        <v>1.0521037980708037</v>
      </c>
      <c r="AE1118" s="160">
        <f t="shared" si="444"/>
        <v>0.99045422778614767</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5">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0.9928227571115974</v>
      </c>
      <c r="P1119" s="121">
        <f t="shared" si="441"/>
        <v>0</v>
      </c>
      <c r="Q1119" s="121">
        <f t="shared" si="442"/>
        <v>0.54166666666666663</v>
      </c>
      <c r="R1119" s="121">
        <f t="shared" si="443"/>
        <v>0.45833333333333337</v>
      </c>
      <c r="W1119" s="160">
        <f t="shared" si="446"/>
        <v>1.04</v>
      </c>
      <c r="X1119" s="160">
        <f t="shared" si="447"/>
        <v>0</v>
      </c>
      <c r="Y1119" s="160">
        <f t="shared" si="448"/>
        <v>1.004038548777924</v>
      </c>
      <c r="AB1119" s="160">
        <f t="shared" si="449"/>
        <v>0.56455142231947486</v>
      </c>
      <c r="AC1119" s="220">
        <f t="shared" si="450"/>
        <v>0.43109409190371989</v>
      </c>
      <c r="AD1119" s="160">
        <f t="shared" si="451"/>
        <v>1.051748746943427</v>
      </c>
      <c r="AE1119" s="160">
        <f t="shared" si="444"/>
        <v>0.9852061132695652</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5">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0.99315645514223194</v>
      </c>
      <c r="P1120" s="121">
        <f t="shared" si="441"/>
        <v>0</v>
      </c>
      <c r="Q1120" s="121">
        <f t="shared" si="442"/>
        <v>0.45833333333333331</v>
      </c>
      <c r="R1120" s="121">
        <f t="shared" si="443"/>
        <v>0.54166666666666674</v>
      </c>
      <c r="W1120" s="160">
        <f t="shared" si="446"/>
        <v>1.04</v>
      </c>
      <c r="X1120" s="160">
        <f t="shared" si="447"/>
        <v>0</v>
      </c>
      <c r="Y1120" s="160">
        <f t="shared" si="448"/>
        <v>1.0040371863576283</v>
      </c>
      <c r="AB1120" s="160">
        <f t="shared" si="449"/>
        <v>0.63129102844638951</v>
      </c>
      <c r="AC1120" s="220">
        <f t="shared" si="450"/>
        <v>0.36502188183807438</v>
      </c>
      <c r="AD1120" s="160">
        <f t="shared" si="451"/>
        <v>1.051393935371836</v>
      </c>
      <c r="AE1120" s="160">
        <f t="shared" si="444"/>
        <v>0.97995799875298284</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5">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0.99349562363238508</v>
      </c>
      <c r="P1121" s="121">
        <f t="shared" si="441"/>
        <v>0</v>
      </c>
      <c r="Q1121" s="121">
        <f t="shared" si="442"/>
        <v>0.375</v>
      </c>
      <c r="R1121" s="121">
        <f t="shared" si="443"/>
        <v>0.625</v>
      </c>
      <c r="W1121" s="160">
        <f t="shared" si="446"/>
        <v>1.04</v>
      </c>
      <c r="X1121" s="160">
        <f t="shared" si="447"/>
        <v>1.04</v>
      </c>
      <c r="Y1121" s="160">
        <f t="shared" si="448"/>
        <v>1.0040358025442142</v>
      </c>
      <c r="AB1121" s="160">
        <f t="shared" si="449"/>
        <v>0.69912472647702406</v>
      </c>
      <c r="AC1121" s="220">
        <f t="shared" si="450"/>
        <v>0.29786652078774617</v>
      </c>
      <c r="AD1121" s="160">
        <f t="shared" si="451"/>
        <v>1.0930748945439268</v>
      </c>
      <c r="AE1121" s="160">
        <f t="shared" si="444"/>
        <v>1.0136088035550821</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5">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0.99382932166301974</v>
      </c>
      <c r="P1122" s="121">
        <f t="shared" si="441"/>
        <v>0</v>
      </c>
      <c r="Q1122" s="121">
        <f t="shared" si="442"/>
        <v>0.29166666666666669</v>
      </c>
      <c r="R1122" s="121">
        <f t="shared" si="443"/>
        <v>0.70833333333333326</v>
      </c>
      <c r="W1122" s="160">
        <f t="shared" si="446"/>
        <v>1.04</v>
      </c>
      <c r="X1122" s="160">
        <f t="shared" si="447"/>
        <v>1.04</v>
      </c>
      <c r="Y1122" s="160">
        <f t="shared" si="448"/>
        <v>1.0040344419758818</v>
      </c>
      <c r="AB1122" s="160">
        <f t="shared" si="449"/>
        <v>0.76586433260393871</v>
      </c>
      <c r="AC1122" s="220">
        <f t="shared" si="450"/>
        <v>0.23179431072210066</v>
      </c>
      <c r="AD1122" s="160">
        <f t="shared" si="451"/>
        <v>1.0927063921035471</v>
      </c>
      <c r="AE1122" s="160">
        <f t="shared" si="444"/>
        <v>1.0081507644578365</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5">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0.99416301969365428</v>
      </c>
      <c r="P1123" s="121">
        <f t="shared" si="441"/>
        <v>0</v>
      </c>
      <c r="Q1123" s="121">
        <f t="shared" si="442"/>
        <v>0.20833333333333334</v>
      </c>
      <c r="R1123" s="121">
        <f t="shared" si="443"/>
        <v>0.79166666666666663</v>
      </c>
      <c r="W1123" s="160">
        <f t="shared" si="446"/>
        <v>1.04</v>
      </c>
      <c r="X1123" s="160">
        <f t="shared" si="447"/>
        <v>1.04</v>
      </c>
      <c r="Y1123" s="160">
        <f t="shared" si="448"/>
        <v>1.0040330823246024</v>
      </c>
      <c r="AB1123" s="160">
        <f t="shared" si="449"/>
        <v>0.83260393873085337</v>
      </c>
      <c r="AC1123" s="220">
        <f t="shared" si="450"/>
        <v>0.16572210065645518</v>
      </c>
      <c r="AD1123" s="160">
        <f t="shared" si="451"/>
        <v>1.0503251327326066</v>
      </c>
      <c r="AE1123" s="160">
        <f t="shared" si="444"/>
        <v>1.0026927253605908</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5">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0.99449671772428883</v>
      </c>
      <c r="P1124" s="121">
        <f t="shared" si="441"/>
        <v>0</v>
      </c>
      <c r="Q1124" s="121">
        <f t="shared" si="442"/>
        <v>0.125</v>
      </c>
      <c r="R1124" s="121">
        <f t="shared" si="443"/>
        <v>0.875</v>
      </c>
      <c r="W1124" s="160">
        <f t="shared" si="446"/>
        <v>1.04</v>
      </c>
      <c r="X1124" s="160">
        <f t="shared" si="447"/>
        <v>1.04</v>
      </c>
      <c r="Y1124" s="160">
        <f t="shared" si="448"/>
        <v>1.0040317235894489</v>
      </c>
      <c r="AB1124" s="160">
        <f t="shared" si="449"/>
        <v>0.89934354485776802</v>
      </c>
      <c r="AC1124" s="220">
        <f t="shared" si="450"/>
        <v>9.9649890590809656E-2</v>
      </c>
      <c r="AD1124" s="160">
        <f t="shared" si="451"/>
        <v>1.0499712808730615</v>
      </c>
      <c r="AE1124" s="160">
        <f t="shared" si="444"/>
        <v>0.99723468626334499</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5">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0.99483041575492337</v>
      </c>
      <c r="P1125" s="121">
        <f t="shared" si="441"/>
        <v>0</v>
      </c>
      <c r="Q1125" s="121">
        <f t="shared" si="442"/>
        <v>4.1666666666666664E-2</v>
      </c>
      <c r="R1125" s="121">
        <f t="shared" si="443"/>
        <v>0.95833333333333337</v>
      </c>
      <c r="W1125" s="160">
        <f t="shared" si="446"/>
        <v>1.04</v>
      </c>
      <c r="X1125" s="160">
        <f t="shared" si="447"/>
        <v>1.04</v>
      </c>
      <c r="Y1125" s="160">
        <f t="shared" si="448"/>
        <v>1.0040303657694962</v>
      </c>
      <c r="AB1125" s="160">
        <f t="shared" si="449"/>
        <v>0.96608315098468267</v>
      </c>
      <c r="AC1125" s="220">
        <f t="shared" si="450"/>
        <v>3.3577680525164154E-2</v>
      </c>
      <c r="AD1125" s="160">
        <f t="shared" si="451"/>
        <v>1.0496176673567978</v>
      </c>
      <c r="AE1125" s="160">
        <f t="shared" si="444"/>
        <v>0.99177664716609937</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5">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0.995</v>
      </c>
      <c r="P1126" s="121">
        <f t="shared" si="441"/>
        <v>0</v>
      </c>
      <c r="Q1126" s="121">
        <f t="shared" si="442"/>
        <v>0</v>
      </c>
      <c r="R1126" s="121">
        <f t="shared" si="443"/>
        <v>0.95833333333333337</v>
      </c>
      <c r="AE1126" s="160">
        <f t="shared" si="444"/>
        <v>1.0347999999999999</v>
      </c>
    </row>
    <row r="1127" spans="1:35" x14ac:dyDescent="0.3">
      <c r="A1127" s="187">
        <v>38</v>
      </c>
      <c r="B1127" s="242">
        <f t="shared" si="445"/>
        <v>46784</v>
      </c>
      <c r="C1127" s="243">
        <f t="shared" si="428"/>
        <v>46812</v>
      </c>
      <c r="D1127" s="120">
        <f t="shared" si="429"/>
        <v>29</v>
      </c>
      <c r="E1127" s="120">
        <f t="shared" si="430"/>
        <v>2</v>
      </c>
      <c r="F1127" s="275">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0.995</v>
      </c>
      <c r="P1127" s="121">
        <f t="shared" si="441"/>
        <v>0</v>
      </c>
      <c r="Q1127" s="121">
        <f t="shared" si="442"/>
        <v>0</v>
      </c>
      <c r="R1127" s="121">
        <f t="shared" si="443"/>
        <v>0.875</v>
      </c>
      <c r="AE1127" s="160">
        <f t="shared" si="444"/>
        <v>1.0347999999999999</v>
      </c>
    </row>
    <row r="1128" spans="1:35" x14ac:dyDescent="0.3">
      <c r="A1128" s="187">
        <v>39</v>
      </c>
      <c r="B1128" s="242">
        <f t="shared" si="445"/>
        <v>46813</v>
      </c>
      <c r="C1128" s="243">
        <f t="shared" si="428"/>
        <v>46843</v>
      </c>
      <c r="D1128" s="120">
        <f t="shared" si="429"/>
        <v>31</v>
      </c>
      <c r="E1128" s="120">
        <f t="shared" si="430"/>
        <v>3</v>
      </c>
      <c r="F1128" s="275">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0.995</v>
      </c>
      <c r="P1128" s="121">
        <f t="shared" si="441"/>
        <v>0</v>
      </c>
      <c r="Q1128" s="121">
        <f t="shared" si="442"/>
        <v>0</v>
      </c>
      <c r="R1128" s="121">
        <f t="shared" si="443"/>
        <v>0.79166666666666663</v>
      </c>
      <c r="AE1128" s="160">
        <f t="shared" si="444"/>
        <v>1.0347999999999999</v>
      </c>
    </row>
    <row r="1129" spans="1:35" x14ac:dyDescent="0.3">
      <c r="A1129" s="187">
        <v>40</v>
      </c>
      <c r="B1129" s="242">
        <f t="shared" si="445"/>
        <v>46844</v>
      </c>
      <c r="C1129" s="243">
        <f t="shared" si="428"/>
        <v>46873</v>
      </c>
      <c r="D1129" s="120">
        <f t="shared" si="429"/>
        <v>30</v>
      </c>
      <c r="E1129" s="120">
        <f t="shared" si="430"/>
        <v>4</v>
      </c>
      <c r="F1129" s="275">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0.995</v>
      </c>
      <c r="P1129" s="121">
        <f t="shared" si="441"/>
        <v>0</v>
      </c>
      <c r="Q1129" s="121">
        <f t="shared" si="442"/>
        <v>0</v>
      </c>
      <c r="R1129" s="121">
        <f t="shared" si="443"/>
        <v>0.70833333333333337</v>
      </c>
      <c r="AE1129" s="160">
        <f t="shared" si="444"/>
        <v>1.0347999999999999</v>
      </c>
    </row>
    <row r="1130" spans="1:35" x14ac:dyDescent="0.3">
      <c r="A1130" s="187">
        <v>41</v>
      </c>
      <c r="B1130" s="242">
        <f t="shared" si="445"/>
        <v>46874</v>
      </c>
      <c r="C1130" s="243">
        <f t="shared" si="428"/>
        <v>46904</v>
      </c>
      <c r="D1130" s="120">
        <f t="shared" si="429"/>
        <v>31</v>
      </c>
      <c r="E1130" s="120">
        <f t="shared" si="430"/>
        <v>5</v>
      </c>
      <c r="F1130" s="275">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0.995</v>
      </c>
      <c r="P1130" s="121">
        <f t="shared" si="441"/>
        <v>0</v>
      </c>
      <c r="Q1130" s="121">
        <f t="shared" si="442"/>
        <v>0</v>
      </c>
      <c r="R1130" s="121">
        <f t="shared" si="443"/>
        <v>0.625</v>
      </c>
      <c r="AE1130" s="160">
        <f t="shared" si="444"/>
        <v>1.0347999999999999</v>
      </c>
    </row>
    <row r="1131" spans="1:35" x14ac:dyDescent="0.3">
      <c r="A1131" s="187">
        <v>42</v>
      </c>
      <c r="B1131" s="242">
        <f t="shared" si="445"/>
        <v>46905</v>
      </c>
      <c r="C1131" s="243">
        <f t="shared" si="428"/>
        <v>46934</v>
      </c>
      <c r="D1131" s="120">
        <f t="shared" si="429"/>
        <v>30</v>
      </c>
      <c r="E1131" s="120">
        <f t="shared" si="430"/>
        <v>6</v>
      </c>
      <c r="F1131" s="275">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0.995</v>
      </c>
      <c r="P1131" s="121">
        <f t="shared" si="441"/>
        <v>0</v>
      </c>
      <c r="Q1131" s="121">
        <f t="shared" si="442"/>
        <v>0</v>
      </c>
      <c r="R1131" s="121">
        <f t="shared" si="443"/>
        <v>0.54166666666666663</v>
      </c>
      <c r="AE1131" s="160">
        <f t="shared" si="444"/>
        <v>1.0347999999999999</v>
      </c>
    </row>
    <row r="1132" spans="1:35" x14ac:dyDescent="0.3">
      <c r="A1132" s="187">
        <v>43</v>
      </c>
      <c r="B1132" s="242">
        <f t="shared" si="445"/>
        <v>46935</v>
      </c>
      <c r="C1132" s="243">
        <f t="shared" si="428"/>
        <v>46965</v>
      </c>
      <c r="D1132" s="120">
        <f t="shared" si="429"/>
        <v>31</v>
      </c>
      <c r="E1132" s="120">
        <f t="shared" si="430"/>
        <v>7</v>
      </c>
      <c r="F1132" s="275">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0.995</v>
      </c>
      <c r="P1132" s="121">
        <f t="shared" si="441"/>
        <v>0</v>
      </c>
      <c r="Q1132" s="121">
        <f t="shared" si="442"/>
        <v>0</v>
      </c>
      <c r="R1132" s="121">
        <f t="shared" si="443"/>
        <v>0.45833333333333331</v>
      </c>
      <c r="AE1132" s="160">
        <f t="shared" si="444"/>
        <v>1.0347999999999999</v>
      </c>
    </row>
    <row r="1133" spans="1:35" x14ac:dyDescent="0.3">
      <c r="A1133" s="187">
        <v>44</v>
      </c>
      <c r="B1133" s="242">
        <f t="shared" si="445"/>
        <v>46966</v>
      </c>
      <c r="C1133" s="243">
        <f t="shared" si="428"/>
        <v>46996</v>
      </c>
      <c r="D1133" s="120">
        <f t="shared" si="429"/>
        <v>31</v>
      </c>
      <c r="E1133" s="120">
        <f t="shared" si="430"/>
        <v>8</v>
      </c>
      <c r="F1133" s="275">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0.995</v>
      </c>
      <c r="P1133" s="121">
        <f t="shared" si="441"/>
        <v>0</v>
      </c>
      <c r="Q1133" s="121">
        <f t="shared" si="442"/>
        <v>0</v>
      </c>
      <c r="R1133" s="121">
        <f t="shared" si="443"/>
        <v>0.375</v>
      </c>
      <c r="AE1133" s="160">
        <f t="shared" si="444"/>
        <v>1.0347999999999999</v>
      </c>
    </row>
    <row r="1134" spans="1:35" x14ac:dyDescent="0.3">
      <c r="A1134" s="187">
        <v>45</v>
      </c>
      <c r="B1134" s="242">
        <f t="shared" si="445"/>
        <v>46997</v>
      </c>
      <c r="C1134" s="243">
        <f t="shared" si="428"/>
        <v>47026</v>
      </c>
      <c r="D1134" s="120">
        <f t="shared" si="429"/>
        <v>30</v>
      </c>
      <c r="E1134" s="120">
        <f t="shared" si="430"/>
        <v>9</v>
      </c>
      <c r="F1134" s="275">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0.995</v>
      </c>
      <c r="P1134" s="121">
        <f t="shared" si="441"/>
        <v>0</v>
      </c>
      <c r="Q1134" s="121">
        <f t="shared" si="442"/>
        <v>0</v>
      </c>
      <c r="R1134" s="121">
        <f t="shared" si="443"/>
        <v>0.29166666666666669</v>
      </c>
      <c r="AE1134" s="160">
        <f t="shared" si="444"/>
        <v>1.0347999999999999</v>
      </c>
    </row>
    <row r="1135" spans="1:35" x14ac:dyDescent="0.3">
      <c r="A1135" s="187">
        <v>46</v>
      </c>
      <c r="B1135" s="242">
        <f t="shared" si="445"/>
        <v>47027</v>
      </c>
      <c r="C1135" s="243">
        <f t="shared" si="428"/>
        <v>47057</v>
      </c>
      <c r="D1135" s="120">
        <f t="shared" si="429"/>
        <v>31</v>
      </c>
      <c r="E1135" s="120">
        <f t="shared" si="430"/>
        <v>10</v>
      </c>
      <c r="F1135" s="275">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0.995</v>
      </c>
      <c r="P1135" s="121">
        <f t="shared" si="441"/>
        <v>0</v>
      </c>
      <c r="Q1135" s="121">
        <f t="shared" si="442"/>
        <v>0</v>
      </c>
      <c r="R1135" s="121">
        <f t="shared" si="443"/>
        <v>0.20833333333333334</v>
      </c>
      <c r="AE1135" s="160">
        <f t="shared" si="444"/>
        <v>1.0347999999999999</v>
      </c>
    </row>
    <row r="1136" spans="1:35" x14ac:dyDescent="0.3">
      <c r="A1136" s="187">
        <v>47</v>
      </c>
      <c r="B1136" s="242">
        <f t="shared" si="445"/>
        <v>47058</v>
      </c>
      <c r="C1136" s="243">
        <f t="shared" si="428"/>
        <v>47087</v>
      </c>
      <c r="D1136" s="120">
        <f t="shared" si="429"/>
        <v>30</v>
      </c>
      <c r="E1136" s="120">
        <f t="shared" si="430"/>
        <v>11</v>
      </c>
      <c r="F1136" s="275">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0.995</v>
      </c>
      <c r="P1136" s="121">
        <f t="shared" si="441"/>
        <v>0</v>
      </c>
      <c r="Q1136" s="121">
        <f t="shared" si="442"/>
        <v>0</v>
      </c>
      <c r="R1136" s="121">
        <f t="shared" si="443"/>
        <v>0.125</v>
      </c>
      <c r="AE1136" s="160">
        <f t="shared" si="444"/>
        <v>1.0347999999999999</v>
      </c>
    </row>
    <row r="1137" spans="1:31" x14ac:dyDescent="0.3">
      <c r="A1137" s="187">
        <v>48</v>
      </c>
      <c r="B1137" s="242">
        <f t="shared" si="445"/>
        <v>47088</v>
      </c>
      <c r="C1137" s="243">
        <f t="shared" si="428"/>
        <v>47118</v>
      </c>
      <c r="D1137" s="120">
        <f t="shared" si="429"/>
        <v>31</v>
      </c>
      <c r="E1137" s="120">
        <f t="shared" si="430"/>
        <v>12</v>
      </c>
      <c r="F1137" s="275">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0.995</v>
      </c>
      <c r="P1137" s="121">
        <f t="shared" si="441"/>
        <v>0</v>
      </c>
      <c r="Q1137" s="121">
        <f t="shared" si="442"/>
        <v>0</v>
      </c>
      <c r="R1137" s="121">
        <f t="shared" si="443"/>
        <v>4.1666666666666664E-2</v>
      </c>
      <c r="AE1137" s="160">
        <f t="shared" si="444"/>
        <v>1.0347999999999999</v>
      </c>
    </row>
    <row r="1138" spans="1:31" x14ac:dyDescent="0.3">
      <c r="A1138" s="23" t="s">
        <v>1723</v>
      </c>
      <c r="B1138" s="279">
        <f>SUM($H$1114:$H$1125)</f>
        <v>12</v>
      </c>
      <c r="C1138" s="160">
        <f>SUMPRODUCT($H$1114:$H$1125,$W$1114:$W$1125/$N$1102:$N$1113,$Y$1114:$Y$1125)</f>
        <v>12.409908591590446</v>
      </c>
      <c r="D1138" s="160">
        <f>SUMPRODUCT($H$1114:$H$1125,$X$1114:$X$1125/$N$1102:$N$1113,$Y$1114:$Y$1125)</f>
        <v>5.1004882259844475</v>
      </c>
      <c r="E1138" s="281" t="str">
        <f>IF(OR($D$1087=0,$P$1087=0,$D1138=0),"n/a",((1+$E$1087)*$B1138-$C1138)/$D1138)</f>
        <v>n/a</v>
      </c>
      <c r="F1138" s="281">
        <f>IF($V$1087&lt;&gt;"",$V$1087,$E1138)</f>
        <v>0.04</v>
      </c>
      <c r="G1138" s="281">
        <f>IF(OR(NOT(ISNUMBER($F1138)),nd_Ach=0),"n/a",$F1138/nd_Ach)</f>
        <v>0.04</v>
      </c>
      <c r="H1138" s="220">
        <f>IF(OR(NOT(ISNUMBER($F1138)),$F$1087=0,SUMPRODUCT($AD$1114:$AD$1125,$AB$1114:$AB$1125)=0),"n/a",((1+$E$1087)*$B1138-SUMPRODUCT($AD$1114:$AD$1125,$AC$1114:$AC$1125))/SUMPRODUCT($AD$1114:$AD$1125,$AB$1114:$AB$1125))</f>
        <v>0.91438876626487531</v>
      </c>
      <c r="I1138" s="183">
        <f>IF(NOT(ISNUMBER($F1138)),"n/a",SUMPRODUCT($H$1114:$H$1125,($W$1114:$W$1125+$X$1114:$X$1125*$F1138)/$N$1102:$N$1113)/$B1138-1)</f>
        <v>4.6933333333333271E-2</v>
      </c>
      <c r="J1138" s="183">
        <f>IF(OR(NOT(ISNUMBER($I1138)),$F$1087=0),"n/a",(1+$E$1087)/(1+$I1138)-1)</f>
        <v>-4.4829342842587772E-2</v>
      </c>
      <c r="K1138" s="183">
        <f>IF(NOT(ISNUMBER($F1138)),"n/a",($C1138+$D1138*$F1138)/$B1138-1)</f>
        <v>5.1160676719151921E-2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2">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1</v>
      </c>
      <c r="H1143" s="220">
        <f>IF($C1143=0,1,IF(N(INDEX(lr_m0,$C1143))=0,1,INDEX(lr_m0,$C1143)))</f>
        <v>0.99</v>
      </c>
      <c r="I1143" s="278">
        <f>IF($C1143=0,DATE(nr_PlanYear-1,10,1),IF(N(INDEX(lr_m0asof,$C1143))=0,DATE(nr_PlanYear-1,10,1),INDEX(lr_m0asof,$C1143)))</f>
        <v>46295</v>
      </c>
      <c r="J1143" s="220">
        <f>IF($C1143=0,1,IF(N(INDEX(lr_m1,$C1143))=0,1,INDEX(lr_m1,$C1143)))</f>
        <v>1.01</v>
      </c>
      <c r="K1143" s="220">
        <f>IF($C1143=0,0,N(INDEX(lr_mprior,$C1143)))</f>
        <v>0</v>
      </c>
      <c r="L1143" s="220">
        <f>IF($C1143=0,0,N(INDEX(lr_m2,$C1143)))</f>
        <v>0</v>
      </c>
      <c r="M1143" s="43">
        <f>IF(OR($A1143="",COUNTIF(se_state,$A1143)=0),0,MATCH($A1143,se_state,0))</f>
        <v>0</v>
      </c>
      <c r="N1143" s="279">
        <f>IF($M1143=0,0,INDEX(se_sum,$M1143))</f>
        <v>0</v>
      </c>
      <c r="O1143" s="278">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80" t="str">
        <f>IF(ISBLANK('Net Delivery'!$E$25),$Y1143,'Net Delivery'!$E$25)</f>
        <v/>
      </c>
      <c r="W1143" s="43">
        <f>IF($B1143="",0,COUNTIFS(rl_key,$B1143,rl_status,"planned",rl_eff,"&gt;="&amp;DATE(nr_PlanYear,1,1),rl_eff,"&lt;="&amp;DATE(nr_PlanYear,12,31)))</f>
        <v>0</v>
      </c>
      <c r="X1143" s="278">
        <f>IF($W1143=0,nd_DefaultDate,SUMIFS(rl_eff,rl_key,$B1143,rl_firstplanned,1))</f>
        <v>46478</v>
      </c>
      <c r="Y1143" s="280" t="str">
        <f>IF($W1143=0,"",SUMIFS(rl_reff,rl_key,$B1143,rl_firstplanned,1))</f>
        <v/>
      </c>
      <c r="Z1143" s="280"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5">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0.96275711159737409</v>
      </c>
      <c r="P1146" s="121">
        <f t="shared" ref="P1146:P1193" si="469">MIN(1,MAX(0,(nr_MEndPm1-$G1146+0.5)/nr_TermMonths))-MIN(1,MAX(0,(nr_MStartPm1-1-$G1146+0.5)/nr_TermMonths))</f>
        <v>4.166666666666663E-2</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0.96275711159737409</v>
      </c>
    </row>
    <row r="1147" spans="1:31" x14ac:dyDescent="0.3">
      <c r="A1147" s="187">
        <v>2</v>
      </c>
      <c r="B1147" s="242">
        <f t="shared" ref="B1147:B1193" si="473">EDATE($B1146,1)</f>
        <v>45689</v>
      </c>
      <c r="C1147" s="243">
        <f t="shared" si="456"/>
        <v>45716</v>
      </c>
      <c r="D1147" s="120">
        <f t="shared" si="457"/>
        <v>28</v>
      </c>
      <c r="E1147" s="120">
        <f t="shared" si="458"/>
        <v>2</v>
      </c>
      <c r="F1147" s="275">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0.9640481400437636</v>
      </c>
      <c r="P1147" s="121">
        <f t="shared" si="469"/>
        <v>0.125</v>
      </c>
      <c r="Q1147" s="121">
        <f t="shared" si="470"/>
        <v>0</v>
      </c>
      <c r="R1147" s="121">
        <f t="shared" si="471"/>
        <v>0</v>
      </c>
      <c r="AE1147" s="160">
        <f t="shared" si="472"/>
        <v>0.9640481400437636</v>
      </c>
    </row>
    <row r="1148" spans="1:31" x14ac:dyDescent="0.3">
      <c r="A1148" s="187">
        <v>3</v>
      </c>
      <c r="B1148" s="242">
        <f t="shared" si="473"/>
        <v>45717</v>
      </c>
      <c r="C1148" s="243">
        <f t="shared" si="456"/>
        <v>45747</v>
      </c>
      <c r="D1148" s="120">
        <f t="shared" si="457"/>
        <v>31</v>
      </c>
      <c r="E1148" s="120">
        <f t="shared" si="458"/>
        <v>3</v>
      </c>
      <c r="F1148" s="275">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0.96533916849015311</v>
      </c>
      <c r="P1148" s="121">
        <f t="shared" si="469"/>
        <v>0.20833333333333337</v>
      </c>
      <c r="Q1148" s="121">
        <f t="shared" si="470"/>
        <v>0</v>
      </c>
      <c r="R1148" s="121">
        <f t="shared" si="471"/>
        <v>0</v>
      </c>
      <c r="AE1148" s="160">
        <f t="shared" si="472"/>
        <v>0.96533916849015311</v>
      </c>
    </row>
    <row r="1149" spans="1:31" x14ac:dyDescent="0.3">
      <c r="A1149" s="187">
        <v>4</v>
      </c>
      <c r="B1149" s="242">
        <f t="shared" si="473"/>
        <v>45748</v>
      </c>
      <c r="C1149" s="243">
        <f t="shared" si="456"/>
        <v>45777</v>
      </c>
      <c r="D1149" s="120">
        <f t="shared" si="457"/>
        <v>30</v>
      </c>
      <c r="E1149" s="120">
        <f t="shared" si="458"/>
        <v>4</v>
      </c>
      <c r="F1149" s="275">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0.9666739606126914</v>
      </c>
      <c r="P1149" s="121">
        <f t="shared" si="469"/>
        <v>0.29166666666666663</v>
      </c>
      <c r="Q1149" s="121">
        <f t="shared" si="470"/>
        <v>0</v>
      </c>
      <c r="R1149" s="121">
        <f t="shared" si="471"/>
        <v>0</v>
      </c>
      <c r="AE1149" s="160">
        <f t="shared" si="472"/>
        <v>0.9666739606126914</v>
      </c>
    </row>
    <row r="1150" spans="1:31" x14ac:dyDescent="0.3">
      <c r="A1150" s="187">
        <v>5</v>
      </c>
      <c r="B1150" s="242">
        <f t="shared" si="473"/>
        <v>45778</v>
      </c>
      <c r="C1150" s="243">
        <f t="shared" si="456"/>
        <v>45808</v>
      </c>
      <c r="D1150" s="120">
        <f t="shared" si="457"/>
        <v>31</v>
      </c>
      <c r="E1150" s="120">
        <f t="shared" si="458"/>
        <v>5</v>
      </c>
      <c r="F1150" s="275">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0.96800875273522968</v>
      </c>
      <c r="P1150" s="121">
        <f t="shared" si="469"/>
        <v>0.375</v>
      </c>
      <c r="Q1150" s="121">
        <f t="shared" si="470"/>
        <v>0</v>
      </c>
      <c r="R1150" s="121">
        <f t="shared" si="471"/>
        <v>0</v>
      </c>
      <c r="AE1150" s="160">
        <f t="shared" si="472"/>
        <v>0.96800875273522968</v>
      </c>
    </row>
    <row r="1151" spans="1:31" x14ac:dyDescent="0.3">
      <c r="A1151" s="187">
        <v>6</v>
      </c>
      <c r="B1151" s="242">
        <f t="shared" si="473"/>
        <v>45809</v>
      </c>
      <c r="C1151" s="243">
        <f t="shared" si="456"/>
        <v>45838</v>
      </c>
      <c r="D1151" s="120">
        <f t="shared" si="457"/>
        <v>30</v>
      </c>
      <c r="E1151" s="120">
        <f t="shared" si="458"/>
        <v>6</v>
      </c>
      <c r="F1151" s="275">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0.96934354485776797</v>
      </c>
      <c r="P1151" s="121">
        <f t="shared" si="469"/>
        <v>0.45833333333333337</v>
      </c>
      <c r="Q1151" s="121">
        <f t="shared" si="470"/>
        <v>0</v>
      </c>
      <c r="R1151" s="121">
        <f t="shared" si="471"/>
        <v>0</v>
      </c>
      <c r="AE1151" s="160">
        <f t="shared" si="472"/>
        <v>0.96934354485776797</v>
      </c>
    </row>
    <row r="1152" spans="1:31" x14ac:dyDescent="0.3">
      <c r="A1152" s="187">
        <v>7</v>
      </c>
      <c r="B1152" s="242">
        <f t="shared" si="473"/>
        <v>45839</v>
      </c>
      <c r="C1152" s="243">
        <f t="shared" si="456"/>
        <v>45869</v>
      </c>
      <c r="D1152" s="120">
        <f t="shared" si="457"/>
        <v>31</v>
      </c>
      <c r="E1152" s="120">
        <f t="shared" si="458"/>
        <v>7</v>
      </c>
      <c r="F1152" s="275">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0.97067833698030626</v>
      </c>
      <c r="P1152" s="121">
        <f t="shared" si="469"/>
        <v>0.54166666666666674</v>
      </c>
      <c r="Q1152" s="121">
        <f t="shared" si="470"/>
        <v>0</v>
      </c>
      <c r="R1152" s="121">
        <f t="shared" si="471"/>
        <v>0</v>
      </c>
      <c r="AE1152" s="160">
        <f t="shared" si="472"/>
        <v>0.97067833698030626</v>
      </c>
    </row>
    <row r="1153" spans="1:31" x14ac:dyDescent="0.3">
      <c r="A1153" s="187">
        <v>8</v>
      </c>
      <c r="B1153" s="242">
        <f t="shared" si="473"/>
        <v>45870</v>
      </c>
      <c r="C1153" s="243">
        <f t="shared" si="456"/>
        <v>45900</v>
      </c>
      <c r="D1153" s="120">
        <f t="shared" si="457"/>
        <v>31</v>
      </c>
      <c r="E1153" s="120">
        <f t="shared" si="458"/>
        <v>8</v>
      </c>
      <c r="F1153" s="275">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0.97203501094091893</v>
      </c>
      <c r="P1153" s="121">
        <f t="shared" si="469"/>
        <v>0.625</v>
      </c>
      <c r="Q1153" s="121">
        <f t="shared" si="470"/>
        <v>0</v>
      </c>
      <c r="R1153" s="121">
        <f t="shared" si="471"/>
        <v>0</v>
      </c>
      <c r="AE1153" s="160">
        <f t="shared" si="472"/>
        <v>0.97203501094091893</v>
      </c>
    </row>
    <row r="1154" spans="1:31" x14ac:dyDescent="0.3">
      <c r="A1154" s="187">
        <v>9</v>
      </c>
      <c r="B1154" s="242">
        <f t="shared" si="473"/>
        <v>45901</v>
      </c>
      <c r="C1154" s="243">
        <f t="shared" si="456"/>
        <v>45930</v>
      </c>
      <c r="D1154" s="120">
        <f t="shared" si="457"/>
        <v>30</v>
      </c>
      <c r="E1154" s="120">
        <f t="shared" si="458"/>
        <v>9</v>
      </c>
      <c r="F1154" s="275">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0.97336980306345722</v>
      </c>
      <c r="P1154" s="121">
        <f t="shared" si="469"/>
        <v>0.70833333333333326</v>
      </c>
      <c r="Q1154" s="121">
        <f t="shared" si="470"/>
        <v>0</v>
      </c>
      <c r="R1154" s="121">
        <f t="shared" si="471"/>
        <v>0</v>
      </c>
      <c r="AE1154" s="160">
        <f t="shared" si="472"/>
        <v>0.97336980306345722</v>
      </c>
    </row>
    <row r="1155" spans="1:31" x14ac:dyDescent="0.3">
      <c r="A1155" s="187">
        <v>10</v>
      </c>
      <c r="B1155" s="242">
        <f t="shared" si="473"/>
        <v>45931</v>
      </c>
      <c r="C1155" s="243">
        <f t="shared" si="456"/>
        <v>45961</v>
      </c>
      <c r="D1155" s="120">
        <f t="shared" si="457"/>
        <v>31</v>
      </c>
      <c r="E1155" s="120">
        <f t="shared" si="458"/>
        <v>10</v>
      </c>
      <c r="F1155" s="275">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0.97470459518599561</v>
      </c>
      <c r="P1155" s="121">
        <f t="shared" si="469"/>
        <v>0.79166666666666663</v>
      </c>
      <c r="Q1155" s="121">
        <f t="shared" si="470"/>
        <v>0</v>
      </c>
      <c r="R1155" s="121">
        <f t="shared" si="471"/>
        <v>0</v>
      </c>
      <c r="AE1155" s="160">
        <f t="shared" si="472"/>
        <v>0.97470459518599561</v>
      </c>
    </row>
    <row r="1156" spans="1:31" x14ac:dyDescent="0.3">
      <c r="A1156" s="187">
        <v>11</v>
      </c>
      <c r="B1156" s="242">
        <f t="shared" si="473"/>
        <v>45962</v>
      </c>
      <c r="C1156" s="243">
        <f t="shared" si="456"/>
        <v>45991</v>
      </c>
      <c r="D1156" s="120">
        <f t="shared" si="457"/>
        <v>30</v>
      </c>
      <c r="E1156" s="120">
        <f t="shared" si="458"/>
        <v>11</v>
      </c>
      <c r="F1156" s="275">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0.9760393873085339</v>
      </c>
      <c r="P1156" s="121">
        <f t="shared" si="469"/>
        <v>0.875</v>
      </c>
      <c r="Q1156" s="121">
        <f t="shared" si="470"/>
        <v>0</v>
      </c>
      <c r="R1156" s="121">
        <f t="shared" si="471"/>
        <v>0</v>
      </c>
      <c r="AE1156" s="160">
        <f t="shared" si="472"/>
        <v>0.9760393873085339</v>
      </c>
    </row>
    <row r="1157" spans="1:31" x14ac:dyDescent="0.3">
      <c r="A1157" s="187">
        <v>12</v>
      </c>
      <c r="B1157" s="242">
        <f t="shared" si="473"/>
        <v>45992</v>
      </c>
      <c r="C1157" s="243">
        <f t="shared" si="456"/>
        <v>46022</v>
      </c>
      <c r="D1157" s="120">
        <f t="shared" si="457"/>
        <v>31</v>
      </c>
      <c r="E1157" s="120">
        <f t="shared" si="458"/>
        <v>12</v>
      </c>
      <c r="F1157" s="275">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0.97737417943107219</v>
      </c>
      <c r="P1157" s="121">
        <f t="shared" si="469"/>
        <v>0.95833333333333337</v>
      </c>
      <c r="Q1157" s="121">
        <f t="shared" si="470"/>
        <v>0</v>
      </c>
      <c r="R1157" s="121">
        <f t="shared" si="471"/>
        <v>0</v>
      </c>
      <c r="AE1157" s="160">
        <f t="shared" si="472"/>
        <v>0.97737417943107219</v>
      </c>
    </row>
    <row r="1158" spans="1:31" x14ac:dyDescent="0.3">
      <c r="A1158" s="187">
        <v>13</v>
      </c>
      <c r="B1158" s="242">
        <f t="shared" si="473"/>
        <v>46023</v>
      </c>
      <c r="C1158" s="243">
        <f t="shared" si="456"/>
        <v>46053</v>
      </c>
      <c r="D1158" s="120">
        <f t="shared" si="457"/>
        <v>31</v>
      </c>
      <c r="E1158" s="120">
        <f t="shared" si="458"/>
        <v>1</v>
      </c>
      <c r="F1158" s="275">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0.97873085339168486</v>
      </c>
      <c r="P1158" s="121">
        <f t="shared" si="469"/>
        <v>0.95833333333333337</v>
      </c>
      <c r="Q1158" s="121">
        <f t="shared" si="470"/>
        <v>4.166666666666663E-2</v>
      </c>
      <c r="R1158" s="121">
        <f t="shared" si="471"/>
        <v>0</v>
      </c>
      <c r="AE1158" s="160">
        <f t="shared" si="472"/>
        <v>0.97873085339168486</v>
      </c>
    </row>
    <row r="1159" spans="1:31" x14ac:dyDescent="0.3">
      <c r="A1159" s="187">
        <v>14</v>
      </c>
      <c r="B1159" s="242">
        <f t="shared" si="473"/>
        <v>46054</v>
      </c>
      <c r="C1159" s="243">
        <f t="shared" si="456"/>
        <v>46081</v>
      </c>
      <c r="D1159" s="120">
        <f t="shared" si="457"/>
        <v>28</v>
      </c>
      <c r="E1159" s="120">
        <f t="shared" si="458"/>
        <v>2</v>
      </c>
      <c r="F1159" s="275">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0.98002188183807437</v>
      </c>
      <c r="P1159" s="121">
        <f t="shared" si="469"/>
        <v>0.875</v>
      </c>
      <c r="Q1159" s="121">
        <f t="shared" si="470"/>
        <v>0.125</v>
      </c>
      <c r="R1159" s="121">
        <f t="shared" si="471"/>
        <v>0</v>
      </c>
      <c r="AE1159" s="160">
        <f t="shared" si="472"/>
        <v>0.98002188183807437</v>
      </c>
    </row>
    <row r="1160" spans="1:31" x14ac:dyDescent="0.3">
      <c r="A1160" s="187">
        <v>15</v>
      </c>
      <c r="B1160" s="242">
        <f t="shared" si="473"/>
        <v>46082</v>
      </c>
      <c r="C1160" s="243">
        <f t="shared" si="456"/>
        <v>46112</v>
      </c>
      <c r="D1160" s="120">
        <f t="shared" si="457"/>
        <v>31</v>
      </c>
      <c r="E1160" s="120">
        <f t="shared" si="458"/>
        <v>3</v>
      </c>
      <c r="F1160" s="275">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0.98131291028446388</v>
      </c>
      <c r="P1160" s="121">
        <f t="shared" si="469"/>
        <v>0.79166666666666663</v>
      </c>
      <c r="Q1160" s="121">
        <f t="shared" si="470"/>
        <v>0.20833333333333337</v>
      </c>
      <c r="R1160" s="121">
        <f t="shared" si="471"/>
        <v>0</v>
      </c>
      <c r="AE1160" s="160">
        <f t="shared" si="472"/>
        <v>0.98131291028446388</v>
      </c>
    </row>
    <row r="1161" spans="1:31" x14ac:dyDescent="0.3">
      <c r="A1161" s="187">
        <v>16</v>
      </c>
      <c r="B1161" s="242">
        <f t="shared" si="473"/>
        <v>46113</v>
      </c>
      <c r="C1161" s="243">
        <f t="shared" si="456"/>
        <v>46142</v>
      </c>
      <c r="D1161" s="120">
        <f t="shared" si="457"/>
        <v>30</v>
      </c>
      <c r="E1161" s="120">
        <f t="shared" si="458"/>
        <v>4</v>
      </c>
      <c r="F1161" s="275">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0.98264770240700217</v>
      </c>
      <c r="P1161" s="121">
        <f t="shared" si="469"/>
        <v>0.70833333333333337</v>
      </c>
      <c r="Q1161" s="121">
        <f t="shared" si="470"/>
        <v>0.29166666666666663</v>
      </c>
      <c r="R1161" s="121">
        <f t="shared" si="471"/>
        <v>0</v>
      </c>
      <c r="AE1161" s="160">
        <f t="shared" si="472"/>
        <v>0.98264770240700217</v>
      </c>
    </row>
    <row r="1162" spans="1:31" x14ac:dyDescent="0.3">
      <c r="A1162" s="187">
        <v>17</v>
      </c>
      <c r="B1162" s="242">
        <f t="shared" si="473"/>
        <v>46143</v>
      </c>
      <c r="C1162" s="243">
        <f t="shared" si="456"/>
        <v>46173</v>
      </c>
      <c r="D1162" s="120">
        <f t="shared" si="457"/>
        <v>31</v>
      </c>
      <c r="E1162" s="120">
        <f t="shared" si="458"/>
        <v>5</v>
      </c>
      <c r="F1162" s="275">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0.98398249452954045</v>
      </c>
      <c r="P1162" s="121">
        <f t="shared" si="469"/>
        <v>0.625</v>
      </c>
      <c r="Q1162" s="121">
        <f t="shared" si="470"/>
        <v>0.375</v>
      </c>
      <c r="R1162" s="121">
        <f t="shared" si="471"/>
        <v>0</v>
      </c>
      <c r="AE1162" s="160">
        <f t="shared" si="472"/>
        <v>0.98398249452954045</v>
      </c>
    </row>
    <row r="1163" spans="1:31" x14ac:dyDescent="0.3">
      <c r="A1163" s="187">
        <v>18</v>
      </c>
      <c r="B1163" s="242">
        <f t="shared" si="473"/>
        <v>46174</v>
      </c>
      <c r="C1163" s="243">
        <f t="shared" si="456"/>
        <v>46203</v>
      </c>
      <c r="D1163" s="120">
        <f t="shared" si="457"/>
        <v>30</v>
      </c>
      <c r="E1163" s="120">
        <f t="shared" si="458"/>
        <v>6</v>
      </c>
      <c r="F1163" s="275">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0.98531728665207874</v>
      </c>
      <c r="P1163" s="121">
        <f t="shared" si="469"/>
        <v>0.54166666666666663</v>
      </c>
      <c r="Q1163" s="121">
        <f t="shared" si="470"/>
        <v>0.45833333333333337</v>
      </c>
      <c r="R1163" s="121">
        <f t="shared" si="471"/>
        <v>0</v>
      </c>
      <c r="AE1163" s="160">
        <f t="shared" si="472"/>
        <v>0.98531728665207874</v>
      </c>
    </row>
    <row r="1164" spans="1:31" x14ac:dyDescent="0.3">
      <c r="A1164" s="187">
        <v>19</v>
      </c>
      <c r="B1164" s="242">
        <f t="shared" si="473"/>
        <v>46204</v>
      </c>
      <c r="C1164" s="243">
        <f t="shared" si="456"/>
        <v>46234</v>
      </c>
      <c r="D1164" s="120">
        <f t="shared" si="457"/>
        <v>31</v>
      </c>
      <c r="E1164" s="120">
        <f t="shared" si="458"/>
        <v>7</v>
      </c>
      <c r="F1164" s="275">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0.98665207877461703</v>
      </c>
      <c r="P1164" s="121">
        <f t="shared" si="469"/>
        <v>0.45833333333333331</v>
      </c>
      <c r="Q1164" s="121">
        <f t="shared" si="470"/>
        <v>0.54166666666666674</v>
      </c>
      <c r="R1164" s="121">
        <f t="shared" si="471"/>
        <v>0</v>
      </c>
      <c r="AE1164" s="160">
        <f t="shared" si="472"/>
        <v>0.98665207877461703</v>
      </c>
    </row>
    <row r="1165" spans="1:31" x14ac:dyDescent="0.3">
      <c r="A1165" s="187">
        <v>20</v>
      </c>
      <c r="B1165" s="242">
        <f t="shared" si="473"/>
        <v>46235</v>
      </c>
      <c r="C1165" s="243">
        <f t="shared" si="456"/>
        <v>46265</v>
      </c>
      <c r="D1165" s="120">
        <f t="shared" si="457"/>
        <v>31</v>
      </c>
      <c r="E1165" s="120">
        <f t="shared" si="458"/>
        <v>8</v>
      </c>
      <c r="F1165" s="275">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0.9880087527352297</v>
      </c>
      <c r="P1165" s="121">
        <f t="shared" si="469"/>
        <v>0.375</v>
      </c>
      <c r="Q1165" s="121">
        <f t="shared" si="470"/>
        <v>0.625</v>
      </c>
      <c r="R1165" s="121">
        <f t="shared" si="471"/>
        <v>0</v>
      </c>
      <c r="AE1165" s="160">
        <f t="shared" si="472"/>
        <v>0.9880087527352297</v>
      </c>
    </row>
    <row r="1166" spans="1:31" x14ac:dyDescent="0.3">
      <c r="A1166" s="187">
        <v>21</v>
      </c>
      <c r="B1166" s="242">
        <f t="shared" si="473"/>
        <v>46266</v>
      </c>
      <c r="C1166" s="243">
        <f t="shared" si="456"/>
        <v>46295</v>
      </c>
      <c r="D1166" s="120">
        <f t="shared" si="457"/>
        <v>30</v>
      </c>
      <c r="E1166" s="120">
        <f t="shared" si="458"/>
        <v>9</v>
      </c>
      <c r="F1166" s="275">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0.98934354485776799</v>
      </c>
      <c r="P1166" s="121">
        <f t="shared" si="469"/>
        <v>0.29166666666666669</v>
      </c>
      <c r="Q1166" s="121">
        <f t="shared" si="470"/>
        <v>0.70833333333333326</v>
      </c>
      <c r="R1166" s="121">
        <f t="shared" si="471"/>
        <v>0</v>
      </c>
      <c r="AE1166" s="160">
        <f t="shared" si="472"/>
        <v>0.98934354485776799</v>
      </c>
    </row>
    <row r="1167" spans="1:31" x14ac:dyDescent="0.3">
      <c r="A1167" s="187">
        <v>22</v>
      </c>
      <c r="B1167" s="242">
        <f t="shared" si="473"/>
        <v>46296</v>
      </c>
      <c r="C1167" s="243">
        <f t="shared" si="456"/>
        <v>46326</v>
      </c>
      <c r="D1167" s="120">
        <f t="shared" si="457"/>
        <v>31</v>
      </c>
      <c r="E1167" s="120">
        <f t="shared" si="458"/>
        <v>10</v>
      </c>
      <c r="F1167" s="275">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0.99067833698030638</v>
      </c>
      <c r="P1167" s="121">
        <f t="shared" si="469"/>
        <v>0.20833333333333334</v>
      </c>
      <c r="Q1167" s="121">
        <f t="shared" si="470"/>
        <v>0.79166666666666663</v>
      </c>
      <c r="R1167" s="121">
        <f t="shared" si="471"/>
        <v>0</v>
      </c>
      <c r="AE1167" s="160">
        <f t="shared" si="472"/>
        <v>0.99067833698030638</v>
      </c>
    </row>
    <row r="1168" spans="1:31" x14ac:dyDescent="0.3">
      <c r="A1168" s="187">
        <v>23</v>
      </c>
      <c r="B1168" s="242">
        <f t="shared" si="473"/>
        <v>46327</v>
      </c>
      <c r="C1168" s="243">
        <f t="shared" si="456"/>
        <v>46356</v>
      </c>
      <c r="D1168" s="120">
        <f t="shared" si="457"/>
        <v>30</v>
      </c>
      <c r="E1168" s="120">
        <f t="shared" si="458"/>
        <v>11</v>
      </c>
      <c r="F1168" s="275">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0.99201312910284467</v>
      </c>
      <c r="P1168" s="121">
        <f t="shared" si="469"/>
        <v>0.125</v>
      </c>
      <c r="Q1168" s="121">
        <f t="shared" si="470"/>
        <v>0.875</v>
      </c>
      <c r="R1168" s="121">
        <f t="shared" si="471"/>
        <v>0</v>
      </c>
      <c r="AE1168" s="160">
        <f t="shared" si="472"/>
        <v>1.041613785557987</v>
      </c>
    </row>
    <row r="1169" spans="1:35" x14ac:dyDescent="0.3">
      <c r="A1169" s="187">
        <v>24</v>
      </c>
      <c r="B1169" s="242">
        <f t="shared" si="473"/>
        <v>46357</v>
      </c>
      <c r="C1169" s="243">
        <f t="shared" si="456"/>
        <v>46387</v>
      </c>
      <c r="D1169" s="120">
        <f t="shared" si="457"/>
        <v>31</v>
      </c>
      <c r="E1169" s="120">
        <f t="shared" si="458"/>
        <v>12</v>
      </c>
      <c r="F1169" s="275">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0.99334792122538296</v>
      </c>
      <c r="P1169" s="121">
        <f t="shared" si="469"/>
        <v>4.1666666666666664E-2</v>
      </c>
      <c r="Q1169" s="121">
        <f t="shared" si="470"/>
        <v>0.95833333333333337</v>
      </c>
      <c r="R1169" s="121">
        <f t="shared" si="471"/>
        <v>0</v>
      </c>
      <c r="AE1169" s="160">
        <f t="shared" si="472"/>
        <v>1.0430153172866521</v>
      </c>
    </row>
    <row r="1170" spans="1:35" x14ac:dyDescent="0.3">
      <c r="A1170" s="187">
        <v>25</v>
      </c>
      <c r="B1170" s="242">
        <f t="shared" si="473"/>
        <v>46388</v>
      </c>
      <c r="C1170" s="243">
        <f t="shared" si="456"/>
        <v>46418</v>
      </c>
      <c r="D1170" s="120">
        <f t="shared" si="457"/>
        <v>31</v>
      </c>
      <c r="E1170" s="120">
        <f t="shared" si="458"/>
        <v>1</v>
      </c>
      <c r="F1170" s="275">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0.99470459518599563</v>
      </c>
      <c r="P1170" s="121">
        <f t="shared" si="469"/>
        <v>0</v>
      </c>
      <c r="Q1170" s="121">
        <f t="shared" si="470"/>
        <v>0.95833333333333337</v>
      </c>
      <c r="R1170" s="121">
        <f t="shared" si="471"/>
        <v>4.166666666666663E-2</v>
      </c>
      <c r="W1170" s="160">
        <f t="shared" ref="W1170:W1181" si="474">IF($G1170&lt;&gt;$Q$1143,$N1170,(1-$U$1143)*$I1170+$U$1143*$J1170)</f>
        <v>1.05</v>
      </c>
      <c r="X1170" s="160">
        <f t="shared" ref="X1170:X1181" si="475">IF($G1170&lt;$Q$1143,0,IF($G1170&gt;$Q$1143,$N1170,$U$1143*$J1170))</f>
        <v>0</v>
      </c>
      <c r="Y1170" s="160">
        <f t="shared" ref="Y1170:Y1181" si="476">IF($F$1143=1,$O1170/$O1158,1)</f>
        <v>1.0163208728313362</v>
      </c>
      <c r="AB1170" s="160">
        <f t="shared" ref="AB1170:AB1181" si="477">IF(AND(N($K$1143)&lt;&gt;0,$F1170&lt;=$B$1144),0,($F1170-$B$1144)/($C$1144-$B$1144))</f>
        <v>0.23522975929978118</v>
      </c>
      <c r="AC1170" s="220">
        <f t="shared" ref="AC1170:AC1181" si="478">IF(AND(N($K$1143)&lt;&gt;0,$F1170&lt;=$B$1144),$O1170,$F$1144*(1-$AB1170))</f>
        <v>0.75712253829321663</v>
      </c>
      <c r="AD1170" s="160">
        <f t="shared" ref="AD1170:AD1181" si="479">$H1170*($W1170+$X1170*IF(ISNUMBER($F$1194),$F$1194,0))/($N1158*$O1158)</f>
        <v>1.0728179216598106</v>
      </c>
      <c r="AE1170" s="160">
        <f t="shared" si="472"/>
        <v>1.0444398249452955</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5">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0.99599562363238514</v>
      </c>
      <c r="P1171" s="121">
        <f t="shared" si="469"/>
        <v>0</v>
      </c>
      <c r="Q1171" s="121">
        <f t="shared" si="470"/>
        <v>0.875</v>
      </c>
      <c r="R1171" s="121">
        <f t="shared" si="471"/>
        <v>0.125</v>
      </c>
      <c r="W1171" s="160">
        <f t="shared" si="474"/>
        <v>1.05</v>
      </c>
      <c r="X1171" s="160">
        <f t="shared" si="475"/>
        <v>0</v>
      </c>
      <c r="Y1171" s="160">
        <f t="shared" si="476"/>
        <v>1.0162993725857949</v>
      </c>
      <c r="AB1171" s="160">
        <f t="shared" si="477"/>
        <v>0.29978118161925604</v>
      </c>
      <c r="AC1171" s="220">
        <f t="shared" si="478"/>
        <v>0.69321663019693647</v>
      </c>
      <c r="AD1171" s="160">
        <f t="shared" si="479"/>
        <v>1.0714046486703732</v>
      </c>
      <c r="AE1171" s="160">
        <f t="shared" si="472"/>
        <v>1.0457954048140043</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5">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0.99728665207877465</v>
      </c>
      <c r="P1172" s="121">
        <f t="shared" si="469"/>
        <v>0</v>
      </c>
      <c r="Q1172" s="121">
        <f t="shared" si="470"/>
        <v>0.79166666666666663</v>
      </c>
      <c r="R1172" s="121">
        <f t="shared" si="471"/>
        <v>0.20833333333333337</v>
      </c>
      <c r="W1172" s="160">
        <f t="shared" si="474"/>
        <v>1.05</v>
      </c>
      <c r="X1172" s="160">
        <f t="shared" si="475"/>
        <v>0</v>
      </c>
      <c r="Y1172" s="160">
        <f t="shared" si="476"/>
        <v>1.0162779289122776</v>
      </c>
      <c r="AB1172" s="160">
        <f t="shared" si="477"/>
        <v>0.36433260393873085</v>
      </c>
      <c r="AC1172" s="220">
        <f t="shared" si="478"/>
        <v>0.62931072210065642</v>
      </c>
      <c r="AD1172" s="160">
        <f t="shared" si="479"/>
        <v>1.0699950943227936</v>
      </c>
      <c r="AE1172" s="160">
        <f t="shared" si="472"/>
        <v>1.0471509846827134</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5">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0.99862144420131294</v>
      </c>
      <c r="P1173" s="121">
        <f t="shared" si="469"/>
        <v>0</v>
      </c>
      <c r="Q1173" s="121">
        <f t="shared" si="470"/>
        <v>0.70833333333333337</v>
      </c>
      <c r="R1173" s="121">
        <f t="shared" si="471"/>
        <v>0.29166666666666663</v>
      </c>
      <c r="W1173" s="160">
        <f t="shared" si="474"/>
        <v>1.05</v>
      </c>
      <c r="X1173" s="160">
        <f t="shared" si="475"/>
        <v>1.05</v>
      </c>
      <c r="Y1173" s="160">
        <f t="shared" si="476"/>
        <v>1.0162558175785512</v>
      </c>
      <c r="AB1173" s="160">
        <f t="shared" si="477"/>
        <v>0.4310722100656455</v>
      </c>
      <c r="AC1173" s="220">
        <f t="shared" si="478"/>
        <v>0.56323851203501096</v>
      </c>
      <c r="AD1173" s="160">
        <f t="shared" si="479"/>
        <v>1.0685416527490148</v>
      </c>
      <c r="AE1173" s="160">
        <f t="shared" si="472"/>
        <v>1.0485525164113787</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5">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0.99995623632385122</v>
      </c>
      <c r="P1174" s="121">
        <f t="shared" si="469"/>
        <v>0</v>
      </c>
      <c r="Q1174" s="121">
        <f t="shared" si="470"/>
        <v>0.625</v>
      </c>
      <c r="R1174" s="121">
        <f t="shared" si="471"/>
        <v>0.375</v>
      </c>
      <c r="W1174" s="160">
        <f t="shared" si="474"/>
        <v>1.05</v>
      </c>
      <c r="X1174" s="160">
        <f t="shared" si="475"/>
        <v>1.05</v>
      </c>
      <c r="Y1174" s="160">
        <f t="shared" si="476"/>
        <v>1.0162337662337664</v>
      </c>
      <c r="AB1174" s="160">
        <f t="shared" si="477"/>
        <v>0.49781181619256015</v>
      </c>
      <c r="AC1174" s="220">
        <f t="shared" si="478"/>
        <v>0.4971663019693654</v>
      </c>
      <c r="AD1174" s="160">
        <f t="shared" si="479"/>
        <v>1.0670921544209215</v>
      </c>
      <c r="AE1174" s="160">
        <f t="shared" si="472"/>
        <v>1.0499540481400438</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5">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1.0012910284463894</v>
      </c>
      <c r="P1175" s="121">
        <f t="shared" si="469"/>
        <v>0</v>
      </c>
      <c r="Q1175" s="121">
        <f t="shared" si="470"/>
        <v>0.54166666666666663</v>
      </c>
      <c r="R1175" s="121">
        <f t="shared" si="471"/>
        <v>0.45833333333333337</v>
      </c>
      <c r="W1175" s="160">
        <f t="shared" si="474"/>
        <v>1.05</v>
      </c>
      <c r="X1175" s="160">
        <f t="shared" si="475"/>
        <v>1.05</v>
      </c>
      <c r="Y1175" s="160">
        <f t="shared" si="476"/>
        <v>1.0162117746341246</v>
      </c>
      <c r="AB1175" s="160">
        <f t="shared" si="477"/>
        <v>0.56455142231947486</v>
      </c>
      <c r="AC1175" s="220">
        <f t="shared" si="478"/>
        <v>0.43109409190371989</v>
      </c>
      <c r="AD1175" s="160">
        <f t="shared" si="479"/>
        <v>1.0656465833129762</v>
      </c>
      <c r="AE1175" s="160">
        <f t="shared" si="472"/>
        <v>1.0513555798687089</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5">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1.0026258205689278</v>
      </c>
      <c r="P1176" s="121">
        <f t="shared" si="469"/>
        <v>0</v>
      </c>
      <c r="Q1176" s="121">
        <f t="shared" si="470"/>
        <v>0.45833333333333331</v>
      </c>
      <c r="R1176" s="121">
        <f t="shared" si="471"/>
        <v>0.54166666666666674</v>
      </c>
      <c r="W1176" s="160">
        <f t="shared" si="474"/>
        <v>1.05</v>
      </c>
      <c r="X1176" s="160">
        <f t="shared" si="475"/>
        <v>1.05</v>
      </c>
      <c r="Y1176" s="160">
        <f t="shared" si="476"/>
        <v>1.0161898425371481</v>
      </c>
      <c r="AB1176" s="160">
        <f t="shared" si="477"/>
        <v>0.63129102844638951</v>
      </c>
      <c r="AC1176" s="220">
        <f t="shared" si="478"/>
        <v>0.36502188183807438</v>
      </c>
      <c r="AD1176" s="160">
        <f t="shared" si="479"/>
        <v>1.0642049234863606</v>
      </c>
      <c r="AE1176" s="160">
        <f t="shared" si="472"/>
        <v>1.0527571115973742</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5">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1.0039824945295406</v>
      </c>
      <c r="P1177" s="121">
        <f t="shared" si="469"/>
        <v>0</v>
      </c>
      <c r="Q1177" s="121">
        <f t="shared" si="470"/>
        <v>0.375</v>
      </c>
      <c r="R1177" s="121">
        <f t="shared" si="471"/>
        <v>0.625</v>
      </c>
      <c r="W1177" s="160">
        <f t="shared" si="474"/>
        <v>1.05</v>
      </c>
      <c r="X1177" s="160">
        <f t="shared" si="475"/>
        <v>1.05</v>
      </c>
      <c r="Y1177" s="160">
        <f t="shared" si="476"/>
        <v>1.0161676116229625</v>
      </c>
      <c r="AB1177" s="160">
        <f t="shared" si="477"/>
        <v>0.69912472647702406</v>
      </c>
      <c r="AC1177" s="220">
        <f t="shared" si="478"/>
        <v>0.29786652078774617</v>
      </c>
      <c r="AD1177" s="160">
        <f t="shared" si="479"/>
        <v>1.0627436215450037</v>
      </c>
      <c r="AE1177" s="160">
        <f t="shared" si="472"/>
        <v>1.0541816192560176</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5">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1.0053172866520788</v>
      </c>
      <c r="P1178" s="121">
        <f t="shared" si="469"/>
        <v>0</v>
      </c>
      <c r="Q1178" s="121">
        <f t="shared" si="470"/>
        <v>0.29166666666666669</v>
      </c>
      <c r="R1178" s="121">
        <f t="shared" si="471"/>
        <v>0.70833333333333326</v>
      </c>
      <c r="W1178" s="160">
        <f t="shared" si="474"/>
        <v>1.05</v>
      </c>
      <c r="X1178" s="160">
        <f t="shared" si="475"/>
        <v>1.05</v>
      </c>
      <c r="Y1178" s="160">
        <f t="shared" si="476"/>
        <v>1.0161457987746887</v>
      </c>
      <c r="AB1178" s="160">
        <f t="shared" si="477"/>
        <v>0.76586433260393871</v>
      </c>
      <c r="AC1178" s="220">
        <f t="shared" si="478"/>
        <v>0.23179431072210066</v>
      </c>
      <c r="AD1178" s="160">
        <f t="shared" si="479"/>
        <v>1.0613098002786809</v>
      </c>
      <c r="AE1178" s="160">
        <f t="shared" si="472"/>
        <v>1.0555831509846827</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5">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1.0066520787746172</v>
      </c>
      <c r="P1179" s="121">
        <f t="shared" si="469"/>
        <v>0</v>
      </c>
      <c r="Q1179" s="121">
        <f t="shared" si="470"/>
        <v>0.20833333333333334</v>
      </c>
      <c r="R1179" s="121">
        <f t="shared" si="471"/>
        <v>0.79166666666666663</v>
      </c>
      <c r="W1179" s="160">
        <f t="shared" si="474"/>
        <v>1.05</v>
      </c>
      <c r="X1179" s="160">
        <f t="shared" si="475"/>
        <v>1.05</v>
      </c>
      <c r="Y1179" s="160">
        <f t="shared" si="476"/>
        <v>1.0161240447055706</v>
      </c>
      <c r="AB1179" s="160">
        <f t="shared" si="477"/>
        <v>0.83260393873085337</v>
      </c>
      <c r="AC1179" s="220">
        <f t="shared" si="478"/>
        <v>0.16572210065645518</v>
      </c>
      <c r="AD1179" s="160">
        <f t="shared" si="479"/>
        <v>1.0598798427353449</v>
      </c>
      <c r="AE1179" s="160">
        <f t="shared" si="472"/>
        <v>1.056984682713348</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5">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1.0079868708971553</v>
      </c>
      <c r="P1180" s="121">
        <f t="shared" si="469"/>
        <v>0</v>
      </c>
      <c r="Q1180" s="121">
        <f t="shared" si="470"/>
        <v>0.125</v>
      </c>
      <c r="R1180" s="121">
        <f t="shared" si="471"/>
        <v>0.875</v>
      </c>
      <c r="W1180" s="160">
        <f t="shared" si="474"/>
        <v>1.05</v>
      </c>
      <c r="X1180" s="160">
        <f t="shared" si="475"/>
        <v>1.05</v>
      </c>
      <c r="Y1180" s="160">
        <f t="shared" si="476"/>
        <v>1.016102349178339</v>
      </c>
      <c r="AB1180" s="160">
        <f t="shared" si="477"/>
        <v>0.89934354485776802</v>
      </c>
      <c r="AC1180" s="220">
        <f t="shared" si="478"/>
        <v>9.9649890590809656E-2</v>
      </c>
      <c r="AD1180" s="160">
        <f t="shared" si="479"/>
        <v>1.0080511745891694</v>
      </c>
      <c r="AE1180" s="160">
        <f t="shared" si="472"/>
        <v>1.0583862144420131</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5">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1.0093216630196937</v>
      </c>
      <c r="P1181" s="121">
        <f t="shared" si="469"/>
        <v>0</v>
      </c>
      <c r="Q1181" s="121">
        <f t="shared" si="470"/>
        <v>4.1666666666666664E-2</v>
      </c>
      <c r="R1181" s="121">
        <f t="shared" si="471"/>
        <v>0.95833333333333337</v>
      </c>
      <c r="W1181" s="160">
        <f t="shared" si="474"/>
        <v>1.05</v>
      </c>
      <c r="X1181" s="160">
        <f t="shared" si="475"/>
        <v>1.05</v>
      </c>
      <c r="Y1181" s="160">
        <f t="shared" si="476"/>
        <v>1.0160807119570006</v>
      </c>
      <c r="AB1181" s="160">
        <f t="shared" si="477"/>
        <v>0.96608315098468267</v>
      </c>
      <c r="AC1181" s="220">
        <f t="shared" si="478"/>
        <v>3.3577680525164154E-2</v>
      </c>
      <c r="AD1181" s="160">
        <f t="shared" si="479"/>
        <v>1.0066966252533263</v>
      </c>
      <c r="AE1181" s="160">
        <f t="shared" si="472"/>
        <v>1.0597877461706784</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5">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1.01</v>
      </c>
      <c r="P1182" s="121">
        <f t="shared" si="469"/>
        <v>0</v>
      </c>
      <c r="Q1182" s="121">
        <f t="shared" si="470"/>
        <v>0</v>
      </c>
      <c r="R1182" s="121">
        <f t="shared" si="471"/>
        <v>0.95833333333333337</v>
      </c>
      <c r="AE1182" s="160">
        <f t="shared" si="472"/>
        <v>1.0605</v>
      </c>
    </row>
    <row r="1183" spans="1:35" x14ac:dyDescent="0.3">
      <c r="A1183" s="187">
        <v>38</v>
      </c>
      <c r="B1183" s="242">
        <f t="shared" si="473"/>
        <v>46784</v>
      </c>
      <c r="C1183" s="243">
        <f t="shared" si="456"/>
        <v>46812</v>
      </c>
      <c r="D1183" s="120">
        <f t="shared" si="457"/>
        <v>29</v>
      </c>
      <c r="E1183" s="120">
        <f t="shared" si="458"/>
        <v>2</v>
      </c>
      <c r="F1183" s="275">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1.01</v>
      </c>
      <c r="P1183" s="121">
        <f t="shared" si="469"/>
        <v>0</v>
      </c>
      <c r="Q1183" s="121">
        <f t="shared" si="470"/>
        <v>0</v>
      </c>
      <c r="R1183" s="121">
        <f t="shared" si="471"/>
        <v>0.875</v>
      </c>
      <c r="AE1183" s="160">
        <f t="shared" si="472"/>
        <v>1.0605</v>
      </c>
    </row>
    <row r="1184" spans="1:35" x14ac:dyDescent="0.3">
      <c r="A1184" s="187">
        <v>39</v>
      </c>
      <c r="B1184" s="242">
        <f t="shared" si="473"/>
        <v>46813</v>
      </c>
      <c r="C1184" s="243">
        <f t="shared" si="456"/>
        <v>46843</v>
      </c>
      <c r="D1184" s="120">
        <f t="shared" si="457"/>
        <v>31</v>
      </c>
      <c r="E1184" s="120">
        <f t="shared" si="458"/>
        <v>3</v>
      </c>
      <c r="F1184" s="275">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1.01</v>
      </c>
      <c r="P1184" s="121">
        <f t="shared" si="469"/>
        <v>0</v>
      </c>
      <c r="Q1184" s="121">
        <f t="shared" si="470"/>
        <v>0</v>
      </c>
      <c r="R1184" s="121">
        <f t="shared" si="471"/>
        <v>0.79166666666666663</v>
      </c>
      <c r="AE1184" s="160">
        <f t="shared" si="472"/>
        <v>1.0605</v>
      </c>
    </row>
    <row r="1185" spans="1:31" x14ac:dyDescent="0.3">
      <c r="A1185" s="187">
        <v>40</v>
      </c>
      <c r="B1185" s="242">
        <f t="shared" si="473"/>
        <v>46844</v>
      </c>
      <c r="C1185" s="243">
        <f t="shared" si="456"/>
        <v>46873</v>
      </c>
      <c r="D1185" s="120">
        <f t="shared" si="457"/>
        <v>30</v>
      </c>
      <c r="E1185" s="120">
        <f t="shared" si="458"/>
        <v>4</v>
      </c>
      <c r="F1185" s="275">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1.01</v>
      </c>
      <c r="P1185" s="121">
        <f t="shared" si="469"/>
        <v>0</v>
      </c>
      <c r="Q1185" s="121">
        <f t="shared" si="470"/>
        <v>0</v>
      </c>
      <c r="R1185" s="121">
        <f t="shared" si="471"/>
        <v>0.70833333333333337</v>
      </c>
      <c r="AE1185" s="160">
        <f t="shared" si="472"/>
        <v>1.0605</v>
      </c>
    </row>
    <row r="1186" spans="1:31" x14ac:dyDescent="0.3">
      <c r="A1186" s="187">
        <v>41</v>
      </c>
      <c r="B1186" s="242">
        <f t="shared" si="473"/>
        <v>46874</v>
      </c>
      <c r="C1186" s="243">
        <f t="shared" si="456"/>
        <v>46904</v>
      </c>
      <c r="D1186" s="120">
        <f t="shared" si="457"/>
        <v>31</v>
      </c>
      <c r="E1186" s="120">
        <f t="shared" si="458"/>
        <v>5</v>
      </c>
      <c r="F1186" s="275">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1.01</v>
      </c>
      <c r="P1186" s="121">
        <f t="shared" si="469"/>
        <v>0</v>
      </c>
      <c r="Q1186" s="121">
        <f t="shared" si="470"/>
        <v>0</v>
      </c>
      <c r="R1186" s="121">
        <f t="shared" si="471"/>
        <v>0.625</v>
      </c>
      <c r="AE1186" s="160">
        <f t="shared" si="472"/>
        <v>1.0605</v>
      </c>
    </row>
    <row r="1187" spans="1:31" x14ac:dyDescent="0.3">
      <c r="A1187" s="187">
        <v>42</v>
      </c>
      <c r="B1187" s="242">
        <f t="shared" si="473"/>
        <v>46905</v>
      </c>
      <c r="C1187" s="243">
        <f t="shared" si="456"/>
        <v>46934</v>
      </c>
      <c r="D1187" s="120">
        <f t="shared" si="457"/>
        <v>30</v>
      </c>
      <c r="E1187" s="120">
        <f t="shared" si="458"/>
        <v>6</v>
      </c>
      <c r="F1187" s="275">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1.01</v>
      </c>
      <c r="P1187" s="121">
        <f t="shared" si="469"/>
        <v>0</v>
      </c>
      <c r="Q1187" s="121">
        <f t="shared" si="470"/>
        <v>0</v>
      </c>
      <c r="R1187" s="121">
        <f t="shared" si="471"/>
        <v>0.54166666666666663</v>
      </c>
      <c r="AE1187" s="160">
        <f t="shared" si="472"/>
        <v>1.0605</v>
      </c>
    </row>
    <row r="1188" spans="1:31" x14ac:dyDescent="0.3">
      <c r="A1188" s="187">
        <v>43</v>
      </c>
      <c r="B1188" s="242">
        <f t="shared" si="473"/>
        <v>46935</v>
      </c>
      <c r="C1188" s="243">
        <f t="shared" si="456"/>
        <v>46965</v>
      </c>
      <c r="D1188" s="120">
        <f t="shared" si="457"/>
        <v>31</v>
      </c>
      <c r="E1188" s="120">
        <f t="shared" si="458"/>
        <v>7</v>
      </c>
      <c r="F1188" s="275">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1.01</v>
      </c>
      <c r="P1188" s="121">
        <f t="shared" si="469"/>
        <v>0</v>
      </c>
      <c r="Q1188" s="121">
        <f t="shared" si="470"/>
        <v>0</v>
      </c>
      <c r="R1188" s="121">
        <f t="shared" si="471"/>
        <v>0.45833333333333331</v>
      </c>
      <c r="AE1188" s="160">
        <f t="shared" si="472"/>
        <v>1.0605</v>
      </c>
    </row>
    <row r="1189" spans="1:31" x14ac:dyDescent="0.3">
      <c r="A1189" s="187">
        <v>44</v>
      </c>
      <c r="B1189" s="242">
        <f t="shared" si="473"/>
        <v>46966</v>
      </c>
      <c r="C1189" s="243">
        <f t="shared" si="456"/>
        <v>46996</v>
      </c>
      <c r="D1189" s="120">
        <f t="shared" si="457"/>
        <v>31</v>
      </c>
      <c r="E1189" s="120">
        <f t="shared" si="458"/>
        <v>8</v>
      </c>
      <c r="F1189" s="275">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1.01</v>
      </c>
      <c r="P1189" s="121">
        <f t="shared" si="469"/>
        <v>0</v>
      </c>
      <c r="Q1189" s="121">
        <f t="shared" si="470"/>
        <v>0</v>
      </c>
      <c r="R1189" s="121">
        <f t="shared" si="471"/>
        <v>0.375</v>
      </c>
      <c r="AE1189" s="160">
        <f t="shared" si="472"/>
        <v>1.0605</v>
      </c>
    </row>
    <row r="1190" spans="1:31" x14ac:dyDescent="0.3">
      <c r="A1190" s="187">
        <v>45</v>
      </c>
      <c r="B1190" s="242">
        <f t="shared" si="473"/>
        <v>46997</v>
      </c>
      <c r="C1190" s="243">
        <f t="shared" si="456"/>
        <v>47026</v>
      </c>
      <c r="D1190" s="120">
        <f t="shared" si="457"/>
        <v>30</v>
      </c>
      <c r="E1190" s="120">
        <f t="shared" si="458"/>
        <v>9</v>
      </c>
      <c r="F1190" s="275">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1.01</v>
      </c>
      <c r="P1190" s="121">
        <f t="shared" si="469"/>
        <v>0</v>
      </c>
      <c r="Q1190" s="121">
        <f t="shared" si="470"/>
        <v>0</v>
      </c>
      <c r="R1190" s="121">
        <f t="shared" si="471"/>
        <v>0.29166666666666669</v>
      </c>
      <c r="AE1190" s="160">
        <f t="shared" si="472"/>
        <v>1.0605</v>
      </c>
    </row>
    <row r="1191" spans="1:31" x14ac:dyDescent="0.3">
      <c r="A1191" s="187">
        <v>46</v>
      </c>
      <c r="B1191" s="242">
        <f t="shared" si="473"/>
        <v>47027</v>
      </c>
      <c r="C1191" s="243">
        <f t="shared" si="456"/>
        <v>47057</v>
      </c>
      <c r="D1191" s="120">
        <f t="shared" si="457"/>
        <v>31</v>
      </c>
      <c r="E1191" s="120">
        <f t="shared" si="458"/>
        <v>10</v>
      </c>
      <c r="F1191" s="275">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1.01</v>
      </c>
      <c r="P1191" s="121">
        <f t="shared" si="469"/>
        <v>0</v>
      </c>
      <c r="Q1191" s="121">
        <f t="shared" si="470"/>
        <v>0</v>
      </c>
      <c r="R1191" s="121">
        <f t="shared" si="471"/>
        <v>0.20833333333333334</v>
      </c>
      <c r="AE1191" s="160">
        <f t="shared" si="472"/>
        <v>1.0605</v>
      </c>
    </row>
    <row r="1192" spans="1:31" x14ac:dyDescent="0.3">
      <c r="A1192" s="187">
        <v>47</v>
      </c>
      <c r="B1192" s="242">
        <f t="shared" si="473"/>
        <v>47058</v>
      </c>
      <c r="C1192" s="243">
        <f t="shared" si="456"/>
        <v>47087</v>
      </c>
      <c r="D1192" s="120">
        <f t="shared" si="457"/>
        <v>30</v>
      </c>
      <c r="E1192" s="120">
        <f t="shared" si="458"/>
        <v>11</v>
      </c>
      <c r="F1192" s="275">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1.01</v>
      </c>
      <c r="P1192" s="121">
        <f t="shared" si="469"/>
        <v>0</v>
      </c>
      <c r="Q1192" s="121">
        <f t="shared" si="470"/>
        <v>0</v>
      </c>
      <c r="R1192" s="121">
        <f t="shared" si="471"/>
        <v>0.125</v>
      </c>
      <c r="AE1192" s="160">
        <f t="shared" si="472"/>
        <v>1.0605</v>
      </c>
    </row>
    <row r="1193" spans="1:31" x14ac:dyDescent="0.3">
      <c r="A1193" s="187">
        <v>48</v>
      </c>
      <c r="B1193" s="242">
        <f t="shared" si="473"/>
        <v>47088</v>
      </c>
      <c r="C1193" s="243">
        <f t="shared" si="456"/>
        <v>47118</v>
      </c>
      <c r="D1193" s="120">
        <f t="shared" si="457"/>
        <v>31</v>
      </c>
      <c r="E1193" s="120">
        <f t="shared" si="458"/>
        <v>12</v>
      </c>
      <c r="F1193" s="275">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1.01</v>
      </c>
      <c r="P1193" s="121">
        <f t="shared" si="469"/>
        <v>0</v>
      </c>
      <c r="Q1193" s="121">
        <f t="shared" si="470"/>
        <v>0</v>
      </c>
      <c r="R1193" s="121">
        <f t="shared" si="471"/>
        <v>4.1666666666666664E-2</v>
      </c>
      <c r="AE1193" s="160">
        <f t="shared" si="472"/>
        <v>1.0605</v>
      </c>
    </row>
    <row r="1194" spans="1:31" x14ac:dyDescent="0.3">
      <c r="A1194" s="23" t="s">
        <v>1723</v>
      </c>
      <c r="B1194" s="279">
        <f>SUM($H$1170:$H$1181)</f>
        <v>12</v>
      </c>
      <c r="C1194" s="160">
        <f>SUMPRODUCT($H$1170:$H$1181,$W$1170:$W$1181/$N$1158:$N$1169,$Y$1170:$Y$1181)</f>
        <v>12.702521233072373</v>
      </c>
      <c r="D1194" s="160">
        <f>SUMPRODUCT($H$1170:$H$1181,$X$1170:$X$1181/$N$1158:$N$1169,$Y$1170:$Y$1181)</f>
        <v>9.501178150026492</v>
      </c>
      <c r="E1194" s="281" t="str">
        <f>IF(OR($D$1143=0,$P$1143=0,$D1194=0),"n/a",((1+$E$1143)*$B1194-$C1194)/$D1194)</f>
        <v>n/a</v>
      </c>
      <c r="F1194" s="281" t="str">
        <f>IF($V$1143&lt;&gt;"",$V$1143,$E1194)</f>
        <v>n/a</v>
      </c>
      <c r="G1194" s="281"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2">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1</v>
      </c>
      <c r="H1199" s="220">
        <f>IF($C1199=0,1,IF(N(INDEX(lr_m0,$C1199))=0,1,INDEX(lr_m0,$C1199)))</f>
        <v>0.99</v>
      </c>
      <c r="I1199" s="278">
        <f>IF($C1199=0,DATE(nr_PlanYear-1,10,1),IF(N(INDEX(lr_m0asof,$C1199))=0,DATE(nr_PlanYear-1,10,1),INDEX(lr_m0asof,$C1199)))</f>
        <v>46295</v>
      </c>
      <c r="J1199" s="220">
        <f>IF($C1199=0,1,IF(N(INDEX(lr_m1,$C1199))=0,1,INDEX(lr_m1,$C1199)))</f>
        <v>0.99</v>
      </c>
      <c r="K1199" s="220">
        <f>IF($C1199=0,0,N(INDEX(lr_mprior,$C1199)))</f>
        <v>0</v>
      </c>
      <c r="L1199" s="220">
        <f>IF($C1199=0,0,N(INDEX(lr_m2,$C1199)))</f>
        <v>0</v>
      </c>
      <c r="M1199" s="43">
        <f>IF(OR($A1199="",COUNTIF(se_state,$A1199)=0),0,MATCH($A1199,se_state,0))</f>
        <v>0</v>
      </c>
      <c r="N1199" s="279">
        <f>IF($M1199=0,0,INDEX(se_sum,$M1199))</f>
        <v>0</v>
      </c>
      <c r="O1199" s="278">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80" t="str">
        <f>IF(ISBLANK('Net Delivery'!$E$26),$Y1199,'Net Delivery'!$E$26)</f>
        <v/>
      </c>
      <c r="W1199" s="43">
        <f>IF($B1199="",0,COUNTIFS(rl_key,$B1199,rl_status,"planned",rl_eff,"&gt;="&amp;DATE(nr_PlanYear,1,1),rl_eff,"&lt;="&amp;DATE(nr_PlanYear,12,31)))</f>
        <v>0</v>
      </c>
      <c r="X1199" s="278">
        <f>IF($W1199=0,nd_DefaultDate,SUMIFS(rl_eff,rl_key,$B1199,rl_firstplanned,1))</f>
        <v>46478</v>
      </c>
      <c r="Y1199" s="280" t="str">
        <f>IF($W1199=0,"",SUMIFS(rl_reff,rl_key,$B1199,rl_firstplanned,1))</f>
        <v/>
      </c>
      <c r="Z1199" s="280"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5">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0.99</v>
      </c>
      <c r="P1202" s="121">
        <f t="shared" ref="P1202:P1249" si="497">MIN(1,MAX(0,(nr_MEndPm1-$G1202+0.5)/nr_TermMonths))-MIN(1,MAX(0,(nr_MStartPm1-1-$G1202+0.5)/nr_TermMonths))</f>
        <v>4.166666666666663E-2</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0.99</v>
      </c>
    </row>
    <row r="1203" spans="1:31" x14ac:dyDescent="0.3">
      <c r="A1203" s="187">
        <v>2</v>
      </c>
      <c r="B1203" s="242">
        <f t="shared" ref="B1203:B1249" si="501">EDATE($B1202,1)</f>
        <v>45689</v>
      </c>
      <c r="C1203" s="243">
        <f t="shared" si="484"/>
        <v>45716</v>
      </c>
      <c r="D1203" s="120">
        <f t="shared" si="485"/>
        <v>28</v>
      </c>
      <c r="E1203" s="120">
        <f t="shared" si="486"/>
        <v>2</v>
      </c>
      <c r="F1203" s="275">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0.99</v>
      </c>
      <c r="P1203" s="121">
        <f t="shared" si="497"/>
        <v>0.125</v>
      </c>
      <c r="Q1203" s="121">
        <f t="shared" si="498"/>
        <v>0</v>
      </c>
      <c r="R1203" s="121">
        <f t="shared" si="499"/>
        <v>0</v>
      </c>
      <c r="AE1203" s="160">
        <f t="shared" si="500"/>
        <v>0.99</v>
      </c>
    </row>
    <row r="1204" spans="1:31" x14ac:dyDescent="0.3">
      <c r="A1204" s="187">
        <v>3</v>
      </c>
      <c r="B1204" s="242">
        <f t="shared" si="501"/>
        <v>45717</v>
      </c>
      <c r="C1204" s="243">
        <f t="shared" si="484"/>
        <v>45747</v>
      </c>
      <c r="D1204" s="120">
        <f t="shared" si="485"/>
        <v>31</v>
      </c>
      <c r="E1204" s="120">
        <f t="shared" si="486"/>
        <v>3</v>
      </c>
      <c r="F1204" s="275">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0.99</v>
      </c>
      <c r="P1204" s="121">
        <f t="shared" si="497"/>
        <v>0.20833333333333337</v>
      </c>
      <c r="Q1204" s="121">
        <f t="shared" si="498"/>
        <v>0</v>
      </c>
      <c r="R1204" s="121">
        <f t="shared" si="499"/>
        <v>0</v>
      </c>
      <c r="AE1204" s="160">
        <f t="shared" si="500"/>
        <v>0.99</v>
      </c>
    </row>
    <row r="1205" spans="1:31" x14ac:dyDescent="0.3">
      <c r="A1205" s="187">
        <v>4</v>
      </c>
      <c r="B1205" s="242">
        <f t="shared" si="501"/>
        <v>45748</v>
      </c>
      <c r="C1205" s="243">
        <f t="shared" si="484"/>
        <v>45777</v>
      </c>
      <c r="D1205" s="120">
        <f t="shared" si="485"/>
        <v>30</v>
      </c>
      <c r="E1205" s="120">
        <f t="shared" si="486"/>
        <v>4</v>
      </c>
      <c r="F1205" s="275">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0.99</v>
      </c>
      <c r="P1205" s="121">
        <f t="shared" si="497"/>
        <v>0.29166666666666663</v>
      </c>
      <c r="Q1205" s="121">
        <f t="shared" si="498"/>
        <v>0</v>
      </c>
      <c r="R1205" s="121">
        <f t="shared" si="499"/>
        <v>0</v>
      </c>
      <c r="AE1205" s="160">
        <f t="shared" si="500"/>
        <v>0.99</v>
      </c>
    </row>
    <row r="1206" spans="1:31" x14ac:dyDescent="0.3">
      <c r="A1206" s="187">
        <v>5</v>
      </c>
      <c r="B1206" s="242">
        <f t="shared" si="501"/>
        <v>45778</v>
      </c>
      <c r="C1206" s="243">
        <f t="shared" si="484"/>
        <v>45808</v>
      </c>
      <c r="D1206" s="120">
        <f t="shared" si="485"/>
        <v>31</v>
      </c>
      <c r="E1206" s="120">
        <f t="shared" si="486"/>
        <v>5</v>
      </c>
      <c r="F1206" s="275">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0.99</v>
      </c>
      <c r="P1206" s="121">
        <f t="shared" si="497"/>
        <v>0.375</v>
      </c>
      <c r="Q1206" s="121">
        <f t="shared" si="498"/>
        <v>0</v>
      </c>
      <c r="R1206" s="121">
        <f t="shared" si="499"/>
        <v>0</v>
      </c>
      <c r="AE1206" s="160">
        <f t="shared" si="500"/>
        <v>0.99</v>
      </c>
    </row>
    <row r="1207" spans="1:31" x14ac:dyDescent="0.3">
      <c r="A1207" s="187">
        <v>6</v>
      </c>
      <c r="B1207" s="242">
        <f t="shared" si="501"/>
        <v>45809</v>
      </c>
      <c r="C1207" s="243">
        <f t="shared" si="484"/>
        <v>45838</v>
      </c>
      <c r="D1207" s="120">
        <f t="shared" si="485"/>
        <v>30</v>
      </c>
      <c r="E1207" s="120">
        <f t="shared" si="486"/>
        <v>6</v>
      </c>
      <c r="F1207" s="275">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0.99</v>
      </c>
      <c r="P1207" s="121">
        <f t="shared" si="497"/>
        <v>0.45833333333333337</v>
      </c>
      <c r="Q1207" s="121">
        <f t="shared" si="498"/>
        <v>0</v>
      </c>
      <c r="R1207" s="121">
        <f t="shared" si="499"/>
        <v>0</v>
      </c>
      <c r="AE1207" s="160">
        <f t="shared" si="500"/>
        <v>0.99</v>
      </c>
    </row>
    <row r="1208" spans="1:31" x14ac:dyDescent="0.3">
      <c r="A1208" s="187">
        <v>7</v>
      </c>
      <c r="B1208" s="242">
        <f t="shared" si="501"/>
        <v>45839</v>
      </c>
      <c r="C1208" s="243">
        <f t="shared" si="484"/>
        <v>45869</v>
      </c>
      <c r="D1208" s="120">
        <f t="shared" si="485"/>
        <v>31</v>
      </c>
      <c r="E1208" s="120">
        <f t="shared" si="486"/>
        <v>7</v>
      </c>
      <c r="F1208" s="275">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0.99</v>
      </c>
      <c r="P1208" s="121">
        <f t="shared" si="497"/>
        <v>0.54166666666666674</v>
      </c>
      <c r="Q1208" s="121">
        <f t="shared" si="498"/>
        <v>0</v>
      </c>
      <c r="R1208" s="121">
        <f t="shared" si="499"/>
        <v>0</v>
      </c>
      <c r="AE1208" s="160">
        <f t="shared" si="500"/>
        <v>0.99</v>
      </c>
    </row>
    <row r="1209" spans="1:31" x14ac:dyDescent="0.3">
      <c r="A1209" s="187">
        <v>8</v>
      </c>
      <c r="B1209" s="242">
        <f t="shared" si="501"/>
        <v>45870</v>
      </c>
      <c r="C1209" s="243">
        <f t="shared" si="484"/>
        <v>45900</v>
      </c>
      <c r="D1209" s="120">
        <f t="shared" si="485"/>
        <v>31</v>
      </c>
      <c r="E1209" s="120">
        <f t="shared" si="486"/>
        <v>8</v>
      </c>
      <c r="F1209" s="275">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0.99</v>
      </c>
      <c r="P1209" s="121">
        <f t="shared" si="497"/>
        <v>0.625</v>
      </c>
      <c r="Q1209" s="121">
        <f t="shared" si="498"/>
        <v>0</v>
      </c>
      <c r="R1209" s="121">
        <f t="shared" si="499"/>
        <v>0</v>
      </c>
      <c r="AE1209" s="160">
        <f t="shared" si="500"/>
        <v>0.99</v>
      </c>
    </row>
    <row r="1210" spans="1:31" x14ac:dyDescent="0.3">
      <c r="A1210" s="187">
        <v>9</v>
      </c>
      <c r="B1210" s="242">
        <f t="shared" si="501"/>
        <v>45901</v>
      </c>
      <c r="C1210" s="243">
        <f t="shared" si="484"/>
        <v>45930</v>
      </c>
      <c r="D1210" s="120">
        <f t="shared" si="485"/>
        <v>30</v>
      </c>
      <c r="E1210" s="120">
        <f t="shared" si="486"/>
        <v>9</v>
      </c>
      <c r="F1210" s="275">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0.99</v>
      </c>
      <c r="P1210" s="121">
        <f t="shared" si="497"/>
        <v>0.70833333333333326</v>
      </c>
      <c r="Q1210" s="121">
        <f t="shared" si="498"/>
        <v>0</v>
      </c>
      <c r="R1210" s="121">
        <f t="shared" si="499"/>
        <v>0</v>
      </c>
      <c r="AE1210" s="160">
        <f t="shared" si="500"/>
        <v>0.99</v>
      </c>
    </row>
    <row r="1211" spans="1:31" x14ac:dyDescent="0.3">
      <c r="A1211" s="187">
        <v>10</v>
      </c>
      <c r="B1211" s="242">
        <f t="shared" si="501"/>
        <v>45931</v>
      </c>
      <c r="C1211" s="243">
        <f t="shared" si="484"/>
        <v>45961</v>
      </c>
      <c r="D1211" s="120">
        <f t="shared" si="485"/>
        <v>31</v>
      </c>
      <c r="E1211" s="120">
        <f t="shared" si="486"/>
        <v>10</v>
      </c>
      <c r="F1211" s="275">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0.99</v>
      </c>
      <c r="P1211" s="121">
        <f t="shared" si="497"/>
        <v>0.79166666666666663</v>
      </c>
      <c r="Q1211" s="121">
        <f t="shared" si="498"/>
        <v>0</v>
      </c>
      <c r="R1211" s="121">
        <f t="shared" si="499"/>
        <v>0</v>
      </c>
      <c r="AE1211" s="160">
        <f t="shared" si="500"/>
        <v>0.99</v>
      </c>
    </row>
    <row r="1212" spans="1:31" x14ac:dyDescent="0.3">
      <c r="A1212" s="187">
        <v>11</v>
      </c>
      <c r="B1212" s="242">
        <f t="shared" si="501"/>
        <v>45962</v>
      </c>
      <c r="C1212" s="243">
        <f t="shared" si="484"/>
        <v>45991</v>
      </c>
      <c r="D1212" s="120">
        <f t="shared" si="485"/>
        <v>30</v>
      </c>
      <c r="E1212" s="120">
        <f t="shared" si="486"/>
        <v>11</v>
      </c>
      <c r="F1212" s="275">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0.99</v>
      </c>
      <c r="P1212" s="121">
        <f t="shared" si="497"/>
        <v>0.875</v>
      </c>
      <c r="Q1212" s="121">
        <f t="shared" si="498"/>
        <v>0</v>
      </c>
      <c r="R1212" s="121">
        <f t="shared" si="499"/>
        <v>0</v>
      </c>
      <c r="AE1212" s="160">
        <f t="shared" si="500"/>
        <v>0.99</v>
      </c>
    </row>
    <row r="1213" spans="1:31" x14ac:dyDescent="0.3">
      <c r="A1213" s="187">
        <v>12</v>
      </c>
      <c r="B1213" s="242">
        <f t="shared" si="501"/>
        <v>45992</v>
      </c>
      <c r="C1213" s="243">
        <f t="shared" si="484"/>
        <v>46022</v>
      </c>
      <c r="D1213" s="120">
        <f t="shared" si="485"/>
        <v>31</v>
      </c>
      <c r="E1213" s="120">
        <f t="shared" si="486"/>
        <v>12</v>
      </c>
      <c r="F1213" s="275">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0.99</v>
      </c>
      <c r="P1213" s="121">
        <f t="shared" si="497"/>
        <v>0.95833333333333337</v>
      </c>
      <c r="Q1213" s="121">
        <f t="shared" si="498"/>
        <v>0</v>
      </c>
      <c r="R1213" s="121">
        <f t="shared" si="499"/>
        <v>0</v>
      </c>
      <c r="AE1213" s="160">
        <f t="shared" si="500"/>
        <v>0.99</v>
      </c>
    </row>
    <row r="1214" spans="1:31" x14ac:dyDescent="0.3">
      <c r="A1214" s="187">
        <v>13</v>
      </c>
      <c r="B1214" s="242">
        <f t="shared" si="501"/>
        <v>46023</v>
      </c>
      <c r="C1214" s="243">
        <f t="shared" si="484"/>
        <v>46053</v>
      </c>
      <c r="D1214" s="120">
        <f t="shared" si="485"/>
        <v>31</v>
      </c>
      <c r="E1214" s="120">
        <f t="shared" si="486"/>
        <v>1</v>
      </c>
      <c r="F1214" s="275">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0.99</v>
      </c>
      <c r="P1214" s="121">
        <f t="shared" si="497"/>
        <v>0.95833333333333337</v>
      </c>
      <c r="Q1214" s="121">
        <f t="shared" si="498"/>
        <v>4.166666666666663E-2</v>
      </c>
      <c r="R1214" s="121">
        <f t="shared" si="499"/>
        <v>0</v>
      </c>
      <c r="AE1214" s="160">
        <f t="shared" si="500"/>
        <v>0.99</v>
      </c>
    </row>
    <row r="1215" spans="1:31" x14ac:dyDescent="0.3">
      <c r="A1215" s="187">
        <v>14</v>
      </c>
      <c r="B1215" s="242">
        <f t="shared" si="501"/>
        <v>46054</v>
      </c>
      <c r="C1215" s="243">
        <f t="shared" si="484"/>
        <v>46081</v>
      </c>
      <c r="D1215" s="120">
        <f t="shared" si="485"/>
        <v>28</v>
      </c>
      <c r="E1215" s="120">
        <f t="shared" si="486"/>
        <v>2</v>
      </c>
      <c r="F1215" s="275">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0.99</v>
      </c>
      <c r="P1215" s="121">
        <f t="shared" si="497"/>
        <v>0.875</v>
      </c>
      <c r="Q1215" s="121">
        <f t="shared" si="498"/>
        <v>0.125</v>
      </c>
      <c r="R1215" s="121">
        <f t="shared" si="499"/>
        <v>0</v>
      </c>
      <c r="AE1215" s="160">
        <f t="shared" si="500"/>
        <v>0.99</v>
      </c>
    </row>
    <row r="1216" spans="1:31" x14ac:dyDescent="0.3">
      <c r="A1216" s="187">
        <v>15</v>
      </c>
      <c r="B1216" s="242">
        <f t="shared" si="501"/>
        <v>46082</v>
      </c>
      <c r="C1216" s="243">
        <f t="shared" si="484"/>
        <v>46112</v>
      </c>
      <c r="D1216" s="120">
        <f t="shared" si="485"/>
        <v>31</v>
      </c>
      <c r="E1216" s="120">
        <f t="shared" si="486"/>
        <v>3</v>
      </c>
      <c r="F1216" s="275">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0.99</v>
      </c>
      <c r="P1216" s="121">
        <f t="shared" si="497"/>
        <v>0.79166666666666663</v>
      </c>
      <c r="Q1216" s="121">
        <f t="shared" si="498"/>
        <v>0.20833333333333337</v>
      </c>
      <c r="R1216" s="121">
        <f t="shared" si="499"/>
        <v>0</v>
      </c>
      <c r="AE1216" s="160">
        <f t="shared" si="500"/>
        <v>0.99</v>
      </c>
    </row>
    <row r="1217" spans="1:35" x14ac:dyDescent="0.3">
      <c r="A1217" s="187">
        <v>16</v>
      </c>
      <c r="B1217" s="242">
        <f t="shared" si="501"/>
        <v>46113</v>
      </c>
      <c r="C1217" s="243">
        <f t="shared" si="484"/>
        <v>46142</v>
      </c>
      <c r="D1217" s="120">
        <f t="shared" si="485"/>
        <v>30</v>
      </c>
      <c r="E1217" s="120">
        <f t="shared" si="486"/>
        <v>4</v>
      </c>
      <c r="F1217" s="275">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0.99</v>
      </c>
      <c r="P1217" s="121">
        <f t="shared" si="497"/>
        <v>0.70833333333333337</v>
      </c>
      <c r="Q1217" s="121">
        <f t="shared" si="498"/>
        <v>0.29166666666666663</v>
      </c>
      <c r="R1217" s="121">
        <f t="shared" si="499"/>
        <v>0</v>
      </c>
      <c r="AE1217" s="160">
        <f t="shared" si="500"/>
        <v>0.99</v>
      </c>
    </row>
    <row r="1218" spans="1:35" x14ac:dyDescent="0.3">
      <c r="A1218" s="187">
        <v>17</v>
      </c>
      <c r="B1218" s="242">
        <f t="shared" si="501"/>
        <v>46143</v>
      </c>
      <c r="C1218" s="243">
        <f t="shared" si="484"/>
        <v>46173</v>
      </c>
      <c r="D1218" s="120">
        <f t="shared" si="485"/>
        <v>31</v>
      </c>
      <c r="E1218" s="120">
        <f t="shared" si="486"/>
        <v>5</v>
      </c>
      <c r="F1218" s="275">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0.99</v>
      </c>
      <c r="P1218" s="121">
        <f t="shared" si="497"/>
        <v>0.625</v>
      </c>
      <c r="Q1218" s="121">
        <f t="shared" si="498"/>
        <v>0.375</v>
      </c>
      <c r="R1218" s="121">
        <f t="shared" si="499"/>
        <v>0</v>
      </c>
      <c r="AE1218" s="160">
        <f t="shared" si="500"/>
        <v>0.99</v>
      </c>
    </row>
    <row r="1219" spans="1:35" x14ac:dyDescent="0.3">
      <c r="A1219" s="187">
        <v>18</v>
      </c>
      <c r="B1219" s="242">
        <f t="shared" si="501"/>
        <v>46174</v>
      </c>
      <c r="C1219" s="243">
        <f t="shared" si="484"/>
        <v>46203</v>
      </c>
      <c r="D1219" s="120">
        <f t="shared" si="485"/>
        <v>30</v>
      </c>
      <c r="E1219" s="120">
        <f t="shared" si="486"/>
        <v>6</v>
      </c>
      <c r="F1219" s="275">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0.99</v>
      </c>
      <c r="P1219" s="121">
        <f t="shared" si="497"/>
        <v>0.54166666666666663</v>
      </c>
      <c r="Q1219" s="121">
        <f t="shared" si="498"/>
        <v>0.45833333333333337</v>
      </c>
      <c r="R1219" s="121">
        <f t="shared" si="499"/>
        <v>0</v>
      </c>
      <c r="AE1219" s="160">
        <f t="shared" si="500"/>
        <v>0.99</v>
      </c>
    </row>
    <row r="1220" spans="1:35" x14ac:dyDescent="0.3">
      <c r="A1220" s="187">
        <v>19</v>
      </c>
      <c r="B1220" s="242">
        <f t="shared" si="501"/>
        <v>46204</v>
      </c>
      <c r="C1220" s="243">
        <f t="shared" si="484"/>
        <v>46234</v>
      </c>
      <c r="D1220" s="120">
        <f t="shared" si="485"/>
        <v>31</v>
      </c>
      <c r="E1220" s="120">
        <f t="shared" si="486"/>
        <v>7</v>
      </c>
      <c r="F1220" s="275">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0.99</v>
      </c>
      <c r="P1220" s="121">
        <f t="shared" si="497"/>
        <v>0.45833333333333331</v>
      </c>
      <c r="Q1220" s="121">
        <f t="shared" si="498"/>
        <v>0.54166666666666674</v>
      </c>
      <c r="R1220" s="121">
        <f t="shared" si="499"/>
        <v>0</v>
      </c>
      <c r="AE1220" s="160">
        <f t="shared" si="500"/>
        <v>0.99</v>
      </c>
    </row>
    <row r="1221" spans="1:35" x14ac:dyDescent="0.3">
      <c r="A1221" s="187">
        <v>20</v>
      </c>
      <c r="B1221" s="242">
        <f t="shared" si="501"/>
        <v>46235</v>
      </c>
      <c r="C1221" s="243">
        <f t="shared" si="484"/>
        <v>46265</v>
      </c>
      <c r="D1221" s="120">
        <f t="shared" si="485"/>
        <v>31</v>
      </c>
      <c r="E1221" s="120">
        <f t="shared" si="486"/>
        <v>8</v>
      </c>
      <c r="F1221" s="275">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0.99</v>
      </c>
      <c r="P1221" s="121">
        <f t="shared" si="497"/>
        <v>0.375</v>
      </c>
      <c r="Q1221" s="121">
        <f t="shared" si="498"/>
        <v>0.625</v>
      </c>
      <c r="R1221" s="121">
        <f t="shared" si="499"/>
        <v>0</v>
      </c>
      <c r="AE1221" s="160">
        <f t="shared" si="500"/>
        <v>0.99</v>
      </c>
    </row>
    <row r="1222" spans="1:35" x14ac:dyDescent="0.3">
      <c r="A1222" s="187">
        <v>21</v>
      </c>
      <c r="B1222" s="242">
        <f t="shared" si="501"/>
        <v>46266</v>
      </c>
      <c r="C1222" s="243">
        <f t="shared" si="484"/>
        <v>46295</v>
      </c>
      <c r="D1222" s="120">
        <f t="shared" si="485"/>
        <v>30</v>
      </c>
      <c r="E1222" s="120">
        <f t="shared" si="486"/>
        <v>9</v>
      </c>
      <c r="F1222" s="275">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0.99</v>
      </c>
      <c r="P1222" s="121">
        <f t="shared" si="497"/>
        <v>0.29166666666666669</v>
      </c>
      <c r="Q1222" s="121">
        <f t="shared" si="498"/>
        <v>0.70833333333333326</v>
      </c>
      <c r="R1222" s="121">
        <f t="shared" si="499"/>
        <v>0</v>
      </c>
      <c r="AE1222" s="160">
        <f t="shared" si="500"/>
        <v>0.99</v>
      </c>
    </row>
    <row r="1223" spans="1:35" x14ac:dyDescent="0.3">
      <c r="A1223" s="187">
        <v>22</v>
      </c>
      <c r="B1223" s="242">
        <f t="shared" si="501"/>
        <v>46296</v>
      </c>
      <c r="C1223" s="243">
        <f t="shared" si="484"/>
        <v>46326</v>
      </c>
      <c r="D1223" s="120">
        <f t="shared" si="485"/>
        <v>31</v>
      </c>
      <c r="E1223" s="120">
        <f t="shared" si="486"/>
        <v>10</v>
      </c>
      <c r="F1223" s="275">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0.99</v>
      </c>
      <c r="P1223" s="121">
        <f t="shared" si="497"/>
        <v>0.20833333333333334</v>
      </c>
      <c r="Q1223" s="121">
        <f t="shared" si="498"/>
        <v>0.79166666666666663</v>
      </c>
      <c r="R1223" s="121">
        <f t="shared" si="499"/>
        <v>0</v>
      </c>
      <c r="AE1223" s="160">
        <f t="shared" si="500"/>
        <v>0.99</v>
      </c>
    </row>
    <row r="1224" spans="1:35" x14ac:dyDescent="0.3">
      <c r="A1224" s="187">
        <v>23</v>
      </c>
      <c r="B1224" s="242">
        <f t="shared" si="501"/>
        <v>46327</v>
      </c>
      <c r="C1224" s="243">
        <f t="shared" si="484"/>
        <v>46356</v>
      </c>
      <c r="D1224" s="120">
        <f t="shared" si="485"/>
        <v>30</v>
      </c>
      <c r="E1224" s="120">
        <f t="shared" si="486"/>
        <v>11</v>
      </c>
      <c r="F1224" s="275">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0.99</v>
      </c>
      <c r="P1224" s="121">
        <f t="shared" si="497"/>
        <v>0.125</v>
      </c>
      <c r="Q1224" s="121">
        <f t="shared" si="498"/>
        <v>0.875</v>
      </c>
      <c r="R1224" s="121">
        <f t="shared" si="499"/>
        <v>0</v>
      </c>
      <c r="AE1224" s="160">
        <f t="shared" si="500"/>
        <v>0.99</v>
      </c>
    </row>
    <row r="1225" spans="1:35" x14ac:dyDescent="0.3">
      <c r="A1225" s="187">
        <v>24</v>
      </c>
      <c r="B1225" s="242">
        <f t="shared" si="501"/>
        <v>46357</v>
      </c>
      <c r="C1225" s="243">
        <f t="shared" si="484"/>
        <v>46387</v>
      </c>
      <c r="D1225" s="120">
        <f t="shared" si="485"/>
        <v>31</v>
      </c>
      <c r="E1225" s="120">
        <f t="shared" si="486"/>
        <v>12</v>
      </c>
      <c r="F1225" s="275">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0.99</v>
      </c>
      <c r="P1225" s="121">
        <f t="shared" si="497"/>
        <v>4.1666666666666664E-2</v>
      </c>
      <c r="Q1225" s="121">
        <f t="shared" si="498"/>
        <v>0.95833333333333337</v>
      </c>
      <c r="R1225" s="121">
        <f t="shared" si="499"/>
        <v>0</v>
      </c>
      <c r="AE1225" s="160">
        <f t="shared" si="500"/>
        <v>0.99</v>
      </c>
    </row>
    <row r="1226" spans="1:35" x14ac:dyDescent="0.3">
      <c r="A1226" s="187">
        <v>25</v>
      </c>
      <c r="B1226" s="242">
        <f t="shared" si="501"/>
        <v>46388</v>
      </c>
      <c r="C1226" s="243">
        <f t="shared" si="484"/>
        <v>46418</v>
      </c>
      <c r="D1226" s="120">
        <f t="shared" si="485"/>
        <v>31</v>
      </c>
      <c r="E1226" s="120">
        <f t="shared" si="486"/>
        <v>1</v>
      </c>
      <c r="F1226" s="275">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0.99</v>
      </c>
      <c r="P1226" s="121">
        <f t="shared" si="497"/>
        <v>0</v>
      </c>
      <c r="Q1226" s="121">
        <f t="shared" si="498"/>
        <v>0.95833333333333337</v>
      </c>
      <c r="R1226" s="121">
        <f t="shared" si="499"/>
        <v>4.166666666666663E-2</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0.75712253829321663</v>
      </c>
      <c r="AD1226" s="160">
        <f t="shared" ref="AD1226:AD1237" si="507">$H1226*($W1226+$X1226*IF(ISNUMBER($F$1250),$F$1250,0))/($N1214*$O1214)</f>
        <v>1.0101010101010102</v>
      </c>
      <c r="AE1226" s="160">
        <f t="shared" si="500"/>
        <v>0.99</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5">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0.99</v>
      </c>
      <c r="P1227" s="121">
        <f t="shared" si="497"/>
        <v>0</v>
      </c>
      <c r="Q1227" s="121">
        <f t="shared" si="498"/>
        <v>0.875</v>
      </c>
      <c r="R1227" s="121">
        <f t="shared" si="499"/>
        <v>0.125</v>
      </c>
      <c r="W1227" s="160">
        <f t="shared" si="502"/>
        <v>1</v>
      </c>
      <c r="X1227" s="160">
        <f t="shared" si="503"/>
        <v>0</v>
      </c>
      <c r="Y1227" s="160">
        <f t="shared" si="504"/>
        <v>1</v>
      </c>
      <c r="AB1227" s="160">
        <f t="shared" si="505"/>
        <v>0.29978118161925604</v>
      </c>
      <c r="AC1227" s="220">
        <f t="shared" si="506"/>
        <v>0.69321663019693647</v>
      </c>
      <c r="AD1227" s="160">
        <f t="shared" si="507"/>
        <v>1.0101010101010102</v>
      </c>
      <c r="AE1227" s="160">
        <f t="shared" si="500"/>
        <v>0.99</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5">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0.99</v>
      </c>
      <c r="P1228" s="121">
        <f t="shared" si="497"/>
        <v>0</v>
      </c>
      <c r="Q1228" s="121">
        <f t="shared" si="498"/>
        <v>0.79166666666666663</v>
      </c>
      <c r="R1228" s="121">
        <f t="shared" si="499"/>
        <v>0.20833333333333337</v>
      </c>
      <c r="W1228" s="160">
        <f t="shared" si="502"/>
        <v>1</v>
      </c>
      <c r="X1228" s="160">
        <f t="shared" si="503"/>
        <v>0</v>
      </c>
      <c r="Y1228" s="160">
        <f t="shared" si="504"/>
        <v>1</v>
      </c>
      <c r="AB1228" s="160">
        <f t="shared" si="505"/>
        <v>0.36433260393873085</v>
      </c>
      <c r="AC1228" s="220">
        <f t="shared" si="506"/>
        <v>0.62931072210065642</v>
      </c>
      <c r="AD1228" s="160">
        <f t="shared" si="507"/>
        <v>1.0101010101010102</v>
      </c>
      <c r="AE1228" s="160">
        <f t="shared" si="500"/>
        <v>0.99</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5">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0.99</v>
      </c>
      <c r="P1229" s="121">
        <f t="shared" si="497"/>
        <v>0</v>
      </c>
      <c r="Q1229" s="121">
        <f t="shared" si="498"/>
        <v>0.70833333333333337</v>
      </c>
      <c r="R1229" s="121">
        <f t="shared" si="499"/>
        <v>0.29166666666666663</v>
      </c>
      <c r="W1229" s="160">
        <f t="shared" si="502"/>
        <v>1</v>
      </c>
      <c r="X1229" s="160">
        <f t="shared" si="503"/>
        <v>1</v>
      </c>
      <c r="Y1229" s="160">
        <f t="shared" si="504"/>
        <v>1</v>
      </c>
      <c r="AB1229" s="160">
        <f t="shared" si="505"/>
        <v>0.4310722100656455</v>
      </c>
      <c r="AC1229" s="220">
        <f t="shared" si="506"/>
        <v>0.56323851203501096</v>
      </c>
      <c r="AD1229" s="160">
        <f t="shared" si="507"/>
        <v>1.0101010101010102</v>
      </c>
      <c r="AE1229" s="160">
        <f t="shared" si="500"/>
        <v>0.99</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5">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0.99</v>
      </c>
      <c r="P1230" s="121">
        <f t="shared" si="497"/>
        <v>0</v>
      </c>
      <c r="Q1230" s="121">
        <f t="shared" si="498"/>
        <v>0.625</v>
      </c>
      <c r="R1230" s="121">
        <f t="shared" si="499"/>
        <v>0.375</v>
      </c>
      <c r="W1230" s="160">
        <f t="shared" si="502"/>
        <v>1</v>
      </c>
      <c r="X1230" s="160">
        <f t="shared" si="503"/>
        <v>1</v>
      </c>
      <c r="Y1230" s="160">
        <f t="shared" si="504"/>
        <v>1</v>
      </c>
      <c r="AB1230" s="160">
        <f t="shared" si="505"/>
        <v>0.49781181619256015</v>
      </c>
      <c r="AC1230" s="220">
        <f t="shared" si="506"/>
        <v>0.4971663019693654</v>
      </c>
      <c r="AD1230" s="160">
        <f t="shared" si="507"/>
        <v>1.0101010101010102</v>
      </c>
      <c r="AE1230" s="160">
        <f t="shared" si="500"/>
        <v>0.99</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5">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0.99</v>
      </c>
      <c r="P1231" s="121">
        <f t="shared" si="497"/>
        <v>0</v>
      </c>
      <c r="Q1231" s="121">
        <f t="shared" si="498"/>
        <v>0.54166666666666663</v>
      </c>
      <c r="R1231" s="121">
        <f t="shared" si="499"/>
        <v>0.45833333333333337</v>
      </c>
      <c r="W1231" s="160">
        <f t="shared" si="502"/>
        <v>1</v>
      </c>
      <c r="X1231" s="160">
        <f t="shared" si="503"/>
        <v>1</v>
      </c>
      <c r="Y1231" s="160">
        <f t="shared" si="504"/>
        <v>1</v>
      </c>
      <c r="AB1231" s="160">
        <f t="shared" si="505"/>
        <v>0.56455142231947486</v>
      </c>
      <c r="AC1231" s="220">
        <f t="shared" si="506"/>
        <v>0.43109409190371989</v>
      </c>
      <c r="AD1231" s="160">
        <f t="shared" si="507"/>
        <v>1.0101010101010102</v>
      </c>
      <c r="AE1231" s="160">
        <f t="shared" si="500"/>
        <v>0.99</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5">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0.99</v>
      </c>
      <c r="P1232" s="121">
        <f t="shared" si="497"/>
        <v>0</v>
      </c>
      <c r="Q1232" s="121">
        <f t="shared" si="498"/>
        <v>0.45833333333333331</v>
      </c>
      <c r="R1232" s="121">
        <f t="shared" si="499"/>
        <v>0.54166666666666674</v>
      </c>
      <c r="W1232" s="160">
        <f t="shared" si="502"/>
        <v>1</v>
      </c>
      <c r="X1232" s="160">
        <f t="shared" si="503"/>
        <v>1</v>
      </c>
      <c r="Y1232" s="160">
        <f t="shared" si="504"/>
        <v>1</v>
      </c>
      <c r="AB1232" s="160">
        <f t="shared" si="505"/>
        <v>0.63129102844638951</v>
      </c>
      <c r="AC1232" s="220">
        <f t="shared" si="506"/>
        <v>0.36502188183807438</v>
      </c>
      <c r="AD1232" s="160">
        <f t="shared" si="507"/>
        <v>1.0101010101010102</v>
      </c>
      <c r="AE1232" s="160">
        <f t="shared" si="500"/>
        <v>0.99</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5">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0.99</v>
      </c>
      <c r="P1233" s="121">
        <f t="shared" si="497"/>
        <v>0</v>
      </c>
      <c r="Q1233" s="121">
        <f t="shared" si="498"/>
        <v>0.375</v>
      </c>
      <c r="R1233" s="121">
        <f t="shared" si="499"/>
        <v>0.625</v>
      </c>
      <c r="W1233" s="160">
        <f t="shared" si="502"/>
        <v>1</v>
      </c>
      <c r="X1233" s="160">
        <f t="shared" si="503"/>
        <v>1</v>
      </c>
      <c r="Y1233" s="160">
        <f t="shared" si="504"/>
        <v>1</v>
      </c>
      <c r="AB1233" s="160">
        <f t="shared" si="505"/>
        <v>0.69912472647702406</v>
      </c>
      <c r="AC1233" s="220">
        <f t="shared" si="506"/>
        <v>0.29786652078774617</v>
      </c>
      <c r="AD1233" s="160">
        <f t="shared" si="507"/>
        <v>1.0101010101010102</v>
      </c>
      <c r="AE1233" s="160">
        <f t="shared" si="500"/>
        <v>0.99</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5">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0.99</v>
      </c>
      <c r="P1234" s="121">
        <f t="shared" si="497"/>
        <v>0</v>
      </c>
      <c r="Q1234" s="121">
        <f t="shared" si="498"/>
        <v>0.29166666666666669</v>
      </c>
      <c r="R1234" s="121">
        <f t="shared" si="499"/>
        <v>0.70833333333333326</v>
      </c>
      <c r="W1234" s="160">
        <f t="shared" si="502"/>
        <v>1</v>
      </c>
      <c r="X1234" s="160">
        <f t="shared" si="503"/>
        <v>1</v>
      </c>
      <c r="Y1234" s="160">
        <f t="shared" si="504"/>
        <v>1</v>
      </c>
      <c r="AB1234" s="160">
        <f t="shared" si="505"/>
        <v>0.76586433260393871</v>
      </c>
      <c r="AC1234" s="220">
        <f t="shared" si="506"/>
        <v>0.23179431072210066</v>
      </c>
      <c r="AD1234" s="160">
        <f t="shared" si="507"/>
        <v>1.0101010101010102</v>
      </c>
      <c r="AE1234" s="160">
        <f t="shared" si="500"/>
        <v>0.99</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5">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0.99</v>
      </c>
      <c r="P1235" s="121">
        <f t="shared" si="497"/>
        <v>0</v>
      </c>
      <c r="Q1235" s="121">
        <f t="shared" si="498"/>
        <v>0.20833333333333334</v>
      </c>
      <c r="R1235" s="121">
        <f t="shared" si="499"/>
        <v>0.79166666666666663</v>
      </c>
      <c r="W1235" s="160">
        <f t="shared" si="502"/>
        <v>1</v>
      </c>
      <c r="X1235" s="160">
        <f t="shared" si="503"/>
        <v>1</v>
      </c>
      <c r="Y1235" s="160">
        <f t="shared" si="504"/>
        <v>1</v>
      </c>
      <c r="AB1235" s="160">
        <f t="shared" si="505"/>
        <v>0.83260393873085337</v>
      </c>
      <c r="AC1235" s="220">
        <f t="shared" si="506"/>
        <v>0.16572210065645518</v>
      </c>
      <c r="AD1235" s="160">
        <f t="shared" si="507"/>
        <v>1.0101010101010102</v>
      </c>
      <c r="AE1235" s="160">
        <f t="shared" si="500"/>
        <v>0.99</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5">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0.99</v>
      </c>
      <c r="P1236" s="121">
        <f t="shared" si="497"/>
        <v>0</v>
      </c>
      <c r="Q1236" s="121">
        <f t="shared" si="498"/>
        <v>0.125</v>
      </c>
      <c r="R1236" s="121">
        <f t="shared" si="499"/>
        <v>0.875</v>
      </c>
      <c r="W1236" s="160">
        <f t="shared" si="502"/>
        <v>1</v>
      </c>
      <c r="X1236" s="160">
        <f t="shared" si="503"/>
        <v>1</v>
      </c>
      <c r="Y1236" s="160">
        <f t="shared" si="504"/>
        <v>1</v>
      </c>
      <c r="AB1236" s="160">
        <f t="shared" si="505"/>
        <v>0.89934354485776802</v>
      </c>
      <c r="AC1236" s="220">
        <f t="shared" si="506"/>
        <v>9.9649890590809656E-2</v>
      </c>
      <c r="AD1236" s="160">
        <f t="shared" si="507"/>
        <v>1.0101010101010102</v>
      </c>
      <c r="AE1236" s="160">
        <f t="shared" si="500"/>
        <v>0.99</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5">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0.99</v>
      </c>
      <c r="P1237" s="121">
        <f t="shared" si="497"/>
        <v>0</v>
      </c>
      <c r="Q1237" s="121">
        <f t="shared" si="498"/>
        <v>4.1666666666666664E-2</v>
      </c>
      <c r="R1237" s="121">
        <f t="shared" si="499"/>
        <v>0.95833333333333337</v>
      </c>
      <c r="W1237" s="160">
        <f t="shared" si="502"/>
        <v>1</v>
      </c>
      <c r="X1237" s="160">
        <f t="shared" si="503"/>
        <v>1</v>
      </c>
      <c r="Y1237" s="160">
        <f t="shared" si="504"/>
        <v>1</v>
      </c>
      <c r="AB1237" s="160">
        <f t="shared" si="505"/>
        <v>0.96608315098468267</v>
      </c>
      <c r="AC1237" s="220">
        <f t="shared" si="506"/>
        <v>3.3577680525164154E-2</v>
      </c>
      <c r="AD1237" s="160">
        <f t="shared" si="507"/>
        <v>1.0101010101010102</v>
      </c>
      <c r="AE1237" s="160">
        <f t="shared" si="500"/>
        <v>0.99</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5">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0.99</v>
      </c>
      <c r="P1238" s="121">
        <f t="shared" si="497"/>
        <v>0</v>
      </c>
      <c r="Q1238" s="121">
        <f t="shared" si="498"/>
        <v>0</v>
      </c>
      <c r="R1238" s="121">
        <f t="shared" si="499"/>
        <v>0.95833333333333337</v>
      </c>
      <c r="AE1238" s="160">
        <f t="shared" si="500"/>
        <v>0.99</v>
      </c>
    </row>
    <row r="1239" spans="1:35" x14ac:dyDescent="0.3">
      <c r="A1239" s="187">
        <v>38</v>
      </c>
      <c r="B1239" s="242">
        <f t="shared" si="501"/>
        <v>46784</v>
      </c>
      <c r="C1239" s="243">
        <f t="shared" si="484"/>
        <v>46812</v>
      </c>
      <c r="D1239" s="120">
        <f t="shared" si="485"/>
        <v>29</v>
      </c>
      <c r="E1239" s="120">
        <f t="shared" si="486"/>
        <v>2</v>
      </c>
      <c r="F1239" s="275">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0.99</v>
      </c>
      <c r="P1239" s="121">
        <f t="shared" si="497"/>
        <v>0</v>
      </c>
      <c r="Q1239" s="121">
        <f t="shared" si="498"/>
        <v>0</v>
      </c>
      <c r="R1239" s="121">
        <f t="shared" si="499"/>
        <v>0.875</v>
      </c>
      <c r="AE1239" s="160">
        <f t="shared" si="500"/>
        <v>0.99</v>
      </c>
    </row>
    <row r="1240" spans="1:35" x14ac:dyDescent="0.3">
      <c r="A1240" s="187">
        <v>39</v>
      </c>
      <c r="B1240" s="242">
        <f t="shared" si="501"/>
        <v>46813</v>
      </c>
      <c r="C1240" s="243">
        <f t="shared" si="484"/>
        <v>46843</v>
      </c>
      <c r="D1240" s="120">
        <f t="shared" si="485"/>
        <v>31</v>
      </c>
      <c r="E1240" s="120">
        <f t="shared" si="486"/>
        <v>3</v>
      </c>
      <c r="F1240" s="275">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0.99</v>
      </c>
      <c r="P1240" s="121">
        <f t="shared" si="497"/>
        <v>0</v>
      </c>
      <c r="Q1240" s="121">
        <f t="shared" si="498"/>
        <v>0</v>
      </c>
      <c r="R1240" s="121">
        <f t="shared" si="499"/>
        <v>0.79166666666666663</v>
      </c>
      <c r="AE1240" s="160">
        <f t="shared" si="500"/>
        <v>0.99</v>
      </c>
    </row>
    <row r="1241" spans="1:35" x14ac:dyDescent="0.3">
      <c r="A1241" s="187">
        <v>40</v>
      </c>
      <c r="B1241" s="242">
        <f t="shared" si="501"/>
        <v>46844</v>
      </c>
      <c r="C1241" s="243">
        <f t="shared" si="484"/>
        <v>46873</v>
      </c>
      <c r="D1241" s="120">
        <f t="shared" si="485"/>
        <v>30</v>
      </c>
      <c r="E1241" s="120">
        <f t="shared" si="486"/>
        <v>4</v>
      </c>
      <c r="F1241" s="275">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0.99</v>
      </c>
      <c r="P1241" s="121">
        <f t="shared" si="497"/>
        <v>0</v>
      </c>
      <c r="Q1241" s="121">
        <f t="shared" si="498"/>
        <v>0</v>
      </c>
      <c r="R1241" s="121">
        <f t="shared" si="499"/>
        <v>0.70833333333333337</v>
      </c>
      <c r="AE1241" s="160">
        <f t="shared" si="500"/>
        <v>0.99</v>
      </c>
    </row>
    <row r="1242" spans="1:35" x14ac:dyDescent="0.3">
      <c r="A1242" s="187">
        <v>41</v>
      </c>
      <c r="B1242" s="242">
        <f t="shared" si="501"/>
        <v>46874</v>
      </c>
      <c r="C1242" s="243">
        <f t="shared" si="484"/>
        <v>46904</v>
      </c>
      <c r="D1242" s="120">
        <f t="shared" si="485"/>
        <v>31</v>
      </c>
      <c r="E1242" s="120">
        <f t="shared" si="486"/>
        <v>5</v>
      </c>
      <c r="F1242" s="275">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0.99</v>
      </c>
      <c r="P1242" s="121">
        <f t="shared" si="497"/>
        <v>0</v>
      </c>
      <c r="Q1242" s="121">
        <f t="shared" si="498"/>
        <v>0</v>
      </c>
      <c r="R1242" s="121">
        <f t="shared" si="499"/>
        <v>0.625</v>
      </c>
      <c r="AE1242" s="160">
        <f t="shared" si="500"/>
        <v>0.99</v>
      </c>
    </row>
    <row r="1243" spans="1:35" x14ac:dyDescent="0.3">
      <c r="A1243" s="187">
        <v>42</v>
      </c>
      <c r="B1243" s="242">
        <f t="shared" si="501"/>
        <v>46905</v>
      </c>
      <c r="C1243" s="243">
        <f t="shared" si="484"/>
        <v>46934</v>
      </c>
      <c r="D1243" s="120">
        <f t="shared" si="485"/>
        <v>30</v>
      </c>
      <c r="E1243" s="120">
        <f t="shared" si="486"/>
        <v>6</v>
      </c>
      <c r="F1243" s="275">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0.99</v>
      </c>
      <c r="P1243" s="121">
        <f t="shared" si="497"/>
        <v>0</v>
      </c>
      <c r="Q1243" s="121">
        <f t="shared" si="498"/>
        <v>0</v>
      </c>
      <c r="R1243" s="121">
        <f t="shared" si="499"/>
        <v>0.54166666666666663</v>
      </c>
      <c r="AE1243" s="160">
        <f t="shared" si="500"/>
        <v>0.99</v>
      </c>
    </row>
    <row r="1244" spans="1:35" x14ac:dyDescent="0.3">
      <c r="A1244" s="187">
        <v>43</v>
      </c>
      <c r="B1244" s="242">
        <f t="shared" si="501"/>
        <v>46935</v>
      </c>
      <c r="C1244" s="243">
        <f t="shared" si="484"/>
        <v>46965</v>
      </c>
      <c r="D1244" s="120">
        <f t="shared" si="485"/>
        <v>31</v>
      </c>
      <c r="E1244" s="120">
        <f t="shared" si="486"/>
        <v>7</v>
      </c>
      <c r="F1244" s="275">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0.99</v>
      </c>
      <c r="P1244" s="121">
        <f t="shared" si="497"/>
        <v>0</v>
      </c>
      <c r="Q1244" s="121">
        <f t="shared" si="498"/>
        <v>0</v>
      </c>
      <c r="R1244" s="121">
        <f t="shared" si="499"/>
        <v>0.45833333333333331</v>
      </c>
      <c r="AE1244" s="160">
        <f t="shared" si="500"/>
        <v>0.99</v>
      </c>
    </row>
    <row r="1245" spans="1:35" x14ac:dyDescent="0.3">
      <c r="A1245" s="187">
        <v>44</v>
      </c>
      <c r="B1245" s="242">
        <f t="shared" si="501"/>
        <v>46966</v>
      </c>
      <c r="C1245" s="243">
        <f t="shared" si="484"/>
        <v>46996</v>
      </c>
      <c r="D1245" s="120">
        <f t="shared" si="485"/>
        <v>31</v>
      </c>
      <c r="E1245" s="120">
        <f t="shared" si="486"/>
        <v>8</v>
      </c>
      <c r="F1245" s="275">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0.99</v>
      </c>
      <c r="P1245" s="121">
        <f t="shared" si="497"/>
        <v>0</v>
      </c>
      <c r="Q1245" s="121">
        <f t="shared" si="498"/>
        <v>0</v>
      </c>
      <c r="R1245" s="121">
        <f t="shared" si="499"/>
        <v>0.375</v>
      </c>
      <c r="AE1245" s="160">
        <f t="shared" si="500"/>
        <v>0.99</v>
      </c>
    </row>
    <row r="1246" spans="1:35" x14ac:dyDescent="0.3">
      <c r="A1246" s="187">
        <v>45</v>
      </c>
      <c r="B1246" s="242">
        <f t="shared" si="501"/>
        <v>46997</v>
      </c>
      <c r="C1246" s="243">
        <f t="shared" si="484"/>
        <v>47026</v>
      </c>
      <c r="D1246" s="120">
        <f t="shared" si="485"/>
        <v>30</v>
      </c>
      <c r="E1246" s="120">
        <f t="shared" si="486"/>
        <v>9</v>
      </c>
      <c r="F1246" s="275">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0.99</v>
      </c>
      <c r="P1246" s="121">
        <f t="shared" si="497"/>
        <v>0</v>
      </c>
      <c r="Q1246" s="121">
        <f t="shared" si="498"/>
        <v>0</v>
      </c>
      <c r="R1246" s="121">
        <f t="shared" si="499"/>
        <v>0.29166666666666669</v>
      </c>
      <c r="AE1246" s="160">
        <f t="shared" si="500"/>
        <v>0.99</v>
      </c>
    </row>
    <row r="1247" spans="1:35" x14ac:dyDescent="0.3">
      <c r="A1247" s="187">
        <v>46</v>
      </c>
      <c r="B1247" s="242">
        <f t="shared" si="501"/>
        <v>47027</v>
      </c>
      <c r="C1247" s="243">
        <f t="shared" si="484"/>
        <v>47057</v>
      </c>
      <c r="D1247" s="120">
        <f t="shared" si="485"/>
        <v>31</v>
      </c>
      <c r="E1247" s="120">
        <f t="shared" si="486"/>
        <v>10</v>
      </c>
      <c r="F1247" s="275">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0.99</v>
      </c>
      <c r="P1247" s="121">
        <f t="shared" si="497"/>
        <v>0</v>
      </c>
      <c r="Q1247" s="121">
        <f t="shared" si="498"/>
        <v>0</v>
      </c>
      <c r="R1247" s="121">
        <f t="shared" si="499"/>
        <v>0.20833333333333334</v>
      </c>
      <c r="AE1247" s="160">
        <f t="shared" si="500"/>
        <v>0.99</v>
      </c>
    </row>
    <row r="1248" spans="1:35" x14ac:dyDescent="0.3">
      <c r="A1248" s="187">
        <v>47</v>
      </c>
      <c r="B1248" s="242">
        <f t="shared" si="501"/>
        <v>47058</v>
      </c>
      <c r="C1248" s="243">
        <f t="shared" si="484"/>
        <v>47087</v>
      </c>
      <c r="D1248" s="120">
        <f t="shared" si="485"/>
        <v>30</v>
      </c>
      <c r="E1248" s="120">
        <f t="shared" si="486"/>
        <v>11</v>
      </c>
      <c r="F1248" s="275">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0.99</v>
      </c>
      <c r="P1248" s="121">
        <f t="shared" si="497"/>
        <v>0</v>
      </c>
      <c r="Q1248" s="121">
        <f t="shared" si="498"/>
        <v>0</v>
      </c>
      <c r="R1248" s="121">
        <f t="shared" si="499"/>
        <v>0.125</v>
      </c>
      <c r="AE1248" s="160">
        <f t="shared" si="500"/>
        <v>0.99</v>
      </c>
    </row>
    <row r="1249" spans="1:31" x14ac:dyDescent="0.3">
      <c r="A1249" s="187">
        <v>48</v>
      </c>
      <c r="B1249" s="242">
        <f t="shared" si="501"/>
        <v>47088</v>
      </c>
      <c r="C1249" s="243">
        <f t="shared" si="484"/>
        <v>47118</v>
      </c>
      <c r="D1249" s="120">
        <f t="shared" si="485"/>
        <v>31</v>
      </c>
      <c r="E1249" s="120">
        <f t="shared" si="486"/>
        <v>12</v>
      </c>
      <c r="F1249" s="275">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0.99</v>
      </c>
      <c r="P1249" s="121">
        <f t="shared" si="497"/>
        <v>0</v>
      </c>
      <c r="Q1249" s="121">
        <f t="shared" si="498"/>
        <v>0</v>
      </c>
      <c r="R1249" s="121">
        <f t="shared" si="499"/>
        <v>4.1666666666666664E-2</v>
      </c>
      <c r="AE1249" s="160">
        <f t="shared" si="500"/>
        <v>0.99</v>
      </c>
    </row>
    <row r="1250" spans="1:31" x14ac:dyDescent="0.3">
      <c r="A1250" s="23" t="s">
        <v>1723</v>
      </c>
      <c r="B1250" s="279">
        <f>SUM($H$1226:$H$1237)</f>
        <v>12</v>
      </c>
      <c r="C1250" s="160">
        <f>SUMPRODUCT($H$1226:$H$1237,$W$1226:$W$1237/$N$1214:$N$1225,$Y$1226:$Y$1237)</f>
        <v>12</v>
      </c>
      <c r="D1250" s="160">
        <f>SUMPRODUCT($H$1226:$H$1237,$X$1226:$X$1237/$N$1214:$N$1225,$Y$1226:$Y$1237)</f>
        <v>9</v>
      </c>
      <c r="E1250" s="281" t="str">
        <f>IF(OR($D$1199=0,$P$1199=0,$D1250=0),"n/a",((1+$E$1199)*$B1250-$C1250)/$D1250)</f>
        <v>n/a</v>
      </c>
      <c r="F1250" s="281" t="str">
        <f>IF($V$1199&lt;&gt;"",$V$1199,$E1250)</f>
        <v>n/a</v>
      </c>
      <c r="G1250" s="281"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2">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1</v>
      </c>
      <c r="H1255" s="220">
        <f>IF($C1255=0,1,IF(N(INDEX(lr_m0,$C1255))=0,1,INDEX(lr_m0,$C1255)))</f>
        <v>0.99</v>
      </c>
      <c r="I1255" s="278">
        <f>IF($C1255=0,DATE(nr_PlanYear-1,10,1),IF(N(INDEX(lr_m0asof,$C1255))=0,DATE(nr_PlanYear-1,10,1),INDEX(lr_m0asof,$C1255)))</f>
        <v>46295</v>
      </c>
      <c r="J1255" s="220">
        <f>IF($C1255=0,1,IF(N(INDEX(lr_m1,$C1255))=0,1,INDEX(lr_m1,$C1255)))</f>
        <v>1.0049999999999999</v>
      </c>
      <c r="K1255" s="220">
        <f>IF($C1255=0,0,N(INDEX(lr_mprior,$C1255)))</f>
        <v>0</v>
      </c>
      <c r="L1255" s="220">
        <f>IF($C1255=0,0,N(INDEX(lr_m2,$C1255)))</f>
        <v>0</v>
      </c>
      <c r="M1255" s="43">
        <f>IF(OR($A1255="",COUNTIF(se_state,$A1255)=0),0,MATCH($A1255,se_state,0))</f>
        <v>0</v>
      </c>
      <c r="N1255" s="279">
        <f>IF($M1255=0,0,INDEX(se_sum,$M1255))</f>
        <v>0</v>
      </c>
      <c r="O1255" s="278">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80" t="str">
        <f>IF(ISBLANK('Net Delivery'!$E$27),$Y1255,'Net Delivery'!$E$27)</f>
        <v/>
      </c>
      <c r="W1255" s="43">
        <f>IF($B1255="",0,COUNTIFS(rl_key,$B1255,rl_status,"planned",rl_eff,"&gt;="&amp;DATE(nr_PlanYear,1,1),rl_eff,"&lt;="&amp;DATE(nr_PlanYear,12,31)))</f>
        <v>0</v>
      </c>
      <c r="X1255" s="278">
        <f>IF($W1255=0,nd_DefaultDate,SUMIFS(rl_eff,rl_key,$B1255,rl_firstplanned,1))</f>
        <v>46478</v>
      </c>
      <c r="Y1255" s="280" t="str">
        <f>IF($W1255=0,"",SUMIFS(rl_reff,rl_key,$B1255,rl_firstplanned,1))</f>
        <v/>
      </c>
      <c r="Z1255" s="280"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5">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0.96956783369803068</v>
      </c>
      <c r="P1258" s="121">
        <f t="shared" ref="P1258:P1305" si="525">MIN(1,MAX(0,(nr_MEndPm1-$G1258+0.5)/nr_TermMonths))-MIN(1,MAX(0,(nr_MStartPm1-1-$G1258+0.5)/nr_TermMonths))</f>
        <v>4.166666666666663E-2</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0.96956783369803068</v>
      </c>
    </row>
    <row r="1259" spans="1:31" x14ac:dyDescent="0.3">
      <c r="A1259" s="187">
        <v>2</v>
      </c>
      <c r="B1259" s="242">
        <f t="shared" ref="B1259:B1305" si="529">EDATE($B1258,1)</f>
        <v>45689</v>
      </c>
      <c r="C1259" s="243">
        <f t="shared" si="512"/>
        <v>45716</v>
      </c>
      <c r="D1259" s="120">
        <f t="shared" si="513"/>
        <v>28</v>
      </c>
      <c r="E1259" s="120">
        <f t="shared" si="514"/>
        <v>2</v>
      </c>
      <c r="F1259" s="275">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0.97053610503282284</v>
      </c>
      <c r="P1259" s="121">
        <f t="shared" si="525"/>
        <v>0.125</v>
      </c>
      <c r="Q1259" s="121">
        <f t="shared" si="526"/>
        <v>0</v>
      </c>
      <c r="R1259" s="121">
        <f t="shared" si="527"/>
        <v>0</v>
      </c>
      <c r="AE1259" s="160">
        <f t="shared" si="528"/>
        <v>0.97053610503282284</v>
      </c>
    </row>
    <row r="1260" spans="1:31" x14ac:dyDescent="0.3">
      <c r="A1260" s="187">
        <v>3</v>
      </c>
      <c r="B1260" s="242">
        <f t="shared" si="529"/>
        <v>45717</v>
      </c>
      <c r="C1260" s="243">
        <f t="shared" si="512"/>
        <v>45747</v>
      </c>
      <c r="D1260" s="120">
        <f t="shared" si="513"/>
        <v>31</v>
      </c>
      <c r="E1260" s="120">
        <f t="shared" si="514"/>
        <v>3</v>
      </c>
      <c r="F1260" s="275">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0.971504376367615</v>
      </c>
      <c r="P1260" s="121">
        <f t="shared" si="525"/>
        <v>0.20833333333333337</v>
      </c>
      <c r="Q1260" s="121">
        <f t="shared" si="526"/>
        <v>0</v>
      </c>
      <c r="R1260" s="121">
        <f t="shared" si="527"/>
        <v>0</v>
      </c>
      <c r="AE1260" s="160">
        <f t="shared" si="528"/>
        <v>0.971504376367615</v>
      </c>
    </row>
    <row r="1261" spans="1:31" x14ac:dyDescent="0.3">
      <c r="A1261" s="187">
        <v>4</v>
      </c>
      <c r="B1261" s="242">
        <f t="shared" si="529"/>
        <v>45748</v>
      </c>
      <c r="C1261" s="243">
        <f t="shared" si="512"/>
        <v>45777</v>
      </c>
      <c r="D1261" s="120">
        <f t="shared" si="513"/>
        <v>30</v>
      </c>
      <c r="E1261" s="120">
        <f t="shared" si="514"/>
        <v>4</v>
      </c>
      <c r="F1261" s="275">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0.97250547045951863</v>
      </c>
      <c r="P1261" s="121">
        <f t="shared" si="525"/>
        <v>0.29166666666666663</v>
      </c>
      <c r="Q1261" s="121">
        <f t="shared" si="526"/>
        <v>0</v>
      </c>
      <c r="R1261" s="121">
        <f t="shared" si="527"/>
        <v>0</v>
      </c>
      <c r="AE1261" s="160">
        <f t="shared" si="528"/>
        <v>0.97250547045951863</v>
      </c>
    </row>
    <row r="1262" spans="1:31" x14ac:dyDescent="0.3">
      <c r="A1262" s="187">
        <v>5</v>
      </c>
      <c r="B1262" s="242">
        <f t="shared" si="529"/>
        <v>45778</v>
      </c>
      <c r="C1262" s="243">
        <f t="shared" si="512"/>
        <v>45808</v>
      </c>
      <c r="D1262" s="120">
        <f t="shared" si="513"/>
        <v>31</v>
      </c>
      <c r="E1262" s="120">
        <f t="shared" si="514"/>
        <v>5</v>
      </c>
      <c r="F1262" s="275">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0.97350656455142237</v>
      </c>
      <c r="P1262" s="121">
        <f t="shared" si="525"/>
        <v>0.375</v>
      </c>
      <c r="Q1262" s="121">
        <f t="shared" si="526"/>
        <v>0</v>
      </c>
      <c r="R1262" s="121">
        <f t="shared" si="527"/>
        <v>0</v>
      </c>
      <c r="AE1262" s="160">
        <f t="shared" si="528"/>
        <v>0.97350656455142237</v>
      </c>
    </row>
    <row r="1263" spans="1:31" x14ac:dyDescent="0.3">
      <c r="A1263" s="187">
        <v>6</v>
      </c>
      <c r="B1263" s="242">
        <f t="shared" si="529"/>
        <v>45809</v>
      </c>
      <c r="C1263" s="243">
        <f t="shared" si="512"/>
        <v>45838</v>
      </c>
      <c r="D1263" s="120">
        <f t="shared" si="513"/>
        <v>30</v>
      </c>
      <c r="E1263" s="120">
        <f t="shared" si="514"/>
        <v>6</v>
      </c>
      <c r="F1263" s="275">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0.97450765864332611</v>
      </c>
      <c r="P1263" s="121">
        <f t="shared" si="525"/>
        <v>0.45833333333333337</v>
      </c>
      <c r="Q1263" s="121">
        <f t="shared" si="526"/>
        <v>0</v>
      </c>
      <c r="R1263" s="121">
        <f t="shared" si="527"/>
        <v>0</v>
      </c>
      <c r="AE1263" s="160">
        <f t="shared" si="528"/>
        <v>0.97450765864332611</v>
      </c>
    </row>
    <row r="1264" spans="1:31" x14ac:dyDescent="0.3">
      <c r="A1264" s="187">
        <v>7</v>
      </c>
      <c r="B1264" s="242">
        <f t="shared" si="529"/>
        <v>45839</v>
      </c>
      <c r="C1264" s="243">
        <f t="shared" si="512"/>
        <v>45869</v>
      </c>
      <c r="D1264" s="120">
        <f t="shared" si="513"/>
        <v>31</v>
      </c>
      <c r="E1264" s="120">
        <f t="shared" si="514"/>
        <v>7</v>
      </c>
      <c r="F1264" s="275">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0.97550875273522986</v>
      </c>
      <c r="P1264" s="121">
        <f t="shared" si="525"/>
        <v>0.54166666666666674</v>
      </c>
      <c r="Q1264" s="121">
        <f t="shared" si="526"/>
        <v>0</v>
      </c>
      <c r="R1264" s="121">
        <f t="shared" si="527"/>
        <v>0</v>
      </c>
      <c r="AE1264" s="160">
        <f t="shared" si="528"/>
        <v>0.97550875273522986</v>
      </c>
    </row>
    <row r="1265" spans="1:31" x14ac:dyDescent="0.3">
      <c r="A1265" s="187">
        <v>8</v>
      </c>
      <c r="B1265" s="242">
        <f t="shared" si="529"/>
        <v>45870</v>
      </c>
      <c r="C1265" s="243">
        <f t="shared" si="512"/>
        <v>45900</v>
      </c>
      <c r="D1265" s="120">
        <f t="shared" si="513"/>
        <v>31</v>
      </c>
      <c r="E1265" s="120">
        <f t="shared" si="514"/>
        <v>8</v>
      </c>
      <c r="F1265" s="275">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0.97652625820568928</v>
      </c>
      <c r="P1265" s="121">
        <f t="shared" si="525"/>
        <v>0.625</v>
      </c>
      <c r="Q1265" s="121">
        <f t="shared" si="526"/>
        <v>0</v>
      </c>
      <c r="R1265" s="121">
        <f t="shared" si="527"/>
        <v>0</v>
      </c>
      <c r="AE1265" s="160">
        <f t="shared" si="528"/>
        <v>0.97652625820568928</v>
      </c>
    </row>
    <row r="1266" spans="1:31" x14ac:dyDescent="0.3">
      <c r="A1266" s="187">
        <v>9</v>
      </c>
      <c r="B1266" s="242">
        <f t="shared" si="529"/>
        <v>45901</v>
      </c>
      <c r="C1266" s="243">
        <f t="shared" si="512"/>
        <v>45930</v>
      </c>
      <c r="D1266" s="120">
        <f t="shared" si="513"/>
        <v>30</v>
      </c>
      <c r="E1266" s="120">
        <f t="shared" si="514"/>
        <v>9</v>
      </c>
      <c r="F1266" s="275">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0.97752735229759302</v>
      </c>
      <c r="P1266" s="121">
        <f t="shared" si="525"/>
        <v>0.70833333333333326</v>
      </c>
      <c r="Q1266" s="121">
        <f t="shared" si="526"/>
        <v>0</v>
      </c>
      <c r="R1266" s="121">
        <f t="shared" si="527"/>
        <v>0</v>
      </c>
      <c r="AE1266" s="160">
        <f t="shared" si="528"/>
        <v>0.97752735229759302</v>
      </c>
    </row>
    <row r="1267" spans="1:31" x14ac:dyDescent="0.3">
      <c r="A1267" s="187">
        <v>10</v>
      </c>
      <c r="B1267" s="242">
        <f t="shared" si="529"/>
        <v>45931</v>
      </c>
      <c r="C1267" s="243">
        <f t="shared" si="512"/>
        <v>45961</v>
      </c>
      <c r="D1267" s="120">
        <f t="shared" si="513"/>
        <v>31</v>
      </c>
      <c r="E1267" s="120">
        <f t="shared" si="514"/>
        <v>10</v>
      </c>
      <c r="F1267" s="275">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0.97852844638949676</v>
      </c>
      <c r="P1267" s="121">
        <f t="shared" si="525"/>
        <v>0.79166666666666663</v>
      </c>
      <c r="Q1267" s="121">
        <f t="shared" si="526"/>
        <v>0</v>
      </c>
      <c r="R1267" s="121">
        <f t="shared" si="527"/>
        <v>0</v>
      </c>
      <c r="AE1267" s="160">
        <f t="shared" si="528"/>
        <v>0.97852844638949676</v>
      </c>
    </row>
    <row r="1268" spans="1:31" x14ac:dyDescent="0.3">
      <c r="A1268" s="187">
        <v>11</v>
      </c>
      <c r="B1268" s="242">
        <f t="shared" si="529"/>
        <v>45962</v>
      </c>
      <c r="C1268" s="243">
        <f t="shared" si="512"/>
        <v>45991</v>
      </c>
      <c r="D1268" s="120">
        <f t="shared" si="513"/>
        <v>30</v>
      </c>
      <c r="E1268" s="120">
        <f t="shared" si="514"/>
        <v>11</v>
      </c>
      <c r="F1268" s="275">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0.97952954048140051</v>
      </c>
      <c r="P1268" s="121">
        <f t="shared" si="525"/>
        <v>0.875</v>
      </c>
      <c r="Q1268" s="121">
        <f t="shared" si="526"/>
        <v>0</v>
      </c>
      <c r="R1268" s="121">
        <f t="shared" si="527"/>
        <v>0</v>
      </c>
      <c r="AE1268" s="160">
        <f t="shared" si="528"/>
        <v>0.97952954048140051</v>
      </c>
    </row>
    <row r="1269" spans="1:31" x14ac:dyDescent="0.3">
      <c r="A1269" s="187">
        <v>12</v>
      </c>
      <c r="B1269" s="242">
        <f t="shared" si="529"/>
        <v>45992</v>
      </c>
      <c r="C1269" s="243">
        <f t="shared" si="512"/>
        <v>46022</v>
      </c>
      <c r="D1269" s="120">
        <f t="shared" si="513"/>
        <v>31</v>
      </c>
      <c r="E1269" s="120">
        <f t="shared" si="514"/>
        <v>12</v>
      </c>
      <c r="F1269" s="275">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0.98053063457330414</v>
      </c>
      <c r="P1269" s="121">
        <f t="shared" si="525"/>
        <v>0.95833333333333337</v>
      </c>
      <c r="Q1269" s="121">
        <f t="shared" si="526"/>
        <v>0</v>
      </c>
      <c r="R1269" s="121">
        <f t="shared" si="527"/>
        <v>0</v>
      </c>
      <c r="AE1269" s="160">
        <f t="shared" si="528"/>
        <v>0.98053063457330414</v>
      </c>
    </row>
    <row r="1270" spans="1:31" x14ac:dyDescent="0.3">
      <c r="A1270" s="187">
        <v>13</v>
      </c>
      <c r="B1270" s="242">
        <f t="shared" si="529"/>
        <v>46023</v>
      </c>
      <c r="C1270" s="243">
        <f t="shared" si="512"/>
        <v>46053</v>
      </c>
      <c r="D1270" s="120">
        <f t="shared" si="513"/>
        <v>31</v>
      </c>
      <c r="E1270" s="120">
        <f t="shared" si="514"/>
        <v>1</v>
      </c>
      <c r="F1270" s="275">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0.98154814004376367</v>
      </c>
      <c r="P1270" s="121">
        <f t="shared" si="525"/>
        <v>0.95833333333333337</v>
      </c>
      <c r="Q1270" s="121">
        <f t="shared" si="526"/>
        <v>4.166666666666663E-2</v>
      </c>
      <c r="R1270" s="121">
        <f t="shared" si="527"/>
        <v>0</v>
      </c>
      <c r="AE1270" s="160">
        <f t="shared" si="528"/>
        <v>1.0011791028446391</v>
      </c>
    </row>
    <row r="1271" spans="1:31" x14ac:dyDescent="0.3">
      <c r="A1271" s="187">
        <v>14</v>
      </c>
      <c r="B1271" s="242">
        <f t="shared" si="529"/>
        <v>46054</v>
      </c>
      <c r="C1271" s="243">
        <f t="shared" si="512"/>
        <v>46081</v>
      </c>
      <c r="D1271" s="120">
        <f t="shared" si="513"/>
        <v>28</v>
      </c>
      <c r="E1271" s="120">
        <f t="shared" si="514"/>
        <v>2</v>
      </c>
      <c r="F1271" s="275">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0.98251641137855583</v>
      </c>
      <c r="P1271" s="121">
        <f t="shared" si="525"/>
        <v>0.875</v>
      </c>
      <c r="Q1271" s="121">
        <f t="shared" si="526"/>
        <v>0.125</v>
      </c>
      <c r="R1271" s="121">
        <f t="shared" si="527"/>
        <v>0</v>
      </c>
      <c r="AE1271" s="160">
        <f t="shared" si="528"/>
        <v>1.0021667396061269</v>
      </c>
    </row>
    <row r="1272" spans="1:31" x14ac:dyDescent="0.3">
      <c r="A1272" s="187">
        <v>15</v>
      </c>
      <c r="B1272" s="242">
        <f t="shared" si="529"/>
        <v>46082</v>
      </c>
      <c r="C1272" s="243">
        <f t="shared" si="512"/>
        <v>46112</v>
      </c>
      <c r="D1272" s="120">
        <f t="shared" si="513"/>
        <v>31</v>
      </c>
      <c r="E1272" s="120">
        <f t="shared" si="514"/>
        <v>3</v>
      </c>
      <c r="F1272" s="275">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0.98348468271334799</v>
      </c>
      <c r="P1272" s="121">
        <f t="shared" si="525"/>
        <v>0.79166666666666663</v>
      </c>
      <c r="Q1272" s="121">
        <f t="shared" si="526"/>
        <v>0.20833333333333337</v>
      </c>
      <c r="R1272" s="121">
        <f t="shared" si="527"/>
        <v>0</v>
      </c>
      <c r="AE1272" s="160">
        <f t="shared" si="528"/>
        <v>1.003154376367615</v>
      </c>
    </row>
    <row r="1273" spans="1:31" x14ac:dyDescent="0.3">
      <c r="A1273" s="187">
        <v>16</v>
      </c>
      <c r="B1273" s="242">
        <f t="shared" si="529"/>
        <v>46113</v>
      </c>
      <c r="C1273" s="243">
        <f t="shared" si="512"/>
        <v>46142</v>
      </c>
      <c r="D1273" s="120">
        <f t="shared" si="513"/>
        <v>30</v>
      </c>
      <c r="E1273" s="120">
        <f t="shared" si="514"/>
        <v>4</v>
      </c>
      <c r="F1273" s="275">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0.98448577680525162</v>
      </c>
      <c r="P1273" s="121">
        <f t="shared" si="525"/>
        <v>0.70833333333333337</v>
      </c>
      <c r="Q1273" s="121">
        <f t="shared" si="526"/>
        <v>0.29166666666666663</v>
      </c>
      <c r="R1273" s="121">
        <f t="shared" si="527"/>
        <v>0</v>
      </c>
      <c r="AE1273" s="160">
        <f t="shared" si="528"/>
        <v>1.0041754923413566</v>
      </c>
    </row>
    <row r="1274" spans="1:31" x14ac:dyDescent="0.3">
      <c r="A1274" s="187">
        <v>17</v>
      </c>
      <c r="B1274" s="242">
        <f t="shared" si="529"/>
        <v>46143</v>
      </c>
      <c r="C1274" s="243">
        <f t="shared" si="512"/>
        <v>46173</v>
      </c>
      <c r="D1274" s="120">
        <f t="shared" si="513"/>
        <v>31</v>
      </c>
      <c r="E1274" s="120">
        <f t="shared" si="514"/>
        <v>5</v>
      </c>
      <c r="F1274" s="275">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0.98548687089715536</v>
      </c>
      <c r="P1274" s="121">
        <f t="shared" si="525"/>
        <v>0.625</v>
      </c>
      <c r="Q1274" s="121">
        <f t="shared" si="526"/>
        <v>0.375</v>
      </c>
      <c r="R1274" s="121">
        <f t="shared" si="527"/>
        <v>0</v>
      </c>
      <c r="AE1274" s="160">
        <f t="shared" si="528"/>
        <v>1.0051966083150985</v>
      </c>
    </row>
    <row r="1275" spans="1:31" x14ac:dyDescent="0.3">
      <c r="A1275" s="187">
        <v>18</v>
      </c>
      <c r="B1275" s="242">
        <f t="shared" si="529"/>
        <v>46174</v>
      </c>
      <c r="C1275" s="243">
        <f t="shared" si="512"/>
        <v>46203</v>
      </c>
      <c r="D1275" s="120">
        <f t="shared" si="513"/>
        <v>30</v>
      </c>
      <c r="E1275" s="120">
        <f t="shared" si="514"/>
        <v>6</v>
      </c>
      <c r="F1275" s="275">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0.98648796498905911</v>
      </c>
      <c r="P1275" s="121">
        <f t="shared" si="525"/>
        <v>0.54166666666666663</v>
      </c>
      <c r="Q1275" s="121">
        <f t="shared" si="526"/>
        <v>0.45833333333333337</v>
      </c>
      <c r="R1275" s="121">
        <f t="shared" si="527"/>
        <v>0</v>
      </c>
      <c r="AE1275" s="160">
        <f t="shared" si="528"/>
        <v>1.0062177242888404</v>
      </c>
    </row>
    <row r="1276" spans="1:31" x14ac:dyDescent="0.3">
      <c r="A1276" s="187">
        <v>19</v>
      </c>
      <c r="B1276" s="242">
        <f t="shared" si="529"/>
        <v>46204</v>
      </c>
      <c r="C1276" s="243">
        <f t="shared" si="512"/>
        <v>46234</v>
      </c>
      <c r="D1276" s="120">
        <f t="shared" si="513"/>
        <v>31</v>
      </c>
      <c r="E1276" s="120">
        <f t="shared" si="514"/>
        <v>7</v>
      </c>
      <c r="F1276" s="275">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0.98748905908096285</v>
      </c>
      <c r="P1276" s="121">
        <f t="shared" si="525"/>
        <v>0.45833333333333331</v>
      </c>
      <c r="Q1276" s="121">
        <f t="shared" si="526"/>
        <v>0.54166666666666674</v>
      </c>
      <c r="R1276" s="121">
        <f t="shared" si="527"/>
        <v>0</v>
      </c>
      <c r="AE1276" s="160">
        <f t="shared" si="528"/>
        <v>1.007238840262582</v>
      </c>
    </row>
    <row r="1277" spans="1:31" x14ac:dyDescent="0.3">
      <c r="A1277" s="187">
        <v>20</v>
      </c>
      <c r="B1277" s="242">
        <f t="shared" si="529"/>
        <v>46235</v>
      </c>
      <c r="C1277" s="243">
        <f t="shared" si="512"/>
        <v>46265</v>
      </c>
      <c r="D1277" s="120">
        <f t="shared" si="513"/>
        <v>31</v>
      </c>
      <c r="E1277" s="120">
        <f t="shared" si="514"/>
        <v>8</v>
      </c>
      <c r="F1277" s="275">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0.98850656455142227</v>
      </c>
      <c r="P1277" s="121">
        <f t="shared" si="525"/>
        <v>0.375</v>
      </c>
      <c r="Q1277" s="121">
        <f t="shared" si="526"/>
        <v>0.625</v>
      </c>
      <c r="R1277" s="121">
        <f t="shared" si="527"/>
        <v>0</v>
      </c>
      <c r="AE1277" s="160">
        <f t="shared" si="528"/>
        <v>1.0082766958424507</v>
      </c>
    </row>
    <row r="1278" spans="1:31" x14ac:dyDescent="0.3">
      <c r="A1278" s="187">
        <v>21</v>
      </c>
      <c r="B1278" s="242">
        <f t="shared" si="529"/>
        <v>46266</v>
      </c>
      <c r="C1278" s="243">
        <f t="shared" si="512"/>
        <v>46295</v>
      </c>
      <c r="D1278" s="120">
        <f t="shared" si="513"/>
        <v>30</v>
      </c>
      <c r="E1278" s="120">
        <f t="shared" si="514"/>
        <v>9</v>
      </c>
      <c r="F1278" s="275">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0.98950765864332602</v>
      </c>
      <c r="P1278" s="121">
        <f t="shared" si="525"/>
        <v>0.29166666666666669</v>
      </c>
      <c r="Q1278" s="121">
        <f t="shared" si="526"/>
        <v>0.70833333333333326</v>
      </c>
      <c r="R1278" s="121">
        <f t="shared" si="527"/>
        <v>0</v>
      </c>
      <c r="AE1278" s="160">
        <f t="shared" si="528"/>
        <v>1.0092978118161926</v>
      </c>
    </row>
    <row r="1279" spans="1:31" x14ac:dyDescent="0.3">
      <c r="A1279" s="187">
        <v>22</v>
      </c>
      <c r="B1279" s="242">
        <f t="shared" si="529"/>
        <v>46296</v>
      </c>
      <c r="C1279" s="243">
        <f t="shared" si="512"/>
        <v>46326</v>
      </c>
      <c r="D1279" s="120">
        <f t="shared" si="513"/>
        <v>31</v>
      </c>
      <c r="E1279" s="120">
        <f t="shared" si="514"/>
        <v>10</v>
      </c>
      <c r="F1279" s="275">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0.99050875273522976</v>
      </c>
      <c r="P1279" s="121">
        <f t="shared" si="525"/>
        <v>0.20833333333333334</v>
      </c>
      <c r="Q1279" s="121">
        <f t="shared" si="526"/>
        <v>0.79166666666666663</v>
      </c>
      <c r="R1279" s="121">
        <f t="shared" si="527"/>
        <v>0</v>
      </c>
      <c r="AE1279" s="160">
        <f t="shared" si="528"/>
        <v>1.0103189277899343</v>
      </c>
    </row>
    <row r="1280" spans="1:31" x14ac:dyDescent="0.3">
      <c r="A1280" s="187">
        <v>23</v>
      </c>
      <c r="B1280" s="242">
        <f t="shared" si="529"/>
        <v>46327</v>
      </c>
      <c r="C1280" s="243">
        <f t="shared" si="512"/>
        <v>46356</v>
      </c>
      <c r="D1280" s="120">
        <f t="shared" si="513"/>
        <v>30</v>
      </c>
      <c r="E1280" s="120">
        <f t="shared" si="514"/>
        <v>11</v>
      </c>
      <c r="F1280" s="275">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0.9915098468271335</v>
      </c>
      <c r="P1280" s="121">
        <f t="shared" si="525"/>
        <v>0.125</v>
      </c>
      <c r="Q1280" s="121">
        <f t="shared" si="526"/>
        <v>0.875</v>
      </c>
      <c r="R1280" s="121">
        <f t="shared" si="527"/>
        <v>0</v>
      </c>
      <c r="AE1280" s="160">
        <f t="shared" si="528"/>
        <v>1.0113400437636761</v>
      </c>
    </row>
    <row r="1281" spans="1:35" x14ac:dyDescent="0.3">
      <c r="A1281" s="187">
        <v>24</v>
      </c>
      <c r="B1281" s="242">
        <f t="shared" si="529"/>
        <v>46357</v>
      </c>
      <c r="C1281" s="243">
        <f t="shared" si="512"/>
        <v>46387</v>
      </c>
      <c r="D1281" s="120">
        <f t="shared" si="513"/>
        <v>31</v>
      </c>
      <c r="E1281" s="120">
        <f t="shared" si="514"/>
        <v>12</v>
      </c>
      <c r="F1281" s="275">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0.99251094091903713</v>
      </c>
      <c r="P1281" s="121">
        <f t="shared" si="525"/>
        <v>4.1666666666666664E-2</v>
      </c>
      <c r="Q1281" s="121">
        <f t="shared" si="526"/>
        <v>0.95833333333333337</v>
      </c>
      <c r="R1281" s="121">
        <f t="shared" si="527"/>
        <v>0</v>
      </c>
      <c r="AE1281" s="160">
        <f t="shared" si="528"/>
        <v>1.0123611597374178</v>
      </c>
    </row>
    <row r="1282" spans="1:35" x14ac:dyDescent="0.3">
      <c r="A1282" s="187">
        <v>25</v>
      </c>
      <c r="B1282" s="242">
        <f t="shared" si="529"/>
        <v>46388</v>
      </c>
      <c r="C1282" s="243">
        <f t="shared" si="512"/>
        <v>46418</v>
      </c>
      <c r="D1282" s="120">
        <f t="shared" si="513"/>
        <v>31</v>
      </c>
      <c r="E1282" s="120">
        <f t="shared" si="514"/>
        <v>1</v>
      </c>
      <c r="F1282" s="275">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0.99352844638949667</v>
      </c>
      <c r="P1282" s="121">
        <f t="shared" si="525"/>
        <v>0</v>
      </c>
      <c r="Q1282" s="121">
        <f t="shared" si="526"/>
        <v>0.95833333333333337</v>
      </c>
      <c r="R1282" s="121">
        <f t="shared" si="527"/>
        <v>4.166666666666663E-2</v>
      </c>
      <c r="W1282" s="160">
        <f t="shared" ref="W1282:W1293" si="530">IF($G1282&lt;&gt;$Q$1255,$N1282,(1-$U$1255)*$I1282+$U$1255*$J1282)</f>
        <v>1.02</v>
      </c>
      <c r="X1282" s="160">
        <f t="shared" ref="X1282:X1293" si="531">IF($G1282&lt;$Q$1255,0,IF($G1282&gt;$Q$1255,$N1282,$U$1255*$J1282))</f>
        <v>0</v>
      </c>
      <c r="Y1282" s="160">
        <f t="shared" ref="Y1282:Y1293" si="532">IF($F$1255=1,$O1282/$O1270,1)</f>
        <v>1.0122055209082246</v>
      </c>
      <c r="AB1282" s="160">
        <f t="shared" ref="AB1282:AB1293" si="533">IF(AND(N($K$1255)&lt;&gt;0,$F1282&lt;=$B$1256),0,($F1282-$B$1256)/($C$1256-$B$1256))</f>
        <v>0.23522975929978118</v>
      </c>
      <c r="AC1282" s="220">
        <f t="shared" ref="AC1282:AC1293" si="534">IF(AND(N($K$1255)&lt;&gt;0,$F1282&lt;=$B$1256),$O1282,$F$1256*(1-$AB1282))</f>
        <v>0.75712253829321663</v>
      </c>
      <c r="AD1282" s="160">
        <f t="shared" ref="AD1282:AD1293" si="535">$H1282*($W1282+$X1282*IF(ISNUMBER($F$1306),$F$1306,0))/($N1270*$O1270)</f>
        <v>1.0187987315175531</v>
      </c>
      <c r="AE1282" s="160">
        <f t="shared" si="528"/>
        <v>1.0133990153172867</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5">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0.99449671772428883</v>
      </c>
      <c r="P1283" s="121">
        <f t="shared" si="525"/>
        <v>0</v>
      </c>
      <c r="Q1283" s="121">
        <f t="shared" si="526"/>
        <v>0.875</v>
      </c>
      <c r="R1283" s="121">
        <f t="shared" si="527"/>
        <v>0.125</v>
      </c>
      <c r="W1283" s="160">
        <f t="shared" si="530"/>
        <v>1.02</v>
      </c>
      <c r="X1283" s="160">
        <f t="shared" si="531"/>
        <v>0</v>
      </c>
      <c r="Y1283" s="160">
        <f t="shared" si="532"/>
        <v>1.0121934923498364</v>
      </c>
      <c r="AB1283" s="160">
        <f t="shared" si="533"/>
        <v>0.29978118161925604</v>
      </c>
      <c r="AC1283" s="220">
        <f t="shared" si="534"/>
        <v>0.69321663019693647</v>
      </c>
      <c r="AD1283" s="160">
        <f t="shared" si="535"/>
        <v>1.0177947039041446</v>
      </c>
      <c r="AE1283" s="160">
        <f t="shared" si="528"/>
        <v>1.0143866520787745</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5">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0.99546498905908087</v>
      </c>
      <c r="P1284" s="121">
        <f t="shared" si="525"/>
        <v>0</v>
      </c>
      <c r="Q1284" s="121">
        <f t="shared" si="526"/>
        <v>0.79166666666666663</v>
      </c>
      <c r="R1284" s="121">
        <f t="shared" si="527"/>
        <v>0.20833333333333337</v>
      </c>
      <c r="W1284" s="160">
        <f t="shared" si="530"/>
        <v>1.02</v>
      </c>
      <c r="X1284" s="160">
        <f t="shared" si="531"/>
        <v>0</v>
      </c>
      <c r="Y1284" s="160">
        <f t="shared" si="532"/>
        <v>1.0121814874764294</v>
      </c>
      <c r="AB1284" s="160">
        <f t="shared" si="533"/>
        <v>0.36433260393873085</v>
      </c>
      <c r="AC1284" s="220">
        <f t="shared" si="534"/>
        <v>0.62931072210065642</v>
      </c>
      <c r="AD1284" s="160">
        <f t="shared" si="535"/>
        <v>1.0167926532837173</v>
      </c>
      <c r="AE1284" s="160">
        <f t="shared" si="528"/>
        <v>1.0153742888402626</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5">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0.99646608315098462</v>
      </c>
      <c r="P1285" s="121">
        <f t="shared" si="525"/>
        <v>0</v>
      </c>
      <c r="Q1285" s="121">
        <f t="shared" si="526"/>
        <v>0.70833333333333337</v>
      </c>
      <c r="R1285" s="121">
        <f t="shared" si="527"/>
        <v>0.29166666666666663</v>
      </c>
      <c r="W1285" s="160">
        <f t="shared" si="530"/>
        <v>1.02</v>
      </c>
      <c r="X1285" s="160">
        <f t="shared" si="531"/>
        <v>1.02</v>
      </c>
      <c r="Y1285" s="160">
        <f t="shared" si="532"/>
        <v>1.0121691004867639</v>
      </c>
      <c r="AB1285" s="160">
        <f t="shared" si="533"/>
        <v>0.4310722100656455</v>
      </c>
      <c r="AC1285" s="220">
        <f t="shared" si="534"/>
        <v>0.56323851203501096</v>
      </c>
      <c r="AD1285" s="160">
        <f t="shared" si="535"/>
        <v>1.0157587072970151</v>
      </c>
      <c r="AE1285" s="160">
        <f t="shared" si="528"/>
        <v>1.0163954048140043</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5">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0.99746717724288836</v>
      </c>
      <c r="P1286" s="121">
        <f t="shared" si="525"/>
        <v>0</v>
      </c>
      <c r="Q1286" s="121">
        <f t="shared" si="526"/>
        <v>0.625</v>
      </c>
      <c r="R1286" s="121">
        <f t="shared" si="527"/>
        <v>0.375</v>
      </c>
      <c r="W1286" s="160">
        <f t="shared" si="530"/>
        <v>1.02</v>
      </c>
      <c r="X1286" s="160">
        <f t="shared" si="531"/>
        <v>1.02</v>
      </c>
      <c r="Y1286" s="160">
        <f t="shared" si="532"/>
        <v>1.0121567386634249</v>
      </c>
      <c r="AB1286" s="160">
        <f t="shared" si="533"/>
        <v>0.49781181619256015</v>
      </c>
      <c r="AC1286" s="220">
        <f t="shared" si="534"/>
        <v>0.4971663019693654</v>
      </c>
      <c r="AD1286" s="160">
        <f t="shared" si="535"/>
        <v>1.0147268619516283</v>
      </c>
      <c r="AE1286" s="160">
        <f t="shared" si="528"/>
        <v>1.0174165207877461</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5">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0.9984682713347921</v>
      </c>
      <c r="P1287" s="121">
        <f t="shared" si="525"/>
        <v>0</v>
      </c>
      <c r="Q1287" s="121">
        <f t="shared" si="526"/>
        <v>0.54166666666666663</v>
      </c>
      <c r="R1287" s="121">
        <f t="shared" si="527"/>
        <v>0.45833333333333337</v>
      </c>
      <c r="W1287" s="160">
        <f t="shared" si="530"/>
        <v>1.02</v>
      </c>
      <c r="X1287" s="160">
        <f t="shared" si="531"/>
        <v>1.02</v>
      </c>
      <c r="Y1287" s="160">
        <f t="shared" si="532"/>
        <v>1.0121444019297954</v>
      </c>
      <c r="AB1287" s="160">
        <f t="shared" si="533"/>
        <v>0.56455142231947486</v>
      </c>
      <c r="AC1287" s="220">
        <f t="shared" si="534"/>
        <v>0.43109409190371989</v>
      </c>
      <c r="AD1287" s="160">
        <f t="shared" si="535"/>
        <v>1.0136971108523263</v>
      </c>
      <c r="AE1287" s="160">
        <f t="shared" si="528"/>
        <v>1.018437636761488</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5">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0.99946936542669573</v>
      </c>
      <c r="P1288" s="121">
        <f t="shared" si="525"/>
        <v>0</v>
      </c>
      <c r="Q1288" s="121">
        <f t="shared" si="526"/>
        <v>0.45833333333333331</v>
      </c>
      <c r="R1288" s="121">
        <f t="shared" si="527"/>
        <v>0.54166666666666674</v>
      </c>
      <c r="W1288" s="160">
        <f t="shared" si="530"/>
        <v>1.02</v>
      </c>
      <c r="X1288" s="160">
        <f t="shared" si="531"/>
        <v>1.02</v>
      </c>
      <c r="Y1288" s="160">
        <f t="shared" si="532"/>
        <v>1.0121320902095692</v>
      </c>
      <c r="AB1288" s="160">
        <f t="shared" si="533"/>
        <v>0.63129102844638951</v>
      </c>
      <c r="AC1288" s="220">
        <f t="shared" si="534"/>
        <v>0.36502188183807438</v>
      </c>
      <c r="AD1288" s="160">
        <f t="shared" si="535"/>
        <v>1.0126694476298106</v>
      </c>
      <c r="AE1288" s="160">
        <f t="shared" si="528"/>
        <v>1.0194587527352297</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5">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1.0004868708971553</v>
      </c>
      <c r="P1289" s="121">
        <f t="shared" si="525"/>
        <v>0</v>
      </c>
      <c r="Q1289" s="121">
        <f t="shared" si="526"/>
        <v>0.375</v>
      </c>
      <c r="R1289" s="121">
        <f t="shared" si="527"/>
        <v>0.625</v>
      </c>
      <c r="W1289" s="160">
        <f t="shared" si="530"/>
        <v>1.02</v>
      </c>
      <c r="X1289" s="160">
        <f t="shared" si="531"/>
        <v>1.02</v>
      </c>
      <c r="Y1289" s="160">
        <f t="shared" si="532"/>
        <v>1.0121196022114123</v>
      </c>
      <c r="AB1289" s="160">
        <f t="shared" si="533"/>
        <v>0.69912472647702406</v>
      </c>
      <c r="AC1289" s="220">
        <f t="shared" si="534"/>
        <v>0.29786652078774617</v>
      </c>
      <c r="AD1289" s="160">
        <f t="shared" si="535"/>
        <v>1.0116270704320445</v>
      </c>
      <c r="AE1289" s="160">
        <f t="shared" si="528"/>
        <v>1.0204966083150984</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5">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1.0014879649890589</v>
      </c>
      <c r="P1290" s="121">
        <f t="shared" si="525"/>
        <v>0</v>
      </c>
      <c r="Q1290" s="121">
        <f t="shared" si="526"/>
        <v>0.29166666666666669</v>
      </c>
      <c r="R1290" s="121">
        <f t="shared" si="527"/>
        <v>0.70833333333333326</v>
      </c>
      <c r="W1290" s="160">
        <f t="shared" si="530"/>
        <v>1.02</v>
      </c>
      <c r="X1290" s="160">
        <f t="shared" si="531"/>
        <v>1.02</v>
      </c>
      <c r="Y1290" s="160">
        <f t="shared" si="532"/>
        <v>1.0121073406972501</v>
      </c>
      <c r="AB1290" s="160">
        <f t="shared" si="533"/>
        <v>0.76586433260393871</v>
      </c>
      <c r="AC1290" s="220">
        <f t="shared" si="534"/>
        <v>0.23179431072210066</v>
      </c>
      <c r="AD1290" s="160">
        <f t="shared" si="535"/>
        <v>1.0106035979257195</v>
      </c>
      <c r="AE1290" s="160">
        <f t="shared" si="528"/>
        <v>1.02151772428884</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5">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1.0024890590809628</v>
      </c>
      <c r="P1291" s="121">
        <f t="shared" si="525"/>
        <v>0</v>
      </c>
      <c r="Q1291" s="121">
        <f t="shared" si="526"/>
        <v>0.20833333333333334</v>
      </c>
      <c r="R1291" s="121">
        <f t="shared" si="527"/>
        <v>0.79166666666666663</v>
      </c>
      <c r="W1291" s="160">
        <f t="shared" si="530"/>
        <v>1.02</v>
      </c>
      <c r="X1291" s="160">
        <f t="shared" si="531"/>
        <v>1.02</v>
      </c>
      <c r="Y1291" s="160">
        <f t="shared" si="532"/>
        <v>1.0120951039681882</v>
      </c>
      <c r="AB1291" s="160">
        <f t="shared" si="533"/>
        <v>0.83260393873085337</v>
      </c>
      <c r="AC1291" s="220">
        <f t="shared" si="534"/>
        <v>0.16572210065645518</v>
      </c>
      <c r="AD1291" s="160">
        <f t="shared" si="535"/>
        <v>1.0095821942396379</v>
      </c>
      <c r="AE1291" s="160">
        <f t="shared" si="528"/>
        <v>1.0225388402625821</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5">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1.0034901531728664</v>
      </c>
      <c r="P1292" s="121">
        <f t="shared" si="525"/>
        <v>0</v>
      </c>
      <c r="Q1292" s="121">
        <f t="shared" si="526"/>
        <v>0.125</v>
      </c>
      <c r="R1292" s="121">
        <f t="shared" si="527"/>
        <v>0.875</v>
      </c>
      <c r="W1292" s="160">
        <f t="shared" si="530"/>
        <v>1.02</v>
      </c>
      <c r="X1292" s="160">
        <f t="shared" si="531"/>
        <v>1.02</v>
      </c>
      <c r="Y1292" s="160">
        <f t="shared" si="532"/>
        <v>1.0120828919491525</v>
      </c>
      <c r="AB1292" s="160">
        <f t="shared" si="533"/>
        <v>0.89934354485776802</v>
      </c>
      <c r="AC1292" s="220">
        <f t="shared" si="534"/>
        <v>9.9649890590809656E-2</v>
      </c>
      <c r="AD1292" s="160">
        <f t="shared" si="535"/>
        <v>1.0085628531073447</v>
      </c>
      <c r="AE1292" s="160">
        <f t="shared" si="528"/>
        <v>1.0235599562363238</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5">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1.0044912472647702</v>
      </c>
      <c r="P1293" s="121">
        <f t="shared" si="525"/>
        <v>0</v>
      </c>
      <c r="Q1293" s="121">
        <f t="shared" si="526"/>
        <v>4.1666666666666664E-2</v>
      </c>
      <c r="R1293" s="121">
        <f t="shared" si="527"/>
        <v>0.95833333333333337</v>
      </c>
      <c r="W1293" s="160">
        <f t="shared" si="530"/>
        <v>1.02</v>
      </c>
      <c r="X1293" s="160">
        <f t="shared" si="531"/>
        <v>1.02</v>
      </c>
      <c r="Y1293" s="160">
        <f t="shared" si="532"/>
        <v>1.0120707045653721</v>
      </c>
      <c r="AB1293" s="160">
        <f t="shared" si="533"/>
        <v>0.96608315098468267</v>
      </c>
      <c r="AC1293" s="220">
        <f t="shared" si="534"/>
        <v>3.3577680525164154E-2</v>
      </c>
      <c r="AD1293" s="160">
        <f t="shared" si="535"/>
        <v>1.0075455682876688</v>
      </c>
      <c r="AE1293" s="160">
        <f t="shared" si="528"/>
        <v>1.0245810722100654</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5">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1.0049999999999999</v>
      </c>
      <c r="P1294" s="121">
        <f t="shared" si="525"/>
        <v>0</v>
      </c>
      <c r="Q1294" s="121">
        <f t="shared" si="526"/>
        <v>0</v>
      </c>
      <c r="R1294" s="121">
        <f t="shared" si="527"/>
        <v>0.95833333333333337</v>
      </c>
      <c r="AE1294" s="160">
        <f t="shared" si="528"/>
        <v>1.0250999999999999</v>
      </c>
    </row>
    <row r="1295" spans="1:35" x14ac:dyDescent="0.3">
      <c r="A1295" s="187">
        <v>38</v>
      </c>
      <c r="B1295" s="242">
        <f t="shared" si="529"/>
        <v>46784</v>
      </c>
      <c r="C1295" s="243">
        <f t="shared" si="512"/>
        <v>46812</v>
      </c>
      <c r="D1295" s="120">
        <f t="shared" si="513"/>
        <v>29</v>
      </c>
      <c r="E1295" s="120">
        <f t="shared" si="514"/>
        <v>2</v>
      </c>
      <c r="F1295" s="275">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1.0049999999999999</v>
      </c>
      <c r="P1295" s="121">
        <f t="shared" si="525"/>
        <v>0</v>
      </c>
      <c r="Q1295" s="121">
        <f t="shared" si="526"/>
        <v>0</v>
      </c>
      <c r="R1295" s="121">
        <f t="shared" si="527"/>
        <v>0.875</v>
      </c>
      <c r="AE1295" s="160">
        <f t="shared" si="528"/>
        <v>1.0250999999999999</v>
      </c>
    </row>
    <row r="1296" spans="1:35" x14ac:dyDescent="0.3">
      <c r="A1296" s="187">
        <v>39</v>
      </c>
      <c r="B1296" s="242">
        <f t="shared" si="529"/>
        <v>46813</v>
      </c>
      <c r="C1296" s="243">
        <f t="shared" si="512"/>
        <v>46843</v>
      </c>
      <c r="D1296" s="120">
        <f t="shared" si="513"/>
        <v>31</v>
      </c>
      <c r="E1296" s="120">
        <f t="shared" si="514"/>
        <v>3</v>
      </c>
      <c r="F1296" s="275">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1.0049999999999999</v>
      </c>
      <c r="P1296" s="121">
        <f t="shared" si="525"/>
        <v>0</v>
      </c>
      <c r="Q1296" s="121">
        <f t="shared" si="526"/>
        <v>0</v>
      </c>
      <c r="R1296" s="121">
        <f t="shared" si="527"/>
        <v>0.79166666666666663</v>
      </c>
      <c r="AE1296" s="160">
        <f t="shared" si="528"/>
        <v>1.0250999999999999</v>
      </c>
    </row>
    <row r="1297" spans="1:31" x14ac:dyDescent="0.3">
      <c r="A1297" s="187">
        <v>40</v>
      </c>
      <c r="B1297" s="242">
        <f t="shared" si="529"/>
        <v>46844</v>
      </c>
      <c r="C1297" s="243">
        <f t="shared" si="512"/>
        <v>46873</v>
      </c>
      <c r="D1297" s="120">
        <f t="shared" si="513"/>
        <v>30</v>
      </c>
      <c r="E1297" s="120">
        <f t="shared" si="514"/>
        <v>4</v>
      </c>
      <c r="F1297" s="275">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1.0049999999999999</v>
      </c>
      <c r="P1297" s="121">
        <f t="shared" si="525"/>
        <v>0</v>
      </c>
      <c r="Q1297" s="121">
        <f t="shared" si="526"/>
        <v>0</v>
      </c>
      <c r="R1297" s="121">
        <f t="shared" si="527"/>
        <v>0.70833333333333337</v>
      </c>
      <c r="AE1297" s="160">
        <f t="shared" si="528"/>
        <v>1.0250999999999999</v>
      </c>
    </row>
    <row r="1298" spans="1:31" x14ac:dyDescent="0.3">
      <c r="A1298" s="187">
        <v>41</v>
      </c>
      <c r="B1298" s="242">
        <f t="shared" si="529"/>
        <v>46874</v>
      </c>
      <c r="C1298" s="243">
        <f t="shared" si="512"/>
        <v>46904</v>
      </c>
      <c r="D1298" s="120">
        <f t="shared" si="513"/>
        <v>31</v>
      </c>
      <c r="E1298" s="120">
        <f t="shared" si="514"/>
        <v>5</v>
      </c>
      <c r="F1298" s="275">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1.0049999999999999</v>
      </c>
      <c r="P1298" s="121">
        <f t="shared" si="525"/>
        <v>0</v>
      </c>
      <c r="Q1298" s="121">
        <f t="shared" si="526"/>
        <v>0</v>
      </c>
      <c r="R1298" s="121">
        <f t="shared" si="527"/>
        <v>0.625</v>
      </c>
      <c r="AE1298" s="160">
        <f t="shared" si="528"/>
        <v>1.0250999999999999</v>
      </c>
    </row>
    <row r="1299" spans="1:31" x14ac:dyDescent="0.3">
      <c r="A1299" s="187">
        <v>42</v>
      </c>
      <c r="B1299" s="242">
        <f t="shared" si="529"/>
        <v>46905</v>
      </c>
      <c r="C1299" s="243">
        <f t="shared" si="512"/>
        <v>46934</v>
      </c>
      <c r="D1299" s="120">
        <f t="shared" si="513"/>
        <v>30</v>
      </c>
      <c r="E1299" s="120">
        <f t="shared" si="514"/>
        <v>6</v>
      </c>
      <c r="F1299" s="275">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1.0049999999999999</v>
      </c>
      <c r="P1299" s="121">
        <f t="shared" si="525"/>
        <v>0</v>
      </c>
      <c r="Q1299" s="121">
        <f t="shared" si="526"/>
        <v>0</v>
      </c>
      <c r="R1299" s="121">
        <f t="shared" si="527"/>
        <v>0.54166666666666663</v>
      </c>
      <c r="AE1299" s="160">
        <f t="shared" si="528"/>
        <v>1.0250999999999999</v>
      </c>
    </row>
    <row r="1300" spans="1:31" x14ac:dyDescent="0.3">
      <c r="A1300" s="187">
        <v>43</v>
      </c>
      <c r="B1300" s="242">
        <f t="shared" si="529"/>
        <v>46935</v>
      </c>
      <c r="C1300" s="243">
        <f t="shared" si="512"/>
        <v>46965</v>
      </c>
      <c r="D1300" s="120">
        <f t="shared" si="513"/>
        <v>31</v>
      </c>
      <c r="E1300" s="120">
        <f t="shared" si="514"/>
        <v>7</v>
      </c>
      <c r="F1300" s="275">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1.0049999999999999</v>
      </c>
      <c r="P1300" s="121">
        <f t="shared" si="525"/>
        <v>0</v>
      </c>
      <c r="Q1300" s="121">
        <f t="shared" si="526"/>
        <v>0</v>
      </c>
      <c r="R1300" s="121">
        <f t="shared" si="527"/>
        <v>0.45833333333333331</v>
      </c>
      <c r="AE1300" s="160">
        <f t="shared" si="528"/>
        <v>1.0250999999999999</v>
      </c>
    </row>
    <row r="1301" spans="1:31" x14ac:dyDescent="0.3">
      <c r="A1301" s="187">
        <v>44</v>
      </c>
      <c r="B1301" s="242">
        <f t="shared" si="529"/>
        <v>46966</v>
      </c>
      <c r="C1301" s="243">
        <f t="shared" si="512"/>
        <v>46996</v>
      </c>
      <c r="D1301" s="120">
        <f t="shared" si="513"/>
        <v>31</v>
      </c>
      <c r="E1301" s="120">
        <f t="shared" si="514"/>
        <v>8</v>
      </c>
      <c r="F1301" s="275">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1.0049999999999999</v>
      </c>
      <c r="P1301" s="121">
        <f t="shared" si="525"/>
        <v>0</v>
      </c>
      <c r="Q1301" s="121">
        <f t="shared" si="526"/>
        <v>0</v>
      </c>
      <c r="R1301" s="121">
        <f t="shared" si="527"/>
        <v>0.375</v>
      </c>
      <c r="AE1301" s="160">
        <f t="shared" si="528"/>
        <v>1.0250999999999999</v>
      </c>
    </row>
    <row r="1302" spans="1:31" x14ac:dyDescent="0.3">
      <c r="A1302" s="187">
        <v>45</v>
      </c>
      <c r="B1302" s="242">
        <f t="shared" si="529"/>
        <v>46997</v>
      </c>
      <c r="C1302" s="243">
        <f t="shared" si="512"/>
        <v>47026</v>
      </c>
      <c r="D1302" s="120">
        <f t="shared" si="513"/>
        <v>30</v>
      </c>
      <c r="E1302" s="120">
        <f t="shared" si="514"/>
        <v>9</v>
      </c>
      <c r="F1302" s="275">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1.0049999999999999</v>
      </c>
      <c r="P1302" s="121">
        <f t="shared" si="525"/>
        <v>0</v>
      </c>
      <c r="Q1302" s="121">
        <f t="shared" si="526"/>
        <v>0</v>
      </c>
      <c r="R1302" s="121">
        <f t="shared" si="527"/>
        <v>0.29166666666666669</v>
      </c>
      <c r="AE1302" s="160">
        <f t="shared" si="528"/>
        <v>1.0250999999999999</v>
      </c>
    </row>
    <row r="1303" spans="1:31" x14ac:dyDescent="0.3">
      <c r="A1303" s="187">
        <v>46</v>
      </c>
      <c r="B1303" s="242">
        <f t="shared" si="529"/>
        <v>47027</v>
      </c>
      <c r="C1303" s="243">
        <f t="shared" si="512"/>
        <v>47057</v>
      </c>
      <c r="D1303" s="120">
        <f t="shared" si="513"/>
        <v>31</v>
      </c>
      <c r="E1303" s="120">
        <f t="shared" si="514"/>
        <v>10</v>
      </c>
      <c r="F1303" s="275">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1.0049999999999999</v>
      </c>
      <c r="P1303" s="121">
        <f t="shared" si="525"/>
        <v>0</v>
      </c>
      <c r="Q1303" s="121">
        <f t="shared" si="526"/>
        <v>0</v>
      </c>
      <c r="R1303" s="121">
        <f t="shared" si="527"/>
        <v>0.20833333333333334</v>
      </c>
      <c r="AE1303" s="160">
        <f t="shared" si="528"/>
        <v>1.0250999999999999</v>
      </c>
    </row>
    <row r="1304" spans="1:31" x14ac:dyDescent="0.3">
      <c r="A1304" s="187">
        <v>47</v>
      </c>
      <c r="B1304" s="242">
        <f t="shared" si="529"/>
        <v>47058</v>
      </c>
      <c r="C1304" s="243">
        <f t="shared" si="512"/>
        <v>47087</v>
      </c>
      <c r="D1304" s="120">
        <f t="shared" si="513"/>
        <v>30</v>
      </c>
      <c r="E1304" s="120">
        <f t="shared" si="514"/>
        <v>11</v>
      </c>
      <c r="F1304" s="275">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1.0049999999999999</v>
      </c>
      <c r="P1304" s="121">
        <f t="shared" si="525"/>
        <v>0</v>
      </c>
      <c r="Q1304" s="121">
        <f t="shared" si="526"/>
        <v>0</v>
      </c>
      <c r="R1304" s="121">
        <f t="shared" si="527"/>
        <v>0.125</v>
      </c>
      <c r="AE1304" s="160">
        <f t="shared" si="528"/>
        <v>1.0250999999999999</v>
      </c>
    </row>
    <row r="1305" spans="1:31" x14ac:dyDescent="0.3">
      <c r="A1305" s="187">
        <v>48</v>
      </c>
      <c r="B1305" s="242">
        <f t="shared" si="529"/>
        <v>47088</v>
      </c>
      <c r="C1305" s="243">
        <f t="shared" si="512"/>
        <v>47118</v>
      </c>
      <c r="D1305" s="120">
        <f t="shared" si="513"/>
        <v>31</v>
      </c>
      <c r="E1305" s="120">
        <f t="shared" si="514"/>
        <v>12</v>
      </c>
      <c r="F1305" s="275">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1.0049999999999999</v>
      </c>
      <c r="P1305" s="121">
        <f t="shared" si="525"/>
        <v>0</v>
      </c>
      <c r="Q1305" s="121">
        <f t="shared" si="526"/>
        <v>0</v>
      </c>
      <c r="R1305" s="121">
        <f t="shared" si="527"/>
        <v>4.1666666666666664E-2</v>
      </c>
      <c r="AE1305" s="160">
        <f t="shared" si="528"/>
        <v>1.0250999999999999</v>
      </c>
    </row>
    <row r="1306" spans="1:31" x14ac:dyDescent="0.3">
      <c r="A1306" s="23" t="s">
        <v>1723</v>
      </c>
      <c r="B1306" s="279">
        <f>SUM($H$1282:$H$1293)</f>
        <v>12</v>
      </c>
      <c r="C1306" s="160">
        <f>SUMPRODUCT($H$1282:$H$1293,$W$1282:$W$1293/$N$1270:$N$1281,$Y$1282:$Y$1293)</f>
        <v>12.145658475415418</v>
      </c>
      <c r="D1306" s="160">
        <f>SUMPRODUCT($H$1282:$H$1293,$X$1282:$X$1293/$N$1270:$N$1281,$Y$1282:$Y$1293)</f>
        <v>9.1090779746809289</v>
      </c>
      <c r="E1306" s="281" t="str">
        <f>IF(OR($D$1255=0,$P$1255=0,$D1306=0),"n/a",((1+$E$1255)*$B1306-$C1306)/$D1306)</f>
        <v>n/a</v>
      </c>
      <c r="F1306" s="281" t="str">
        <f>IF($V$1255&lt;&gt;"",$V$1255,$E1306)</f>
        <v>n/a</v>
      </c>
      <c r="G1306" s="281"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2">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1</v>
      </c>
      <c r="H1311" s="220">
        <f>IF($C1311=0,1,IF(N(INDEX(lr_m0,$C1311))=0,1,INDEX(lr_m0,$C1311)))</f>
        <v>0.99</v>
      </c>
      <c r="I1311" s="278">
        <f>IF($C1311=0,DATE(nr_PlanYear-1,10,1),IF(N(INDEX(lr_m0asof,$C1311))=0,DATE(nr_PlanYear-1,10,1),INDEX(lr_m0asof,$C1311)))</f>
        <v>46295</v>
      </c>
      <c r="J1311" s="220">
        <f>IF($C1311=0,1,IF(N(INDEX(lr_m1,$C1311))=0,1,INDEX(lr_m1,$C1311)))</f>
        <v>0.98499999999999999</v>
      </c>
      <c r="K1311" s="220">
        <f>IF($C1311=0,0,N(INDEX(lr_mprior,$C1311)))</f>
        <v>0</v>
      </c>
      <c r="L1311" s="220">
        <f>IF($C1311=0,0,N(INDEX(lr_m2,$C1311)))</f>
        <v>0</v>
      </c>
      <c r="M1311" s="43">
        <f>IF(OR($A1311="",COUNTIF(se_state,$A1311)=0),0,MATCH($A1311,se_state,0))</f>
        <v>0</v>
      </c>
      <c r="N1311" s="279">
        <f>IF($M1311=0,0,INDEX(se_sum,$M1311))</f>
        <v>0</v>
      </c>
      <c r="O1311" s="278">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80">
        <f>IF(ISBLANK('Net Delivery'!$E$28),$Y1311,'Net Delivery'!$E$28)</f>
        <v>0.04</v>
      </c>
      <c r="W1311" s="43">
        <f>IF($B1311="",0,COUNTIFS(rl_key,$B1311,rl_status,"planned",rl_eff,"&gt;="&amp;DATE(nr_PlanYear,1,1),rl_eff,"&lt;="&amp;DATE(nr_PlanYear,12,31)))</f>
        <v>1</v>
      </c>
      <c r="X1311" s="278">
        <f>IF($W1311=0,nd_DefaultDate,SUMIFS(rl_eff,rl_key,$B1311,rl_firstplanned,1))</f>
        <v>46419</v>
      </c>
      <c r="Y1311" s="280">
        <f>IF($W1311=0,"",SUMIFS(rl_reff,rl_key,$B1311,rl_firstplanned,1))</f>
        <v>0.04</v>
      </c>
      <c r="Z1311" s="280">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5">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0.99681072210065647</v>
      </c>
      <c r="P1314" s="121">
        <f t="shared" ref="P1314:P1361" si="553">MIN(1,MAX(0,(nr_MEndPm1-$G1314+0.5)/nr_TermMonths))-MIN(1,MAX(0,(nr_MStartPm1-1-$G1314+0.5)/nr_TermMonths))</f>
        <v>4.166666666666663E-2</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0.99681072210065647</v>
      </c>
    </row>
    <row r="1315" spans="1:31" x14ac:dyDescent="0.3">
      <c r="A1315" s="187">
        <v>2</v>
      </c>
      <c r="B1315" s="242">
        <f t="shared" ref="B1315:B1361" si="557">EDATE($B1314,1)</f>
        <v>45689</v>
      </c>
      <c r="C1315" s="243">
        <f t="shared" si="540"/>
        <v>45716</v>
      </c>
      <c r="D1315" s="120">
        <f t="shared" si="541"/>
        <v>28</v>
      </c>
      <c r="E1315" s="120">
        <f t="shared" si="542"/>
        <v>2</v>
      </c>
      <c r="F1315" s="275">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0.99648796498905901</v>
      </c>
      <c r="P1315" s="121">
        <f t="shared" si="553"/>
        <v>0.125</v>
      </c>
      <c r="Q1315" s="121">
        <f t="shared" si="554"/>
        <v>0</v>
      </c>
      <c r="R1315" s="121">
        <f t="shared" si="555"/>
        <v>0</v>
      </c>
      <c r="AE1315" s="160">
        <f t="shared" si="556"/>
        <v>0.99648796498905901</v>
      </c>
    </row>
    <row r="1316" spans="1:31" x14ac:dyDescent="0.3">
      <c r="A1316" s="187">
        <v>3</v>
      </c>
      <c r="B1316" s="242">
        <f t="shared" si="557"/>
        <v>45717</v>
      </c>
      <c r="C1316" s="243">
        <f t="shared" si="540"/>
        <v>45747</v>
      </c>
      <c r="D1316" s="120">
        <f t="shared" si="541"/>
        <v>31</v>
      </c>
      <c r="E1316" s="120">
        <f t="shared" si="542"/>
        <v>3</v>
      </c>
      <c r="F1316" s="275">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0.99616520787746166</v>
      </c>
      <c r="P1316" s="121">
        <f t="shared" si="553"/>
        <v>0.20833333333333337</v>
      </c>
      <c r="Q1316" s="121">
        <f t="shared" si="554"/>
        <v>0</v>
      </c>
      <c r="R1316" s="121">
        <f t="shared" si="555"/>
        <v>0</v>
      </c>
      <c r="AE1316" s="160">
        <f t="shared" si="556"/>
        <v>0.99616520787746166</v>
      </c>
    </row>
    <row r="1317" spans="1:31" x14ac:dyDescent="0.3">
      <c r="A1317" s="187">
        <v>4</v>
      </c>
      <c r="B1317" s="242">
        <f t="shared" si="557"/>
        <v>45748</v>
      </c>
      <c r="C1317" s="243">
        <f t="shared" si="540"/>
        <v>45777</v>
      </c>
      <c r="D1317" s="120">
        <f t="shared" si="541"/>
        <v>30</v>
      </c>
      <c r="E1317" s="120">
        <f t="shared" si="542"/>
        <v>4</v>
      </c>
      <c r="F1317" s="275">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0.99583150984682711</v>
      </c>
      <c r="P1317" s="121">
        <f t="shared" si="553"/>
        <v>0.29166666666666663</v>
      </c>
      <c r="Q1317" s="121">
        <f t="shared" si="554"/>
        <v>0</v>
      </c>
      <c r="R1317" s="121">
        <f t="shared" si="555"/>
        <v>0</v>
      </c>
      <c r="AE1317" s="160">
        <f t="shared" si="556"/>
        <v>0.99583150984682711</v>
      </c>
    </row>
    <row r="1318" spans="1:31" x14ac:dyDescent="0.3">
      <c r="A1318" s="187">
        <v>5</v>
      </c>
      <c r="B1318" s="242">
        <f t="shared" si="557"/>
        <v>45778</v>
      </c>
      <c r="C1318" s="243">
        <f t="shared" si="540"/>
        <v>45808</v>
      </c>
      <c r="D1318" s="120">
        <f t="shared" si="541"/>
        <v>31</v>
      </c>
      <c r="E1318" s="120">
        <f t="shared" si="542"/>
        <v>5</v>
      </c>
      <c r="F1318" s="275">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0.99549781181619257</v>
      </c>
      <c r="P1318" s="121">
        <f t="shared" si="553"/>
        <v>0.375</v>
      </c>
      <c r="Q1318" s="121">
        <f t="shared" si="554"/>
        <v>0</v>
      </c>
      <c r="R1318" s="121">
        <f t="shared" si="555"/>
        <v>0</v>
      </c>
      <c r="AE1318" s="160">
        <f t="shared" si="556"/>
        <v>0.99549781181619257</v>
      </c>
    </row>
    <row r="1319" spans="1:31" x14ac:dyDescent="0.3">
      <c r="A1319" s="187">
        <v>6</v>
      </c>
      <c r="B1319" s="242">
        <f t="shared" si="557"/>
        <v>45809</v>
      </c>
      <c r="C1319" s="243">
        <f t="shared" si="540"/>
        <v>45838</v>
      </c>
      <c r="D1319" s="120">
        <f t="shared" si="541"/>
        <v>30</v>
      </c>
      <c r="E1319" s="120">
        <f t="shared" si="542"/>
        <v>6</v>
      </c>
      <c r="F1319" s="275">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0.99516411378555791</v>
      </c>
      <c r="P1319" s="121">
        <f t="shared" si="553"/>
        <v>0.45833333333333337</v>
      </c>
      <c r="Q1319" s="121">
        <f t="shared" si="554"/>
        <v>0</v>
      </c>
      <c r="R1319" s="121">
        <f t="shared" si="555"/>
        <v>0</v>
      </c>
      <c r="AE1319" s="160">
        <f t="shared" si="556"/>
        <v>0.99516411378555791</v>
      </c>
    </row>
    <row r="1320" spans="1:31" x14ac:dyDescent="0.3">
      <c r="A1320" s="187">
        <v>7</v>
      </c>
      <c r="B1320" s="242">
        <f t="shared" si="557"/>
        <v>45839</v>
      </c>
      <c r="C1320" s="243">
        <f t="shared" si="540"/>
        <v>45869</v>
      </c>
      <c r="D1320" s="120">
        <f t="shared" si="541"/>
        <v>31</v>
      </c>
      <c r="E1320" s="120">
        <f t="shared" si="542"/>
        <v>7</v>
      </c>
      <c r="F1320" s="275">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0.99483041575492337</v>
      </c>
      <c r="P1320" s="121">
        <f t="shared" si="553"/>
        <v>0.54166666666666674</v>
      </c>
      <c r="Q1320" s="121">
        <f t="shared" si="554"/>
        <v>0</v>
      </c>
      <c r="R1320" s="121">
        <f t="shared" si="555"/>
        <v>0</v>
      </c>
      <c r="AE1320" s="160">
        <f t="shared" si="556"/>
        <v>0.99483041575492337</v>
      </c>
    </row>
    <row r="1321" spans="1:31" x14ac:dyDescent="0.3">
      <c r="A1321" s="187">
        <v>8</v>
      </c>
      <c r="B1321" s="242">
        <f t="shared" si="557"/>
        <v>45870</v>
      </c>
      <c r="C1321" s="243">
        <f t="shared" si="540"/>
        <v>45900</v>
      </c>
      <c r="D1321" s="120">
        <f t="shared" si="541"/>
        <v>31</v>
      </c>
      <c r="E1321" s="120">
        <f t="shared" si="542"/>
        <v>8</v>
      </c>
      <c r="F1321" s="275">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0.99449124726477023</v>
      </c>
      <c r="P1321" s="121">
        <f t="shared" si="553"/>
        <v>0.625</v>
      </c>
      <c r="Q1321" s="121">
        <f t="shared" si="554"/>
        <v>0</v>
      </c>
      <c r="R1321" s="121">
        <f t="shared" si="555"/>
        <v>0</v>
      </c>
      <c r="AE1321" s="160">
        <f t="shared" si="556"/>
        <v>0.99449124726477023</v>
      </c>
    </row>
    <row r="1322" spans="1:31" x14ac:dyDescent="0.3">
      <c r="A1322" s="187">
        <v>9</v>
      </c>
      <c r="B1322" s="242">
        <f t="shared" si="557"/>
        <v>45901</v>
      </c>
      <c r="C1322" s="243">
        <f t="shared" si="540"/>
        <v>45930</v>
      </c>
      <c r="D1322" s="120">
        <f t="shared" si="541"/>
        <v>30</v>
      </c>
      <c r="E1322" s="120">
        <f t="shared" si="542"/>
        <v>9</v>
      </c>
      <c r="F1322" s="275">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0.99415754923413568</v>
      </c>
      <c r="P1322" s="121">
        <f t="shared" si="553"/>
        <v>0.70833333333333326</v>
      </c>
      <c r="Q1322" s="121">
        <f t="shared" si="554"/>
        <v>0</v>
      </c>
      <c r="R1322" s="121">
        <f t="shared" si="555"/>
        <v>0</v>
      </c>
      <c r="AE1322" s="160">
        <f t="shared" si="556"/>
        <v>0.99415754923413568</v>
      </c>
    </row>
    <row r="1323" spans="1:31" x14ac:dyDescent="0.3">
      <c r="A1323" s="187">
        <v>10</v>
      </c>
      <c r="B1323" s="242">
        <f t="shared" si="557"/>
        <v>45931</v>
      </c>
      <c r="C1323" s="243">
        <f t="shared" si="540"/>
        <v>45961</v>
      </c>
      <c r="D1323" s="120">
        <f t="shared" si="541"/>
        <v>31</v>
      </c>
      <c r="E1323" s="120">
        <f t="shared" si="542"/>
        <v>10</v>
      </c>
      <c r="F1323" s="275">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0.99382385120350103</v>
      </c>
      <c r="P1323" s="121">
        <f t="shared" si="553"/>
        <v>0.79166666666666663</v>
      </c>
      <c r="Q1323" s="121">
        <f t="shared" si="554"/>
        <v>0</v>
      </c>
      <c r="R1323" s="121">
        <f t="shared" si="555"/>
        <v>0</v>
      </c>
      <c r="AE1323" s="160">
        <f t="shared" si="556"/>
        <v>0.99382385120350103</v>
      </c>
    </row>
    <row r="1324" spans="1:31" x14ac:dyDescent="0.3">
      <c r="A1324" s="187">
        <v>11</v>
      </c>
      <c r="B1324" s="242">
        <f t="shared" si="557"/>
        <v>45962</v>
      </c>
      <c r="C1324" s="243">
        <f t="shared" si="540"/>
        <v>45991</v>
      </c>
      <c r="D1324" s="120">
        <f t="shared" si="541"/>
        <v>30</v>
      </c>
      <c r="E1324" s="120">
        <f t="shared" si="542"/>
        <v>11</v>
      </c>
      <c r="F1324" s="275">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0.99349015317286649</v>
      </c>
      <c r="P1324" s="121">
        <f t="shared" si="553"/>
        <v>0.875</v>
      </c>
      <c r="Q1324" s="121">
        <f t="shared" si="554"/>
        <v>0</v>
      </c>
      <c r="R1324" s="121">
        <f t="shared" si="555"/>
        <v>0</v>
      </c>
      <c r="AE1324" s="160">
        <f t="shared" si="556"/>
        <v>0.99349015317286649</v>
      </c>
    </row>
    <row r="1325" spans="1:31" x14ac:dyDescent="0.3">
      <c r="A1325" s="187">
        <v>12</v>
      </c>
      <c r="B1325" s="242">
        <f t="shared" si="557"/>
        <v>45992</v>
      </c>
      <c r="C1325" s="243">
        <f t="shared" si="540"/>
        <v>46022</v>
      </c>
      <c r="D1325" s="120">
        <f t="shared" si="541"/>
        <v>31</v>
      </c>
      <c r="E1325" s="120">
        <f t="shared" si="542"/>
        <v>12</v>
      </c>
      <c r="F1325" s="275">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0.99315645514223194</v>
      </c>
      <c r="P1325" s="121">
        <f t="shared" si="553"/>
        <v>0.95833333333333337</v>
      </c>
      <c r="Q1325" s="121">
        <f t="shared" si="554"/>
        <v>0</v>
      </c>
      <c r="R1325" s="121">
        <f t="shared" si="555"/>
        <v>0</v>
      </c>
      <c r="AE1325" s="160">
        <f t="shared" si="556"/>
        <v>0.99315645514223194</v>
      </c>
    </row>
    <row r="1326" spans="1:31" x14ac:dyDescent="0.3">
      <c r="A1326" s="187">
        <v>13</v>
      </c>
      <c r="B1326" s="242">
        <f t="shared" si="557"/>
        <v>46023</v>
      </c>
      <c r="C1326" s="243">
        <f t="shared" si="540"/>
        <v>46053</v>
      </c>
      <c r="D1326" s="120">
        <f t="shared" si="541"/>
        <v>31</v>
      </c>
      <c r="E1326" s="120">
        <f t="shared" si="542"/>
        <v>1</v>
      </c>
      <c r="F1326" s="275">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0.9928172866520788</v>
      </c>
      <c r="P1326" s="121">
        <f t="shared" si="553"/>
        <v>0.95833333333333337</v>
      </c>
      <c r="Q1326" s="121">
        <f t="shared" si="554"/>
        <v>4.166666666666663E-2</v>
      </c>
      <c r="R1326" s="121">
        <f t="shared" si="555"/>
        <v>0</v>
      </c>
      <c r="AE1326" s="160">
        <f t="shared" si="556"/>
        <v>0.9928172866520788</v>
      </c>
    </row>
    <row r="1327" spans="1:31" x14ac:dyDescent="0.3">
      <c r="A1327" s="187">
        <v>14</v>
      </c>
      <c r="B1327" s="242">
        <f t="shared" si="557"/>
        <v>46054</v>
      </c>
      <c r="C1327" s="243">
        <f t="shared" si="540"/>
        <v>46081</v>
      </c>
      <c r="D1327" s="120">
        <f t="shared" si="541"/>
        <v>28</v>
      </c>
      <c r="E1327" s="120">
        <f t="shared" si="542"/>
        <v>2</v>
      </c>
      <c r="F1327" s="275">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0.99249452954048134</v>
      </c>
      <c r="P1327" s="121">
        <f t="shared" si="553"/>
        <v>0.875</v>
      </c>
      <c r="Q1327" s="121">
        <f t="shared" si="554"/>
        <v>0.125</v>
      </c>
      <c r="R1327" s="121">
        <f t="shared" si="555"/>
        <v>0</v>
      </c>
      <c r="AE1327" s="160">
        <f t="shared" si="556"/>
        <v>1.0222693654266959</v>
      </c>
    </row>
    <row r="1328" spans="1:31" x14ac:dyDescent="0.3">
      <c r="A1328" s="187">
        <v>15</v>
      </c>
      <c r="B1328" s="242">
        <f t="shared" si="557"/>
        <v>46082</v>
      </c>
      <c r="C1328" s="243">
        <f t="shared" si="540"/>
        <v>46112</v>
      </c>
      <c r="D1328" s="120">
        <f t="shared" si="541"/>
        <v>31</v>
      </c>
      <c r="E1328" s="120">
        <f t="shared" si="542"/>
        <v>3</v>
      </c>
      <c r="F1328" s="275">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0.99217177242888399</v>
      </c>
      <c r="P1328" s="121">
        <f t="shared" si="553"/>
        <v>0.79166666666666663</v>
      </c>
      <c r="Q1328" s="121">
        <f t="shared" si="554"/>
        <v>0.20833333333333337</v>
      </c>
      <c r="R1328" s="121">
        <f t="shared" si="555"/>
        <v>0</v>
      </c>
      <c r="AE1328" s="160">
        <f t="shared" si="556"/>
        <v>1.0219369256017505</v>
      </c>
    </row>
    <row r="1329" spans="1:35" x14ac:dyDescent="0.3">
      <c r="A1329" s="187">
        <v>16</v>
      </c>
      <c r="B1329" s="242">
        <f t="shared" si="557"/>
        <v>46113</v>
      </c>
      <c r="C1329" s="243">
        <f t="shared" si="540"/>
        <v>46142</v>
      </c>
      <c r="D1329" s="120">
        <f t="shared" si="541"/>
        <v>30</v>
      </c>
      <c r="E1329" s="120">
        <f t="shared" si="542"/>
        <v>4</v>
      </c>
      <c r="F1329" s="275">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0.99183807439824945</v>
      </c>
      <c r="P1329" s="121">
        <f t="shared" si="553"/>
        <v>0.70833333333333337</v>
      </c>
      <c r="Q1329" s="121">
        <f t="shared" si="554"/>
        <v>0.29166666666666663</v>
      </c>
      <c r="R1329" s="121">
        <f t="shared" si="555"/>
        <v>0</v>
      </c>
      <c r="AE1329" s="160">
        <f t="shared" si="556"/>
        <v>1.0215932166301969</v>
      </c>
    </row>
    <row r="1330" spans="1:35" x14ac:dyDescent="0.3">
      <c r="A1330" s="187">
        <v>17</v>
      </c>
      <c r="B1330" s="242">
        <f t="shared" si="557"/>
        <v>46143</v>
      </c>
      <c r="C1330" s="243">
        <f t="shared" si="540"/>
        <v>46173</v>
      </c>
      <c r="D1330" s="120">
        <f t="shared" si="541"/>
        <v>31</v>
      </c>
      <c r="E1330" s="120">
        <f t="shared" si="542"/>
        <v>5</v>
      </c>
      <c r="F1330" s="275">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0.9915043763676149</v>
      </c>
      <c r="P1330" s="121">
        <f t="shared" si="553"/>
        <v>0.625</v>
      </c>
      <c r="Q1330" s="121">
        <f t="shared" si="554"/>
        <v>0.375</v>
      </c>
      <c r="R1330" s="121">
        <f t="shared" si="555"/>
        <v>0</v>
      </c>
      <c r="AE1330" s="160">
        <f t="shared" si="556"/>
        <v>1.0212495076586434</v>
      </c>
    </row>
    <row r="1331" spans="1:35" x14ac:dyDescent="0.3">
      <c r="A1331" s="187">
        <v>18</v>
      </c>
      <c r="B1331" s="242">
        <f t="shared" si="557"/>
        <v>46174</v>
      </c>
      <c r="C1331" s="243">
        <f t="shared" si="540"/>
        <v>46203</v>
      </c>
      <c r="D1331" s="120">
        <f t="shared" si="541"/>
        <v>30</v>
      </c>
      <c r="E1331" s="120">
        <f t="shared" si="542"/>
        <v>6</v>
      </c>
      <c r="F1331" s="275">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0.99117067833698025</v>
      </c>
      <c r="P1331" s="121">
        <f t="shared" si="553"/>
        <v>0.54166666666666663</v>
      </c>
      <c r="Q1331" s="121">
        <f t="shared" si="554"/>
        <v>0.45833333333333337</v>
      </c>
      <c r="R1331" s="121">
        <f t="shared" si="555"/>
        <v>0</v>
      </c>
      <c r="AE1331" s="160">
        <f t="shared" si="556"/>
        <v>1.0209057986870897</v>
      </c>
    </row>
    <row r="1332" spans="1:35" x14ac:dyDescent="0.3">
      <c r="A1332" s="187">
        <v>19</v>
      </c>
      <c r="B1332" s="242">
        <f t="shared" si="557"/>
        <v>46204</v>
      </c>
      <c r="C1332" s="243">
        <f t="shared" si="540"/>
        <v>46234</v>
      </c>
      <c r="D1332" s="120">
        <f t="shared" si="541"/>
        <v>31</v>
      </c>
      <c r="E1332" s="120">
        <f t="shared" si="542"/>
        <v>7</v>
      </c>
      <c r="F1332" s="275">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0.9908369803063457</v>
      </c>
      <c r="P1332" s="121">
        <f t="shared" si="553"/>
        <v>0.45833333333333331</v>
      </c>
      <c r="Q1332" s="121">
        <f t="shared" si="554"/>
        <v>0.54166666666666674</v>
      </c>
      <c r="R1332" s="121">
        <f t="shared" si="555"/>
        <v>0</v>
      </c>
      <c r="AE1332" s="160">
        <f t="shared" si="556"/>
        <v>1.0205620897155361</v>
      </c>
    </row>
    <row r="1333" spans="1:35" x14ac:dyDescent="0.3">
      <c r="A1333" s="187">
        <v>20</v>
      </c>
      <c r="B1333" s="242">
        <f t="shared" si="557"/>
        <v>46235</v>
      </c>
      <c r="C1333" s="243">
        <f t="shared" si="540"/>
        <v>46265</v>
      </c>
      <c r="D1333" s="120">
        <f t="shared" si="541"/>
        <v>31</v>
      </c>
      <c r="E1333" s="120">
        <f t="shared" si="542"/>
        <v>8</v>
      </c>
      <c r="F1333" s="275">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0.99049781181619256</v>
      </c>
      <c r="P1333" s="121">
        <f t="shared" si="553"/>
        <v>0.375</v>
      </c>
      <c r="Q1333" s="121">
        <f t="shared" si="554"/>
        <v>0.625</v>
      </c>
      <c r="R1333" s="121">
        <f t="shared" si="555"/>
        <v>0</v>
      </c>
      <c r="AE1333" s="160">
        <f t="shared" si="556"/>
        <v>1.0202127461706785</v>
      </c>
    </row>
    <row r="1334" spans="1:35" x14ac:dyDescent="0.3">
      <c r="A1334" s="187">
        <v>21</v>
      </c>
      <c r="B1334" s="242">
        <f t="shared" si="557"/>
        <v>46266</v>
      </c>
      <c r="C1334" s="243">
        <f t="shared" si="540"/>
        <v>46295</v>
      </c>
      <c r="D1334" s="120">
        <f t="shared" si="541"/>
        <v>30</v>
      </c>
      <c r="E1334" s="120">
        <f t="shared" si="542"/>
        <v>9</v>
      </c>
      <c r="F1334" s="275">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0.99016411378555802</v>
      </c>
      <c r="P1334" s="121">
        <f t="shared" si="553"/>
        <v>0.29166666666666669</v>
      </c>
      <c r="Q1334" s="121">
        <f t="shared" si="554"/>
        <v>0.70833333333333326</v>
      </c>
      <c r="R1334" s="121">
        <f t="shared" si="555"/>
        <v>0</v>
      </c>
      <c r="AE1334" s="160">
        <f t="shared" si="556"/>
        <v>1.0198690371991248</v>
      </c>
    </row>
    <row r="1335" spans="1:35" x14ac:dyDescent="0.3">
      <c r="A1335" s="187">
        <v>22</v>
      </c>
      <c r="B1335" s="242">
        <f t="shared" si="557"/>
        <v>46296</v>
      </c>
      <c r="C1335" s="243">
        <f t="shared" si="540"/>
        <v>46326</v>
      </c>
      <c r="D1335" s="120">
        <f t="shared" si="541"/>
        <v>31</v>
      </c>
      <c r="E1335" s="120">
        <f t="shared" si="542"/>
        <v>10</v>
      </c>
      <c r="F1335" s="275">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0.98983041575492337</v>
      </c>
      <c r="P1335" s="121">
        <f t="shared" si="553"/>
        <v>0.20833333333333334</v>
      </c>
      <c r="Q1335" s="121">
        <f t="shared" si="554"/>
        <v>0.79166666666666663</v>
      </c>
      <c r="R1335" s="121">
        <f t="shared" si="555"/>
        <v>0</v>
      </c>
      <c r="AE1335" s="160">
        <f t="shared" si="556"/>
        <v>1.0195253282275711</v>
      </c>
    </row>
    <row r="1336" spans="1:35" x14ac:dyDescent="0.3">
      <c r="A1336" s="187">
        <v>23</v>
      </c>
      <c r="B1336" s="242">
        <f t="shared" si="557"/>
        <v>46327</v>
      </c>
      <c r="C1336" s="243">
        <f t="shared" si="540"/>
        <v>46356</v>
      </c>
      <c r="D1336" s="120">
        <f t="shared" si="541"/>
        <v>30</v>
      </c>
      <c r="E1336" s="120">
        <f t="shared" si="542"/>
        <v>11</v>
      </c>
      <c r="F1336" s="275">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0.98949671772428882</v>
      </c>
      <c r="P1336" s="121">
        <f t="shared" si="553"/>
        <v>0.125</v>
      </c>
      <c r="Q1336" s="121">
        <f t="shared" si="554"/>
        <v>0.875</v>
      </c>
      <c r="R1336" s="121">
        <f t="shared" si="555"/>
        <v>0</v>
      </c>
      <c r="AE1336" s="160">
        <f t="shared" si="556"/>
        <v>1.0191816192560175</v>
      </c>
    </row>
    <row r="1337" spans="1:35" x14ac:dyDescent="0.3">
      <c r="A1337" s="187">
        <v>24</v>
      </c>
      <c r="B1337" s="242">
        <f t="shared" si="557"/>
        <v>46357</v>
      </c>
      <c r="C1337" s="243">
        <f t="shared" si="540"/>
        <v>46387</v>
      </c>
      <c r="D1337" s="120">
        <f t="shared" si="541"/>
        <v>31</v>
      </c>
      <c r="E1337" s="120">
        <f t="shared" si="542"/>
        <v>12</v>
      </c>
      <c r="F1337" s="275">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0.98916301969365428</v>
      </c>
      <c r="P1337" s="121">
        <f t="shared" si="553"/>
        <v>4.1666666666666664E-2</v>
      </c>
      <c r="Q1337" s="121">
        <f t="shared" si="554"/>
        <v>0.95833333333333337</v>
      </c>
      <c r="R1337" s="121">
        <f t="shared" si="555"/>
        <v>0</v>
      </c>
      <c r="AE1337" s="160">
        <f t="shared" si="556"/>
        <v>1.018837910284464</v>
      </c>
    </row>
    <row r="1338" spans="1:35" x14ac:dyDescent="0.3">
      <c r="A1338" s="187">
        <v>25</v>
      </c>
      <c r="B1338" s="242">
        <f t="shared" si="557"/>
        <v>46388</v>
      </c>
      <c r="C1338" s="243">
        <f t="shared" si="540"/>
        <v>46418</v>
      </c>
      <c r="D1338" s="120">
        <f t="shared" si="541"/>
        <v>31</v>
      </c>
      <c r="E1338" s="120">
        <f t="shared" si="542"/>
        <v>1</v>
      </c>
      <c r="F1338" s="275">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0.98882385120350114</v>
      </c>
      <c r="P1338" s="121">
        <f t="shared" si="553"/>
        <v>0</v>
      </c>
      <c r="Q1338" s="121">
        <f t="shared" si="554"/>
        <v>0.95833333333333337</v>
      </c>
      <c r="R1338" s="121">
        <f t="shared" si="555"/>
        <v>4.166666666666663E-2</v>
      </c>
      <c r="W1338" s="160">
        <f t="shared" ref="W1338:W1349" si="558">IF($G1338&lt;&gt;$Q$1311,$N1338,(1-$U$1311)*$I1338+$U$1311*$J1338)</f>
        <v>1.03</v>
      </c>
      <c r="X1338" s="160">
        <f t="shared" ref="X1338:X1349" si="559">IF($G1338&lt;$Q$1311,0,IF($G1338&gt;$Q$1311,$N1338,$U$1311*$J1338))</f>
        <v>0</v>
      </c>
      <c r="Y1338" s="160">
        <f t="shared" ref="Y1338:Y1349" si="560">IF($F$1311=1,$O1338/$O1326,1)</f>
        <v>0.99597767333197418</v>
      </c>
      <c r="AB1338" s="160">
        <f t="shared" ref="AB1338:AB1349" si="561">IF(AND(N($K$1311)&lt;&gt;0,$F1338&lt;=$B$1312),0,($F1338-$B$1312)/($C$1312-$B$1312))</f>
        <v>0.23522975929978118</v>
      </c>
      <c r="AC1338" s="220">
        <f t="shared" ref="AC1338:AC1349" si="562">IF(AND(N($K$1311)&lt;&gt;0,$F1338&lt;=$B$1312),$O1338,$F$1312*(1-$AB1338))</f>
        <v>0.75712253829321663</v>
      </c>
      <c r="AD1338" s="160">
        <f t="shared" ref="AD1338:AD1349" si="563">$H1338*($W1338+$X1338*IF(ISNUMBER($F$1362),$F$1362,0))/($N1326*$O1326)</f>
        <v>1.0374517183048924</v>
      </c>
      <c r="AE1338" s="160">
        <f t="shared" si="556"/>
        <v>1.0050067458797403</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5">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0.98850109409190368</v>
      </c>
      <c r="P1339" s="121">
        <f t="shared" si="553"/>
        <v>0</v>
      </c>
      <c r="Q1339" s="121">
        <f t="shared" si="554"/>
        <v>0.875</v>
      </c>
      <c r="R1339" s="121">
        <f t="shared" si="555"/>
        <v>0.125</v>
      </c>
      <c r="W1339" s="160">
        <f t="shared" si="558"/>
        <v>1.03</v>
      </c>
      <c r="X1339" s="160">
        <f t="shared" si="559"/>
        <v>1.03</v>
      </c>
      <c r="Y1339" s="160">
        <f t="shared" si="560"/>
        <v>0.99597636527989064</v>
      </c>
      <c r="AB1339" s="160">
        <f t="shared" si="561"/>
        <v>0.29978118161925604</v>
      </c>
      <c r="AC1339" s="220">
        <f t="shared" si="562"/>
        <v>0.69321663019693647</v>
      </c>
      <c r="AD1339" s="160">
        <f t="shared" si="563"/>
        <v>1.04786471768415</v>
      </c>
      <c r="AE1339" s="160">
        <f t="shared" si="556"/>
        <v>1.0410136293297245</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5">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0.98817833698030633</v>
      </c>
      <c r="P1340" s="121">
        <f t="shared" si="553"/>
        <v>0</v>
      </c>
      <c r="Q1340" s="121">
        <f t="shared" si="554"/>
        <v>0.79166666666666663</v>
      </c>
      <c r="R1340" s="121">
        <f t="shared" si="555"/>
        <v>0.20833333333333337</v>
      </c>
      <c r="W1340" s="160">
        <f t="shared" si="558"/>
        <v>1.03</v>
      </c>
      <c r="X1340" s="160">
        <f t="shared" si="559"/>
        <v>1.03</v>
      </c>
      <c r="Y1340" s="160">
        <f t="shared" si="560"/>
        <v>0.99597505637677886</v>
      </c>
      <c r="AB1340" s="160">
        <f t="shared" si="561"/>
        <v>0.36433260393873085</v>
      </c>
      <c r="AC1340" s="220">
        <f t="shared" si="562"/>
        <v>0.62931072210065642</v>
      </c>
      <c r="AD1340" s="160">
        <f t="shared" si="563"/>
        <v>1.0482055919148254</v>
      </c>
      <c r="AE1340" s="160">
        <f t="shared" si="556"/>
        <v>1.036820242944519</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5">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0.98784463894967178</v>
      </c>
      <c r="P1341" s="121">
        <f t="shared" si="553"/>
        <v>0</v>
      </c>
      <c r="Q1341" s="121">
        <f t="shared" si="554"/>
        <v>0.70833333333333337</v>
      </c>
      <c r="R1341" s="121">
        <f t="shared" si="555"/>
        <v>0.29166666666666663</v>
      </c>
      <c r="W1341" s="160">
        <f t="shared" si="558"/>
        <v>1.03</v>
      </c>
      <c r="X1341" s="160">
        <f t="shared" si="559"/>
        <v>1.03</v>
      </c>
      <c r="Y1341" s="160">
        <f t="shared" si="560"/>
        <v>0.99597370220839676</v>
      </c>
      <c r="AB1341" s="160">
        <f t="shared" si="561"/>
        <v>0.4310722100656455</v>
      </c>
      <c r="AC1341" s="220">
        <f t="shared" si="562"/>
        <v>0.56323851203501096</v>
      </c>
      <c r="AD1341" s="160">
        <f t="shared" si="563"/>
        <v>1.0485582544620204</v>
      </c>
      <c r="AE1341" s="160">
        <f t="shared" si="556"/>
        <v>1.0324847078682899</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5">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0.98751094091903724</v>
      </c>
      <c r="P1342" s="121">
        <f t="shared" si="553"/>
        <v>0</v>
      </c>
      <c r="Q1342" s="121">
        <f t="shared" si="554"/>
        <v>0.625</v>
      </c>
      <c r="R1342" s="121">
        <f t="shared" si="555"/>
        <v>0.375</v>
      </c>
      <c r="W1342" s="160">
        <f t="shared" si="558"/>
        <v>1.03</v>
      </c>
      <c r="X1342" s="160">
        <f t="shared" si="559"/>
        <v>1.03</v>
      </c>
      <c r="Y1342" s="160">
        <f t="shared" si="560"/>
        <v>0.99597234712850424</v>
      </c>
      <c r="AB1342" s="160">
        <f t="shared" si="561"/>
        <v>0.49781181619256015</v>
      </c>
      <c r="AC1342" s="220">
        <f t="shared" si="562"/>
        <v>0.4971663019693654</v>
      </c>
      <c r="AD1342" s="160">
        <f t="shared" si="563"/>
        <v>1.0489111543915208</v>
      </c>
      <c r="AE1342" s="160">
        <f t="shared" si="556"/>
        <v>1.0281491727920606</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5">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0.98717724288840258</v>
      </c>
      <c r="P1343" s="121">
        <f t="shared" si="553"/>
        <v>0</v>
      </c>
      <c r="Q1343" s="121">
        <f t="shared" si="554"/>
        <v>0.54166666666666663</v>
      </c>
      <c r="R1343" s="121">
        <f t="shared" si="555"/>
        <v>0.45833333333333337</v>
      </c>
      <c r="W1343" s="160">
        <f t="shared" si="558"/>
        <v>1.03</v>
      </c>
      <c r="X1343" s="160">
        <f t="shared" si="559"/>
        <v>1.03</v>
      </c>
      <c r="Y1343" s="160">
        <f t="shared" si="560"/>
        <v>0.99597099113618048</v>
      </c>
      <c r="AB1343" s="160">
        <f t="shared" si="561"/>
        <v>0.56455142231947486</v>
      </c>
      <c r="AC1343" s="220">
        <f t="shared" si="562"/>
        <v>0.43109409190371989</v>
      </c>
      <c r="AD1343" s="160">
        <f t="shared" si="563"/>
        <v>1.0492642919430859</v>
      </c>
      <c r="AE1343" s="160">
        <f t="shared" si="556"/>
        <v>1.0238136377158316</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5">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0.98684354485776804</v>
      </c>
      <c r="P1344" s="121">
        <f t="shared" si="553"/>
        <v>0</v>
      </c>
      <c r="Q1344" s="121">
        <f t="shared" si="554"/>
        <v>0.45833333333333331</v>
      </c>
      <c r="R1344" s="121">
        <f t="shared" si="555"/>
        <v>0.54166666666666674</v>
      </c>
      <c r="W1344" s="160">
        <f t="shared" si="558"/>
        <v>1.03</v>
      </c>
      <c r="X1344" s="160">
        <f t="shared" si="559"/>
        <v>1.03</v>
      </c>
      <c r="Y1344" s="160">
        <f t="shared" si="560"/>
        <v>0.99596963423050378</v>
      </c>
      <c r="AB1344" s="160">
        <f t="shared" si="561"/>
        <v>0.63129102844638951</v>
      </c>
      <c r="AC1344" s="220">
        <f t="shared" si="562"/>
        <v>0.36502188183807438</v>
      </c>
      <c r="AD1344" s="160">
        <f t="shared" si="563"/>
        <v>1.0496176673567978</v>
      </c>
      <c r="AE1344" s="160">
        <f t="shared" si="556"/>
        <v>1.0194781026396023</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5">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0.9865043763676149</v>
      </c>
      <c r="P1345" s="121">
        <f t="shared" si="553"/>
        <v>0</v>
      </c>
      <c r="Q1345" s="121">
        <f t="shared" si="554"/>
        <v>0.375</v>
      </c>
      <c r="R1345" s="121">
        <f t="shared" si="555"/>
        <v>0.625</v>
      </c>
      <c r="W1345" s="160">
        <f t="shared" si="558"/>
        <v>1.03</v>
      </c>
      <c r="X1345" s="160">
        <f t="shared" si="559"/>
        <v>1.03</v>
      </c>
      <c r="Y1345" s="160">
        <f t="shared" si="560"/>
        <v>0.99596825414358536</v>
      </c>
      <c r="AB1345" s="160">
        <f t="shared" si="561"/>
        <v>0.69912472647702406</v>
      </c>
      <c r="AC1345" s="220">
        <f t="shared" si="562"/>
        <v>0.29786652078774617</v>
      </c>
      <c r="AD1345" s="160">
        <f t="shared" si="563"/>
        <v>1.0499770798009531</v>
      </c>
      <c r="AE1345" s="160">
        <f t="shared" si="556"/>
        <v>1.0150714932178611</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5">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0.98617067833698024</v>
      </c>
      <c r="P1346" s="121">
        <f t="shared" si="553"/>
        <v>0</v>
      </c>
      <c r="Q1346" s="121">
        <f t="shared" si="554"/>
        <v>0.29166666666666669</v>
      </c>
      <c r="R1346" s="121">
        <f t="shared" si="555"/>
        <v>0.70833333333333326</v>
      </c>
      <c r="W1346" s="160">
        <f t="shared" si="558"/>
        <v>1.03</v>
      </c>
      <c r="X1346" s="160">
        <f t="shared" si="559"/>
        <v>1.03</v>
      </c>
      <c r="Y1346" s="160">
        <f t="shared" si="560"/>
        <v>0.99596689539342098</v>
      </c>
      <c r="AB1346" s="160">
        <f t="shared" si="561"/>
        <v>0.76586433260393871</v>
      </c>
      <c r="AC1346" s="220">
        <f t="shared" si="562"/>
        <v>0.23179431072210066</v>
      </c>
      <c r="AD1346" s="160">
        <f t="shared" si="563"/>
        <v>1.0503309355697725</v>
      </c>
      <c r="AE1346" s="160">
        <f t="shared" si="556"/>
        <v>1.010735958141632</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5">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0.9858369803063457</v>
      </c>
      <c r="P1347" s="121">
        <f t="shared" si="553"/>
        <v>0</v>
      </c>
      <c r="Q1347" s="121">
        <f t="shared" si="554"/>
        <v>0.20833333333333334</v>
      </c>
      <c r="R1347" s="121">
        <f t="shared" si="555"/>
        <v>0.79166666666666663</v>
      </c>
      <c r="W1347" s="160">
        <f t="shared" si="558"/>
        <v>1.03</v>
      </c>
      <c r="X1347" s="160">
        <f t="shared" si="559"/>
        <v>1.03</v>
      </c>
      <c r="Y1347" s="160">
        <f t="shared" si="560"/>
        <v>0.99596553572711544</v>
      </c>
      <c r="AB1347" s="160">
        <f t="shared" si="561"/>
        <v>0.83260393873085337</v>
      </c>
      <c r="AC1347" s="220">
        <f t="shared" si="562"/>
        <v>0.16572210065645518</v>
      </c>
      <c r="AD1347" s="160">
        <f t="shared" si="563"/>
        <v>1.0506850299268822</v>
      </c>
      <c r="AE1347" s="160">
        <f t="shared" si="556"/>
        <v>1.0064004230654029</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5">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0.98550328227571116</v>
      </c>
      <c r="P1348" s="121">
        <f t="shared" si="553"/>
        <v>0</v>
      </c>
      <c r="Q1348" s="121">
        <f t="shared" si="554"/>
        <v>0.125</v>
      </c>
      <c r="R1348" s="121">
        <f t="shared" si="555"/>
        <v>0.875</v>
      </c>
      <c r="W1348" s="160">
        <f t="shared" si="558"/>
        <v>1.03</v>
      </c>
      <c r="X1348" s="160">
        <f t="shared" si="559"/>
        <v>1.03</v>
      </c>
      <c r="Y1348" s="160">
        <f t="shared" si="560"/>
        <v>0.99596417514374169</v>
      </c>
      <c r="AB1348" s="160">
        <f t="shared" si="561"/>
        <v>0.89934354485776802</v>
      </c>
      <c r="AC1348" s="220">
        <f t="shared" si="562"/>
        <v>9.9649890590809656E-2</v>
      </c>
      <c r="AD1348" s="160">
        <f t="shared" si="563"/>
        <v>1.0510393631136665</v>
      </c>
      <c r="AE1348" s="160">
        <f t="shared" si="556"/>
        <v>1.0020648879891736</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5">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0.98516958424507661</v>
      </c>
      <c r="P1349" s="121">
        <f t="shared" si="553"/>
        <v>0</v>
      </c>
      <c r="Q1349" s="121">
        <f t="shared" si="554"/>
        <v>4.1666666666666664E-2</v>
      </c>
      <c r="R1349" s="121">
        <f t="shared" si="555"/>
        <v>0.95833333333333337</v>
      </c>
      <c r="W1349" s="160">
        <f t="shared" si="558"/>
        <v>1.03</v>
      </c>
      <c r="X1349" s="160">
        <f t="shared" si="559"/>
        <v>1.03</v>
      </c>
      <c r="Y1349" s="160">
        <f t="shared" si="560"/>
        <v>0.99596281364237171</v>
      </c>
      <c r="AB1349" s="160">
        <f t="shared" si="561"/>
        <v>0.96608315098468267</v>
      </c>
      <c r="AC1349" s="220">
        <f t="shared" si="562"/>
        <v>3.3577680525164154E-2</v>
      </c>
      <c r="AD1349" s="160">
        <f t="shared" si="563"/>
        <v>1.0513939353718358</v>
      </c>
      <c r="AE1349" s="160">
        <f t="shared" si="556"/>
        <v>0.99772935291294429</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5">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0.98499999999999999</v>
      </c>
      <c r="P1350" s="121">
        <f t="shared" si="553"/>
        <v>0</v>
      </c>
      <c r="Q1350" s="121">
        <f t="shared" si="554"/>
        <v>0</v>
      </c>
      <c r="R1350" s="121">
        <f t="shared" si="555"/>
        <v>0.95833333333333337</v>
      </c>
      <c r="AE1350" s="160">
        <f t="shared" si="556"/>
        <v>1.0145500000000001</v>
      </c>
    </row>
    <row r="1351" spans="1:35" x14ac:dyDescent="0.3">
      <c r="A1351" s="187">
        <v>38</v>
      </c>
      <c r="B1351" s="242">
        <f t="shared" si="557"/>
        <v>46784</v>
      </c>
      <c r="C1351" s="243">
        <f t="shared" si="540"/>
        <v>46812</v>
      </c>
      <c r="D1351" s="120">
        <f t="shared" si="541"/>
        <v>29</v>
      </c>
      <c r="E1351" s="120">
        <f t="shared" si="542"/>
        <v>2</v>
      </c>
      <c r="F1351" s="275">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0.98499999999999999</v>
      </c>
      <c r="P1351" s="121">
        <f t="shared" si="553"/>
        <v>0</v>
      </c>
      <c r="Q1351" s="121">
        <f t="shared" si="554"/>
        <v>0</v>
      </c>
      <c r="R1351" s="121">
        <f t="shared" si="555"/>
        <v>0.875</v>
      </c>
      <c r="AE1351" s="160">
        <f t="shared" si="556"/>
        <v>1.0145500000000001</v>
      </c>
    </row>
    <row r="1352" spans="1:35" x14ac:dyDescent="0.3">
      <c r="A1352" s="187">
        <v>39</v>
      </c>
      <c r="B1352" s="242">
        <f t="shared" si="557"/>
        <v>46813</v>
      </c>
      <c r="C1352" s="243">
        <f t="shared" si="540"/>
        <v>46843</v>
      </c>
      <c r="D1352" s="120">
        <f t="shared" si="541"/>
        <v>31</v>
      </c>
      <c r="E1352" s="120">
        <f t="shared" si="542"/>
        <v>3</v>
      </c>
      <c r="F1352" s="275">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0.98499999999999999</v>
      </c>
      <c r="P1352" s="121">
        <f t="shared" si="553"/>
        <v>0</v>
      </c>
      <c r="Q1352" s="121">
        <f t="shared" si="554"/>
        <v>0</v>
      </c>
      <c r="R1352" s="121">
        <f t="shared" si="555"/>
        <v>0.79166666666666663</v>
      </c>
      <c r="AE1352" s="160">
        <f t="shared" si="556"/>
        <v>1.0145500000000001</v>
      </c>
    </row>
    <row r="1353" spans="1:35" x14ac:dyDescent="0.3">
      <c r="A1353" s="187">
        <v>40</v>
      </c>
      <c r="B1353" s="242">
        <f t="shared" si="557"/>
        <v>46844</v>
      </c>
      <c r="C1353" s="243">
        <f t="shared" si="540"/>
        <v>46873</v>
      </c>
      <c r="D1353" s="120">
        <f t="shared" si="541"/>
        <v>30</v>
      </c>
      <c r="E1353" s="120">
        <f t="shared" si="542"/>
        <v>4</v>
      </c>
      <c r="F1353" s="275">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0.98499999999999999</v>
      </c>
      <c r="P1353" s="121">
        <f t="shared" si="553"/>
        <v>0</v>
      </c>
      <c r="Q1353" s="121">
        <f t="shared" si="554"/>
        <v>0</v>
      </c>
      <c r="R1353" s="121">
        <f t="shared" si="555"/>
        <v>0.70833333333333337</v>
      </c>
      <c r="AE1353" s="160">
        <f t="shared" si="556"/>
        <v>1.0145500000000001</v>
      </c>
    </row>
    <row r="1354" spans="1:35" x14ac:dyDescent="0.3">
      <c r="A1354" s="187">
        <v>41</v>
      </c>
      <c r="B1354" s="242">
        <f t="shared" si="557"/>
        <v>46874</v>
      </c>
      <c r="C1354" s="243">
        <f t="shared" si="540"/>
        <v>46904</v>
      </c>
      <c r="D1354" s="120">
        <f t="shared" si="541"/>
        <v>31</v>
      </c>
      <c r="E1354" s="120">
        <f t="shared" si="542"/>
        <v>5</v>
      </c>
      <c r="F1354" s="275">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0.98499999999999999</v>
      </c>
      <c r="P1354" s="121">
        <f t="shared" si="553"/>
        <v>0</v>
      </c>
      <c r="Q1354" s="121">
        <f t="shared" si="554"/>
        <v>0</v>
      </c>
      <c r="R1354" s="121">
        <f t="shared" si="555"/>
        <v>0.625</v>
      </c>
      <c r="AE1354" s="160">
        <f t="shared" si="556"/>
        <v>1.0145500000000001</v>
      </c>
    </row>
    <row r="1355" spans="1:35" x14ac:dyDescent="0.3">
      <c r="A1355" s="187">
        <v>42</v>
      </c>
      <c r="B1355" s="242">
        <f t="shared" si="557"/>
        <v>46905</v>
      </c>
      <c r="C1355" s="243">
        <f t="shared" si="540"/>
        <v>46934</v>
      </c>
      <c r="D1355" s="120">
        <f t="shared" si="541"/>
        <v>30</v>
      </c>
      <c r="E1355" s="120">
        <f t="shared" si="542"/>
        <v>6</v>
      </c>
      <c r="F1355" s="275">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0.98499999999999999</v>
      </c>
      <c r="P1355" s="121">
        <f t="shared" si="553"/>
        <v>0</v>
      </c>
      <c r="Q1355" s="121">
        <f t="shared" si="554"/>
        <v>0</v>
      </c>
      <c r="R1355" s="121">
        <f t="shared" si="555"/>
        <v>0.54166666666666663</v>
      </c>
      <c r="AE1355" s="160">
        <f t="shared" si="556"/>
        <v>1.0145500000000001</v>
      </c>
    </row>
    <row r="1356" spans="1:35" x14ac:dyDescent="0.3">
      <c r="A1356" s="187">
        <v>43</v>
      </c>
      <c r="B1356" s="242">
        <f t="shared" si="557"/>
        <v>46935</v>
      </c>
      <c r="C1356" s="243">
        <f t="shared" si="540"/>
        <v>46965</v>
      </c>
      <c r="D1356" s="120">
        <f t="shared" si="541"/>
        <v>31</v>
      </c>
      <c r="E1356" s="120">
        <f t="shared" si="542"/>
        <v>7</v>
      </c>
      <c r="F1356" s="275">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0.98499999999999999</v>
      </c>
      <c r="P1356" s="121">
        <f t="shared" si="553"/>
        <v>0</v>
      </c>
      <c r="Q1356" s="121">
        <f t="shared" si="554"/>
        <v>0</v>
      </c>
      <c r="R1356" s="121">
        <f t="shared" si="555"/>
        <v>0.45833333333333331</v>
      </c>
      <c r="AE1356" s="160">
        <f t="shared" si="556"/>
        <v>1.0145500000000001</v>
      </c>
    </row>
    <row r="1357" spans="1:35" x14ac:dyDescent="0.3">
      <c r="A1357" s="187">
        <v>44</v>
      </c>
      <c r="B1357" s="242">
        <f t="shared" si="557"/>
        <v>46966</v>
      </c>
      <c r="C1357" s="243">
        <f t="shared" si="540"/>
        <v>46996</v>
      </c>
      <c r="D1357" s="120">
        <f t="shared" si="541"/>
        <v>31</v>
      </c>
      <c r="E1357" s="120">
        <f t="shared" si="542"/>
        <v>8</v>
      </c>
      <c r="F1357" s="275">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0.98499999999999999</v>
      </c>
      <c r="P1357" s="121">
        <f t="shared" si="553"/>
        <v>0</v>
      </c>
      <c r="Q1357" s="121">
        <f t="shared" si="554"/>
        <v>0</v>
      </c>
      <c r="R1357" s="121">
        <f t="shared" si="555"/>
        <v>0.375</v>
      </c>
      <c r="AE1357" s="160">
        <f t="shared" si="556"/>
        <v>1.0145500000000001</v>
      </c>
    </row>
    <row r="1358" spans="1:35" x14ac:dyDescent="0.3">
      <c r="A1358" s="187">
        <v>45</v>
      </c>
      <c r="B1358" s="242">
        <f t="shared" si="557"/>
        <v>46997</v>
      </c>
      <c r="C1358" s="243">
        <f t="shared" si="540"/>
        <v>47026</v>
      </c>
      <c r="D1358" s="120">
        <f t="shared" si="541"/>
        <v>30</v>
      </c>
      <c r="E1358" s="120">
        <f t="shared" si="542"/>
        <v>9</v>
      </c>
      <c r="F1358" s="275">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0.98499999999999999</v>
      </c>
      <c r="P1358" s="121">
        <f t="shared" si="553"/>
        <v>0</v>
      </c>
      <c r="Q1358" s="121">
        <f t="shared" si="554"/>
        <v>0</v>
      </c>
      <c r="R1358" s="121">
        <f t="shared" si="555"/>
        <v>0.29166666666666669</v>
      </c>
      <c r="AE1358" s="160">
        <f t="shared" si="556"/>
        <v>1.0145500000000001</v>
      </c>
    </row>
    <row r="1359" spans="1:35" x14ac:dyDescent="0.3">
      <c r="A1359" s="187">
        <v>46</v>
      </c>
      <c r="B1359" s="242">
        <f t="shared" si="557"/>
        <v>47027</v>
      </c>
      <c r="C1359" s="243">
        <f t="shared" si="540"/>
        <v>47057</v>
      </c>
      <c r="D1359" s="120">
        <f t="shared" si="541"/>
        <v>31</v>
      </c>
      <c r="E1359" s="120">
        <f t="shared" si="542"/>
        <v>10</v>
      </c>
      <c r="F1359" s="275">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0.98499999999999999</v>
      </c>
      <c r="P1359" s="121">
        <f t="shared" si="553"/>
        <v>0</v>
      </c>
      <c r="Q1359" s="121">
        <f t="shared" si="554"/>
        <v>0</v>
      </c>
      <c r="R1359" s="121">
        <f t="shared" si="555"/>
        <v>0.20833333333333334</v>
      </c>
      <c r="AE1359" s="160">
        <f t="shared" si="556"/>
        <v>1.0145500000000001</v>
      </c>
    </row>
    <row r="1360" spans="1:35" x14ac:dyDescent="0.3">
      <c r="A1360" s="187">
        <v>47</v>
      </c>
      <c r="B1360" s="242">
        <f t="shared" si="557"/>
        <v>47058</v>
      </c>
      <c r="C1360" s="243">
        <f t="shared" si="540"/>
        <v>47087</v>
      </c>
      <c r="D1360" s="120">
        <f t="shared" si="541"/>
        <v>30</v>
      </c>
      <c r="E1360" s="120">
        <f t="shared" si="542"/>
        <v>11</v>
      </c>
      <c r="F1360" s="275">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0.98499999999999999</v>
      </c>
      <c r="P1360" s="121">
        <f t="shared" si="553"/>
        <v>0</v>
      </c>
      <c r="Q1360" s="121">
        <f t="shared" si="554"/>
        <v>0</v>
      </c>
      <c r="R1360" s="121">
        <f t="shared" si="555"/>
        <v>0.125</v>
      </c>
      <c r="AE1360" s="160">
        <f t="shared" si="556"/>
        <v>1.0145500000000001</v>
      </c>
    </row>
    <row r="1361" spans="1:31" x14ac:dyDescent="0.3">
      <c r="A1361" s="187">
        <v>48</v>
      </c>
      <c r="B1361" s="242">
        <f t="shared" si="557"/>
        <v>47088</v>
      </c>
      <c r="C1361" s="243">
        <f t="shared" si="540"/>
        <v>47118</v>
      </c>
      <c r="D1361" s="120">
        <f t="shared" si="541"/>
        <v>31</v>
      </c>
      <c r="E1361" s="120">
        <f t="shared" si="542"/>
        <v>12</v>
      </c>
      <c r="F1361" s="275">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0.98499999999999999</v>
      </c>
      <c r="P1361" s="121">
        <f t="shared" si="553"/>
        <v>0</v>
      </c>
      <c r="Q1361" s="121">
        <f t="shared" si="554"/>
        <v>0</v>
      </c>
      <c r="R1361" s="121">
        <f t="shared" si="555"/>
        <v>4.1666666666666664E-2</v>
      </c>
      <c r="AE1361" s="160">
        <f t="shared" si="556"/>
        <v>1.0145500000000001</v>
      </c>
    </row>
    <row r="1362" spans="1:31" x14ac:dyDescent="0.3">
      <c r="A1362" s="23" t="s">
        <v>1723</v>
      </c>
      <c r="B1362" s="279">
        <f>SUM($H$1338:$H$1349)</f>
        <v>12</v>
      </c>
      <c r="C1362" s="160">
        <f>SUMPRODUCT($H$1338:$H$1349,$W$1338:$W$1349/$N$1326:$N$1337,$Y$1338:$Y$1349)</f>
        <v>11.981522773942425</v>
      </c>
      <c r="D1362" s="160">
        <f>SUMPRODUCT($H$1338:$H$1349,$X$1338:$X$1349/$N$1326:$N$1337,$Y$1338:$Y$1349)</f>
        <v>10.955665770410491</v>
      </c>
      <c r="E1362" s="281" t="str">
        <f>IF(OR($D$1311=0,$P$1311=0,$D1362=0),"n/a",((1+$E$1311)*$B1362-$C1362)/$D1362)</f>
        <v>n/a</v>
      </c>
      <c r="F1362" s="281">
        <f>IF($V$1311&lt;&gt;"",$V$1311,$E1362)</f>
        <v>0.04</v>
      </c>
      <c r="G1362" s="281">
        <f>IF(OR(NOT(ISNUMBER($F1362)),nd_Ach=0),"n/a",$F1362/nd_Ach)</f>
        <v>0.04</v>
      </c>
      <c r="H1362" s="220">
        <f>IF(OR(NOT(ISNUMBER($F1362)),$F$1311=0,SUMPRODUCT($AD$1338:$AD$1349,$AB$1338:$AB$1349)=0),"n/a",((1+$E$1311)*$B1362-SUMPRODUCT($AD$1338:$AD$1349,$AC$1338:$AC$1349))/SUMPRODUCT($AD$1338:$AD$1349,$AB$1338:$AB$1349))</f>
        <v>0.92935590758221975</v>
      </c>
      <c r="I1362" s="183">
        <f>IF(NOT(ISNUMBER($F1362)),"n/a",SUMPRODUCT($H$1338:$H$1349,($W$1338:$W$1349+$X$1338:$X$1349*$F1362)/$N$1326:$N$1337)/$B1362-1)</f>
        <v>3.916666666666635E-2</v>
      </c>
      <c r="J1362" s="183">
        <f>IF(OR(NOT(ISNUMBER($I1362)),$F$1311=0),"n/a",(1+$E$1311)/(1+$I1362)-1)</f>
        <v>-3.7690457097032559E-2</v>
      </c>
      <c r="K1362" s="183">
        <f>IF(NOT(ISNUMBER($F1362)),"n/a",($C1362+$D1362*$F1362)/$B1362-1)</f>
        <v>3.4979117063236975E-2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2">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1</v>
      </c>
      <c r="H1367" s="220">
        <f>IF($C1367=0,1,IF(N(INDEX(lr_m0,$C1367))=0,1,INDEX(lr_m0,$C1367)))</f>
        <v>0.99</v>
      </c>
      <c r="I1367" s="278">
        <f>IF($C1367=0,DATE(nr_PlanYear-1,10,1),IF(N(INDEX(lr_m0asof,$C1367))=0,DATE(nr_PlanYear-1,10,1),INDEX(lr_m0asof,$C1367)))</f>
        <v>46295</v>
      </c>
      <c r="J1367" s="220">
        <f>IF($C1367=0,1,IF(N(INDEX(lr_m1,$C1367))=0,1,INDEX(lr_m1,$C1367)))</f>
        <v>1</v>
      </c>
      <c r="K1367" s="220">
        <f>IF($C1367=0,0,N(INDEX(lr_mprior,$C1367)))</f>
        <v>0</v>
      </c>
      <c r="L1367" s="220">
        <f>IF($C1367=0,0,N(INDEX(lr_m2,$C1367)))</f>
        <v>0</v>
      </c>
      <c r="M1367" s="43">
        <f>IF(OR($A1367="",COUNTIF(se_state,$A1367)=0),0,MATCH($A1367,se_state,0))</f>
        <v>0</v>
      </c>
      <c r="N1367" s="279">
        <f>IF($M1367=0,0,INDEX(se_sum,$M1367))</f>
        <v>0</v>
      </c>
      <c r="O1367" s="278">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80" t="str">
        <f>IF(ISBLANK('Net Delivery'!$E$29),$Y1367,'Net Delivery'!$E$29)</f>
        <v/>
      </c>
      <c r="W1367" s="43">
        <f>IF($B1367="",0,COUNTIFS(rl_key,$B1367,rl_status,"planned",rl_eff,"&gt;="&amp;DATE(nr_PlanYear,1,1),rl_eff,"&lt;="&amp;DATE(nr_PlanYear,12,31)))</f>
        <v>0</v>
      </c>
      <c r="X1367" s="278">
        <f>IF($W1367=0,nd_DefaultDate,SUMIFS(rl_eff,rl_key,$B1367,rl_firstplanned,1))</f>
        <v>46478</v>
      </c>
      <c r="Y1367" s="280" t="str">
        <f>IF($W1367=0,"",SUMIFS(rl_reff,rl_key,$B1367,rl_firstplanned,1))</f>
        <v/>
      </c>
      <c r="Z1367" s="280"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5">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0.97637855579868715</v>
      </c>
      <c r="P1370" s="121">
        <f t="shared" ref="P1370:P1417" si="581">MIN(1,MAX(0,(nr_MEndPm1-$G1370+0.5)/nr_TermMonths))-MIN(1,MAX(0,(nr_MStartPm1-1-$G1370+0.5)/nr_TermMonths))</f>
        <v>4.166666666666663E-2</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0.97637855579868715</v>
      </c>
    </row>
    <row r="1371" spans="1:31" x14ac:dyDescent="0.3">
      <c r="A1371" s="187">
        <v>2</v>
      </c>
      <c r="B1371" s="242">
        <f t="shared" ref="B1371:B1417" si="585">EDATE($B1370,1)</f>
        <v>45689</v>
      </c>
      <c r="C1371" s="243">
        <f t="shared" si="568"/>
        <v>45716</v>
      </c>
      <c r="D1371" s="120">
        <f t="shared" si="569"/>
        <v>28</v>
      </c>
      <c r="E1371" s="120">
        <f t="shared" si="570"/>
        <v>2</v>
      </c>
      <c r="F1371" s="275">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0.97702407002188185</v>
      </c>
      <c r="P1371" s="121">
        <f t="shared" si="581"/>
        <v>0.125</v>
      </c>
      <c r="Q1371" s="121">
        <f t="shared" si="582"/>
        <v>0</v>
      </c>
      <c r="R1371" s="121">
        <f t="shared" si="583"/>
        <v>0</v>
      </c>
      <c r="AE1371" s="160">
        <f t="shared" si="584"/>
        <v>0.97702407002188185</v>
      </c>
    </row>
    <row r="1372" spans="1:31" x14ac:dyDescent="0.3">
      <c r="A1372" s="187">
        <v>3</v>
      </c>
      <c r="B1372" s="242">
        <f t="shared" si="585"/>
        <v>45717</v>
      </c>
      <c r="C1372" s="243">
        <f t="shared" si="568"/>
        <v>45747</v>
      </c>
      <c r="D1372" s="120">
        <f t="shared" si="569"/>
        <v>31</v>
      </c>
      <c r="E1372" s="120">
        <f t="shared" si="570"/>
        <v>3</v>
      </c>
      <c r="F1372" s="275">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0.97766958424507666</v>
      </c>
      <c r="P1372" s="121">
        <f t="shared" si="581"/>
        <v>0.20833333333333337</v>
      </c>
      <c r="Q1372" s="121">
        <f t="shared" si="582"/>
        <v>0</v>
      </c>
      <c r="R1372" s="121">
        <f t="shared" si="583"/>
        <v>0</v>
      </c>
      <c r="AE1372" s="160">
        <f t="shared" si="584"/>
        <v>0.97766958424507666</v>
      </c>
    </row>
    <row r="1373" spans="1:31" x14ac:dyDescent="0.3">
      <c r="A1373" s="187">
        <v>4</v>
      </c>
      <c r="B1373" s="242">
        <f t="shared" si="585"/>
        <v>45748</v>
      </c>
      <c r="C1373" s="243">
        <f t="shared" si="568"/>
        <v>45777</v>
      </c>
      <c r="D1373" s="120">
        <f t="shared" si="569"/>
        <v>30</v>
      </c>
      <c r="E1373" s="120">
        <f t="shared" si="570"/>
        <v>4</v>
      </c>
      <c r="F1373" s="275">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0.97833698030634575</v>
      </c>
      <c r="P1373" s="121">
        <f t="shared" si="581"/>
        <v>0.29166666666666663</v>
      </c>
      <c r="Q1373" s="121">
        <f t="shared" si="582"/>
        <v>0</v>
      </c>
      <c r="R1373" s="121">
        <f t="shared" si="583"/>
        <v>0</v>
      </c>
      <c r="AE1373" s="160">
        <f t="shared" si="584"/>
        <v>0.97833698030634575</v>
      </c>
    </row>
    <row r="1374" spans="1:31" x14ac:dyDescent="0.3">
      <c r="A1374" s="187">
        <v>5</v>
      </c>
      <c r="B1374" s="242">
        <f t="shared" si="585"/>
        <v>45778</v>
      </c>
      <c r="C1374" s="243">
        <f t="shared" si="568"/>
        <v>45808</v>
      </c>
      <c r="D1374" s="120">
        <f t="shared" si="569"/>
        <v>31</v>
      </c>
      <c r="E1374" s="120">
        <f t="shared" si="570"/>
        <v>5</v>
      </c>
      <c r="F1374" s="275">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0.97900437636761495</v>
      </c>
      <c r="P1374" s="121">
        <f t="shared" si="581"/>
        <v>0.375</v>
      </c>
      <c r="Q1374" s="121">
        <f t="shared" si="582"/>
        <v>0</v>
      </c>
      <c r="R1374" s="121">
        <f t="shared" si="583"/>
        <v>0</v>
      </c>
      <c r="AE1374" s="160">
        <f t="shared" si="584"/>
        <v>0.97900437636761495</v>
      </c>
    </row>
    <row r="1375" spans="1:31" x14ac:dyDescent="0.3">
      <c r="A1375" s="187">
        <v>6</v>
      </c>
      <c r="B1375" s="242">
        <f t="shared" si="585"/>
        <v>45809</v>
      </c>
      <c r="C1375" s="243">
        <f t="shared" si="568"/>
        <v>45838</v>
      </c>
      <c r="D1375" s="120">
        <f t="shared" si="569"/>
        <v>30</v>
      </c>
      <c r="E1375" s="120">
        <f t="shared" si="570"/>
        <v>6</v>
      </c>
      <c r="F1375" s="275">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0.97967177242888404</v>
      </c>
      <c r="P1375" s="121">
        <f t="shared" si="581"/>
        <v>0.45833333333333337</v>
      </c>
      <c r="Q1375" s="121">
        <f t="shared" si="582"/>
        <v>0</v>
      </c>
      <c r="R1375" s="121">
        <f t="shared" si="583"/>
        <v>0</v>
      </c>
      <c r="AE1375" s="160">
        <f t="shared" si="584"/>
        <v>0.97967177242888404</v>
      </c>
    </row>
    <row r="1376" spans="1:31" x14ac:dyDescent="0.3">
      <c r="A1376" s="187">
        <v>7</v>
      </c>
      <c r="B1376" s="242">
        <f t="shared" si="585"/>
        <v>45839</v>
      </c>
      <c r="C1376" s="243">
        <f t="shared" si="568"/>
        <v>45869</v>
      </c>
      <c r="D1376" s="120">
        <f t="shared" si="569"/>
        <v>31</v>
      </c>
      <c r="E1376" s="120">
        <f t="shared" si="570"/>
        <v>7</v>
      </c>
      <c r="F1376" s="275">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0.98033916849015323</v>
      </c>
      <c r="P1376" s="121">
        <f t="shared" si="581"/>
        <v>0.54166666666666674</v>
      </c>
      <c r="Q1376" s="121">
        <f t="shared" si="582"/>
        <v>0</v>
      </c>
      <c r="R1376" s="121">
        <f t="shared" si="583"/>
        <v>0</v>
      </c>
      <c r="AE1376" s="160">
        <f t="shared" si="584"/>
        <v>0.98033916849015323</v>
      </c>
    </row>
    <row r="1377" spans="1:31" x14ac:dyDescent="0.3">
      <c r="A1377" s="187">
        <v>8</v>
      </c>
      <c r="B1377" s="242">
        <f t="shared" si="585"/>
        <v>45870</v>
      </c>
      <c r="C1377" s="243">
        <f t="shared" si="568"/>
        <v>45900</v>
      </c>
      <c r="D1377" s="120">
        <f t="shared" si="569"/>
        <v>31</v>
      </c>
      <c r="E1377" s="120">
        <f t="shared" si="570"/>
        <v>8</v>
      </c>
      <c r="F1377" s="275">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0.98101750547045952</v>
      </c>
      <c r="P1377" s="121">
        <f t="shared" si="581"/>
        <v>0.625</v>
      </c>
      <c r="Q1377" s="121">
        <f t="shared" si="582"/>
        <v>0</v>
      </c>
      <c r="R1377" s="121">
        <f t="shared" si="583"/>
        <v>0</v>
      </c>
      <c r="AE1377" s="160">
        <f t="shared" si="584"/>
        <v>0.98101750547045952</v>
      </c>
    </row>
    <row r="1378" spans="1:31" x14ac:dyDescent="0.3">
      <c r="A1378" s="187">
        <v>9</v>
      </c>
      <c r="B1378" s="242">
        <f t="shared" si="585"/>
        <v>45901</v>
      </c>
      <c r="C1378" s="243">
        <f t="shared" si="568"/>
        <v>45930</v>
      </c>
      <c r="D1378" s="120">
        <f t="shared" si="569"/>
        <v>30</v>
      </c>
      <c r="E1378" s="120">
        <f t="shared" si="570"/>
        <v>9</v>
      </c>
      <c r="F1378" s="275">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0.98168490153172872</v>
      </c>
      <c r="P1378" s="121">
        <f t="shared" si="581"/>
        <v>0.70833333333333326</v>
      </c>
      <c r="Q1378" s="121">
        <f t="shared" si="582"/>
        <v>0</v>
      </c>
      <c r="R1378" s="121">
        <f t="shared" si="583"/>
        <v>0</v>
      </c>
      <c r="AE1378" s="160">
        <f t="shared" si="584"/>
        <v>0.98168490153172872</v>
      </c>
    </row>
    <row r="1379" spans="1:31" x14ac:dyDescent="0.3">
      <c r="A1379" s="187">
        <v>10</v>
      </c>
      <c r="B1379" s="242">
        <f t="shared" si="585"/>
        <v>45931</v>
      </c>
      <c r="C1379" s="243">
        <f t="shared" si="568"/>
        <v>45961</v>
      </c>
      <c r="D1379" s="120">
        <f t="shared" si="569"/>
        <v>31</v>
      </c>
      <c r="E1379" s="120">
        <f t="shared" si="570"/>
        <v>10</v>
      </c>
      <c r="F1379" s="275">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0.9823522975929978</v>
      </c>
      <c r="P1379" s="121">
        <f t="shared" si="581"/>
        <v>0.79166666666666663</v>
      </c>
      <c r="Q1379" s="121">
        <f t="shared" si="582"/>
        <v>0</v>
      </c>
      <c r="R1379" s="121">
        <f t="shared" si="583"/>
        <v>0</v>
      </c>
      <c r="AE1379" s="160">
        <f t="shared" si="584"/>
        <v>0.9823522975929978</v>
      </c>
    </row>
    <row r="1380" spans="1:31" x14ac:dyDescent="0.3">
      <c r="A1380" s="187">
        <v>11</v>
      </c>
      <c r="B1380" s="242">
        <f t="shared" si="585"/>
        <v>45962</v>
      </c>
      <c r="C1380" s="243">
        <f t="shared" si="568"/>
        <v>45991</v>
      </c>
      <c r="D1380" s="120">
        <f t="shared" si="569"/>
        <v>30</v>
      </c>
      <c r="E1380" s="120">
        <f t="shared" si="570"/>
        <v>11</v>
      </c>
      <c r="F1380" s="275">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0.983019693654267</v>
      </c>
      <c r="P1380" s="121">
        <f t="shared" si="581"/>
        <v>0.875</v>
      </c>
      <c r="Q1380" s="121">
        <f t="shared" si="582"/>
        <v>0</v>
      </c>
      <c r="R1380" s="121">
        <f t="shared" si="583"/>
        <v>0</v>
      </c>
      <c r="AE1380" s="160">
        <f t="shared" si="584"/>
        <v>0.983019693654267</v>
      </c>
    </row>
    <row r="1381" spans="1:31" x14ac:dyDescent="0.3">
      <c r="A1381" s="187">
        <v>12</v>
      </c>
      <c r="B1381" s="242">
        <f t="shared" si="585"/>
        <v>45992</v>
      </c>
      <c r="C1381" s="243">
        <f t="shared" si="568"/>
        <v>46022</v>
      </c>
      <c r="D1381" s="120">
        <f t="shared" si="569"/>
        <v>31</v>
      </c>
      <c r="E1381" s="120">
        <f t="shared" si="570"/>
        <v>12</v>
      </c>
      <c r="F1381" s="275">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0.98368708971553609</v>
      </c>
      <c r="P1381" s="121">
        <f t="shared" si="581"/>
        <v>0.95833333333333337</v>
      </c>
      <c r="Q1381" s="121">
        <f t="shared" si="582"/>
        <v>0</v>
      </c>
      <c r="R1381" s="121">
        <f t="shared" si="583"/>
        <v>0</v>
      </c>
      <c r="AE1381" s="160">
        <f t="shared" si="584"/>
        <v>0.98368708971553609</v>
      </c>
    </row>
    <row r="1382" spans="1:31" x14ac:dyDescent="0.3">
      <c r="A1382" s="187">
        <v>13</v>
      </c>
      <c r="B1382" s="242">
        <f t="shared" si="585"/>
        <v>46023</v>
      </c>
      <c r="C1382" s="243">
        <f t="shared" si="568"/>
        <v>46053</v>
      </c>
      <c r="D1382" s="120">
        <f t="shared" si="569"/>
        <v>31</v>
      </c>
      <c r="E1382" s="120">
        <f t="shared" si="570"/>
        <v>1</v>
      </c>
      <c r="F1382" s="275">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0.98436542669584248</v>
      </c>
      <c r="P1382" s="121">
        <f t="shared" si="581"/>
        <v>0.95833333333333337</v>
      </c>
      <c r="Q1382" s="121">
        <f t="shared" si="582"/>
        <v>4.166666666666663E-2</v>
      </c>
      <c r="R1382" s="121">
        <f t="shared" si="583"/>
        <v>0</v>
      </c>
      <c r="AE1382" s="160">
        <f t="shared" si="584"/>
        <v>0.98436542669584248</v>
      </c>
    </row>
    <row r="1383" spans="1:31" x14ac:dyDescent="0.3">
      <c r="A1383" s="187">
        <v>14</v>
      </c>
      <c r="B1383" s="242">
        <f t="shared" si="585"/>
        <v>46054</v>
      </c>
      <c r="C1383" s="243">
        <f t="shared" si="568"/>
        <v>46081</v>
      </c>
      <c r="D1383" s="120">
        <f t="shared" si="569"/>
        <v>28</v>
      </c>
      <c r="E1383" s="120">
        <f t="shared" si="570"/>
        <v>2</v>
      </c>
      <c r="F1383" s="275">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0.98501094091903718</v>
      </c>
      <c r="P1383" s="121">
        <f t="shared" si="581"/>
        <v>0.875</v>
      </c>
      <c r="Q1383" s="121">
        <f t="shared" si="582"/>
        <v>0.125</v>
      </c>
      <c r="R1383" s="121">
        <f t="shared" si="583"/>
        <v>0</v>
      </c>
      <c r="AE1383" s="160">
        <f t="shared" si="584"/>
        <v>0.98501094091903718</v>
      </c>
    </row>
    <row r="1384" spans="1:31" x14ac:dyDescent="0.3">
      <c r="A1384" s="187">
        <v>15</v>
      </c>
      <c r="B1384" s="242">
        <f t="shared" si="585"/>
        <v>46082</v>
      </c>
      <c r="C1384" s="243">
        <f t="shared" si="568"/>
        <v>46112</v>
      </c>
      <c r="D1384" s="120">
        <f t="shared" si="569"/>
        <v>31</v>
      </c>
      <c r="E1384" s="120">
        <f t="shared" si="570"/>
        <v>3</v>
      </c>
      <c r="F1384" s="275">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0.98565645514223199</v>
      </c>
      <c r="P1384" s="121">
        <f t="shared" si="581"/>
        <v>0.79166666666666663</v>
      </c>
      <c r="Q1384" s="121">
        <f t="shared" si="582"/>
        <v>0.20833333333333337</v>
      </c>
      <c r="R1384" s="121">
        <f t="shared" si="583"/>
        <v>0</v>
      </c>
      <c r="AE1384" s="160">
        <f t="shared" si="584"/>
        <v>0.98565645514223199</v>
      </c>
    </row>
    <row r="1385" spans="1:31" x14ac:dyDescent="0.3">
      <c r="A1385" s="187">
        <v>16</v>
      </c>
      <c r="B1385" s="242">
        <f t="shared" si="585"/>
        <v>46113</v>
      </c>
      <c r="C1385" s="243">
        <f t="shared" si="568"/>
        <v>46142</v>
      </c>
      <c r="D1385" s="120">
        <f t="shared" si="569"/>
        <v>30</v>
      </c>
      <c r="E1385" s="120">
        <f t="shared" si="570"/>
        <v>4</v>
      </c>
      <c r="F1385" s="275">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0.98632385120350108</v>
      </c>
      <c r="P1385" s="121">
        <f t="shared" si="581"/>
        <v>0.70833333333333337</v>
      </c>
      <c r="Q1385" s="121">
        <f t="shared" si="582"/>
        <v>0.29166666666666663</v>
      </c>
      <c r="R1385" s="121">
        <f t="shared" si="583"/>
        <v>0</v>
      </c>
      <c r="AE1385" s="160">
        <f t="shared" si="584"/>
        <v>0.98632385120350108</v>
      </c>
    </row>
    <row r="1386" spans="1:31" x14ac:dyDescent="0.3">
      <c r="A1386" s="187">
        <v>17</v>
      </c>
      <c r="B1386" s="242">
        <f t="shared" si="585"/>
        <v>46143</v>
      </c>
      <c r="C1386" s="243">
        <f t="shared" si="568"/>
        <v>46173</v>
      </c>
      <c r="D1386" s="120">
        <f t="shared" si="569"/>
        <v>31</v>
      </c>
      <c r="E1386" s="120">
        <f t="shared" si="570"/>
        <v>5</v>
      </c>
      <c r="F1386" s="275">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0.98699124726477028</v>
      </c>
      <c r="P1386" s="121">
        <f t="shared" si="581"/>
        <v>0.625</v>
      </c>
      <c r="Q1386" s="121">
        <f t="shared" si="582"/>
        <v>0.375</v>
      </c>
      <c r="R1386" s="121">
        <f t="shared" si="583"/>
        <v>0</v>
      </c>
      <c r="AE1386" s="160">
        <f t="shared" si="584"/>
        <v>0.98699124726477028</v>
      </c>
    </row>
    <row r="1387" spans="1:31" x14ac:dyDescent="0.3">
      <c r="A1387" s="187">
        <v>18</v>
      </c>
      <c r="B1387" s="242">
        <f t="shared" si="585"/>
        <v>46174</v>
      </c>
      <c r="C1387" s="243">
        <f t="shared" si="568"/>
        <v>46203</v>
      </c>
      <c r="D1387" s="120">
        <f t="shared" si="569"/>
        <v>30</v>
      </c>
      <c r="E1387" s="120">
        <f t="shared" si="570"/>
        <v>6</v>
      </c>
      <c r="F1387" s="275">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0.98765864332603936</v>
      </c>
      <c r="P1387" s="121">
        <f t="shared" si="581"/>
        <v>0.54166666666666663</v>
      </c>
      <c r="Q1387" s="121">
        <f t="shared" si="582"/>
        <v>0.45833333333333337</v>
      </c>
      <c r="R1387" s="121">
        <f t="shared" si="583"/>
        <v>0</v>
      </c>
      <c r="AE1387" s="160">
        <f t="shared" si="584"/>
        <v>0.98765864332603936</v>
      </c>
    </row>
    <row r="1388" spans="1:31" x14ac:dyDescent="0.3">
      <c r="A1388" s="187">
        <v>19</v>
      </c>
      <c r="B1388" s="242">
        <f t="shared" si="585"/>
        <v>46204</v>
      </c>
      <c r="C1388" s="243">
        <f t="shared" si="568"/>
        <v>46234</v>
      </c>
      <c r="D1388" s="120">
        <f t="shared" si="569"/>
        <v>31</v>
      </c>
      <c r="E1388" s="120">
        <f t="shared" si="570"/>
        <v>7</v>
      </c>
      <c r="F1388" s="275">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0.98832603938730856</v>
      </c>
      <c r="P1388" s="121">
        <f t="shared" si="581"/>
        <v>0.45833333333333331</v>
      </c>
      <c r="Q1388" s="121">
        <f t="shared" si="582"/>
        <v>0.54166666666666674</v>
      </c>
      <c r="R1388" s="121">
        <f t="shared" si="583"/>
        <v>0</v>
      </c>
      <c r="AE1388" s="160">
        <f t="shared" si="584"/>
        <v>0.98832603938730856</v>
      </c>
    </row>
    <row r="1389" spans="1:31" x14ac:dyDescent="0.3">
      <c r="A1389" s="187">
        <v>20</v>
      </c>
      <c r="B1389" s="242">
        <f t="shared" si="585"/>
        <v>46235</v>
      </c>
      <c r="C1389" s="243">
        <f t="shared" si="568"/>
        <v>46265</v>
      </c>
      <c r="D1389" s="120">
        <f t="shared" si="569"/>
        <v>31</v>
      </c>
      <c r="E1389" s="120">
        <f t="shared" si="570"/>
        <v>8</v>
      </c>
      <c r="F1389" s="275">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0.98900437636761485</v>
      </c>
      <c r="P1389" s="121">
        <f t="shared" si="581"/>
        <v>0.375</v>
      </c>
      <c r="Q1389" s="121">
        <f t="shared" si="582"/>
        <v>0.625</v>
      </c>
      <c r="R1389" s="121">
        <f t="shared" si="583"/>
        <v>0</v>
      </c>
      <c r="AE1389" s="160">
        <f t="shared" si="584"/>
        <v>0.98900437636761485</v>
      </c>
    </row>
    <row r="1390" spans="1:31" x14ac:dyDescent="0.3">
      <c r="A1390" s="187">
        <v>21</v>
      </c>
      <c r="B1390" s="242">
        <f t="shared" si="585"/>
        <v>46266</v>
      </c>
      <c r="C1390" s="243">
        <f t="shared" si="568"/>
        <v>46295</v>
      </c>
      <c r="D1390" s="120">
        <f t="shared" si="569"/>
        <v>30</v>
      </c>
      <c r="E1390" s="120">
        <f t="shared" si="570"/>
        <v>9</v>
      </c>
      <c r="F1390" s="275">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0.98967177242888404</v>
      </c>
      <c r="P1390" s="121">
        <f t="shared" si="581"/>
        <v>0.29166666666666669</v>
      </c>
      <c r="Q1390" s="121">
        <f t="shared" si="582"/>
        <v>0.70833333333333326</v>
      </c>
      <c r="R1390" s="121">
        <f t="shared" si="583"/>
        <v>0</v>
      </c>
      <c r="AE1390" s="160">
        <f t="shared" si="584"/>
        <v>0.98967177242888404</v>
      </c>
    </row>
    <row r="1391" spans="1:31" x14ac:dyDescent="0.3">
      <c r="A1391" s="187">
        <v>22</v>
      </c>
      <c r="B1391" s="242">
        <f t="shared" si="585"/>
        <v>46296</v>
      </c>
      <c r="C1391" s="243">
        <f t="shared" si="568"/>
        <v>46326</v>
      </c>
      <c r="D1391" s="120">
        <f t="shared" si="569"/>
        <v>31</v>
      </c>
      <c r="E1391" s="120">
        <f t="shared" si="570"/>
        <v>10</v>
      </c>
      <c r="F1391" s="275">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0.99033916849015313</v>
      </c>
      <c r="P1391" s="121">
        <f t="shared" si="581"/>
        <v>0.20833333333333334</v>
      </c>
      <c r="Q1391" s="121">
        <f t="shared" si="582"/>
        <v>0.79166666666666663</v>
      </c>
      <c r="R1391" s="121">
        <f t="shared" si="583"/>
        <v>0</v>
      </c>
      <c r="AE1391" s="160">
        <f t="shared" si="584"/>
        <v>0.99033916849015313</v>
      </c>
    </row>
    <row r="1392" spans="1:31" x14ac:dyDescent="0.3">
      <c r="A1392" s="187">
        <v>23</v>
      </c>
      <c r="B1392" s="242">
        <f t="shared" si="585"/>
        <v>46327</v>
      </c>
      <c r="C1392" s="243">
        <f t="shared" si="568"/>
        <v>46356</v>
      </c>
      <c r="D1392" s="120">
        <f t="shared" si="569"/>
        <v>30</v>
      </c>
      <c r="E1392" s="120">
        <f t="shared" si="570"/>
        <v>11</v>
      </c>
      <c r="F1392" s="275">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0.99100656455142233</v>
      </c>
      <c r="P1392" s="121">
        <f t="shared" si="581"/>
        <v>0.125</v>
      </c>
      <c r="Q1392" s="121">
        <f t="shared" si="582"/>
        <v>0.875</v>
      </c>
      <c r="R1392" s="121">
        <f t="shared" si="583"/>
        <v>0</v>
      </c>
      <c r="AE1392" s="160">
        <f t="shared" si="584"/>
        <v>0.99100656455142233</v>
      </c>
    </row>
    <row r="1393" spans="1:35" x14ac:dyDescent="0.3">
      <c r="A1393" s="187">
        <v>24</v>
      </c>
      <c r="B1393" s="242">
        <f t="shared" si="585"/>
        <v>46357</v>
      </c>
      <c r="C1393" s="243">
        <f t="shared" si="568"/>
        <v>46387</v>
      </c>
      <c r="D1393" s="120">
        <f t="shared" si="569"/>
        <v>31</v>
      </c>
      <c r="E1393" s="120">
        <f t="shared" si="570"/>
        <v>12</v>
      </c>
      <c r="F1393" s="275">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0.99167396061269142</v>
      </c>
      <c r="P1393" s="121">
        <f t="shared" si="581"/>
        <v>4.1666666666666664E-2</v>
      </c>
      <c r="Q1393" s="121">
        <f t="shared" si="582"/>
        <v>0.95833333333333337</v>
      </c>
      <c r="R1393" s="121">
        <f t="shared" si="583"/>
        <v>0</v>
      </c>
      <c r="AE1393" s="160">
        <f t="shared" si="584"/>
        <v>0.99167396061269142</v>
      </c>
    </row>
    <row r="1394" spans="1:35" x14ac:dyDescent="0.3">
      <c r="A1394" s="187">
        <v>25</v>
      </c>
      <c r="B1394" s="242">
        <f t="shared" si="585"/>
        <v>46388</v>
      </c>
      <c r="C1394" s="243">
        <f t="shared" si="568"/>
        <v>46418</v>
      </c>
      <c r="D1394" s="120">
        <f t="shared" si="569"/>
        <v>31</v>
      </c>
      <c r="E1394" s="120">
        <f t="shared" si="570"/>
        <v>1</v>
      </c>
      <c r="F1394" s="275">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0.99235229759299781</v>
      </c>
      <c r="P1394" s="121">
        <f t="shared" si="581"/>
        <v>0</v>
      </c>
      <c r="Q1394" s="121">
        <f t="shared" si="582"/>
        <v>0.95833333333333337</v>
      </c>
      <c r="R1394" s="121">
        <f t="shared" si="583"/>
        <v>4.166666666666663E-2</v>
      </c>
      <c r="W1394" s="160">
        <f t="shared" ref="W1394:W1405" si="586">IF($G1394&lt;&gt;$Q$1367,$N1394,(1-$U$1367)*$I1394+$U$1367*$J1394)</f>
        <v>1</v>
      </c>
      <c r="X1394" s="160">
        <f t="shared" ref="X1394:X1405" si="587">IF($G1394&lt;$Q$1367,0,IF($G1394&gt;$Q$1367,$N1394,$U$1367*$J1394))</f>
        <v>0</v>
      </c>
      <c r="Y1394" s="160">
        <f t="shared" ref="Y1394:Y1405" si="588">IF($F$1367=1,$O1394/$O1382,1)</f>
        <v>1.0081137255337831</v>
      </c>
      <c r="AB1394" s="160">
        <f t="shared" ref="AB1394:AB1405" si="589">IF(AND(N($K$1367)&lt;&gt;0,$F1394&lt;=$B$1368),0,($F1394-$B$1368)/($C$1368-$B$1368))</f>
        <v>0.23522975929978118</v>
      </c>
      <c r="AC1394" s="220">
        <f t="shared" ref="AC1394:AC1405" si="590">IF(AND(N($K$1367)&lt;&gt;0,$F1394&lt;=$B$1368),$O1394,$F$1368*(1-$AB1394))</f>
        <v>0.75712253829321663</v>
      </c>
      <c r="AD1394" s="160">
        <f t="shared" ref="AD1394:AD1405" si="591">$H1394*($W1394+$X1394*IF(ISNUMBER($F$1418),$F$1418,0))/($N1382*$O1382)</f>
        <v>1.0158828955996932</v>
      </c>
      <c r="AE1394" s="160">
        <f t="shared" si="584"/>
        <v>0.99235229759299781</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5">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0.99299781181619251</v>
      </c>
      <c r="P1395" s="121">
        <f t="shared" si="581"/>
        <v>0</v>
      </c>
      <c r="Q1395" s="121">
        <f t="shared" si="582"/>
        <v>0.875</v>
      </c>
      <c r="R1395" s="121">
        <f t="shared" si="583"/>
        <v>0.125</v>
      </c>
      <c r="W1395" s="160">
        <f t="shared" si="586"/>
        <v>1</v>
      </c>
      <c r="X1395" s="160">
        <f t="shared" si="587"/>
        <v>0</v>
      </c>
      <c r="Y1395" s="160">
        <f t="shared" si="588"/>
        <v>1.0081084083083416</v>
      </c>
      <c r="AB1395" s="160">
        <f t="shared" si="589"/>
        <v>0.29978118161925604</v>
      </c>
      <c r="AC1395" s="220">
        <f t="shared" si="590"/>
        <v>0.69321663019693647</v>
      </c>
      <c r="AD1395" s="160">
        <f t="shared" si="591"/>
        <v>1.0152171498389426</v>
      </c>
      <c r="AE1395" s="160">
        <f t="shared" si="584"/>
        <v>0.99299781181619251</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5">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0.99364332603938732</v>
      </c>
      <c r="P1396" s="121">
        <f t="shared" si="581"/>
        <v>0</v>
      </c>
      <c r="Q1396" s="121">
        <f t="shared" si="582"/>
        <v>0.79166666666666663</v>
      </c>
      <c r="R1396" s="121">
        <f t="shared" si="583"/>
        <v>0.20833333333333337</v>
      </c>
      <c r="W1396" s="160">
        <f t="shared" si="586"/>
        <v>1</v>
      </c>
      <c r="X1396" s="160">
        <f t="shared" si="587"/>
        <v>0</v>
      </c>
      <c r="Y1396" s="160">
        <f t="shared" si="588"/>
        <v>1.0081030980474863</v>
      </c>
      <c r="AB1396" s="160">
        <f t="shared" si="589"/>
        <v>0.36433260393873085</v>
      </c>
      <c r="AC1396" s="220">
        <f t="shared" si="590"/>
        <v>0.62931072210065642</v>
      </c>
      <c r="AD1396" s="160">
        <f t="shared" si="591"/>
        <v>1.0145522760825405</v>
      </c>
      <c r="AE1396" s="160">
        <f t="shared" si="584"/>
        <v>0.99364332603938732</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5">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0.99431072210065641</v>
      </c>
      <c r="P1397" s="121">
        <f t="shared" si="581"/>
        <v>0</v>
      </c>
      <c r="Q1397" s="121">
        <f t="shared" si="582"/>
        <v>0.70833333333333337</v>
      </c>
      <c r="R1397" s="121">
        <f t="shared" si="583"/>
        <v>0.29166666666666663</v>
      </c>
      <c r="W1397" s="160">
        <f t="shared" si="586"/>
        <v>1</v>
      </c>
      <c r="X1397" s="160">
        <f t="shared" si="587"/>
        <v>1</v>
      </c>
      <c r="Y1397" s="160">
        <f t="shared" si="588"/>
        <v>1.0080976150859677</v>
      </c>
      <c r="AB1397" s="160">
        <f t="shared" si="589"/>
        <v>0.4310722100656455</v>
      </c>
      <c r="AC1397" s="220">
        <f t="shared" si="590"/>
        <v>0.56323851203501096</v>
      </c>
      <c r="AD1397" s="160">
        <f t="shared" si="591"/>
        <v>1.0138657792567942</v>
      </c>
      <c r="AE1397" s="160">
        <f t="shared" si="584"/>
        <v>0.99431072210065641</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5">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0.99497811816192561</v>
      </c>
      <c r="P1398" s="121">
        <f t="shared" si="581"/>
        <v>0</v>
      </c>
      <c r="Q1398" s="121">
        <f t="shared" si="582"/>
        <v>0.625</v>
      </c>
      <c r="R1398" s="121">
        <f t="shared" si="583"/>
        <v>0.375</v>
      </c>
      <c r="W1398" s="160">
        <f t="shared" si="586"/>
        <v>1</v>
      </c>
      <c r="X1398" s="160">
        <f t="shared" si="587"/>
        <v>1</v>
      </c>
      <c r="Y1398" s="160">
        <f t="shared" si="588"/>
        <v>1.0080921395395239</v>
      </c>
      <c r="AB1398" s="160">
        <f t="shared" si="589"/>
        <v>0.49781181619256015</v>
      </c>
      <c r="AC1398" s="220">
        <f t="shared" si="590"/>
        <v>0.4971663019693654</v>
      </c>
      <c r="AD1398" s="160">
        <f t="shared" si="591"/>
        <v>1.0131802108390329</v>
      </c>
      <c r="AE1398" s="160">
        <f t="shared" si="584"/>
        <v>0.9949781181619255</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5">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0.99564551422319469</v>
      </c>
      <c r="P1399" s="121">
        <f t="shared" si="581"/>
        <v>0</v>
      </c>
      <c r="Q1399" s="121">
        <f t="shared" si="582"/>
        <v>0.54166666666666663</v>
      </c>
      <c r="R1399" s="121">
        <f t="shared" si="583"/>
        <v>0.45833333333333337</v>
      </c>
      <c r="W1399" s="160">
        <f t="shared" si="586"/>
        <v>1</v>
      </c>
      <c r="X1399" s="160">
        <f t="shared" si="587"/>
        <v>1</v>
      </c>
      <c r="Y1399" s="160">
        <f t="shared" si="588"/>
        <v>1.0080866713931229</v>
      </c>
      <c r="AB1399" s="160">
        <f t="shared" si="589"/>
        <v>0.56455142231947486</v>
      </c>
      <c r="AC1399" s="220">
        <f t="shared" si="590"/>
        <v>0.43109409190371989</v>
      </c>
      <c r="AD1399" s="160">
        <f t="shared" si="591"/>
        <v>1.012495568947182</v>
      </c>
      <c r="AE1399" s="160">
        <f t="shared" si="584"/>
        <v>0.99564551422319481</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5">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0.99631291028446389</v>
      </c>
      <c r="P1400" s="121">
        <f t="shared" si="581"/>
        <v>0</v>
      </c>
      <c r="Q1400" s="121">
        <f t="shared" si="582"/>
        <v>0.45833333333333331</v>
      </c>
      <c r="R1400" s="121">
        <f t="shared" si="583"/>
        <v>0.54166666666666674</v>
      </c>
      <c r="W1400" s="160">
        <f t="shared" si="586"/>
        <v>1</v>
      </c>
      <c r="X1400" s="160">
        <f t="shared" si="587"/>
        <v>1</v>
      </c>
      <c r="Y1400" s="160">
        <f t="shared" si="588"/>
        <v>1.0080812106317736</v>
      </c>
      <c r="AB1400" s="160">
        <f t="shared" si="589"/>
        <v>0.63129102844638951</v>
      </c>
      <c r="AC1400" s="220">
        <f t="shared" si="590"/>
        <v>0.36502188183807438</v>
      </c>
      <c r="AD1400" s="160">
        <f t="shared" si="591"/>
        <v>1.0118118517042498</v>
      </c>
      <c r="AE1400" s="160">
        <f t="shared" si="584"/>
        <v>0.99631291028446389</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5">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0.99699124726477029</v>
      </c>
      <c r="P1401" s="121">
        <f t="shared" si="581"/>
        <v>0</v>
      </c>
      <c r="Q1401" s="121">
        <f t="shared" si="582"/>
        <v>0.375</v>
      </c>
      <c r="R1401" s="121">
        <f t="shared" si="583"/>
        <v>0.625</v>
      </c>
      <c r="W1401" s="160">
        <f t="shared" si="586"/>
        <v>1</v>
      </c>
      <c r="X1401" s="160">
        <f t="shared" si="587"/>
        <v>1</v>
      </c>
      <c r="Y1401" s="160">
        <f t="shared" si="588"/>
        <v>1.0080756679019858</v>
      </c>
      <c r="AB1401" s="160">
        <f t="shared" si="589"/>
        <v>0.69912472647702406</v>
      </c>
      <c r="AC1401" s="220">
        <f t="shared" si="590"/>
        <v>0.29786652078774617</v>
      </c>
      <c r="AD1401" s="160">
        <f t="shared" si="591"/>
        <v>1.0111178715636928</v>
      </c>
      <c r="AE1401" s="160">
        <f t="shared" si="584"/>
        <v>0.99699124726477018</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5">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0.99765864332603937</v>
      </c>
      <c r="P1402" s="121">
        <f t="shared" si="581"/>
        <v>0</v>
      </c>
      <c r="Q1402" s="121">
        <f t="shared" si="582"/>
        <v>0.29166666666666669</v>
      </c>
      <c r="R1402" s="121">
        <f t="shared" si="583"/>
        <v>0.70833333333333326</v>
      </c>
      <c r="W1402" s="160">
        <f t="shared" si="586"/>
        <v>1</v>
      </c>
      <c r="X1402" s="160">
        <f t="shared" si="587"/>
        <v>1</v>
      </c>
      <c r="Y1402" s="160">
        <f t="shared" si="588"/>
        <v>1.0080702219863802</v>
      </c>
      <c r="AB1402" s="160">
        <f t="shared" si="589"/>
        <v>0.76586433260393871</v>
      </c>
      <c r="AC1402" s="220">
        <f t="shared" si="590"/>
        <v>0.23179431072210066</v>
      </c>
      <c r="AD1402" s="160">
        <f t="shared" si="591"/>
        <v>1.0104360130892367</v>
      </c>
      <c r="AE1402" s="160">
        <f t="shared" si="584"/>
        <v>0.99765864332603937</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5">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0.99832603938730857</v>
      </c>
      <c r="P1403" s="121">
        <f t="shared" si="581"/>
        <v>0</v>
      </c>
      <c r="Q1403" s="121">
        <f t="shared" si="582"/>
        <v>0.20833333333333334</v>
      </c>
      <c r="R1403" s="121">
        <f t="shared" si="583"/>
        <v>0.79166666666666663</v>
      </c>
      <c r="W1403" s="160">
        <f t="shared" si="586"/>
        <v>1</v>
      </c>
      <c r="X1403" s="160">
        <f t="shared" si="587"/>
        <v>1</v>
      </c>
      <c r="Y1403" s="160">
        <f t="shared" si="588"/>
        <v>1.0080647834108512</v>
      </c>
      <c r="AB1403" s="160">
        <f t="shared" si="589"/>
        <v>0.83260393873085337</v>
      </c>
      <c r="AC1403" s="220">
        <f t="shared" si="590"/>
        <v>0.16572210065645518</v>
      </c>
      <c r="AD1403" s="160">
        <f t="shared" si="591"/>
        <v>1.0097550736325773</v>
      </c>
      <c r="AE1403" s="160">
        <f t="shared" si="584"/>
        <v>0.99832603938730857</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5">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0.99899343544857766</v>
      </c>
      <c r="P1404" s="121">
        <f t="shared" si="581"/>
        <v>0</v>
      </c>
      <c r="Q1404" s="121">
        <f t="shared" si="582"/>
        <v>0.125</v>
      </c>
      <c r="R1404" s="121">
        <f t="shared" si="583"/>
        <v>0.875</v>
      </c>
      <c r="W1404" s="160">
        <f t="shared" si="586"/>
        <v>1</v>
      </c>
      <c r="X1404" s="160">
        <f t="shared" si="587"/>
        <v>1</v>
      </c>
      <c r="Y1404" s="160">
        <f t="shared" si="588"/>
        <v>1.0080593521605687</v>
      </c>
      <c r="AB1404" s="160">
        <f t="shared" si="589"/>
        <v>0.89934354485776802</v>
      </c>
      <c r="AC1404" s="220">
        <f t="shared" si="590"/>
        <v>9.9649890590809656E-2</v>
      </c>
      <c r="AD1404" s="160">
        <f t="shared" si="591"/>
        <v>1.0090750513369693</v>
      </c>
      <c r="AE1404" s="160">
        <f t="shared" si="584"/>
        <v>0.99899343544857766</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5">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0.99966083150984686</v>
      </c>
      <c r="P1405" s="121">
        <f t="shared" si="581"/>
        <v>0</v>
      </c>
      <c r="Q1405" s="121">
        <f t="shared" si="582"/>
        <v>4.1666666666666664E-2</v>
      </c>
      <c r="R1405" s="121">
        <f t="shared" si="583"/>
        <v>0.95833333333333337</v>
      </c>
      <c r="W1405" s="160">
        <f t="shared" si="586"/>
        <v>1</v>
      </c>
      <c r="X1405" s="160">
        <f t="shared" si="587"/>
        <v>1</v>
      </c>
      <c r="Y1405" s="160">
        <f t="shared" si="588"/>
        <v>1.0080539282207439</v>
      </c>
      <c r="AB1405" s="160">
        <f t="shared" si="589"/>
        <v>0.96608315098468267</v>
      </c>
      <c r="AC1405" s="220">
        <f t="shared" si="590"/>
        <v>3.3577680525164154E-2</v>
      </c>
      <c r="AD1405" s="160">
        <f t="shared" si="591"/>
        <v>1.0083959443506658</v>
      </c>
      <c r="AE1405" s="160">
        <f t="shared" si="584"/>
        <v>0.99966083150984686</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5">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1</v>
      </c>
      <c r="P1406" s="121">
        <f t="shared" si="581"/>
        <v>0</v>
      </c>
      <c r="Q1406" s="121">
        <f t="shared" si="582"/>
        <v>0</v>
      </c>
      <c r="R1406" s="121">
        <f t="shared" si="583"/>
        <v>0.95833333333333337</v>
      </c>
      <c r="AE1406" s="160">
        <f t="shared" si="584"/>
        <v>1</v>
      </c>
    </row>
    <row r="1407" spans="1:35" x14ac:dyDescent="0.3">
      <c r="A1407" s="187">
        <v>38</v>
      </c>
      <c r="B1407" s="242">
        <f t="shared" si="585"/>
        <v>46784</v>
      </c>
      <c r="C1407" s="243">
        <f t="shared" si="568"/>
        <v>46812</v>
      </c>
      <c r="D1407" s="120">
        <f t="shared" si="569"/>
        <v>29</v>
      </c>
      <c r="E1407" s="120">
        <f t="shared" si="570"/>
        <v>2</v>
      </c>
      <c r="F1407" s="275">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1</v>
      </c>
      <c r="P1407" s="121">
        <f t="shared" si="581"/>
        <v>0</v>
      </c>
      <c r="Q1407" s="121">
        <f t="shared" si="582"/>
        <v>0</v>
      </c>
      <c r="R1407" s="121">
        <f t="shared" si="583"/>
        <v>0.875</v>
      </c>
      <c r="AE1407" s="160">
        <f t="shared" si="584"/>
        <v>1</v>
      </c>
    </row>
    <row r="1408" spans="1:35" x14ac:dyDescent="0.3">
      <c r="A1408" s="187">
        <v>39</v>
      </c>
      <c r="B1408" s="242">
        <f t="shared" si="585"/>
        <v>46813</v>
      </c>
      <c r="C1408" s="243">
        <f t="shared" si="568"/>
        <v>46843</v>
      </c>
      <c r="D1408" s="120">
        <f t="shared" si="569"/>
        <v>31</v>
      </c>
      <c r="E1408" s="120">
        <f t="shared" si="570"/>
        <v>3</v>
      </c>
      <c r="F1408" s="275">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1</v>
      </c>
      <c r="P1408" s="121">
        <f t="shared" si="581"/>
        <v>0</v>
      </c>
      <c r="Q1408" s="121">
        <f t="shared" si="582"/>
        <v>0</v>
      </c>
      <c r="R1408" s="121">
        <f t="shared" si="583"/>
        <v>0.79166666666666663</v>
      </c>
      <c r="AE1408" s="160">
        <f t="shared" si="584"/>
        <v>1</v>
      </c>
    </row>
    <row r="1409" spans="1:31" x14ac:dyDescent="0.3">
      <c r="A1409" s="187">
        <v>40</v>
      </c>
      <c r="B1409" s="242">
        <f t="shared" si="585"/>
        <v>46844</v>
      </c>
      <c r="C1409" s="243">
        <f t="shared" si="568"/>
        <v>46873</v>
      </c>
      <c r="D1409" s="120">
        <f t="shared" si="569"/>
        <v>30</v>
      </c>
      <c r="E1409" s="120">
        <f t="shared" si="570"/>
        <v>4</v>
      </c>
      <c r="F1409" s="275">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1</v>
      </c>
      <c r="P1409" s="121">
        <f t="shared" si="581"/>
        <v>0</v>
      </c>
      <c r="Q1409" s="121">
        <f t="shared" si="582"/>
        <v>0</v>
      </c>
      <c r="R1409" s="121">
        <f t="shared" si="583"/>
        <v>0.70833333333333337</v>
      </c>
      <c r="AE1409" s="160">
        <f t="shared" si="584"/>
        <v>1</v>
      </c>
    </row>
    <row r="1410" spans="1:31" x14ac:dyDescent="0.3">
      <c r="A1410" s="187">
        <v>41</v>
      </c>
      <c r="B1410" s="242">
        <f t="shared" si="585"/>
        <v>46874</v>
      </c>
      <c r="C1410" s="243">
        <f t="shared" si="568"/>
        <v>46904</v>
      </c>
      <c r="D1410" s="120">
        <f t="shared" si="569"/>
        <v>31</v>
      </c>
      <c r="E1410" s="120">
        <f t="shared" si="570"/>
        <v>5</v>
      </c>
      <c r="F1410" s="275">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1</v>
      </c>
      <c r="P1410" s="121">
        <f t="shared" si="581"/>
        <v>0</v>
      </c>
      <c r="Q1410" s="121">
        <f t="shared" si="582"/>
        <v>0</v>
      </c>
      <c r="R1410" s="121">
        <f t="shared" si="583"/>
        <v>0.625</v>
      </c>
      <c r="AE1410" s="160">
        <f t="shared" si="584"/>
        <v>1</v>
      </c>
    </row>
    <row r="1411" spans="1:31" x14ac:dyDescent="0.3">
      <c r="A1411" s="187">
        <v>42</v>
      </c>
      <c r="B1411" s="242">
        <f t="shared" si="585"/>
        <v>46905</v>
      </c>
      <c r="C1411" s="243">
        <f t="shared" si="568"/>
        <v>46934</v>
      </c>
      <c r="D1411" s="120">
        <f t="shared" si="569"/>
        <v>30</v>
      </c>
      <c r="E1411" s="120">
        <f t="shared" si="570"/>
        <v>6</v>
      </c>
      <c r="F1411" s="275">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1</v>
      </c>
      <c r="P1411" s="121">
        <f t="shared" si="581"/>
        <v>0</v>
      </c>
      <c r="Q1411" s="121">
        <f t="shared" si="582"/>
        <v>0</v>
      </c>
      <c r="R1411" s="121">
        <f t="shared" si="583"/>
        <v>0.54166666666666663</v>
      </c>
      <c r="AE1411" s="160">
        <f t="shared" si="584"/>
        <v>1</v>
      </c>
    </row>
    <row r="1412" spans="1:31" x14ac:dyDescent="0.3">
      <c r="A1412" s="187">
        <v>43</v>
      </c>
      <c r="B1412" s="242">
        <f t="shared" si="585"/>
        <v>46935</v>
      </c>
      <c r="C1412" s="243">
        <f t="shared" si="568"/>
        <v>46965</v>
      </c>
      <c r="D1412" s="120">
        <f t="shared" si="569"/>
        <v>31</v>
      </c>
      <c r="E1412" s="120">
        <f t="shared" si="570"/>
        <v>7</v>
      </c>
      <c r="F1412" s="275">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1</v>
      </c>
      <c r="P1412" s="121">
        <f t="shared" si="581"/>
        <v>0</v>
      </c>
      <c r="Q1412" s="121">
        <f t="shared" si="582"/>
        <v>0</v>
      </c>
      <c r="R1412" s="121">
        <f t="shared" si="583"/>
        <v>0.45833333333333331</v>
      </c>
      <c r="AE1412" s="160">
        <f t="shared" si="584"/>
        <v>1</v>
      </c>
    </row>
    <row r="1413" spans="1:31" x14ac:dyDescent="0.3">
      <c r="A1413" s="187">
        <v>44</v>
      </c>
      <c r="B1413" s="242">
        <f t="shared" si="585"/>
        <v>46966</v>
      </c>
      <c r="C1413" s="243">
        <f t="shared" si="568"/>
        <v>46996</v>
      </c>
      <c r="D1413" s="120">
        <f t="shared" si="569"/>
        <v>31</v>
      </c>
      <c r="E1413" s="120">
        <f t="shared" si="570"/>
        <v>8</v>
      </c>
      <c r="F1413" s="275">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1</v>
      </c>
      <c r="P1413" s="121">
        <f t="shared" si="581"/>
        <v>0</v>
      </c>
      <c r="Q1413" s="121">
        <f t="shared" si="582"/>
        <v>0</v>
      </c>
      <c r="R1413" s="121">
        <f t="shared" si="583"/>
        <v>0.375</v>
      </c>
      <c r="AE1413" s="160">
        <f t="shared" si="584"/>
        <v>1</v>
      </c>
    </row>
    <row r="1414" spans="1:31" x14ac:dyDescent="0.3">
      <c r="A1414" s="187">
        <v>45</v>
      </c>
      <c r="B1414" s="242">
        <f t="shared" si="585"/>
        <v>46997</v>
      </c>
      <c r="C1414" s="243">
        <f t="shared" si="568"/>
        <v>47026</v>
      </c>
      <c r="D1414" s="120">
        <f t="shared" si="569"/>
        <v>30</v>
      </c>
      <c r="E1414" s="120">
        <f t="shared" si="570"/>
        <v>9</v>
      </c>
      <c r="F1414" s="275">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1</v>
      </c>
      <c r="P1414" s="121">
        <f t="shared" si="581"/>
        <v>0</v>
      </c>
      <c r="Q1414" s="121">
        <f t="shared" si="582"/>
        <v>0</v>
      </c>
      <c r="R1414" s="121">
        <f t="shared" si="583"/>
        <v>0.29166666666666669</v>
      </c>
      <c r="AE1414" s="160">
        <f t="shared" si="584"/>
        <v>1</v>
      </c>
    </row>
    <row r="1415" spans="1:31" x14ac:dyDescent="0.3">
      <c r="A1415" s="187">
        <v>46</v>
      </c>
      <c r="B1415" s="242">
        <f t="shared" si="585"/>
        <v>47027</v>
      </c>
      <c r="C1415" s="243">
        <f t="shared" si="568"/>
        <v>47057</v>
      </c>
      <c r="D1415" s="120">
        <f t="shared" si="569"/>
        <v>31</v>
      </c>
      <c r="E1415" s="120">
        <f t="shared" si="570"/>
        <v>10</v>
      </c>
      <c r="F1415" s="275">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1</v>
      </c>
      <c r="P1415" s="121">
        <f t="shared" si="581"/>
        <v>0</v>
      </c>
      <c r="Q1415" s="121">
        <f t="shared" si="582"/>
        <v>0</v>
      </c>
      <c r="R1415" s="121">
        <f t="shared" si="583"/>
        <v>0.20833333333333334</v>
      </c>
      <c r="AE1415" s="160">
        <f t="shared" si="584"/>
        <v>1</v>
      </c>
    </row>
    <row r="1416" spans="1:31" x14ac:dyDescent="0.3">
      <c r="A1416" s="187">
        <v>47</v>
      </c>
      <c r="B1416" s="242">
        <f t="shared" si="585"/>
        <v>47058</v>
      </c>
      <c r="C1416" s="243">
        <f t="shared" si="568"/>
        <v>47087</v>
      </c>
      <c r="D1416" s="120">
        <f t="shared" si="569"/>
        <v>30</v>
      </c>
      <c r="E1416" s="120">
        <f t="shared" si="570"/>
        <v>11</v>
      </c>
      <c r="F1416" s="275">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1</v>
      </c>
      <c r="P1416" s="121">
        <f t="shared" si="581"/>
        <v>0</v>
      </c>
      <c r="Q1416" s="121">
        <f t="shared" si="582"/>
        <v>0</v>
      </c>
      <c r="R1416" s="121">
        <f t="shared" si="583"/>
        <v>0.125</v>
      </c>
      <c r="AE1416" s="160">
        <f t="shared" si="584"/>
        <v>1</v>
      </c>
    </row>
    <row r="1417" spans="1:31" x14ac:dyDescent="0.3">
      <c r="A1417" s="187">
        <v>48</v>
      </c>
      <c r="B1417" s="242">
        <f t="shared" si="585"/>
        <v>47088</v>
      </c>
      <c r="C1417" s="243">
        <f t="shared" si="568"/>
        <v>47118</v>
      </c>
      <c r="D1417" s="120">
        <f t="shared" si="569"/>
        <v>31</v>
      </c>
      <c r="E1417" s="120">
        <f t="shared" si="570"/>
        <v>12</v>
      </c>
      <c r="F1417" s="275">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1</v>
      </c>
      <c r="P1417" s="121">
        <f t="shared" si="581"/>
        <v>0</v>
      </c>
      <c r="Q1417" s="121">
        <f t="shared" si="582"/>
        <v>0</v>
      </c>
      <c r="R1417" s="121">
        <f t="shared" si="583"/>
        <v>4.1666666666666664E-2</v>
      </c>
      <c r="AE1417" s="160">
        <f t="shared" si="584"/>
        <v>1</v>
      </c>
    </row>
    <row r="1418" spans="1:31" x14ac:dyDescent="0.3">
      <c r="A1418" s="23" t="s">
        <v>1723</v>
      </c>
      <c r="B1418" s="279">
        <f>SUM($H$1394:$H$1405)</f>
        <v>12</v>
      </c>
      <c r="C1418" s="160">
        <f>SUMPRODUCT($H$1394:$H$1405,$W$1394:$W$1405/$N$1382:$N$1393,$Y$1394:$Y$1405)</f>
        <v>12.097006822220528</v>
      </c>
      <c r="D1418" s="160">
        <f>SUMPRODUCT($H$1394:$H$1405,$X$1394:$X$1405/$N$1382:$N$1393,$Y$1394:$Y$1405)</f>
        <v>9.0726815903309177</v>
      </c>
      <c r="E1418" s="281" t="str">
        <f>IF(OR($D$1367=0,$P$1367=0,$D1418=0),"n/a",((1+$E$1367)*$B1418-$C1418)/$D1418)</f>
        <v>n/a</v>
      </c>
      <c r="F1418" s="281" t="str">
        <f>IF($V$1367&lt;&gt;"",$V$1367,$E1418)</f>
        <v>n/a</v>
      </c>
      <c r="G1418" s="281"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2">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8">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9">
        <f>IF($M1423=0,0,INDEX(se_sum,$M1423))</f>
        <v>0</v>
      </c>
      <c r="O1423" s="278">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80" t="str">
        <f>IF(ISBLANK('Net Delivery'!$E$30),$Y1423,'Net Delivery'!$E$30)</f>
        <v/>
      </c>
      <c r="W1423" s="43">
        <f>IF($B1423="",0,COUNTIFS(rl_key,$B1423,rl_status,"planned",rl_eff,"&gt;="&amp;DATE(nr_PlanYear,1,1),rl_eff,"&lt;="&amp;DATE(nr_PlanYear,12,31)))</f>
        <v>0</v>
      </c>
      <c r="X1423" s="278">
        <f>IF($W1423=0,nd_DefaultDate,SUMIFS(rl_eff,rl_key,$B1423,rl_firstplanned,1))</f>
        <v>46478</v>
      </c>
      <c r="Y1423" s="280" t="str">
        <f>IF($W1423=0,"",SUMIFS(rl_reff,rl_key,$B1423,rl_firstplanned,1))</f>
        <v/>
      </c>
      <c r="Z1423" s="280"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5">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4.166666666666663E-2</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5">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0.125</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5">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0.20833333333333337</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5">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0.29166666666666663</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5">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0.375</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5">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0.45833333333333337</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5">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0.54166666666666674</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5">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0.625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5">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0.70833333333333326</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5">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0.79166666666666663</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5">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0.875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5">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0.95833333333333337</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5">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0.95833333333333337</v>
      </c>
      <c r="Q1438" s="121">
        <f t="shared" si="610"/>
        <v>4.166666666666663E-2</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5">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0.875</v>
      </c>
      <c r="Q1439" s="121">
        <f t="shared" si="610"/>
        <v>0.125</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5">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0.79166666666666663</v>
      </c>
      <c r="Q1440" s="121">
        <f t="shared" si="610"/>
        <v>0.20833333333333337</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5">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0.70833333333333337</v>
      </c>
      <c r="Q1441" s="121">
        <f t="shared" si="610"/>
        <v>0.29166666666666663</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5">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0.625</v>
      </c>
      <c r="Q1442" s="121">
        <f t="shared" si="610"/>
        <v>0.375</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5">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0.54166666666666663</v>
      </c>
      <c r="Q1443" s="121">
        <f t="shared" si="610"/>
        <v>0.45833333333333337</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5">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0.45833333333333331</v>
      </c>
      <c r="Q1444" s="121">
        <f t="shared" si="610"/>
        <v>0.54166666666666674</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5">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0.375</v>
      </c>
      <c r="Q1445" s="121">
        <f t="shared" si="610"/>
        <v>0.625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5">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0.29166666666666669</v>
      </c>
      <c r="Q1446" s="121">
        <f t="shared" si="610"/>
        <v>0.70833333333333326</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5">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0.20833333333333334</v>
      </c>
      <c r="Q1447" s="121">
        <f t="shared" si="610"/>
        <v>0.79166666666666663</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5">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0.125</v>
      </c>
      <c r="Q1448" s="121">
        <f t="shared" si="610"/>
        <v>0.875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5">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4.1666666666666664E-2</v>
      </c>
      <c r="Q1449" s="121">
        <f t="shared" si="610"/>
        <v>0.95833333333333337</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5">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0.95833333333333337</v>
      </c>
      <c r="R1450" s="121">
        <f t="shared" si="611"/>
        <v>4.166666666666663E-2</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5">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0.875</v>
      </c>
      <c r="R1451" s="121">
        <f t="shared" si="611"/>
        <v>0.125</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5">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0.79166666666666663</v>
      </c>
      <c r="R1452" s="121">
        <f t="shared" si="611"/>
        <v>0.20833333333333337</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5">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0.70833333333333337</v>
      </c>
      <c r="R1453" s="121">
        <f t="shared" si="611"/>
        <v>0.29166666666666663</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5">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0.625</v>
      </c>
      <c r="R1454" s="121">
        <f t="shared" si="611"/>
        <v>0.375</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5">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0.54166666666666663</v>
      </c>
      <c r="R1455" s="121">
        <f t="shared" si="611"/>
        <v>0.45833333333333337</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5">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0.45833333333333331</v>
      </c>
      <c r="R1456" s="121">
        <f t="shared" si="611"/>
        <v>0.54166666666666674</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5">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0.375</v>
      </c>
      <c r="R1457" s="121">
        <f t="shared" si="611"/>
        <v>0.625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5">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0.29166666666666669</v>
      </c>
      <c r="R1458" s="121">
        <f t="shared" si="611"/>
        <v>0.70833333333333326</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5">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0.20833333333333334</v>
      </c>
      <c r="R1459" s="121">
        <f t="shared" si="611"/>
        <v>0.79166666666666663</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5">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0.125</v>
      </c>
      <c r="R1460" s="121">
        <f t="shared" si="611"/>
        <v>0.875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5">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4.1666666666666664E-2</v>
      </c>
      <c r="R1461" s="121">
        <f t="shared" si="611"/>
        <v>0.95833333333333337</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5">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0.95833333333333337</v>
      </c>
      <c r="AE1462" s="160">
        <f t="shared" si="612"/>
        <v>1</v>
      </c>
    </row>
    <row r="1463" spans="1:35" x14ac:dyDescent="0.3">
      <c r="A1463" s="187">
        <v>38</v>
      </c>
      <c r="B1463" s="242">
        <f t="shared" si="613"/>
        <v>46784</v>
      </c>
      <c r="C1463" s="243">
        <f t="shared" si="596"/>
        <v>46812</v>
      </c>
      <c r="D1463" s="120">
        <f t="shared" si="597"/>
        <v>29</v>
      </c>
      <c r="E1463" s="120">
        <f t="shared" si="598"/>
        <v>2</v>
      </c>
      <c r="F1463" s="275">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0.875</v>
      </c>
      <c r="AE1463" s="160">
        <f t="shared" si="612"/>
        <v>1</v>
      </c>
    </row>
    <row r="1464" spans="1:35" x14ac:dyDescent="0.3">
      <c r="A1464" s="187">
        <v>39</v>
      </c>
      <c r="B1464" s="242">
        <f t="shared" si="613"/>
        <v>46813</v>
      </c>
      <c r="C1464" s="243">
        <f t="shared" si="596"/>
        <v>46843</v>
      </c>
      <c r="D1464" s="120">
        <f t="shared" si="597"/>
        <v>31</v>
      </c>
      <c r="E1464" s="120">
        <f t="shared" si="598"/>
        <v>3</v>
      </c>
      <c r="F1464" s="275">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0.79166666666666663</v>
      </c>
      <c r="AE1464" s="160">
        <f t="shared" si="612"/>
        <v>1</v>
      </c>
    </row>
    <row r="1465" spans="1:35" x14ac:dyDescent="0.3">
      <c r="A1465" s="187">
        <v>40</v>
      </c>
      <c r="B1465" s="242">
        <f t="shared" si="613"/>
        <v>46844</v>
      </c>
      <c r="C1465" s="243">
        <f t="shared" si="596"/>
        <v>46873</v>
      </c>
      <c r="D1465" s="120">
        <f t="shared" si="597"/>
        <v>30</v>
      </c>
      <c r="E1465" s="120">
        <f t="shared" si="598"/>
        <v>4</v>
      </c>
      <c r="F1465" s="275">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0.70833333333333337</v>
      </c>
      <c r="AE1465" s="160">
        <f t="shared" si="612"/>
        <v>1</v>
      </c>
    </row>
    <row r="1466" spans="1:35" x14ac:dyDescent="0.3">
      <c r="A1466" s="187">
        <v>41</v>
      </c>
      <c r="B1466" s="242">
        <f t="shared" si="613"/>
        <v>46874</v>
      </c>
      <c r="C1466" s="243">
        <f t="shared" si="596"/>
        <v>46904</v>
      </c>
      <c r="D1466" s="120">
        <f t="shared" si="597"/>
        <v>31</v>
      </c>
      <c r="E1466" s="120">
        <f t="shared" si="598"/>
        <v>5</v>
      </c>
      <c r="F1466" s="275">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0.625</v>
      </c>
      <c r="AE1466" s="160">
        <f t="shared" si="612"/>
        <v>1</v>
      </c>
    </row>
    <row r="1467" spans="1:35" x14ac:dyDescent="0.3">
      <c r="A1467" s="187">
        <v>42</v>
      </c>
      <c r="B1467" s="242">
        <f t="shared" si="613"/>
        <v>46905</v>
      </c>
      <c r="C1467" s="243">
        <f t="shared" si="596"/>
        <v>46934</v>
      </c>
      <c r="D1467" s="120">
        <f t="shared" si="597"/>
        <v>30</v>
      </c>
      <c r="E1467" s="120">
        <f t="shared" si="598"/>
        <v>6</v>
      </c>
      <c r="F1467" s="275">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0.54166666666666663</v>
      </c>
      <c r="AE1467" s="160">
        <f t="shared" si="612"/>
        <v>1</v>
      </c>
    </row>
    <row r="1468" spans="1:35" x14ac:dyDescent="0.3">
      <c r="A1468" s="187">
        <v>43</v>
      </c>
      <c r="B1468" s="242">
        <f t="shared" si="613"/>
        <v>46935</v>
      </c>
      <c r="C1468" s="243">
        <f t="shared" si="596"/>
        <v>46965</v>
      </c>
      <c r="D1468" s="120">
        <f t="shared" si="597"/>
        <v>31</v>
      </c>
      <c r="E1468" s="120">
        <f t="shared" si="598"/>
        <v>7</v>
      </c>
      <c r="F1468" s="275">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0.45833333333333331</v>
      </c>
      <c r="AE1468" s="160">
        <f t="shared" si="612"/>
        <v>1</v>
      </c>
    </row>
    <row r="1469" spans="1:35" x14ac:dyDescent="0.3">
      <c r="A1469" s="187">
        <v>44</v>
      </c>
      <c r="B1469" s="242">
        <f t="shared" si="613"/>
        <v>46966</v>
      </c>
      <c r="C1469" s="243">
        <f t="shared" si="596"/>
        <v>46996</v>
      </c>
      <c r="D1469" s="120">
        <f t="shared" si="597"/>
        <v>31</v>
      </c>
      <c r="E1469" s="120">
        <f t="shared" si="598"/>
        <v>8</v>
      </c>
      <c r="F1469" s="275">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0.375</v>
      </c>
      <c r="AE1469" s="160">
        <f t="shared" si="612"/>
        <v>1</v>
      </c>
    </row>
    <row r="1470" spans="1:35" x14ac:dyDescent="0.3">
      <c r="A1470" s="187">
        <v>45</v>
      </c>
      <c r="B1470" s="242">
        <f t="shared" si="613"/>
        <v>46997</v>
      </c>
      <c r="C1470" s="243">
        <f t="shared" si="596"/>
        <v>47026</v>
      </c>
      <c r="D1470" s="120">
        <f t="shared" si="597"/>
        <v>30</v>
      </c>
      <c r="E1470" s="120">
        <f t="shared" si="598"/>
        <v>9</v>
      </c>
      <c r="F1470" s="275">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0.29166666666666669</v>
      </c>
      <c r="AE1470" s="160">
        <f t="shared" si="612"/>
        <v>1</v>
      </c>
    </row>
    <row r="1471" spans="1:35" x14ac:dyDescent="0.3">
      <c r="A1471" s="187">
        <v>46</v>
      </c>
      <c r="B1471" s="242">
        <f t="shared" si="613"/>
        <v>47027</v>
      </c>
      <c r="C1471" s="243">
        <f t="shared" si="596"/>
        <v>47057</v>
      </c>
      <c r="D1471" s="120">
        <f t="shared" si="597"/>
        <v>31</v>
      </c>
      <c r="E1471" s="120">
        <f t="shared" si="598"/>
        <v>10</v>
      </c>
      <c r="F1471" s="275">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0.20833333333333334</v>
      </c>
      <c r="AE1471" s="160">
        <f t="shared" si="612"/>
        <v>1</v>
      </c>
    </row>
    <row r="1472" spans="1:35" x14ac:dyDescent="0.3">
      <c r="A1472" s="187">
        <v>47</v>
      </c>
      <c r="B1472" s="242">
        <f t="shared" si="613"/>
        <v>47058</v>
      </c>
      <c r="C1472" s="243">
        <f t="shared" si="596"/>
        <v>47087</v>
      </c>
      <c r="D1472" s="120">
        <f t="shared" si="597"/>
        <v>30</v>
      </c>
      <c r="E1472" s="120">
        <f t="shared" si="598"/>
        <v>11</v>
      </c>
      <c r="F1472" s="275">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0.125</v>
      </c>
      <c r="AE1472" s="160">
        <f t="shared" si="612"/>
        <v>1</v>
      </c>
    </row>
    <row r="1473" spans="1:31" x14ac:dyDescent="0.3">
      <c r="A1473" s="187">
        <v>48</v>
      </c>
      <c r="B1473" s="242">
        <f t="shared" si="613"/>
        <v>47088</v>
      </c>
      <c r="C1473" s="243">
        <f t="shared" si="596"/>
        <v>47118</v>
      </c>
      <c r="D1473" s="120">
        <f t="shared" si="597"/>
        <v>31</v>
      </c>
      <c r="E1473" s="120">
        <f t="shared" si="598"/>
        <v>12</v>
      </c>
      <c r="F1473" s="275">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4.1666666666666664E-2</v>
      </c>
      <c r="AE1473" s="160">
        <f t="shared" si="612"/>
        <v>1</v>
      </c>
    </row>
    <row r="1474" spans="1:31" x14ac:dyDescent="0.3">
      <c r="A1474" s="23" t="s">
        <v>1723</v>
      </c>
      <c r="B1474" s="279">
        <f>SUM($H$1450:$H$1461)</f>
        <v>12</v>
      </c>
      <c r="C1474" s="160">
        <f>SUMPRODUCT($H$1450:$H$1461,$W$1450:$W$1461/$N$1438:$N$1449,$Y$1450:$Y$1461)</f>
        <v>12</v>
      </c>
      <c r="D1474" s="160">
        <f>SUMPRODUCT($H$1450:$H$1461,$X$1450:$X$1461/$N$1438:$N$1449,$Y$1450:$Y$1461)</f>
        <v>9</v>
      </c>
      <c r="E1474" s="281" t="str">
        <f>IF(OR($D$1423=0,$P$1423=0,$D1474=0),"n/a",((1+$E$1423)*$B1474-$C1474)/$D1474)</f>
        <v>n/a</v>
      </c>
      <c r="F1474" s="281" t="str">
        <f>IF($V$1423&lt;&gt;"",$V$1423,$E1474)</f>
        <v>n/a</v>
      </c>
      <c r="G1474" s="281"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2">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8">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9">
        <f>IF($M1479=0,0,INDEX(se_sum,$M1479))</f>
        <v>0</v>
      </c>
      <c r="O1479" s="278">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80" t="str">
        <f>IF(ISBLANK('Net Delivery'!$E$31),$Y1479,'Net Delivery'!$E$31)</f>
        <v/>
      </c>
      <c r="W1479" s="43">
        <f>IF($B1479="",0,COUNTIFS(rl_key,$B1479,rl_status,"planned",rl_eff,"&gt;="&amp;DATE(nr_PlanYear,1,1),rl_eff,"&lt;="&amp;DATE(nr_PlanYear,12,31)))</f>
        <v>0</v>
      </c>
      <c r="X1479" s="278">
        <f>IF($W1479=0,nd_DefaultDate,SUMIFS(rl_eff,rl_key,$B1479,rl_firstplanned,1))</f>
        <v>46478</v>
      </c>
      <c r="Y1479" s="280" t="str">
        <f>IF($W1479=0,"",SUMIFS(rl_reff,rl_key,$B1479,rl_firstplanned,1))</f>
        <v/>
      </c>
      <c r="Z1479" s="280"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5">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4.166666666666663E-2</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5">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0.125</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5">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0.20833333333333337</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5">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0.29166666666666663</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5">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0.375</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5">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0.45833333333333337</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5">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0.54166666666666674</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5">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0.625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5">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0.70833333333333326</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5">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0.79166666666666663</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5">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0.875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5">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0.95833333333333337</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5">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0.95833333333333337</v>
      </c>
      <c r="Q1494" s="121">
        <f t="shared" si="638"/>
        <v>4.166666666666663E-2</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5">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0.875</v>
      </c>
      <c r="Q1495" s="121">
        <f t="shared" si="638"/>
        <v>0.125</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5">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0.79166666666666663</v>
      </c>
      <c r="Q1496" s="121">
        <f t="shared" si="638"/>
        <v>0.20833333333333337</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5">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0.70833333333333337</v>
      </c>
      <c r="Q1497" s="121">
        <f t="shared" si="638"/>
        <v>0.29166666666666663</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5">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0.625</v>
      </c>
      <c r="Q1498" s="121">
        <f t="shared" si="638"/>
        <v>0.375</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5">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0.54166666666666663</v>
      </c>
      <c r="Q1499" s="121">
        <f t="shared" si="638"/>
        <v>0.45833333333333337</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5">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0.45833333333333331</v>
      </c>
      <c r="Q1500" s="121">
        <f t="shared" si="638"/>
        <v>0.54166666666666674</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5">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0.375</v>
      </c>
      <c r="Q1501" s="121">
        <f t="shared" si="638"/>
        <v>0.625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5">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0.29166666666666669</v>
      </c>
      <c r="Q1502" s="121">
        <f t="shared" si="638"/>
        <v>0.70833333333333326</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5">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0.20833333333333334</v>
      </c>
      <c r="Q1503" s="121">
        <f t="shared" si="638"/>
        <v>0.79166666666666663</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5">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0.125</v>
      </c>
      <c r="Q1504" s="121">
        <f t="shared" si="638"/>
        <v>0.875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5">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4.1666666666666664E-2</v>
      </c>
      <c r="Q1505" s="121">
        <f t="shared" si="638"/>
        <v>0.95833333333333337</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5">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0.95833333333333337</v>
      </c>
      <c r="R1506" s="121">
        <f t="shared" si="639"/>
        <v>4.166666666666663E-2</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5">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0.875</v>
      </c>
      <c r="R1507" s="121">
        <f t="shared" si="639"/>
        <v>0.125</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5">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0.79166666666666663</v>
      </c>
      <c r="R1508" s="121">
        <f t="shared" si="639"/>
        <v>0.20833333333333337</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5">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0.70833333333333337</v>
      </c>
      <c r="R1509" s="121">
        <f t="shared" si="639"/>
        <v>0.29166666666666663</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5">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0.625</v>
      </c>
      <c r="R1510" s="121">
        <f t="shared" si="639"/>
        <v>0.375</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5">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0.54166666666666663</v>
      </c>
      <c r="R1511" s="121">
        <f t="shared" si="639"/>
        <v>0.45833333333333337</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5">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0.45833333333333331</v>
      </c>
      <c r="R1512" s="121">
        <f t="shared" si="639"/>
        <v>0.54166666666666674</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5">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0.375</v>
      </c>
      <c r="R1513" s="121">
        <f t="shared" si="639"/>
        <v>0.625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5">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0.29166666666666669</v>
      </c>
      <c r="R1514" s="121">
        <f t="shared" si="639"/>
        <v>0.70833333333333326</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5">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0.20833333333333334</v>
      </c>
      <c r="R1515" s="121">
        <f t="shared" si="639"/>
        <v>0.79166666666666663</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5">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0.125</v>
      </c>
      <c r="R1516" s="121">
        <f t="shared" si="639"/>
        <v>0.875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5">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4.1666666666666664E-2</v>
      </c>
      <c r="R1517" s="121">
        <f t="shared" si="639"/>
        <v>0.95833333333333337</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5">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0.95833333333333337</v>
      </c>
      <c r="AE1518" s="160">
        <f t="shared" si="640"/>
        <v>1</v>
      </c>
    </row>
    <row r="1519" spans="1:35" x14ac:dyDescent="0.3">
      <c r="A1519" s="187">
        <v>38</v>
      </c>
      <c r="B1519" s="242">
        <f t="shared" si="641"/>
        <v>46784</v>
      </c>
      <c r="C1519" s="243">
        <f t="shared" si="624"/>
        <v>46812</v>
      </c>
      <c r="D1519" s="120">
        <f t="shared" si="625"/>
        <v>29</v>
      </c>
      <c r="E1519" s="120">
        <f t="shared" si="626"/>
        <v>2</v>
      </c>
      <c r="F1519" s="275">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0.875</v>
      </c>
      <c r="AE1519" s="160">
        <f t="shared" si="640"/>
        <v>1</v>
      </c>
    </row>
    <row r="1520" spans="1:35" x14ac:dyDescent="0.3">
      <c r="A1520" s="187">
        <v>39</v>
      </c>
      <c r="B1520" s="242">
        <f t="shared" si="641"/>
        <v>46813</v>
      </c>
      <c r="C1520" s="243">
        <f t="shared" si="624"/>
        <v>46843</v>
      </c>
      <c r="D1520" s="120">
        <f t="shared" si="625"/>
        <v>31</v>
      </c>
      <c r="E1520" s="120">
        <f t="shared" si="626"/>
        <v>3</v>
      </c>
      <c r="F1520" s="275">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0.79166666666666663</v>
      </c>
      <c r="AE1520" s="160">
        <f t="shared" si="640"/>
        <v>1</v>
      </c>
    </row>
    <row r="1521" spans="1:31" x14ac:dyDescent="0.3">
      <c r="A1521" s="187">
        <v>40</v>
      </c>
      <c r="B1521" s="242">
        <f t="shared" si="641"/>
        <v>46844</v>
      </c>
      <c r="C1521" s="243">
        <f t="shared" si="624"/>
        <v>46873</v>
      </c>
      <c r="D1521" s="120">
        <f t="shared" si="625"/>
        <v>30</v>
      </c>
      <c r="E1521" s="120">
        <f t="shared" si="626"/>
        <v>4</v>
      </c>
      <c r="F1521" s="275">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0.70833333333333337</v>
      </c>
      <c r="AE1521" s="160">
        <f t="shared" si="640"/>
        <v>1</v>
      </c>
    </row>
    <row r="1522" spans="1:31" x14ac:dyDescent="0.3">
      <c r="A1522" s="187">
        <v>41</v>
      </c>
      <c r="B1522" s="242">
        <f t="shared" si="641"/>
        <v>46874</v>
      </c>
      <c r="C1522" s="243">
        <f t="shared" si="624"/>
        <v>46904</v>
      </c>
      <c r="D1522" s="120">
        <f t="shared" si="625"/>
        <v>31</v>
      </c>
      <c r="E1522" s="120">
        <f t="shared" si="626"/>
        <v>5</v>
      </c>
      <c r="F1522" s="275">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0.625</v>
      </c>
      <c r="AE1522" s="160">
        <f t="shared" si="640"/>
        <v>1</v>
      </c>
    </row>
    <row r="1523" spans="1:31" x14ac:dyDescent="0.3">
      <c r="A1523" s="187">
        <v>42</v>
      </c>
      <c r="B1523" s="242">
        <f t="shared" si="641"/>
        <v>46905</v>
      </c>
      <c r="C1523" s="243">
        <f t="shared" si="624"/>
        <v>46934</v>
      </c>
      <c r="D1523" s="120">
        <f t="shared" si="625"/>
        <v>30</v>
      </c>
      <c r="E1523" s="120">
        <f t="shared" si="626"/>
        <v>6</v>
      </c>
      <c r="F1523" s="275">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0.54166666666666663</v>
      </c>
      <c r="AE1523" s="160">
        <f t="shared" si="640"/>
        <v>1</v>
      </c>
    </row>
    <row r="1524" spans="1:31" x14ac:dyDescent="0.3">
      <c r="A1524" s="187">
        <v>43</v>
      </c>
      <c r="B1524" s="242">
        <f t="shared" si="641"/>
        <v>46935</v>
      </c>
      <c r="C1524" s="243">
        <f t="shared" si="624"/>
        <v>46965</v>
      </c>
      <c r="D1524" s="120">
        <f t="shared" si="625"/>
        <v>31</v>
      </c>
      <c r="E1524" s="120">
        <f t="shared" si="626"/>
        <v>7</v>
      </c>
      <c r="F1524" s="275">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0.45833333333333331</v>
      </c>
      <c r="AE1524" s="160">
        <f t="shared" si="640"/>
        <v>1</v>
      </c>
    </row>
    <row r="1525" spans="1:31" x14ac:dyDescent="0.3">
      <c r="A1525" s="187">
        <v>44</v>
      </c>
      <c r="B1525" s="242">
        <f t="shared" si="641"/>
        <v>46966</v>
      </c>
      <c r="C1525" s="243">
        <f t="shared" si="624"/>
        <v>46996</v>
      </c>
      <c r="D1525" s="120">
        <f t="shared" si="625"/>
        <v>31</v>
      </c>
      <c r="E1525" s="120">
        <f t="shared" si="626"/>
        <v>8</v>
      </c>
      <c r="F1525" s="275">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0.375</v>
      </c>
      <c r="AE1525" s="160">
        <f t="shared" si="640"/>
        <v>1</v>
      </c>
    </row>
    <row r="1526" spans="1:31" x14ac:dyDescent="0.3">
      <c r="A1526" s="187">
        <v>45</v>
      </c>
      <c r="B1526" s="242">
        <f t="shared" si="641"/>
        <v>46997</v>
      </c>
      <c r="C1526" s="243">
        <f t="shared" si="624"/>
        <v>47026</v>
      </c>
      <c r="D1526" s="120">
        <f t="shared" si="625"/>
        <v>30</v>
      </c>
      <c r="E1526" s="120">
        <f t="shared" si="626"/>
        <v>9</v>
      </c>
      <c r="F1526" s="275">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0.29166666666666669</v>
      </c>
      <c r="AE1526" s="160">
        <f t="shared" si="640"/>
        <v>1</v>
      </c>
    </row>
    <row r="1527" spans="1:31" x14ac:dyDescent="0.3">
      <c r="A1527" s="187">
        <v>46</v>
      </c>
      <c r="B1527" s="242">
        <f t="shared" si="641"/>
        <v>47027</v>
      </c>
      <c r="C1527" s="243">
        <f t="shared" si="624"/>
        <v>47057</v>
      </c>
      <c r="D1527" s="120">
        <f t="shared" si="625"/>
        <v>31</v>
      </c>
      <c r="E1527" s="120">
        <f t="shared" si="626"/>
        <v>10</v>
      </c>
      <c r="F1527" s="275">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0.20833333333333334</v>
      </c>
      <c r="AE1527" s="160">
        <f t="shared" si="640"/>
        <v>1</v>
      </c>
    </row>
    <row r="1528" spans="1:31" x14ac:dyDescent="0.3">
      <c r="A1528" s="187">
        <v>47</v>
      </c>
      <c r="B1528" s="242">
        <f t="shared" si="641"/>
        <v>47058</v>
      </c>
      <c r="C1528" s="243">
        <f t="shared" si="624"/>
        <v>47087</v>
      </c>
      <c r="D1528" s="120">
        <f t="shared" si="625"/>
        <v>30</v>
      </c>
      <c r="E1528" s="120">
        <f t="shared" si="626"/>
        <v>11</v>
      </c>
      <c r="F1528" s="275">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0.125</v>
      </c>
      <c r="AE1528" s="160">
        <f t="shared" si="640"/>
        <v>1</v>
      </c>
    </row>
    <row r="1529" spans="1:31" x14ac:dyDescent="0.3">
      <c r="A1529" s="187">
        <v>48</v>
      </c>
      <c r="B1529" s="242">
        <f t="shared" si="641"/>
        <v>47088</v>
      </c>
      <c r="C1529" s="243">
        <f t="shared" si="624"/>
        <v>47118</v>
      </c>
      <c r="D1529" s="120">
        <f t="shared" si="625"/>
        <v>31</v>
      </c>
      <c r="E1529" s="120">
        <f t="shared" si="626"/>
        <v>12</v>
      </c>
      <c r="F1529" s="275">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4.1666666666666664E-2</v>
      </c>
      <c r="AE1529" s="160">
        <f t="shared" si="640"/>
        <v>1</v>
      </c>
    </row>
    <row r="1530" spans="1:31" x14ac:dyDescent="0.3">
      <c r="A1530" s="23" t="s">
        <v>1723</v>
      </c>
      <c r="B1530" s="279">
        <f>SUM($H$1506:$H$1517)</f>
        <v>12</v>
      </c>
      <c r="C1530" s="160">
        <f>SUMPRODUCT($H$1506:$H$1517,$W$1506:$W$1517/$N$1494:$N$1505,$Y$1506:$Y$1517)</f>
        <v>12</v>
      </c>
      <c r="D1530" s="160">
        <f>SUMPRODUCT($H$1506:$H$1517,$X$1506:$X$1517/$N$1494:$N$1505,$Y$1506:$Y$1517)</f>
        <v>9</v>
      </c>
      <c r="E1530" s="281" t="str">
        <f>IF(OR($D$1479=0,$P$1479=0,$D1530=0),"n/a",((1+$E$1479)*$B1530-$C1530)/$D1530)</f>
        <v>n/a</v>
      </c>
      <c r="F1530" s="281" t="str">
        <f>IF($V$1479&lt;&gt;"",$V$1479,$E1530)</f>
        <v>n/a</v>
      </c>
      <c r="G1530" s="281"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2">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8">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9">
        <f>IF($M1535=0,0,INDEX(se_sum,$M1535))</f>
        <v>0</v>
      </c>
      <c r="O1535" s="278">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80" t="str">
        <f>IF(ISBLANK('Net Delivery'!$E$32),$Y1535,'Net Delivery'!$E$32)</f>
        <v/>
      </c>
      <c r="W1535" s="43">
        <f>IF($B1535="",0,COUNTIFS(rl_key,$B1535,rl_status,"planned",rl_eff,"&gt;="&amp;DATE(nr_PlanYear,1,1),rl_eff,"&lt;="&amp;DATE(nr_PlanYear,12,31)))</f>
        <v>0</v>
      </c>
      <c r="X1535" s="278">
        <f>IF($W1535=0,nd_DefaultDate,SUMIFS(rl_eff,rl_key,$B1535,rl_firstplanned,1))</f>
        <v>46478</v>
      </c>
      <c r="Y1535" s="280" t="str">
        <f>IF($W1535=0,"",SUMIFS(rl_reff,rl_key,$B1535,rl_firstplanned,1))</f>
        <v/>
      </c>
      <c r="Z1535" s="280"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5">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4.166666666666663E-2</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5">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0.125</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5">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0.20833333333333337</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5">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0.29166666666666663</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5">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0.375</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5">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0.45833333333333337</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5">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0.54166666666666674</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5">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0.625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5">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0.70833333333333326</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5">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0.79166666666666663</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5">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0.875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5">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0.95833333333333337</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5">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0.95833333333333337</v>
      </c>
      <c r="Q1550" s="121">
        <f t="shared" si="666"/>
        <v>4.166666666666663E-2</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5">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0.875</v>
      </c>
      <c r="Q1551" s="121">
        <f t="shared" si="666"/>
        <v>0.125</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5">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0.79166666666666663</v>
      </c>
      <c r="Q1552" s="121">
        <f t="shared" si="666"/>
        <v>0.20833333333333337</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5">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0.70833333333333337</v>
      </c>
      <c r="Q1553" s="121">
        <f t="shared" si="666"/>
        <v>0.29166666666666663</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5">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0.625</v>
      </c>
      <c r="Q1554" s="121">
        <f t="shared" si="666"/>
        <v>0.375</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5">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0.54166666666666663</v>
      </c>
      <c r="Q1555" s="121">
        <f t="shared" si="666"/>
        <v>0.45833333333333337</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5">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0.45833333333333331</v>
      </c>
      <c r="Q1556" s="121">
        <f t="shared" si="666"/>
        <v>0.54166666666666674</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5">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0.375</v>
      </c>
      <c r="Q1557" s="121">
        <f t="shared" si="666"/>
        <v>0.625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5">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0.29166666666666669</v>
      </c>
      <c r="Q1558" s="121">
        <f t="shared" si="666"/>
        <v>0.70833333333333326</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5">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0.20833333333333334</v>
      </c>
      <c r="Q1559" s="121">
        <f t="shared" si="666"/>
        <v>0.79166666666666663</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5">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0.125</v>
      </c>
      <c r="Q1560" s="121">
        <f t="shared" si="666"/>
        <v>0.875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5">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4.1666666666666664E-2</v>
      </c>
      <c r="Q1561" s="121">
        <f t="shared" si="666"/>
        <v>0.95833333333333337</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5">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0.95833333333333337</v>
      </c>
      <c r="R1562" s="121">
        <f t="shared" si="667"/>
        <v>4.166666666666663E-2</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5">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0.875</v>
      </c>
      <c r="R1563" s="121">
        <f t="shared" si="667"/>
        <v>0.125</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5">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0.79166666666666663</v>
      </c>
      <c r="R1564" s="121">
        <f t="shared" si="667"/>
        <v>0.20833333333333337</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5">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0.70833333333333337</v>
      </c>
      <c r="R1565" s="121">
        <f t="shared" si="667"/>
        <v>0.29166666666666663</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5">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0.625</v>
      </c>
      <c r="R1566" s="121">
        <f t="shared" si="667"/>
        <v>0.375</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5">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0.54166666666666663</v>
      </c>
      <c r="R1567" s="121">
        <f t="shared" si="667"/>
        <v>0.45833333333333337</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5">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0.45833333333333331</v>
      </c>
      <c r="R1568" s="121">
        <f t="shared" si="667"/>
        <v>0.54166666666666674</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5">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0.375</v>
      </c>
      <c r="R1569" s="121">
        <f t="shared" si="667"/>
        <v>0.625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5">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0.29166666666666669</v>
      </c>
      <c r="R1570" s="121">
        <f t="shared" si="667"/>
        <v>0.70833333333333326</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5">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0.20833333333333334</v>
      </c>
      <c r="R1571" s="121">
        <f t="shared" si="667"/>
        <v>0.79166666666666663</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5">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0.125</v>
      </c>
      <c r="R1572" s="121">
        <f t="shared" si="667"/>
        <v>0.875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5">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4.1666666666666664E-2</v>
      </c>
      <c r="R1573" s="121">
        <f t="shared" si="667"/>
        <v>0.95833333333333337</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5">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0.95833333333333337</v>
      </c>
      <c r="AE1574" s="160">
        <f t="shared" si="668"/>
        <v>1</v>
      </c>
    </row>
    <row r="1575" spans="1:35" x14ac:dyDescent="0.3">
      <c r="A1575" s="187">
        <v>38</v>
      </c>
      <c r="B1575" s="242">
        <f t="shared" si="669"/>
        <v>46784</v>
      </c>
      <c r="C1575" s="243">
        <f t="shared" si="652"/>
        <v>46812</v>
      </c>
      <c r="D1575" s="120">
        <f t="shared" si="653"/>
        <v>29</v>
      </c>
      <c r="E1575" s="120">
        <f t="shared" si="654"/>
        <v>2</v>
      </c>
      <c r="F1575" s="275">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0.875</v>
      </c>
      <c r="AE1575" s="160">
        <f t="shared" si="668"/>
        <v>1</v>
      </c>
    </row>
    <row r="1576" spans="1:35" x14ac:dyDescent="0.3">
      <c r="A1576" s="187">
        <v>39</v>
      </c>
      <c r="B1576" s="242">
        <f t="shared" si="669"/>
        <v>46813</v>
      </c>
      <c r="C1576" s="243">
        <f t="shared" si="652"/>
        <v>46843</v>
      </c>
      <c r="D1576" s="120">
        <f t="shared" si="653"/>
        <v>31</v>
      </c>
      <c r="E1576" s="120">
        <f t="shared" si="654"/>
        <v>3</v>
      </c>
      <c r="F1576" s="275">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0.79166666666666663</v>
      </c>
      <c r="AE1576" s="160">
        <f t="shared" si="668"/>
        <v>1</v>
      </c>
    </row>
    <row r="1577" spans="1:35" x14ac:dyDescent="0.3">
      <c r="A1577" s="187">
        <v>40</v>
      </c>
      <c r="B1577" s="242">
        <f t="shared" si="669"/>
        <v>46844</v>
      </c>
      <c r="C1577" s="243">
        <f t="shared" si="652"/>
        <v>46873</v>
      </c>
      <c r="D1577" s="120">
        <f t="shared" si="653"/>
        <v>30</v>
      </c>
      <c r="E1577" s="120">
        <f t="shared" si="654"/>
        <v>4</v>
      </c>
      <c r="F1577" s="275">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0.70833333333333337</v>
      </c>
      <c r="AE1577" s="160">
        <f t="shared" si="668"/>
        <v>1</v>
      </c>
    </row>
    <row r="1578" spans="1:35" x14ac:dyDescent="0.3">
      <c r="A1578" s="187">
        <v>41</v>
      </c>
      <c r="B1578" s="242">
        <f t="shared" si="669"/>
        <v>46874</v>
      </c>
      <c r="C1578" s="243">
        <f t="shared" si="652"/>
        <v>46904</v>
      </c>
      <c r="D1578" s="120">
        <f t="shared" si="653"/>
        <v>31</v>
      </c>
      <c r="E1578" s="120">
        <f t="shared" si="654"/>
        <v>5</v>
      </c>
      <c r="F1578" s="275">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0.625</v>
      </c>
      <c r="AE1578" s="160">
        <f t="shared" si="668"/>
        <v>1</v>
      </c>
    </row>
    <row r="1579" spans="1:35" x14ac:dyDescent="0.3">
      <c r="A1579" s="187">
        <v>42</v>
      </c>
      <c r="B1579" s="242">
        <f t="shared" si="669"/>
        <v>46905</v>
      </c>
      <c r="C1579" s="243">
        <f t="shared" si="652"/>
        <v>46934</v>
      </c>
      <c r="D1579" s="120">
        <f t="shared" si="653"/>
        <v>30</v>
      </c>
      <c r="E1579" s="120">
        <f t="shared" si="654"/>
        <v>6</v>
      </c>
      <c r="F1579" s="275">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0.54166666666666663</v>
      </c>
      <c r="AE1579" s="160">
        <f t="shared" si="668"/>
        <v>1</v>
      </c>
    </row>
    <row r="1580" spans="1:35" x14ac:dyDescent="0.3">
      <c r="A1580" s="187">
        <v>43</v>
      </c>
      <c r="B1580" s="242">
        <f t="shared" si="669"/>
        <v>46935</v>
      </c>
      <c r="C1580" s="243">
        <f t="shared" si="652"/>
        <v>46965</v>
      </c>
      <c r="D1580" s="120">
        <f t="shared" si="653"/>
        <v>31</v>
      </c>
      <c r="E1580" s="120">
        <f t="shared" si="654"/>
        <v>7</v>
      </c>
      <c r="F1580" s="275">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0.45833333333333331</v>
      </c>
      <c r="AE1580" s="160">
        <f t="shared" si="668"/>
        <v>1</v>
      </c>
    </row>
    <row r="1581" spans="1:35" x14ac:dyDescent="0.3">
      <c r="A1581" s="187">
        <v>44</v>
      </c>
      <c r="B1581" s="242">
        <f t="shared" si="669"/>
        <v>46966</v>
      </c>
      <c r="C1581" s="243">
        <f t="shared" si="652"/>
        <v>46996</v>
      </c>
      <c r="D1581" s="120">
        <f t="shared" si="653"/>
        <v>31</v>
      </c>
      <c r="E1581" s="120">
        <f t="shared" si="654"/>
        <v>8</v>
      </c>
      <c r="F1581" s="275">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0.375</v>
      </c>
      <c r="AE1581" s="160">
        <f t="shared" si="668"/>
        <v>1</v>
      </c>
    </row>
    <row r="1582" spans="1:35" x14ac:dyDescent="0.3">
      <c r="A1582" s="187">
        <v>45</v>
      </c>
      <c r="B1582" s="242">
        <f t="shared" si="669"/>
        <v>46997</v>
      </c>
      <c r="C1582" s="243">
        <f t="shared" si="652"/>
        <v>47026</v>
      </c>
      <c r="D1582" s="120">
        <f t="shared" si="653"/>
        <v>30</v>
      </c>
      <c r="E1582" s="120">
        <f t="shared" si="654"/>
        <v>9</v>
      </c>
      <c r="F1582" s="275">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0.29166666666666669</v>
      </c>
      <c r="AE1582" s="160">
        <f t="shared" si="668"/>
        <v>1</v>
      </c>
    </row>
    <row r="1583" spans="1:35" x14ac:dyDescent="0.3">
      <c r="A1583" s="187">
        <v>46</v>
      </c>
      <c r="B1583" s="242">
        <f t="shared" si="669"/>
        <v>47027</v>
      </c>
      <c r="C1583" s="243">
        <f t="shared" si="652"/>
        <v>47057</v>
      </c>
      <c r="D1583" s="120">
        <f t="shared" si="653"/>
        <v>31</v>
      </c>
      <c r="E1583" s="120">
        <f t="shared" si="654"/>
        <v>10</v>
      </c>
      <c r="F1583" s="275">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0.20833333333333334</v>
      </c>
      <c r="AE1583" s="160">
        <f t="shared" si="668"/>
        <v>1</v>
      </c>
    </row>
    <row r="1584" spans="1:35" x14ac:dyDescent="0.3">
      <c r="A1584" s="187">
        <v>47</v>
      </c>
      <c r="B1584" s="242">
        <f t="shared" si="669"/>
        <v>47058</v>
      </c>
      <c r="C1584" s="243">
        <f t="shared" si="652"/>
        <v>47087</v>
      </c>
      <c r="D1584" s="120">
        <f t="shared" si="653"/>
        <v>30</v>
      </c>
      <c r="E1584" s="120">
        <f t="shared" si="654"/>
        <v>11</v>
      </c>
      <c r="F1584" s="275">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0.125</v>
      </c>
      <c r="AE1584" s="160">
        <f t="shared" si="668"/>
        <v>1</v>
      </c>
    </row>
    <row r="1585" spans="1:31" x14ac:dyDescent="0.3">
      <c r="A1585" s="187">
        <v>48</v>
      </c>
      <c r="B1585" s="242">
        <f t="shared" si="669"/>
        <v>47088</v>
      </c>
      <c r="C1585" s="243">
        <f t="shared" si="652"/>
        <v>47118</v>
      </c>
      <c r="D1585" s="120">
        <f t="shared" si="653"/>
        <v>31</v>
      </c>
      <c r="E1585" s="120">
        <f t="shared" si="654"/>
        <v>12</v>
      </c>
      <c r="F1585" s="275">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4.1666666666666664E-2</v>
      </c>
      <c r="AE1585" s="160">
        <f t="shared" si="668"/>
        <v>1</v>
      </c>
    </row>
    <row r="1586" spans="1:31" x14ac:dyDescent="0.3">
      <c r="A1586" s="23" t="s">
        <v>1723</v>
      </c>
      <c r="B1586" s="279">
        <f>SUM($H$1562:$H$1573)</f>
        <v>12</v>
      </c>
      <c r="C1586" s="160">
        <f>SUMPRODUCT($H$1562:$H$1573,$W$1562:$W$1573/$N$1550:$N$1561,$Y$1562:$Y$1573)</f>
        <v>12</v>
      </c>
      <c r="D1586" s="160">
        <f>SUMPRODUCT($H$1562:$H$1573,$X$1562:$X$1573/$N$1550:$N$1561,$Y$1562:$Y$1573)</f>
        <v>9</v>
      </c>
      <c r="E1586" s="281" t="str">
        <f>IF(OR($D$1535=0,$P$1535=0,$D1586=0),"n/a",((1+$E$1535)*$B1586-$C1586)/$D1586)</f>
        <v>n/a</v>
      </c>
      <c r="F1586" s="281" t="str">
        <f>IF($V$1535&lt;&gt;"",$V$1535,$E1586)</f>
        <v>n/a</v>
      </c>
      <c r="G1586" s="281"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2">
        <f>IF(NOT(ISNUMBER($E1586)),0,ABS(($C1586+$D1586*$E1586)/$B1586-(1+$E$1535)))</f>
        <v>0</v>
      </c>
    </row>
    <row r="1590" spans="1:31" x14ac:dyDescent="0.3">
      <c r="M1590" s="23" t="s">
        <v>1724</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1</v>
      </c>
      <c r="H1591" s="220">
        <f>IF($C1591=0,1,IF(N(INDEX(lr_m0,$C1591))=0,1,INDEX(lr_m0,$C1591)))</f>
        <v>0.99</v>
      </c>
      <c r="I1591" s="278">
        <f>IF($C1591=0,DATE(nr_PlanYear-1,10,1),IF(N(INDEX(lr_m0asof,$C1591))=0,DATE(nr_PlanYear-1,10,1),INDEX(lr_m0asof,$C1591)))</f>
        <v>46295</v>
      </c>
      <c r="J1591" s="220">
        <f>IF($C1591=0,1,IF(N(INDEX(lr_m1,$C1591))=0,1,INDEX(lr_m1,$C1591)))</f>
        <v>0.995</v>
      </c>
      <c r="K1591" s="220">
        <f>IF($C1591=0,0,N(INDEX(lr_mprior,$C1591)))</f>
        <v>0</v>
      </c>
      <c r="L1591" s="220">
        <f>IF($C1591=0,0,N(INDEX(lr_m2,$C1591)))</f>
        <v>0</v>
      </c>
      <c r="M1591" s="43">
        <f>IF(OR($A1591="",COUNTIF(se_state,$A1591)=0),0,MATCH($A1591,se_state,0))</f>
        <v>0</v>
      </c>
      <c r="N1591" s="279">
        <f>IF($M1591=0,0,INDEX(se_sum,$M1591))</f>
        <v>0</v>
      </c>
      <c r="O1591" s="278">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80">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8">
        <f>IF($W1591=0,nd_DefaultDate,SUMIFS(rl_eff,rl_key,$B1591,rl_firstplanned,1))</f>
        <v>46478</v>
      </c>
      <c r="Y1591" s="280">
        <f>IF($W1591=0,"",SUMIFS(rl_reff,rl_key,$B1591,rl_firstplanned,1))</f>
        <v>0.04</v>
      </c>
      <c r="Z1591" s="280">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5">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0.98318927789934352</v>
      </c>
      <c r="P1594" s="121">
        <f t="shared" ref="P1594:P1641" si="693">MIN(1,MAX(0,(nr_MEndPm1-$G1594+0.5)/nr_TermMonths))-MIN(1,MAX(0,(nr_MStartPm1-1-$G1594+0.5)/nr_TermMonths))</f>
        <v>4.166666666666663E-2</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0.98318927789934352</v>
      </c>
    </row>
    <row r="1595" spans="1:31" x14ac:dyDescent="0.3">
      <c r="A1595" s="187">
        <v>2</v>
      </c>
      <c r="B1595" s="242">
        <f t="shared" ref="B1595:B1641" si="697">EDATE($B1594,1)</f>
        <v>45689</v>
      </c>
      <c r="C1595" s="243">
        <f t="shared" si="680"/>
        <v>45716</v>
      </c>
      <c r="D1595" s="120">
        <f t="shared" si="681"/>
        <v>28</v>
      </c>
      <c r="E1595" s="120">
        <f t="shared" si="682"/>
        <v>2</v>
      </c>
      <c r="F1595" s="275">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0.98351203501094098</v>
      </c>
      <c r="P1595" s="121">
        <f t="shared" si="693"/>
        <v>0.125</v>
      </c>
      <c r="Q1595" s="121">
        <f t="shared" si="694"/>
        <v>0</v>
      </c>
      <c r="R1595" s="121">
        <f t="shared" si="695"/>
        <v>0</v>
      </c>
      <c r="AE1595" s="160">
        <f t="shared" si="696"/>
        <v>0.98351203501094098</v>
      </c>
    </row>
    <row r="1596" spans="1:31" x14ac:dyDescent="0.3">
      <c r="A1596" s="187">
        <v>3</v>
      </c>
      <c r="B1596" s="242">
        <f t="shared" si="697"/>
        <v>45717</v>
      </c>
      <c r="C1596" s="243">
        <f t="shared" si="680"/>
        <v>45747</v>
      </c>
      <c r="D1596" s="120">
        <f t="shared" si="681"/>
        <v>31</v>
      </c>
      <c r="E1596" s="120">
        <f t="shared" si="682"/>
        <v>3</v>
      </c>
      <c r="F1596" s="275">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0.98383479212253833</v>
      </c>
      <c r="P1596" s="121">
        <f t="shared" si="693"/>
        <v>0.20833333333333337</v>
      </c>
      <c r="Q1596" s="121">
        <f t="shared" si="694"/>
        <v>0</v>
      </c>
      <c r="R1596" s="121">
        <f t="shared" si="695"/>
        <v>0</v>
      </c>
      <c r="AE1596" s="160">
        <f t="shared" si="696"/>
        <v>0.98383479212253833</v>
      </c>
    </row>
    <row r="1597" spans="1:31" x14ac:dyDescent="0.3">
      <c r="A1597" s="187">
        <v>4</v>
      </c>
      <c r="B1597" s="242">
        <f t="shared" si="697"/>
        <v>45748</v>
      </c>
      <c r="C1597" s="243">
        <f t="shared" si="680"/>
        <v>45777</v>
      </c>
      <c r="D1597" s="120">
        <f t="shared" si="681"/>
        <v>30</v>
      </c>
      <c r="E1597" s="120">
        <f t="shared" si="682"/>
        <v>4</v>
      </c>
      <c r="F1597" s="275">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0.98416849015317287</v>
      </c>
      <c r="P1597" s="121">
        <f t="shared" si="693"/>
        <v>0.29166666666666663</v>
      </c>
      <c r="Q1597" s="121">
        <f t="shared" si="694"/>
        <v>0</v>
      </c>
      <c r="R1597" s="121">
        <f t="shared" si="695"/>
        <v>0</v>
      </c>
      <c r="AE1597" s="160">
        <f t="shared" si="696"/>
        <v>0.98416849015317287</v>
      </c>
    </row>
    <row r="1598" spans="1:31" x14ac:dyDescent="0.3">
      <c r="A1598" s="187">
        <v>5</v>
      </c>
      <c r="B1598" s="242">
        <f t="shared" si="697"/>
        <v>45778</v>
      </c>
      <c r="C1598" s="243">
        <f t="shared" si="680"/>
        <v>45808</v>
      </c>
      <c r="D1598" s="120">
        <f t="shared" si="681"/>
        <v>31</v>
      </c>
      <c r="E1598" s="120">
        <f t="shared" si="682"/>
        <v>5</v>
      </c>
      <c r="F1598" s="275">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0.98450218818380741</v>
      </c>
      <c r="P1598" s="121">
        <f t="shared" si="693"/>
        <v>0.375</v>
      </c>
      <c r="Q1598" s="121">
        <f t="shared" si="694"/>
        <v>0</v>
      </c>
      <c r="R1598" s="121">
        <f t="shared" si="695"/>
        <v>0</v>
      </c>
      <c r="AE1598" s="160">
        <f t="shared" si="696"/>
        <v>0.98450218818380741</v>
      </c>
    </row>
    <row r="1599" spans="1:31" x14ac:dyDescent="0.3">
      <c r="A1599" s="187">
        <v>6</v>
      </c>
      <c r="B1599" s="242">
        <f t="shared" si="697"/>
        <v>45809</v>
      </c>
      <c r="C1599" s="243">
        <f t="shared" si="680"/>
        <v>45838</v>
      </c>
      <c r="D1599" s="120">
        <f t="shared" si="681"/>
        <v>30</v>
      </c>
      <c r="E1599" s="120">
        <f t="shared" si="682"/>
        <v>6</v>
      </c>
      <c r="F1599" s="275">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0.98483588621444207</v>
      </c>
      <c r="P1599" s="121">
        <f t="shared" si="693"/>
        <v>0.45833333333333337</v>
      </c>
      <c r="Q1599" s="121">
        <f t="shared" si="694"/>
        <v>0</v>
      </c>
      <c r="R1599" s="121">
        <f t="shared" si="695"/>
        <v>0</v>
      </c>
      <c r="AE1599" s="160">
        <f t="shared" si="696"/>
        <v>0.98483588621444207</v>
      </c>
    </row>
    <row r="1600" spans="1:31" x14ac:dyDescent="0.3">
      <c r="A1600" s="187">
        <v>7</v>
      </c>
      <c r="B1600" s="242">
        <f t="shared" si="697"/>
        <v>45839</v>
      </c>
      <c r="C1600" s="243">
        <f t="shared" si="680"/>
        <v>45869</v>
      </c>
      <c r="D1600" s="120">
        <f t="shared" si="681"/>
        <v>31</v>
      </c>
      <c r="E1600" s="120">
        <f t="shared" si="682"/>
        <v>7</v>
      </c>
      <c r="F1600" s="275">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0.98516958424507661</v>
      </c>
      <c r="P1600" s="121">
        <f t="shared" si="693"/>
        <v>0.54166666666666674</v>
      </c>
      <c r="Q1600" s="121">
        <f t="shared" si="694"/>
        <v>0</v>
      </c>
      <c r="R1600" s="121">
        <f t="shared" si="695"/>
        <v>0</v>
      </c>
      <c r="AE1600" s="160">
        <f t="shared" si="696"/>
        <v>0.98516958424507661</v>
      </c>
    </row>
    <row r="1601" spans="1:37" x14ac:dyDescent="0.3">
      <c r="A1601" s="187">
        <v>8</v>
      </c>
      <c r="B1601" s="242">
        <f t="shared" si="697"/>
        <v>45870</v>
      </c>
      <c r="C1601" s="243">
        <f t="shared" si="680"/>
        <v>45900</v>
      </c>
      <c r="D1601" s="120">
        <f t="shared" si="681"/>
        <v>31</v>
      </c>
      <c r="E1601" s="120">
        <f t="shared" si="682"/>
        <v>8</v>
      </c>
      <c r="F1601" s="275">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0.98550875273522975</v>
      </c>
      <c r="P1601" s="121">
        <f t="shared" si="693"/>
        <v>0.625</v>
      </c>
      <c r="Q1601" s="121">
        <f t="shared" si="694"/>
        <v>0</v>
      </c>
      <c r="R1601" s="121">
        <f t="shared" si="695"/>
        <v>0</v>
      </c>
      <c r="AE1601" s="160">
        <f t="shared" si="696"/>
        <v>0.98550875273522975</v>
      </c>
    </row>
    <row r="1602" spans="1:37" x14ac:dyDescent="0.3">
      <c r="A1602" s="187">
        <v>9</v>
      </c>
      <c r="B1602" s="242">
        <f t="shared" si="697"/>
        <v>45901</v>
      </c>
      <c r="C1602" s="243">
        <f t="shared" si="680"/>
        <v>45930</v>
      </c>
      <c r="D1602" s="120">
        <f t="shared" si="681"/>
        <v>30</v>
      </c>
      <c r="E1602" s="120">
        <f t="shared" si="682"/>
        <v>9</v>
      </c>
      <c r="F1602" s="275">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0.9858424507658643</v>
      </c>
      <c r="P1602" s="121">
        <f t="shared" si="693"/>
        <v>0.70833333333333326</v>
      </c>
      <c r="Q1602" s="121">
        <f t="shared" si="694"/>
        <v>0</v>
      </c>
      <c r="R1602" s="121">
        <f t="shared" si="695"/>
        <v>0</v>
      </c>
      <c r="AE1602" s="160">
        <f t="shared" si="696"/>
        <v>0.9858424507658643</v>
      </c>
    </row>
    <row r="1603" spans="1:37" x14ac:dyDescent="0.3">
      <c r="A1603" s="187">
        <v>10</v>
      </c>
      <c r="B1603" s="242">
        <f t="shared" si="697"/>
        <v>45931</v>
      </c>
      <c r="C1603" s="243">
        <f t="shared" si="680"/>
        <v>45961</v>
      </c>
      <c r="D1603" s="120">
        <f t="shared" si="681"/>
        <v>31</v>
      </c>
      <c r="E1603" s="120">
        <f t="shared" si="682"/>
        <v>10</v>
      </c>
      <c r="F1603" s="275">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0.98617614879649895</v>
      </c>
      <c r="P1603" s="121">
        <f t="shared" si="693"/>
        <v>0.79166666666666663</v>
      </c>
      <c r="Q1603" s="121">
        <f t="shared" si="694"/>
        <v>0</v>
      </c>
      <c r="R1603" s="121">
        <f t="shared" si="695"/>
        <v>0</v>
      </c>
      <c r="AE1603" s="160">
        <f t="shared" si="696"/>
        <v>0.98617614879649895</v>
      </c>
    </row>
    <row r="1604" spans="1:37" x14ac:dyDescent="0.3">
      <c r="A1604" s="187">
        <v>11</v>
      </c>
      <c r="B1604" s="242">
        <f t="shared" si="697"/>
        <v>45962</v>
      </c>
      <c r="C1604" s="243">
        <f t="shared" si="680"/>
        <v>45991</v>
      </c>
      <c r="D1604" s="120">
        <f t="shared" si="681"/>
        <v>30</v>
      </c>
      <c r="E1604" s="120">
        <f t="shared" si="682"/>
        <v>11</v>
      </c>
      <c r="F1604" s="275">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0.9865098468271335</v>
      </c>
      <c r="P1604" s="121">
        <f t="shared" si="693"/>
        <v>0.875</v>
      </c>
      <c r="Q1604" s="121">
        <f t="shared" si="694"/>
        <v>0</v>
      </c>
      <c r="R1604" s="121">
        <f t="shared" si="695"/>
        <v>0</v>
      </c>
      <c r="AE1604" s="160">
        <f t="shared" si="696"/>
        <v>0.9865098468271335</v>
      </c>
    </row>
    <row r="1605" spans="1:37" x14ac:dyDescent="0.3">
      <c r="A1605" s="187">
        <v>12</v>
      </c>
      <c r="B1605" s="242">
        <f t="shared" si="697"/>
        <v>45992</v>
      </c>
      <c r="C1605" s="243">
        <f t="shared" si="680"/>
        <v>46022</v>
      </c>
      <c r="D1605" s="120">
        <f t="shared" si="681"/>
        <v>31</v>
      </c>
      <c r="E1605" s="120">
        <f t="shared" si="682"/>
        <v>12</v>
      </c>
      <c r="F1605" s="275">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0.98684354485776804</v>
      </c>
      <c r="P1605" s="121">
        <f t="shared" si="693"/>
        <v>0.95833333333333337</v>
      </c>
      <c r="Q1605" s="121">
        <f t="shared" si="694"/>
        <v>0</v>
      </c>
      <c r="R1605" s="121">
        <f t="shared" si="695"/>
        <v>0</v>
      </c>
      <c r="AE1605" s="160">
        <f t="shared" si="696"/>
        <v>0.98684354485776804</v>
      </c>
    </row>
    <row r="1606" spans="1:37" x14ac:dyDescent="0.3">
      <c r="A1606" s="187">
        <v>13</v>
      </c>
      <c r="B1606" s="242">
        <f t="shared" si="697"/>
        <v>46023</v>
      </c>
      <c r="C1606" s="243">
        <f t="shared" si="680"/>
        <v>46053</v>
      </c>
      <c r="D1606" s="120">
        <f t="shared" si="681"/>
        <v>31</v>
      </c>
      <c r="E1606" s="120">
        <f t="shared" si="682"/>
        <v>1</v>
      </c>
      <c r="F1606" s="275">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0.98718271334792118</v>
      </c>
      <c r="P1606" s="121">
        <f t="shared" si="693"/>
        <v>0.95833333333333337</v>
      </c>
      <c r="Q1606" s="121">
        <f t="shared" si="694"/>
        <v>4.166666666666663E-2</v>
      </c>
      <c r="R1606" s="121">
        <f t="shared" si="695"/>
        <v>0</v>
      </c>
      <c r="AE1606" s="160">
        <f t="shared" si="696"/>
        <v>0.98718271334792118</v>
      </c>
      <c r="AK1606" s="282">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5">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0.98750547045951864</v>
      </c>
      <c r="P1607" s="121">
        <f t="shared" si="693"/>
        <v>0.875</v>
      </c>
      <c r="Q1607" s="121">
        <f t="shared" si="694"/>
        <v>0.125</v>
      </c>
      <c r="R1607" s="121">
        <f t="shared" si="695"/>
        <v>0</v>
      </c>
      <c r="AE1607" s="160">
        <f t="shared" si="696"/>
        <v>0.98750547045951864</v>
      </c>
      <c r="AK1607" s="282">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5">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0.98782822757111599</v>
      </c>
      <c r="P1608" s="121">
        <f t="shared" si="693"/>
        <v>0.79166666666666663</v>
      </c>
      <c r="Q1608" s="121">
        <f t="shared" si="694"/>
        <v>0.20833333333333337</v>
      </c>
      <c r="R1608" s="121">
        <f t="shared" si="695"/>
        <v>0</v>
      </c>
      <c r="AE1608" s="160">
        <f t="shared" si="696"/>
        <v>0.98782822757111599</v>
      </c>
      <c r="AK1608" s="282">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5">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0.98816192560175053</v>
      </c>
      <c r="P1609" s="121">
        <f t="shared" si="693"/>
        <v>0.70833333333333337</v>
      </c>
      <c r="Q1609" s="121">
        <f t="shared" si="694"/>
        <v>0.29166666666666663</v>
      </c>
      <c r="R1609" s="121">
        <f t="shared" si="695"/>
        <v>0</v>
      </c>
      <c r="AE1609" s="160">
        <f t="shared" si="696"/>
        <v>0.98816192560175053</v>
      </c>
      <c r="AK1609" s="282">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5">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0.98849562363238508</v>
      </c>
      <c r="P1610" s="121">
        <f t="shared" si="693"/>
        <v>0.625</v>
      </c>
      <c r="Q1610" s="121">
        <f t="shared" si="694"/>
        <v>0.375</v>
      </c>
      <c r="R1610" s="121">
        <f t="shared" si="695"/>
        <v>0</v>
      </c>
      <c r="AE1610" s="160">
        <f t="shared" si="696"/>
        <v>0.98849562363238508</v>
      </c>
      <c r="AK1610" s="282">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5">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0.98882932166301973</v>
      </c>
      <c r="P1611" s="121">
        <f t="shared" si="693"/>
        <v>0.54166666666666663</v>
      </c>
      <c r="Q1611" s="121">
        <f t="shared" si="694"/>
        <v>0.45833333333333337</v>
      </c>
      <c r="R1611" s="121">
        <f t="shared" si="695"/>
        <v>0</v>
      </c>
      <c r="AE1611" s="160">
        <f t="shared" si="696"/>
        <v>0.98882932166301973</v>
      </c>
      <c r="AK1611" s="282">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5">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0.98916301969365428</v>
      </c>
      <c r="P1612" s="121">
        <f t="shared" si="693"/>
        <v>0.45833333333333331</v>
      </c>
      <c r="Q1612" s="121">
        <f t="shared" si="694"/>
        <v>0.54166666666666674</v>
      </c>
      <c r="R1612" s="121">
        <f t="shared" si="695"/>
        <v>0</v>
      </c>
      <c r="AE1612" s="160">
        <f t="shared" si="696"/>
        <v>0.98916301969365428</v>
      </c>
      <c r="AK1612" s="282">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5">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0.98950218818380742</v>
      </c>
      <c r="P1613" s="121">
        <f t="shared" si="693"/>
        <v>0.375</v>
      </c>
      <c r="Q1613" s="121">
        <f t="shared" si="694"/>
        <v>0.625</v>
      </c>
      <c r="R1613" s="121">
        <f t="shared" si="695"/>
        <v>0</v>
      </c>
      <c r="AE1613" s="160">
        <f t="shared" si="696"/>
        <v>0.98950218818380742</v>
      </c>
      <c r="AK1613" s="282">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5">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0.98983588621444196</v>
      </c>
      <c r="P1614" s="121">
        <f t="shared" si="693"/>
        <v>0.29166666666666669</v>
      </c>
      <c r="Q1614" s="121">
        <f t="shared" si="694"/>
        <v>0.70833333333333326</v>
      </c>
      <c r="R1614" s="121">
        <f t="shared" si="695"/>
        <v>0</v>
      </c>
      <c r="AE1614" s="160">
        <f t="shared" si="696"/>
        <v>0.98983588621444196</v>
      </c>
      <c r="AK1614" s="282">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5">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0.99016958424507662</v>
      </c>
      <c r="P1615" s="121">
        <f t="shared" si="693"/>
        <v>0.20833333333333334</v>
      </c>
      <c r="Q1615" s="121">
        <f t="shared" si="694"/>
        <v>0.79166666666666663</v>
      </c>
      <c r="R1615" s="121">
        <f t="shared" si="695"/>
        <v>0</v>
      </c>
      <c r="AE1615" s="160">
        <f t="shared" si="696"/>
        <v>1.0891865426695844</v>
      </c>
      <c r="AK1615" s="282">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5">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0.99050328227571116</v>
      </c>
      <c r="P1616" s="121">
        <f t="shared" si="693"/>
        <v>0.125</v>
      </c>
      <c r="Q1616" s="121">
        <f t="shared" si="694"/>
        <v>0.875</v>
      </c>
      <c r="R1616" s="121">
        <f t="shared" si="695"/>
        <v>0</v>
      </c>
      <c r="AE1616" s="160">
        <f t="shared" si="696"/>
        <v>1.0895536105032824</v>
      </c>
      <c r="AK1616" s="282">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5">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0.9908369803063457</v>
      </c>
      <c r="P1617" s="121">
        <f t="shared" si="693"/>
        <v>4.1666666666666664E-2</v>
      </c>
      <c r="Q1617" s="121">
        <f t="shared" si="694"/>
        <v>0.95833333333333337</v>
      </c>
      <c r="R1617" s="121">
        <f t="shared" si="695"/>
        <v>0</v>
      </c>
      <c r="AE1617" s="160">
        <f t="shared" si="696"/>
        <v>1.0899206783369804</v>
      </c>
      <c r="AK1617" s="282">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5">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0.99117614879649885</v>
      </c>
      <c r="P1618" s="121">
        <f t="shared" si="693"/>
        <v>0</v>
      </c>
      <c r="Q1618" s="121">
        <f t="shared" si="694"/>
        <v>0.95833333333333337</v>
      </c>
      <c r="R1618" s="121">
        <f t="shared" si="695"/>
        <v>4.166666666666663E-2</v>
      </c>
      <c r="W1618" s="160">
        <f t="shared" ref="W1618:W1629" si="698">IF($G1618&lt;&gt;$Q$1591,$N1618,(1-$U$1591)*$I1618+$U$1591*$J1618)</f>
        <v>1.1000000000000001</v>
      </c>
      <c r="X1618" s="160">
        <f t="shared" ref="X1618:X1629" si="699">IF($G1618&lt;$Q$1591,0,IF($G1618&gt;$Q$1591,$N1618,$U$1591*$J1618))</f>
        <v>0</v>
      </c>
      <c r="Y1618" s="160">
        <f t="shared" ref="Y1618:Y1629" si="700">IF($F$1591=1,$O1618/$O1606,1)</f>
        <v>1.0040452850263497</v>
      </c>
      <c r="AB1618" s="160">
        <f t="shared" ref="AB1618:AB1629" si="701">IF(AND(N($K$1591)&lt;&gt;0,$F1618&lt;=$B$1592),0,($F1618-$B$1592)/($C$1592-$B$1592))</f>
        <v>0.23522975929978118</v>
      </c>
      <c r="AC1618" s="220">
        <f t="shared" ref="AC1618:AC1629" si="702">IF(AND(N($K$1591)&lt;&gt;0,$F1618&lt;=$B$1592),$O1618,$F$1592*(1-$AB1618))</f>
        <v>0.75712253829321663</v>
      </c>
      <c r="AD1618" s="160">
        <f t="shared" ref="AD1618:AD1629" si="703">$H1618*($W1618+$X1618*IF(ISNUMBER($F$1642),$F$1642,0))/($N1606*$O1606)</f>
        <v>1.1142820727375498</v>
      </c>
      <c r="AE1618" s="160">
        <f t="shared" si="696"/>
        <v>1.0858343528892216</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0.98718271334792129</v>
      </c>
      <c r="AL1618" s="282">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5">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0.99149890590809631</v>
      </c>
      <c r="P1619" s="121">
        <f t="shared" si="693"/>
        <v>0</v>
      </c>
      <c r="Q1619" s="121">
        <f t="shared" si="694"/>
        <v>0.875</v>
      </c>
      <c r="R1619" s="121">
        <f t="shared" si="695"/>
        <v>0.125</v>
      </c>
      <c r="W1619" s="160">
        <f t="shared" si="698"/>
        <v>1.1000000000000001</v>
      </c>
      <c r="X1619" s="160">
        <f t="shared" si="699"/>
        <v>0</v>
      </c>
      <c r="Y1619" s="160">
        <f t="shared" si="700"/>
        <v>1.0040439628620177</v>
      </c>
      <c r="AB1619" s="160">
        <f t="shared" si="701"/>
        <v>0.29978118161925604</v>
      </c>
      <c r="AC1619" s="220">
        <f t="shared" si="702"/>
        <v>0.69321663019693647</v>
      </c>
      <c r="AD1619" s="160">
        <f t="shared" si="703"/>
        <v>1.1139178798555254</v>
      </c>
      <c r="AE1619" s="160">
        <f t="shared" si="696"/>
        <v>1.0849656404262638</v>
      </c>
      <c r="AF1619" s="220">
        <f t="shared" si="704"/>
        <v>0</v>
      </c>
      <c r="AG1619" s="183">
        <f t="shared" si="705"/>
        <v>0.10000000000000009</v>
      </c>
      <c r="AH1619" s="183">
        <f t="shared" si="706"/>
        <v>0</v>
      </c>
      <c r="AI1619" s="220">
        <f t="shared" si="707"/>
        <v>0.98750547045951853</v>
      </c>
      <c r="AL1619" s="282">
        <f>IF(OR($D$1591=0,$F$1591=0),0,ABS(INDEX(_calc!$T:$T,76+(MATCH($B$1591,calc_key,0)-1)*54+28)/INDEX(_calc!$T:$T,76+(MATCH($B$1591,calc_key,0)-1)*54+16)-(1+$E$1591)))</f>
        <v>0</v>
      </c>
    </row>
    <row r="1620" spans="1:38" x14ac:dyDescent="0.3">
      <c r="A1620" s="187">
        <v>27</v>
      </c>
      <c r="B1620" s="242">
        <f t="shared" si="697"/>
        <v>46447</v>
      </c>
      <c r="C1620" s="243">
        <f t="shared" si="680"/>
        <v>46477</v>
      </c>
      <c r="D1620" s="120">
        <f t="shared" si="681"/>
        <v>31</v>
      </c>
      <c r="E1620" s="120">
        <f t="shared" si="682"/>
        <v>3</v>
      </c>
      <c r="F1620" s="275">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0.99182166301969366</v>
      </c>
      <c r="P1620" s="121">
        <f t="shared" si="693"/>
        <v>0</v>
      </c>
      <c r="Q1620" s="121">
        <f t="shared" si="694"/>
        <v>0.79166666666666663</v>
      </c>
      <c r="R1620" s="121">
        <f t="shared" si="695"/>
        <v>0.20833333333333337</v>
      </c>
      <c r="W1620" s="160">
        <f t="shared" si="698"/>
        <v>1.1000000000000001</v>
      </c>
      <c r="X1620" s="160">
        <f t="shared" si="699"/>
        <v>0</v>
      </c>
      <c r="Y1620" s="160">
        <f t="shared" si="700"/>
        <v>1.0040426415616779</v>
      </c>
      <c r="AB1620" s="160">
        <f t="shared" si="701"/>
        <v>0.36433260393873085</v>
      </c>
      <c r="AC1620" s="220">
        <f t="shared" si="702"/>
        <v>0.62931072210065642</v>
      </c>
      <c r="AD1620" s="160">
        <f t="shared" si="703"/>
        <v>1.1135539249619273</v>
      </c>
      <c r="AE1620" s="160">
        <f t="shared" si="696"/>
        <v>1.0840969279633059</v>
      </c>
      <c r="AF1620" s="220">
        <f t="shared" si="704"/>
        <v>0</v>
      </c>
      <c r="AG1620" s="183">
        <f t="shared" si="705"/>
        <v>0.10000000000000009</v>
      </c>
      <c r="AH1620" s="183">
        <f t="shared" si="706"/>
        <v>0</v>
      </c>
      <c r="AI1620" s="220">
        <f t="shared" si="707"/>
        <v>0.98782822757111588</v>
      </c>
      <c r="AL1620" s="282">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5">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0.9921553610503282</v>
      </c>
      <c r="P1621" s="121">
        <f t="shared" si="693"/>
        <v>0</v>
      </c>
      <c r="Q1621" s="121">
        <f t="shared" si="694"/>
        <v>0.70833333333333337</v>
      </c>
      <c r="R1621" s="121">
        <f t="shared" si="695"/>
        <v>0.29166666666666663</v>
      </c>
      <c r="W1621" s="160">
        <f t="shared" si="698"/>
        <v>1.1000000000000001</v>
      </c>
      <c r="X1621" s="160">
        <f t="shared" si="699"/>
        <v>1.1000000000000001</v>
      </c>
      <c r="Y1621" s="160">
        <f t="shared" si="700"/>
        <v>1.0040412763790163</v>
      </c>
      <c r="AB1621" s="160">
        <f t="shared" si="701"/>
        <v>0.4310722100656455</v>
      </c>
      <c r="AC1621" s="220">
        <f t="shared" si="702"/>
        <v>0.56323851203501096</v>
      </c>
      <c r="AD1621" s="160">
        <f t="shared" si="703"/>
        <v>1.1577049978963221</v>
      </c>
      <c r="AE1621" s="160">
        <f t="shared" si="696"/>
        <v>1.126526718325058</v>
      </c>
      <c r="AF1621" s="220">
        <f t="shared" si="704"/>
        <v>1</v>
      </c>
      <c r="AG1621" s="183">
        <f t="shared" si="705"/>
        <v>0.14400000000000013</v>
      </c>
      <c r="AH1621" s="183">
        <f t="shared" si="706"/>
        <v>-3.8461538461538436E-2</v>
      </c>
      <c r="AI1621" s="220">
        <f t="shared" si="707"/>
        <v>0.95015569769399078</v>
      </c>
      <c r="AL1621" s="282">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5">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0.99248905908096274</v>
      </c>
      <c r="P1622" s="121">
        <f t="shared" si="693"/>
        <v>0</v>
      </c>
      <c r="Q1622" s="121">
        <f t="shared" si="694"/>
        <v>0.625</v>
      </c>
      <c r="R1622" s="121">
        <f t="shared" si="695"/>
        <v>0.375</v>
      </c>
      <c r="W1622" s="160">
        <f t="shared" si="698"/>
        <v>1.1000000000000001</v>
      </c>
      <c r="X1622" s="160">
        <f t="shared" si="699"/>
        <v>1.1000000000000001</v>
      </c>
      <c r="Y1622" s="160">
        <f t="shared" si="700"/>
        <v>1.0040399121180761</v>
      </c>
      <c r="AB1622" s="160">
        <f t="shared" si="701"/>
        <v>0.49781181619256015</v>
      </c>
      <c r="AC1622" s="220">
        <f t="shared" si="702"/>
        <v>0.4971663019693654</v>
      </c>
      <c r="AD1622" s="160">
        <f t="shared" si="703"/>
        <v>1.1573141778778842</v>
      </c>
      <c r="AE1622" s="160">
        <f t="shared" si="696"/>
        <v>1.1255926315682776</v>
      </c>
      <c r="AF1622" s="220">
        <f t="shared" si="704"/>
        <v>1</v>
      </c>
      <c r="AG1622" s="183">
        <f t="shared" si="705"/>
        <v>0.14400000000000013</v>
      </c>
      <c r="AH1622" s="183">
        <f t="shared" si="706"/>
        <v>-3.8461538461538436E-2</v>
      </c>
      <c r="AI1622" s="220">
        <f t="shared" si="707"/>
        <v>0.95047656118498558</v>
      </c>
      <c r="AL1622" s="282">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5">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0.9928227571115974</v>
      </c>
      <c r="P1623" s="121">
        <f t="shared" si="693"/>
        <v>0</v>
      </c>
      <c r="Q1623" s="121">
        <f t="shared" si="694"/>
        <v>0.54166666666666663</v>
      </c>
      <c r="R1623" s="121">
        <f t="shared" si="695"/>
        <v>0.45833333333333337</v>
      </c>
      <c r="W1623" s="160">
        <f t="shared" si="698"/>
        <v>1.1000000000000001</v>
      </c>
      <c r="X1623" s="160">
        <f t="shared" si="699"/>
        <v>1.1000000000000001</v>
      </c>
      <c r="Y1623" s="160">
        <f t="shared" si="700"/>
        <v>1.004038548777924</v>
      </c>
      <c r="AB1623" s="160">
        <f t="shared" si="701"/>
        <v>0.56455142231947486</v>
      </c>
      <c r="AC1623" s="220">
        <f t="shared" si="702"/>
        <v>0.43109409190371989</v>
      </c>
      <c r="AD1623" s="160">
        <f t="shared" si="703"/>
        <v>1.1569236216377699</v>
      </c>
      <c r="AE1623" s="160">
        <f t="shared" si="696"/>
        <v>1.1246585448114972</v>
      </c>
      <c r="AF1623" s="220">
        <f t="shared" si="704"/>
        <v>1</v>
      </c>
      <c r="AG1623" s="183">
        <f t="shared" si="705"/>
        <v>0.14400000000000013</v>
      </c>
      <c r="AH1623" s="183">
        <f t="shared" si="706"/>
        <v>-3.8461538461538436E-2</v>
      </c>
      <c r="AI1623" s="220">
        <f t="shared" si="707"/>
        <v>0.9507974246759805</v>
      </c>
      <c r="AL1623" s="282">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5">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0.99315645514223194</v>
      </c>
      <c r="P1624" s="121">
        <f t="shared" si="693"/>
        <v>0</v>
      </c>
      <c r="Q1624" s="121">
        <f t="shared" si="694"/>
        <v>0.45833333333333331</v>
      </c>
      <c r="R1624" s="121">
        <f t="shared" si="695"/>
        <v>0.54166666666666674</v>
      </c>
      <c r="W1624" s="160">
        <f t="shared" si="698"/>
        <v>1.1000000000000001</v>
      </c>
      <c r="X1624" s="160">
        <f t="shared" si="699"/>
        <v>1.1000000000000001</v>
      </c>
      <c r="Y1624" s="160">
        <f t="shared" si="700"/>
        <v>1.0040371863576283</v>
      </c>
      <c r="AB1624" s="160">
        <f t="shared" si="701"/>
        <v>0.63129102844638951</v>
      </c>
      <c r="AC1624" s="220">
        <f t="shared" si="702"/>
        <v>0.36502188183807438</v>
      </c>
      <c r="AD1624" s="160">
        <f t="shared" si="703"/>
        <v>1.1565333289090196</v>
      </c>
      <c r="AE1624" s="160">
        <f t="shared" si="696"/>
        <v>1.1237244580547168</v>
      </c>
      <c r="AF1624" s="220">
        <f t="shared" si="704"/>
        <v>1</v>
      </c>
      <c r="AG1624" s="183">
        <f t="shared" si="705"/>
        <v>0.14400000000000013</v>
      </c>
      <c r="AH1624" s="183">
        <f t="shared" si="706"/>
        <v>-3.8461538461538436E-2</v>
      </c>
      <c r="AI1624" s="220">
        <f t="shared" si="707"/>
        <v>0.95111828816697519</v>
      </c>
      <c r="AL1624" s="282">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5">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0.99349562363238508</v>
      </c>
      <c r="P1625" s="121">
        <f t="shared" si="693"/>
        <v>0</v>
      </c>
      <c r="Q1625" s="121">
        <f t="shared" si="694"/>
        <v>0.375</v>
      </c>
      <c r="R1625" s="121">
        <f t="shared" si="695"/>
        <v>0.625</v>
      </c>
      <c r="W1625" s="160">
        <f t="shared" si="698"/>
        <v>1.1000000000000001</v>
      </c>
      <c r="X1625" s="160">
        <f t="shared" si="699"/>
        <v>1.1000000000000001</v>
      </c>
      <c r="Y1625" s="160">
        <f t="shared" si="700"/>
        <v>1.0040358025442142</v>
      </c>
      <c r="AB1625" s="160">
        <f t="shared" si="701"/>
        <v>0.69912472647702406</v>
      </c>
      <c r="AC1625" s="220">
        <f t="shared" si="702"/>
        <v>0.29786652078774617</v>
      </c>
      <c r="AD1625" s="160">
        <f t="shared" si="703"/>
        <v>1.1561369076906918</v>
      </c>
      <c r="AE1625" s="160">
        <f t="shared" si="696"/>
        <v>1.1227750584002842</v>
      </c>
      <c r="AF1625" s="220">
        <f t="shared" si="704"/>
        <v>1</v>
      </c>
      <c r="AG1625" s="183">
        <f t="shared" si="705"/>
        <v>0.14400000000000013</v>
      </c>
      <c r="AH1625" s="183">
        <f t="shared" si="706"/>
        <v>-3.8461538461538436E-2</v>
      </c>
      <c r="AI1625" s="220">
        <f t="shared" si="707"/>
        <v>0.95144441171519933</v>
      </c>
      <c r="AL1625" s="282">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5">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0.99382932166301974</v>
      </c>
      <c r="P1626" s="121">
        <f t="shared" si="693"/>
        <v>0</v>
      </c>
      <c r="Q1626" s="121">
        <f t="shared" si="694"/>
        <v>0.29166666666666669</v>
      </c>
      <c r="R1626" s="121">
        <f t="shared" si="695"/>
        <v>0.70833333333333326</v>
      </c>
      <c r="W1626" s="160">
        <f t="shared" si="698"/>
        <v>1.1000000000000001</v>
      </c>
      <c r="X1626" s="160">
        <f t="shared" si="699"/>
        <v>1.1000000000000001</v>
      </c>
      <c r="Y1626" s="160">
        <f t="shared" si="700"/>
        <v>1.0040344419758818</v>
      </c>
      <c r="AB1626" s="160">
        <f t="shared" si="701"/>
        <v>0.76586433260393871</v>
      </c>
      <c r="AC1626" s="220">
        <f t="shared" si="702"/>
        <v>0.23179431072210066</v>
      </c>
      <c r="AD1626" s="160">
        <f t="shared" si="703"/>
        <v>1.1557471454941364</v>
      </c>
      <c r="AE1626" s="160">
        <f t="shared" si="696"/>
        <v>1.121840971643504</v>
      </c>
      <c r="AF1626" s="220">
        <f t="shared" si="704"/>
        <v>1</v>
      </c>
      <c r="AG1626" s="183">
        <f t="shared" si="705"/>
        <v>0.14400000000000013</v>
      </c>
      <c r="AH1626" s="183">
        <f t="shared" si="706"/>
        <v>-3.8461538461538436E-2</v>
      </c>
      <c r="AI1626" s="220">
        <f t="shared" si="707"/>
        <v>0.95176527520619403</v>
      </c>
      <c r="AL1626" s="282">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5">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0.99416301969365428</v>
      </c>
      <c r="P1627" s="121">
        <f t="shared" si="693"/>
        <v>0</v>
      </c>
      <c r="Q1627" s="121">
        <f t="shared" si="694"/>
        <v>0.20833333333333334</v>
      </c>
      <c r="R1627" s="121">
        <f t="shared" si="695"/>
        <v>0.79166666666666663</v>
      </c>
      <c r="W1627" s="160">
        <f t="shared" si="698"/>
        <v>1.1000000000000001</v>
      </c>
      <c r="X1627" s="160">
        <f t="shared" si="699"/>
        <v>1.1000000000000001</v>
      </c>
      <c r="Y1627" s="160">
        <f t="shared" si="700"/>
        <v>1.0040330823246024</v>
      </c>
      <c r="AB1627" s="160">
        <f t="shared" si="701"/>
        <v>0.83260393873085337</v>
      </c>
      <c r="AC1627" s="220">
        <f t="shared" si="702"/>
        <v>0.16572210065645518</v>
      </c>
      <c r="AD1627" s="160">
        <f t="shared" si="703"/>
        <v>1.0503251327326066</v>
      </c>
      <c r="AE1627" s="160">
        <f t="shared" si="696"/>
        <v>1.1209068848867236</v>
      </c>
      <c r="AF1627" s="220">
        <f t="shared" si="704"/>
        <v>1</v>
      </c>
      <c r="AG1627" s="183">
        <f t="shared" si="705"/>
        <v>4.0000000000000036E-2</v>
      </c>
      <c r="AH1627" s="183">
        <f t="shared" si="706"/>
        <v>5.7692307692307709E-2</v>
      </c>
      <c r="AI1627" s="220">
        <f t="shared" si="707"/>
        <v>1.0472947525669081</v>
      </c>
      <c r="AL1627" s="282">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5">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0.99449671772428883</v>
      </c>
      <c r="P1628" s="121">
        <f t="shared" si="693"/>
        <v>0</v>
      </c>
      <c r="Q1628" s="121">
        <f t="shared" si="694"/>
        <v>0.125</v>
      </c>
      <c r="R1628" s="121">
        <f t="shared" si="695"/>
        <v>0.875</v>
      </c>
      <c r="W1628" s="160">
        <f t="shared" si="698"/>
        <v>1.1000000000000001</v>
      </c>
      <c r="X1628" s="160">
        <f t="shared" si="699"/>
        <v>1.1000000000000001</v>
      </c>
      <c r="Y1628" s="160">
        <f t="shared" si="700"/>
        <v>1.0040317235894489</v>
      </c>
      <c r="AB1628" s="160">
        <f t="shared" si="701"/>
        <v>0.89934354485776802</v>
      </c>
      <c r="AC1628" s="220">
        <f t="shared" si="702"/>
        <v>9.9649890590809656E-2</v>
      </c>
      <c r="AD1628" s="160">
        <f t="shared" si="703"/>
        <v>1.0499712808730615</v>
      </c>
      <c r="AE1628" s="160">
        <f t="shared" si="696"/>
        <v>1.1199727981299432</v>
      </c>
      <c r="AF1628" s="220">
        <f t="shared" si="704"/>
        <v>1</v>
      </c>
      <c r="AG1628" s="183">
        <f t="shared" si="705"/>
        <v>4.0000000000000036E-2</v>
      </c>
      <c r="AH1628" s="183">
        <f t="shared" si="706"/>
        <v>5.7692307692307709E-2</v>
      </c>
      <c r="AI1628" s="220">
        <f t="shared" si="707"/>
        <v>1.0476477024070023</v>
      </c>
      <c r="AL1628" s="282">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5">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0.99483041575492337</v>
      </c>
      <c r="P1629" s="121">
        <f t="shared" si="693"/>
        <v>0</v>
      </c>
      <c r="Q1629" s="121">
        <f t="shared" si="694"/>
        <v>4.1666666666666664E-2</v>
      </c>
      <c r="R1629" s="121">
        <f t="shared" si="695"/>
        <v>0.95833333333333337</v>
      </c>
      <c r="W1629" s="160">
        <f t="shared" si="698"/>
        <v>1.1000000000000001</v>
      </c>
      <c r="X1629" s="160">
        <f t="shared" si="699"/>
        <v>1.1000000000000001</v>
      </c>
      <c r="Y1629" s="160">
        <f t="shared" si="700"/>
        <v>1.0040303657694962</v>
      </c>
      <c r="AB1629" s="160">
        <f t="shared" si="701"/>
        <v>0.96608315098468267</v>
      </c>
      <c r="AC1629" s="220">
        <f t="shared" si="702"/>
        <v>3.3577680525164154E-2</v>
      </c>
      <c r="AD1629" s="160">
        <f t="shared" si="703"/>
        <v>1.0496176673567978</v>
      </c>
      <c r="AE1629" s="160">
        <f t="shared" si="696"/>
        <v>1.1190387113731628</v>
      </c>
      <c r="AF1629" s="220">
        <f t="shared" si="704"/>
        <v>1</v>
      </c>
      <c r="AG1629" s="183">
        <f t="shared" si="705"/>
        <v>4.0000000000000036E-2</v>
      </c>
      <c r="AH1629" s="183">
        <f t="shared" si="706"/>
        <v>5.7692307692307709E-2</v>
      </c>
      <c r="AI1629" s="220">
        <f t="shared" si="707"/>
        <v>1.0480006522470964</v>
      </c>
      <c r="AL1629" s="282">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5">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0.995</v>
      </c>
      <c r="P1630" s="121">
        <f t="shared" si="693"/>
        <v>0</v>
      </c>
      <c r="Q1630" s="121">
        <f t="shared" si="694"/>
        <v>0</v>
      </c>
      <c r="R1630" s="121">
        <f t="shared" si="695"/>
        <v>0.95833333333333337</v>
      </c>
      <c r="AE1630" s="160">
        <f t="shared" si="696"/>
        <v>1.0945</v>
      </c>
    </row>
    <row r="1631" spans="1:38" x14ac:dyDescent="0.3">
      <c r="A1631" s="187">
        <v>38</v>
      </c>
      <c r="B1631" s="242">
        <f t="shared" si="697"/>
        <v>46784</v>
      </c>
      <c r="C1631" s="243">
        <f t="shared" si="680"/>
        <v>46812</v>
      </c>
      <c r="D1631" s="120">
        <f t="shared" si="681"/>
        <v>29</v>
      </c>
      <c r="E1631" s="120">
        <f t="shared" si="682"/>
        <v>2</v>
      </c>
      <c r="F1631" s="275">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0.995</v>
      </c>
      <c r="P1631" s="121">
        <f t="shared" si="693"/>
        <v>0</v>
      </c>
      <c r="Q1631" s="121">
        <f t="shared" si="694"/>
        <v>0</v>
      </c>
      <c r="R1631" s="121">
        <f t="shared" si="695"/>
        <v>0.875</v>
      </c>
      <c r="AE1631" s="160">
        <f t="shared" si="696"/>
        <v>1.0945</v>
      </c>
    </row>
    <row r="1632" spans="1:38" x14ac:dyDescent="0.3">
      <c r="A1632" s="187">
        <v>39</v>
      </c>
      <c r="B1632" s="242">
        <f t="shared" si="697"/>
        <v>46813</v>
      </c>
      <c r="C1632" s="243">
        <f t="shared" si="680"/>
        <v>46843</v>
      </c>
      <c r="D1632" s="120">
        <f t="shared" si="681"/>
        <v>31</v>
      </c>
      <c r="E1632" s="120">
        <f t="shared" si="682"/>
        <v>3</v>
      </c>
      <c r="F1632" s="275">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0.995</v>
      </c>
      <c r="P1632" s="121">
        <f t="shared" si="693"/>
        <v>0</v>
      </c>
      <c r="Q1632" s="121">
        <f t="shared" si="694"/>
        <v>0</v>
      </c>
      <c r="R1632" s="121">
        <f t="shared" si="695"/>
        <v>0.79166666666666663</v>
      </c>
      <c r="AE1632" s="160">
        <f t="shared" si="696"/>
        <v>1.0945</v>
      </c>
    </row>
    <row r="1633" spans="1:31" x14ac:dyDescent="0.3">
      <c r="A1633" s="187">
        <v>40</v>
      </c>
      <c r="B1633" s="242">
        <f t="shared" si="697"/>
        <v>46844</v>
      </c>
      <c r="C1633" s="243">
        <f t="shared" si="680"/>
        <v>46873</v>
      </c>
      <c r="D1633" s="120">
        <f t="shared" si="681"/>
        <v>30</v>
      </c>
      <c r="E1633" s="120">
        <f t="shared" si="682"/>
        <v>4</v>
      </c>
      <c r="F1633" s="275">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0.995</v>
      </c>
      <c r="P1633" s="121">
        <f t="shared" si="693"/>
        <v>0</v>
      </c>
      <c r="Q1633" s="121">
        <f t="shared" si="694"/>
        <v>0</v>
      </c>
      <c r="R1633" s="121">
        <f t="shared" si="695"/>
        <v>0.70833333333333337</v>
      </c>
      <c r="AE1633" s="160">
        <f t="shared" si="696"/>
        <v>1.0945</v>
      </c>
    </row>
    <row r="1634" spans="1:31" x14ac:dyDescent="0.3">
      <c r="A1634" s="187">
        <v>41</v>
      </c>
      <c r="B1634" s="242">
        <f t="shared" si="697"/>
        <v>46874</v>
      </c>
      <c r="C1634" s="243">
        <f t="shared" si="680"/>
        <v>46904</v>
      </c>
      <c r="D1634" s="120">
        <f t="shared" si="681"/>
        <v>31</v>
      </c>
      <c r="E1634" s="120">
        <f t="shared" si="682"/>
        <v>5</v>
      </c>
      <c r="F1634" s="275">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0.995</v>
      </c>
      <c r="P1634" s="121">
        <f t="shared" si="693"/>
        <v>0</v>
      </c>
      <c r="Q1634" s="121">
        <f t="shared" si="694"/>
        <v>0</v>
      </c>
      <c r="R1634" s="121">
        <f t="shared" si="695"/>
        <v>0.625</v>
      </c>
      <c r="AE1634" s="160">
        <f t="shared" si="696"/>
        <v>1.0945</v>
      </c>
    </row>
    <row r="1635" spans="1:31" x14ac:dyDescent="0.3">
      <c r="A1635" s="187">
        <v>42</v>
      </c>
      <c r="B1635" s="242">
        <f t="shared" si="697"/>
        <v>46905</v>
      </c>
      <c r="C1635" s="243">
        <f t="shared" si="680"/>
        <v>46934</v>
      </c>
      <c r="D1635" s="120">
        <f t="shared" si="681"/>
        <v>30</v>
      </c>
      <c r="E1635" s="120">
        <f t="shared" si="682"/>
        <v>6</v>
      </c>
      <c r="F1635" s="275">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0.995</v>
      </c>
      <c r="P1635" s="121">
        <f t="shared" si="693"/>
        <v>0</v>
      </c>
      <c r="Q1635" s="121">
        <f t="shared" si="694"/>
        <v>0</v>
      </c>
      <c r="R1635" s="121">
        <f t="shared" si="695"/>
        <v>0.54166666666666663</v>
      </c>
      <c r="AE1635" s="160">
        <f t="shared" si="696"/>
        <v>1.0945</v>
      </c>
    </row>
    <row r="1636" spans="1:31" x14ac:dyDescent="0.3">
      <c r="A1636" s="187">
        <v>43</v>
      </c>
      <c r="B1636" s="242">
        <f t="shared" si="697"/>
        <v>46935</v>
      </c>
      <c r="C1636" s="243">
        <f t="shared" si="680"/>
        <v>46965</v>
      </c>
      <c r="D1636" s="120">
        <f t="shared" si="681"/>
        <v>31</v>
      </c>
      <c r="E1636" s="120">
        <f t="shared" si="682"/>
        <v>7</v>
      </c>
      <c r="F1636" s="275">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0.995</v>
      </c>
      <c r="P1636" s="121">
        <f t="shared" si="693"/>
        <v>0</v>
      </c>
      <c r="Q1636" s="121">
        <f t="shared" si="694"/>
        <v>0</v>
      </c>
      <c r="R1636" s="121">
        <f t="shared" si="695"/>
        <v>0.45833333333333331</v>
      </c>
      <c r="AE1636" s="160">
        <f t="shared" si="696"/>
        <v>1.0945</v>
      </c>
    </row>
    <row r="1637" spans="1:31" x14ac:dyDescent="0.3">
      <c r="A1637" s="187">
        <v>44</v>
      </c>
      <c r="B1637" s="242">
        <f t="shared" si="697"/>
        <v>46966</v>
      </c>
      <c r="C1637" s="243">
        <f t="shared" si="680"/>
        <v>46996</v>
      </c>
      <c r="D1637" s="120">
        <f t="shared" si="681"/>
        <v>31</v>
      </c>
      <c r="E1637" s="120">
        <f t="shared" si="682"/>
        <v>8</v>
      </c>
      <c r="F1637" s="275">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0.995</v>
      </c>
      <c r="P1637" s="121">
        <f t="shared" si="693"/>
        <v>0</v>
      </c>
      <c r="Q1637" s="121">
        <f t="shared" si="694"/>
        <v>0</v>
      </c>
      <c r="R1637" s="121">
        <f t="shared" si="695"/>
        <v>0.375</v>
      </c>
      <c r="AE1637" s="160">
        <f t="shared" si="696"/>
        <v>1.0945</v>
      </c>
    </row>
    <row r="1638" spans="1:31" x14ac:dyDescent="0.3">
      <c r="A1638" s="187">
        <v>45</v>
      </c>
      <c r="B1638" s="242">
        <f t="shared" si="697"/>
        <v>46997</v>
      </c>
      <c r="C1638" s="243">
        <f t="shared" si="680"/>
        <v>47026</v>
      </c>
      <c r="D1638" s="120">
        <f t="shared" si="681"/>
        <v>30</v>
      </c>
      <c r="E1638" s="120">
        <f t="shared" si="682"/>
        <v>9</v>
      </c>
      <c r="F1638" s="275">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0.995</v>
      </c>
      <c r="P1638" s="121">
        <f t="shared" si="693"/>
        <v>0</v>
      </c>
      <c r="Q1638" s="121">
        <f t="shared" si="694"/>
        <v>0</v>
      </c>
      <c r="R1638" s="121">
        <f t="shared" si="695"/>
        <v>0.29166666666666669</v>
      </c>
      <c r="AE1638" s="160">
        <f t="shared" si="696"/>
        <v>1.0945</v>
      </c>
    </row>
    <row r="1639" spans="1:31" x14ac:dyDescent="0.3">
      <c r="A1639" s="187">
        <v>46</v>
      </c>
      <c r="B1639" s="242">
        <f t="shared" si="697"/>
        <v>47027</v>
      </c>
      <c r="C1639" s="243">
        <f t="shared" si="680"/>
        <v>47057</v>
      </c>
      <c r="D1639" s="120">
        <f t="shared" si="681"/>
        <v>31</v>
      </c>
      <c r="E1639" s="120">
        <f t="shared" si="682"/>
        <v>10</v>
      </c>
      <c r="F1639" s="275">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0.995</v>
      </c>
      <c r="P1639" s="121">
        <f t="shared" si="693"/>
        <v>0</v>
      </c>
      <c r="Q1639" s="121">
        <f t="shared" si="694"/>
        <v>0</v>
      </c>
      <c r="R1639" s="121">
        <f t="shared" si="695"/>
        <v>0.20833333333333334</v>
      </c>
      <c r="AE1639" s="160">
        <f t="shared" si="696"/>
        <v>1.0945</v>
      </c>
    </row>
    <row r="1640" spans="1:31" x14ac:dyDescent="0.3">
      <c r="A1640" s="187">
        <v>47</v>
      </c>
      <c r="B1640" s="242">
        <f t="shared" si="697"/>
        <v>47058</v>
      </c>
      <c r="C1640" s="243">
        <f t="shared" si="680"/>
        <v>47087</v>
      </c>
      <c r="D1640" s="120">
        <f t="shared" si="681"/>
        <v>30</v>
      </c>
      <c r="E1640" s="120">
        <f t="shared" si="682"/>
        <v>11</v>
      </c>
      <c r="F1640" s="275">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0.995</v>
      </c>
      <c r="P1640" s="121">
        <f t="shared" si="693"/>
        <v>0</v>
      </c>
      <c r="Q1640" s="121">
        <f t="shared" si="694"/>
        <v>0</v>
      </c>
      <c r="R1640" s="121">
        <f t="shared" si="695"/>
        <v>0.125</v>
      </c>
      <c r="AE1640" s="160">
        <f t="shared" si="696"/>
        <v>1.0945</v>
      </c>
    </row>
    <row r="1641" spans="1:31" x14ac:dyDescent="0.3">
      <c r="A1641" s="187">
        <v>48</v>
      </c>
      <c r="B1641" s="242">
        <f t="shared" si="697"/>
        <v>47088</v>
      </c>
      <c r="C1641" s="243">
        <f t="shared" si="680"/>
        <v>47118</v>
      </c>
      <c r="D1641" s="120">
        <f t="shared" si="681"/>
        <v>31</v>
      </c>
      <c r="E1641" s="120">
        <f t="shared" si="682"/>
        <v>12</v>
      </c>
      <c r="F1641" s="275">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0.995</v>
      </c>
      <c r="P1641" s="121">
        <f t="shared" si="693"/>
        <v>0</v>
      </c>
      <c r="Q1641" s="121">
        <f t="shared" si="694"/>
        <v>0</v>
      </c>
      <c r="R1641" s="121">
        <f t="shared" si="695"/>
        <v>4.1666666666666664E-2</v>
      </c>
      <c r="AE1641" s="160">
        <f t="shared" si="696"/>
        <v>1.0945</v>
      </c>
    </row>
    <row r="1642" spans="1:31" x14ac:dyDescent="0.3">
      <c r="A1642" s="23" t="s">
        <v>1723</v>
      </c>
      <c r="B1642" s="279">
        <f>SUM($H$1618:$H$1629)</f>
        <v>12</v>
      </c>
      <c r="C1642" s="160">
        <f>SUMPRODUCT($H$1618:$H$1629,$W$1618:$W$1629/$N$1606:$N$1617,$Y$1618:$Y$1629)</f>
        <v>12.952090135046612</v>
      </c>
      <c r="D1642" s="160">
        <f>SUMPRODUCT($H$1618:$H$1629,$X$1618:$X$1629/$N$1606:$N$1617,$Y$1618:$Y$1629)</f>
        <v>9.6387450566515636</v>
      </c>
      <c r="E1642" s="281">
        <f>IF(OR($D$1591=0,$P$1591=0,$D1642=0),"n/a",((1+$E$1591)*$B1642-$C1642)/$D1642)</f>
        <v>2.5720139239735332E-2</v>
      </c>
      <c r="F1642" s="281">
        <f>IF($V$1591&lt;&gt;"",$V$1591,$E1642)</f>
        <v>0.04</v>
      </c>
      <c r="G1642" s="281">
        <f>IF(OR(NOT(ISNUMBER($F1642)),nd_Ach=0),"n/a",$F1642/nd_Ach)</f>
        <v>0.04</v>
      </c>
      <c r="H1642" s="220">
        <f>IF(OR(NOT(ISNUMBER($F1642)),$F$1591=0,SUMPRODUCT($AD$1618:$AD$1629,$AB$1618:$AB$1629)=0),"n/a",((1+$E$1591)*$B1642-SUMPRODUCT($AD$1618:$AD$1629,$AC$1618:$AC$1629))/SUMPRODUCT($AD$1618:$AD$1629,$AB$1618:$AB$1629))</f>
        <v>0.97776574435834473</v>
      </c>
      <c r="I1642" s="183">
        <f>IF(NOT(ISNUMBER($F1642)),"n/a",SUMPRODUCT($H$1618:$H$1629,($W$1618:$W$1629+$X$1618:$X$1629*$F1642)/$N$1606:$N$1617)/$B1642-1)</f>
        <v>0.10699999999999998</v>
      </c>
      <c r="J1642" s="183">
        <f>IF(OR(NOT(ISNUMBER($I1642)),$F$1591=0),"n/a",(1+$E$1591)/(1+$I1642)-1)</f>
        <v>-6.3233965672989667E-3</v>
      </c>
      <c r="K1642" s="183">
        <f>IF(NOT(ISNUMBER($F1642)),"n/a",($C1642+$D1642*$F1642)/$B1642-1)</f>
        <v>0.11146999477605624</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0.65045504169836177</v>
      </c>
      <c r="O1642" s="229">
        <f>IF($D$1591=0,"n/a",INDEX(calc_cylr_p,$C$1591))</f>
        <v>0.65444889210961887</v>
      </c>
      <c r="P1642" s="282">
        <f>IF(NOT(ISNUMBER($E1642)),0,ABS(($C1642+$D1642*$E1642)/$B1642-(1+$E$1591)))</f>
        <v>0</v>
      </c>
      <c r="Q1642" s="277">
        <f>MAX($AK$1606:$AK$1617)</f>
        <v>0</v>
      </c>
      <c r="R1642" s="277">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1725</v>
      </c>
    </row>
    <row r="3" spans="1:2" x14ac:dyDescent="0.3">
      <c r="A3" s="18" t="s">
        <v>1726</v>
      </c>
    </row>
    <row r="4" spans="1:2" x14ac:dyDescent="0.3">
      <c r="A4" s="20" t="s">
        <v>1727</v>
      </c>
      <c r="B4" s="283">
        <v>1.1024</v>
      </c>
    </row>
    <row r="5" spans="1:2" x14ac:dyDescent="0.3">
      <c r="A5" s="20" t="s">
        <v>1728</v>
      </c>
      <c r="B5" s="283">
        <v>1.0427999999999999</v>
      </c>
    </row>
    <row r="6" spans="1:2" x14ac:dyDescent="0.3">
      <c r="A6" s="20" t="s">
        <v>1729</v>
      </c>
      <c r="B6" s="283">
        <v>1.1101025</v>
      </c>
    </row>
    <row r="7" spans="1:2" x14ac:dyDescent="0.3">
      <c r="A7" s="20" t="s">
        <v>1730</v>
      </c>
      <c r="B7" s="283">
        <v>1.1557975</v>
      </c>
    </row>
    <row r="8" spans="1:2" x14ac:dyDescent="0.3">
      <c r="A8" s="20" t="s">
        <v>1731</v>
      </c>
      <c r="B8" s="283">
        <v>0.8659874179431073</v>
      </c>
    </row>
    <row r="9" spans="1:2" x14ac:dyDescent="0.3">
      <c r="A9" s="20" t="s">
        <v>1732</v>
      </c>
      <c r="B9" s="283">
        <v>0.99306145153262859</v>
      </c>
    </row>
    <row r="10" spans="1:2" x14ac:dyDescent="0.3">
      <c r="A10" s="20" t="s">
        <v>1733</v>
      </c>
      <c r="B10" s="283">
        <v>0.95380029806259314</v>
      </c>
    </row>
    <row r="11" spans="1:2" x14ac:dyDescent="0.3">
      <c r="A11" s="20" t="s">
        <v>1734</v>
      </c>
      <c r="B11" s="283">
        <v>0.98153851013092008</v>
      </c>
    </row>
    <row r="12" spans="1:2" x14ac:dyDescent="0.3">
      <c r="A12" s="20" t="s">
        <v>1735</v>
      </c>
      <c r="B12" s="283">
        <v>0.63357323744376037</v>
      </c>
    </row>
    <row r="13" spans="1:2" x14ac:dyDescent="0.3">
      <c r="A13" s="20" t="s">
        <v>1736</v>
      </c>
      <c r="B13" s="283">
        <v>0.59480029614224839</v>
      </c>
    </row>
    <row r="14" spans="1:2" x14ac:dyDescent="0.3">
      <c r="A14" s="20" t="s">
        <v>1737</v>
      </c>
      <c r="B14" s="283">
        <v>6.9870283018869106E-3</v>
      </c>
    </row>
    <row r="15" spans="1:2" x14ac:dyDescent="0.3">
      <c r="A15" s="20" t="s">
        <v>1738</v>
      </c>
      <c r="B15" s="283">
        <v>0.63356403229997393</v>
      </c>
    </row>
    <row r="16" spans="1:2" x14ac:dyDescent="0.3">
      <c r="A16" s="20" t="s">
        <v>1739</v>
      </c>
      <c r="B16" s="283">
        <v>1.1101025</v>
      </c>
    </row>
    <row r="17" spans="1:4" x14ac:dyDescent="0.3">
      <c r="A17" s="20" t="s">
        <v>1740</v>
      </c>
      <c r="B17" s="283">
        <v>5.0000000000000933E-2</v>
      </c>
    </row>
    <row r="19" spans="1:4" x14ac:dyDescent="0.3">
      <c r="A19" s="18" t="s">
        <v>1741</v>
      </c>
    </row>
    <row r="20" spans="1:4" x14ac:dyDescent="0.3">
      <c r="A20" s="270" t="s">
        <v>1742</v>
      </c>
      <c r="B20" s="270" t="s">
        <v>742</v>
      </c>
      <c r="C20" s="270" t="s">
        <v>1743</v>
      </c>
      <c r="D20" s="270" t="s">
        <v>1744</v>
      </c>
    </row>
    <row r="21" spans="1:4" x14ac:dyDescent="0.3">
      <c r="A21" s="20" t="s">
        <v>555</v>
      </c>
      <c r="B21" s="20">
        <v>2027</v>
      </c>
      <c r="C21" s="20">
        <f>nr_PlanYear</f>
        <v>2027</v>
      </c>
      <c r="D21" s="20" t="b">
        <f>ABS($C21-$B21)&lt;=0.000000001</f>
        <v>1</v>
      </c>
    </row>
    <row r="22" spans="1:4" x14ac:dyDescent="0.3">
      <c r="A22" s="20" t="s">
        <v>100</v>
      </c>
      <c r="B22" s="20" t="s">
        <v>1745</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1746</v>
      </c>
      <c r="B25" s="20">
        <v>0.85</v>
      </c>
      <c r="C25" s="20">
        <f>nr_MInd</f>
        <v>0.85</v>
      </c>
      <c r="D25" s="20" t="b">
        <f>ABS($C25-$B25)&lt;=0.000000001</f>
        <v>1</v>
      </c>
    </row>
    <row r="26" spans="1:4" x14ac:dyDescent="0.3">
      <c r="A26" s="20" t="s">
        <v>1747</v>
      </c>
      <c r="B26" s="20">
        <v>0.86</v>
      </c>
      <c r="C26" s="20">
        <f>nr_M0</f>
        <v>0.86</v>
      </c>
      <c r="D26" s="20" t="b">
        <f>ABS($C26-$B26)&lt;=0.000000001</f>
        <v>1</v>
      </c>
    </row>
    <row r="27" spans="1:4" x14ac:dyDescent="0.3">
      <c r="A27" s="20" t="s">
        <v>1748</v>
      </c>
      <c r="B27" s="20">
        <v>46295</v>
      </c>
      <c r="C27" s="20">
        <f>nr_M0Asof</f>
        <v>46295</v>
      </c>
      <c r="D27" s="20" t="b">
        <f>ABS($C27-$B27)&lt;=0.5</f>
        <v>1</v>
      </c>
    </row>
    <row r="28" spans="1:4" x14ac:dyDescent="0.3">
      <c r="A28" s="20" t="s">
        <v>1749</v>
      </c>
      <c r="B28" s="20">
        <v>0.89</v>
      </c>
      <c r="C28" s="20">
        <f>nr_M1</f>
        <v>0.89</v>
      </c>
      <c r="D28" s="20" t="b">
        <f>ABS($C28-$B28)&lt;=0.000000001</f>
        <v>1</v>
      </c>
    </row>
    <row r="29" spans="1:4" x14ac:dyDescent="0.3">
      <c r="A29" s="20" t="s">
        <v>1750</v>
      </c>
      <c r="B29" s="20">
        <v>0</v>
      </c>
      <c r="C29" s="20">
        <f>nr_MPrior</f>
        <v>0</v>
      </c>
      <c r="D29" s="20" t="b">
        <f>ABS($C29-$B29)&lt;=0.000000001</f>
        <v>1</v>
      </c>
    </row>
    <row r="30" spans="1:4" x14ac:dyDescent="0.3">
      <c r="A30" s="20" t="s">
        <v>1751</v>
      </c>
      <c r="B30" s="20">
        <v>0</v>
      </c>
      <c r="C30" s="20">
        <f>nr_M2</f>
        <v>0</v>
      </c>
      <c r="D30" s="20" t="b">
        <f>ABS($C30-$B30)&lt;=0.000000001</f>
        <v>1</v>
      </c>
    </row>
    <row r="31" spans="1:4" x14ac:dyDescent="0.3">
      <c r="A31" s="20" t="s">
        <v>1752</v>
      </c>
      <c r="B31" s="20">
        <v>0</v>
      </c>
      <c r="C31" s="20">
        <f>nr_Trend</f>
        <v>0</v>
      </c>
      <c r="D31" s="20" t="b">
        <f>ABS($C31-$B31)&lt;=0.000000001</f>
        <v>1</v>
      </c>
    </row>
    <row r="32" spans="1:4" x14ac:dyDescent="0.3">
      <c r="A32" s="20" t="s">
        <v>1753</v>
      </c>
      <c r="B32" s="20">
        <v>0</v>
      </c>
      <c r="C32" s="20">
        <f>N(nr_TrendDefault)</f>
        <v>0</v>
      </c>
      <c r="D32" s="20" t="b">
        <f>ABS($C32-$B32)&lt;=0.000000001</f>
        <v>1</v>
      </c>
    </row>
    <row r="33" spans="1:4" x14ac:dyDescent="0.3">
      <c r="A33" s="20" t="s">
        <v>1754</v>
      </c>
      <c r="B33" s="20" t="s">
        <v>1755</v>
      </c>
      <c r="C33" s="20" t="str">
        <f>IF(nr_NetMode,"TRUE","FALSE")</f>
        <v>FALSE</v>
      </c>
      <c r="D33" s="20" t="b">
        <f>$C33=$B33</f>
        <v>1</v>
      </c>
    </row>
    <row r="34" spans="1:4" x14ac:dyDescent="0.3">
      <c r="A34" s="20" t="s">
        <v>1649</v>
      </c>
      <c r="B34" s="20">
        <v>1</v>
      </c>
      <c r="C34" s="20">
        <f>nr_AOther</f>
        <v>1</v>
      </c>
      <c r="D34" s="20" t="b">
        <f>ABS($C34-$B34)&lt;=0.000000001</f>
        <v>1</v>
      </c>
    </row>
    <row r="35" spans="1:4" x14ac:dyDescent="0.3">
      <c r="A35" s="20" t="s">
        <v>1756</v>
      </c>
      <c r="B35" s="20" t="s">
        <v>116</v>
      </c>
      <c r="C35" s="20" t="str">
        <f>nr_ModAdjRow</f>
        <v>ON</v>
      </c>
      <c r="D35" s="20" t="b">
        <f>$C35=$B35</f>
        <v>1</v>
      </c>
    </row>
    <row r="36" spans="1:4" x14ac:dyDescent="0.3">
      <c r="A36" s="20" t="s">
        <v>1757</v>
      </c>
      <c r="B36" s="20" t="s">
        <v>116</v>
      </c>
      <c r="C36" s="20" t="str">
        <f>nr_ModAdjMaster</f>
        <v>ON</v>
      </c>
      <c r="D36" s="20" t="b">
        <f>$C36=$B36</f>
        <v>1</v>
      </c>
    </row>
    <row r="37" spans="1:4" x14ac:dyDescent="0.3">
      <c r="A37" s="20" t="s">
        <v>1758</v>
      </c>
      <c r="B37" s="20" t="s">
        <v>1755</v>
      </c>
      <c r="C37" s="20" t="str">
        <f>IF(re_season_active,"TRUE","FALSE")</f>
        <v>FALSE</v>
      </c>
      <c r="D37" s="20" t="b">
        <f>$C37=$B37</f>
        <v>1</v>
      </c>
    </row>
    <row r="38" spans="1:4" x14ac:dyDescent="0.3">
      <c r="A38" s="20" t="s">
        <v>1759</v>
      </c>
      <c r="B38" s="20">
        <v>12</v>
      </c>
      <c r="C38" s="20">
        <f>nr_TermMonths</f>
        <v>12</v>
      </c>
      <c r="D38" s="20" t="b">
        <f>ABS($C38-$B38)&lt;=0.000000001</f>
        <v>1</v>
      </c>
    </row>
    <row r="39" spans="1:4" x14ac:dyDescent="0.3">
      <c r="A39" s="20" t="s">
        <v>1760</v>
      </c>
      <c r="B39" s="20">
        <v>3</v>
      </c>
      <c r="C39" s="20">
        <f>COUNTIF(rl_key,"ABD|AZ")</f>
        <v>3</v>
      </c>
      <c r="D39" s="20" t="b">
        <f>ABS($C39-$B39)&lt;=0.000000001</f>
        <v>1</v>
      </c>
    </row>
    <row r="40" spans="1:4" x14ac:dyDescent="0.3">
      <c r="A40" s="20" t="s">
        <v>1761</v>
      </c>
      <c r="B40" s="20">
        <v>0.15</v>
      </c>
      <c r="C40" s="20">
        <f>SUMIF(rl_key,"ABD|AZ",rl_filed)</f>
        <v>0.15000000000000002</v>
      </c>
      <c r="D40" s="20" t="b">
        <f>ABS($C40-$B40)&lt;=0.000000001</f>
        <v>1</v>
      </c>
    </row>
    <row r="41" spans="1:4" x14ac:dyDescent="0.3">
      <c r="A41" s="20" t="s">
        <v>1762</v>
      </c>
      <c r="B41" s="20">
        <v>138521</v>
      </c>
      <c r="C41" s="20">
        <f>SUMIF(rl_key,"ABD|AZ",rl_eff)</f>
        <v>138521</v>
      </c>
      <c r="D41" s="20" t="b">
        <f>ABS($C41-$B41)&lt;=0.5</f>
        <v>1</v>
      </c>
    </row>
    <row r="42" spans="1:4" x14ac:dyDescent="0.3">
      <c r="A42" s="20" t="s">
        <v>1763</v>
      </c>
      <c r="B42" s="20">
        <v>0.15</v>
      </c>
      <c r="C42" s="20">
        <f>SUMIF(rl_key,"ABD|AZ",rl_reff)</f>
        <v>0.15000000000000002</v>
      </c>
      <c r="D42" s="20" t="b">
        <f>ABS($C42-$B42)&lt;=0.000000001</f>
        <v>1</v>
      </c>
    </row>
    <row r="43" spans="1:4" x14ac:dyDescent="0.3">
      <c r="A43" s="20" t="s">
        <v>1764</v>
      </c>
      <c r="B43" s="20">
        <v>1</v>
      </c>
      <c r="C43" s="20">
        <f>COUNTIFS(rl_key,"ABD|AZ",rl_status,"planned")</f>
        <v>1</v>
      </c>
      <c r="D43" s="20" t="b">
        <f>ABS($C43-$B43)&lt;=0.000000001</f>
        <v>1</v>
      </c>
    </row>
    <row r="44" spans="1:4" x14ac:dyDescent="0.3">
      <c r="A44" s="20" t="s">
        <v>1765</v>
      </c>
      <c r="B44" s="20">
        <v>2</v>
      </c>
      <c r="C44" s="20">
        <f>COUNTIFS(rl_key,"ABD|AZ",rl_cons,"Y")</f>
        <v>2</v>
      </c>
      <c r="D44" s="20" t="b">
        <f>ABS($C44-$B44)&lt;=0.000000001</f>
        <v>1</v>
      </c>
    </row>
    <row r="46" spans="1:4" x14ac:dyDescent="0.3">
      <c r="A46" s="18" t="s">
        <v>1766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2026-08-01T00:05:58Z</dcterms:created>
  <dcterms:modified xsi:type="dcterms:W3CDTF">2026-08-01T00:06:24Z</dcterms:modified>
</cp:coreProperties>
</file>